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CGCC\CAC\DOCUMENTOS DO SETOR DE CONTRATOS\A - DOCS ESCANEADOS\BRASFORT EMPRESA DE SEGURANÇA LTDA - VIGILÂNCIA\CONTRATO Nº 12-2017-MME - VIGILÂNCIA\"/>
    </mc:Choice>
  </mc:AlternateContent>
  <bookViews>
    <workbookView xWindow="0" yWindow="0" windowWidth="24000" windowHeight="9600" tabRatio="895" activeTab="7"/>
  </bookViews>
  <sheets>
    <sheet name="DADOS" sheetId="8" r:id="rId1"/>
    <sheet name="PROPOSTA INICIAL" sheetId="9" r:id="rId2"/>
    <sheet name="SUPERVISOR - DIURNO - 44h" sheetId="36" r:id="rId3"/>
    <sheet name="VIGILANTE - DIURNO 12x36 DD" sheetId="39" r:id="rId4"/>
    <sheet name="VIGILANTE - NOTURNO 12x36 ND" sheetId="40" r:id="rId5"/>
    <sheet name="UNIFORMES" sheetId="32" r:id="rId6"/>
    <sheet name="MAT e EQUIPS" sheetId="38" r:id="rId7"/>
    <sheet name="RESUMO" sheetId="10" r:id="rId8"/>
    <sheet name="SÚMULA 444" sheetId="31" state="hidden" r:id="rId9"/>
  </sheets>
  <externalReferences>
    <externalReference r:id="rId10"/>
  </externalReferences>
  <definedNames>
    <definedName name="_xlnm.Print_Area" localSheetId="0">DADOS!$A$1:$M$121</definedName>
    <definedName name="_xlnm.Print_Area" localSheetId="6">'MAT e EQUIPS'!$A$1:$H$56</definedName>
    <definedName name="_xlnm.Print_Area" localSheetId="1">'PROPOSTA INICIAL'!$A$1:$H$75</definedName>
    <definedName name="_xlnm.Print_Area" localSheetId="7">RESUMO!$A$1:$K$117</definedName>
    <definedName name="_xlnm.Print_Area" localSheetId="8">'SÚMULA 444'!$A$1:$I$28</definedName>
    <definedName name="_xlnm.Print_Area" localSheetId="2">'SUPERVISOR - DIURNO - 44h'!$A$1:$O$140</definedName>
    <definedName name="_xlnm.Print_Area" localSheetId="5">UNIFORMES!$A$1:$G$53</definedName>
    <definedName name="_xlnm.Print_Area" localSheetId="3">'VIGILANTE - DIURNO 12x36 DD'!$A$1:$Q$140</definedName>
    <definedName name="_xlnm.Print_Area" localSheetId="4">'VIGILANTE - NOTURNO 12x36 ND'!$A$1:$O$143</definedName>
    <definedName name="Excel_BuiltIn_Print_Area_1">#REF!</definedName>
    <definedName name="Excel_BuiltIn_Print_Area_2">#REF!</definedName>
    <definedName name="Tipo_de_Joranda_de_Trabalho" localSheetId="8">OFFSET([1]Apoio!$A$1,1,0,COUNTA([1]Apoio!$A$1:$A$65536)-1,1)</definedName>
    <definedName name="Tipo_de_Joranda_de_Trabalho">OFFSET([1]Apoio!$A$1,1,0,COUNTA([1]Apoio!$A$1:$A$65536)-1,1)</definedName>
    <definedName name="UN" localSheetId="6">#REF!</definedName>
    <definedName name="UN" localSheetId="2">#REF!</definedName>
    <definedName name="UN" localSheetId="3">#REF!</definedName>
    <definedName name="UN" localSheetId="4">#REF!</definedName>
    <definedName name="UN">#REF!</definedName>
  </definedNames>
  <calcPr calcId="162913" fullPrecision="0"/>
</workbook>
</file>

<file path=xl/calcChain.xml><?xml version="1.0" encoding="utf-8"?>
<calcChain xmlns="http://schemas.openxmlformats.org/spreadsheetml/2006/main">
  <c r="J112" i="10" l="1"/>
  <c r="J113" i="10"/>
  <c r="K111" i="10"/>
  <c r="J111" i="10"/>
  <c r="I111" i="10"/>
  <c r="H111" i="10"/>
  <c r="G114" i="10"/>
  <c r="D112" i="10"/>
  <c r="E112" i="10"/>
  <c r="F112" i="10"/>
  <c r="G112" i="10"/>
  <c r="D113" i="10"/>
  <c r="E113" i="10"/>
  <c r="F113" i="10"/>
  <c r="G113" i="10"/>
  <c r="G111" i="10"/>
  <c r="F111" i="10"/>
  <c r="E111" i="10"/>
  <c r="D111" i="10"/>
  <c r="D105" i="10"/>
  <c r="E105" i="10"/>
  <c r="F105" i="10"/>
  <c r="G105" i="10"/>
  <c r="D106" i="10"/>
  <c r="E106" i="10"/>
  <c r="F106" i="10"/>
  <c r="G106" i="10"/>
  <c r="G104" i="10"/>
  <c r="G107" i="10" s="1"/>
  <c r="F104" i="10"/>
  <c r="E104" i="10"/>
  <c r="D104" i="10"/>
  <c r="K104" i="10"/>
  <c r="J105" i="10"/>
  <c r="J106" i="10"/>
  <c r="J104" i="10"/>
  <c r="I104" i="10"/>
  <c r="H104" i="10"/>
  <c r="N13" i="39" l="1"/>
  <c r="N16" i="39"/>
  <c r="O31" i="39"/>
  <c r="O33" i="39" s="1"/>
  <c r="O38" i="39" s="1"/>
  <c r="O40" i="39" s="1"/>
  <c r="N32" i="39"/>
  <c r="N35" i="39"/>
  <c r="N38" i="39"/>
  <c r="N44" i="39"/>
  <c r="O44" i="39"/>
  <c r="O45" i="39"/>
  <c r="O55" i="39" s="1"/>
  <c r="O135" i="39" s="1"/>
  <c r="N46" i="39"/>
  <c r="O46" i="39"/>
  <c r="O47" i="39"/>
  <c r="N48" i="39"/>
  <c r="N50" i="39"/>
  <c r="N51" i="39"/>
  <c r="N52" i="39"/>
  <c r="N53" i="39"/>
  <c r="N75" i="39"/>
  <c r="N82" i="39" s="1"/>
  <c r="N81" i="39"/>
  <c r="N87" i="39"/>
  <c r="N89" i="39" s="1"/>
  <c r="N117" i="39" s="1"/>
  <c r="N88" i="39"/>
  <c r="N99" i="39"/>
  <c r="N118" i="39" s="1"/>
  <c r="N109" i="39"/>
  <c r="N120" i="39"/>
  <c r="N126" i="39"/>
  <c r="N115" i="39" l="1"/>
  <c r="O70" i="39"/>
  <c r="O74" i="39"/>
  <c r="O80" i="39"/>
  <c r="O96" i="39"/>
  <c r="O106" i="39"/>
  <c r="O134" i="39"/>
  <c r="O95" i="39"/>
  <c r="O67" i="39"/>
  <c r="O71" i="39"/>
  <c r="O93" i="39"/>
  <c r="O97" i="39"/>
  <c r="O103" i="39"/>
  <c r="O107" i="39"/>
  <c r="O68" i="39"/>
  <c r="O72" i="39"/>
  <c r="O88" i="39"/>
  <c r="O94" i="39"/>
  <c r="O98" i="39"/>
  <c r="O104" i="39"/>
  <c r="O108" i="39"/>
  <c r="O69" i="39"/>
  <c r="O73" i="39"/>
  <c r="O79" i="39"/>
  <c r="O81" i="39" s="1"/>
  <c r="O83" i="39" s="1"/>
  <c r="O116" i="39" s="1"/>
  <c r="O105" i="39"/>
  <c r="O87" i="39"/>
  <c r="O82" i="39"/>
  <c r="N110" i="39"/>
  <c r="O110" i="39" s="1"/>
  <c r="N83" i="39"/>
  <c r="N116" i="39" s="1"/>
  <c r="B35" i="10"/>
  <c r="B62" i="10" s="1"/>
  <c r="B81" i="10" s="1"/>
  <c r="B91" i="10" s="1"/>
  <c r="B36" i="10"/>
  <c r="B63" i="10" s="1"/>
  <c r="B82" i="10" s="1"/>
  <c r="B92" i="10" s="1"/>
  <c r="B34" i="10"/>
  <c r="B61" i="10" s="1"/>
  <c r="M36" i="40"/>
  <c r="M34" i="40"/>
  <c r="N129" i="40"/>
  <c r="N123" i="40"/>
  <c r="N112" i="40"/>
  <c r="N102" i="40"/>
  <c r="N121" i="40" s="1"/>
  <c r="N91" i="40"/>
  <c r="N90" i="40"/>
  <c r="N84" i="40"/>
  <c r="N78" i="40"/>
  <c r="N118" i="40" s="1"/>
  <c r="N56" i="40"/>
  <c r="N55" i="40"/>
  <c r="N54" i="40"/>
  <c r="N53" i="40"/>
  <c r="N51" i="40"/>
  <c r="O51" i="40" s="1"/>
  <c r="O50" i="40"/>
  <c r="O49" i="40"/>
  <c r="N49" i="40"/>
  <c r="O47" i="40"/>
  <c r="N47" i="40"/>
  <c r="N35" i="40"/>
  <c r="O34" i="40"/>
  <c r="O36" i="40" s="1"/>
  <c r="O38" i="40" s="1"/>
  <c r="N16" i="40"/>
  <c r="N13" i="40"/>
  <c r="Q47" i="39"/>
  <c r="Q46" i="39"/>
  <c r="Q44" i="39"/>
  <c r="O47" i="36"/>
  <c r="P126" i="39"/>
  <c r="P120" i="39"/>
  <c r="P109" i="39"/>
  <c r="P99" i="39"/>
  <c r="P118" i="39" s="1"/>
  <c r="P88" i="39"/>
  <c r="P87" i="39"/>
  <c r="P89" i="39" s="1"/>
  <c r="P117" i="39" s="1"/>
  <c r="P81" i="39"/>
  <c r="P75" i="39"/>
  <c r="P115" i="39" s="1"/>
  <c r="P53" i="39"/>
  <c r="P52" i="39"/>
  <c r="P51" i="39"/>
  <c r="P50" i="39"/>
  <c r="P48" i="39"/>
  <c r="Q48" i="39" s="1"/>
  <c r="P46" i="39"/>
  <c r="P44" i="39"/>
  <c r="P35" i="39"/>
  <c r="P32" i="39"/>
  <c r="Q31" i="39"/>
  <c r="P16" i="39"/>
  <c r="P13" i="39"/>
  <c r="C116" i="8"/>
  <c r="N126" i="36"/>
  <c r="C77" i="8"/>
  <c r="O31" i="36"/>
  <c r="O46" i="36"/>
  <c r="B71" i="10" l="1"/>
  <c r="B80" i="10"/>
  <c r="B90" i="10" s="1"/>
  <c r="O41" i="40"/>
  <c r="O43" i="40" s="1"/>
  <c r="N92" i="40"/>
  <c r="N120" i="40" s="1"/>
  <c r="O75" i="39"/>
  <c r="O115" i="39" s="1"/>
  <c r="O89" i="39"/>
  <c r="O117" i="39" s="1"/>
  <c r="O121" i="39" s="1"/>
  <c r="O137" i="39" s="1"/>
  <c r="O99" i="39"/>
  <c r="O118" i="39" s="1"/>
  <c r="O109" i="39"/>
  <c r="O111" i="39" s="1"/>
  <c r="O119" i="39" s="1"/>
  <c r="N111" i="39"/>
  <c r="N119" i="39" s="1"/>
  <c r="N121" i="39" s="1"/>
  <c r="B72" i="10"/>
  <c r="B73" i="10"/>
  <c r="N86" i="40"/>
  <c r="N119" i="40" s="1"/>
  <c r="O48" i="40"/>
  <c r="O58" i="40" s="1"/>
  <c r="O138" i="40" s="1"/>
  <c r="N85" i="40"/>
  <c r="N113" i="40"/>
  <c r="N114" i="40" s="1"/>
  <c r="N122" i="40" s="1"/>
  <c r="Q45" i="39"/>
  <c r="Q55" i="39" s="1"/>
  <c r="Q135" i="39" s="1"/>
  <c r="P111" i="39"/>
  <c r="P119" i="39" s="1"/>
  <c r="Q33" i="39"/>
  <c r="P82" i="39"/>
  <c r="P83" i="39" s="1"/>
  <c r="P116" i="39" s="1"/>
  <c r="P110" i="39"/>
  <c r="K46" i="36"/>
  <c r="O44" i="36"/>
  <c r="O33" i="36"/>
  <c r="O40" i="36" s="1"/>
  <c r="N13" i="36"/>
  <c r="L13" i="36"/>
  <c r="N120" i="36"/>
  <c r="N109" i="36"/>
  <c r="N99" i="36"/>
  <c r="N118" i="36" s="1"/>
  <c r="N88" i="36"/>
  <c r="N87" i="36"/>
  <c r="N81" i="36"/>
  <c r="N75" i="36"/>
  <c r="N53" i="36"/>
  <c r="N52" i="36"/>
  <c r="N51" i="36"/>
  <c r="N50" i="36"/>
  <c r="N49" i="36"/>
  <c r="O49" i="36" s="1"/>
  <c r="N48" i="36"/>
  <c r="O48" i="36" s="1"/>
  <c r="N46" i="36"/>
  <c r="N44" i="36"/>
  <c r="N38" i="36"/>
  <c r="N35" i="36"/>
  <c r="N32" i="36"/>
  <c r="N16" i="36"/>
  <c r="N124" i="40" l="1"/>
  <c r="N111" i="36"/>
  <c r="N119" i="36" s="1"/>
  <c r="N110" i="36"/>
  <c r="O110" i="36" s="1"/>
  <c r="O104" i="36"/>
  <c r="O108" i="36"/>
  <c r="O96" i="36"/>
  <c r="O74" i="36"/>
  <c r="O69" i="36"/>
  <c r="O73" i="36"/>
  <c r="O105" i="36"/>
  <c r="O103" i="36"/>
  <c r="O97" i="36"/>
  <c r="O70" i="36"/>
  <c r="O67" i="36"/>
  <c r="O93" i="36"/>
  <c r="O134" i="36"/>
  <c r="O79" i="36"/>
  <c r="O106" i="36"/>
  <c r="O94" i="36"/>
  <c r="O98" i="36"/>
  <c r="O80" i="36"/>
  <c r="O71" i="36"/>
  <c r="O107" i="36"/>
  <c r="O95" i="36"/>
  <c r="O68" i="36"/>
  <c r="O72" i="36"/>
  <c r="O110" i="40"/>
  <c r="O108" i="40"/>
  <c r="O106" i="40"/>
  <c r="O100" i="40"/>
  <c r="O98" i="40"/>
  <c r="O96" i="40"/>
  <c r="O82" i="40"/>
  <c r="O76" i="40"/>
  <c r="O74" i="40"/>
  <c r="O72" i="40"/>
  <c r="O70" i="40"/>
  <c r="O99" i="40"/>
  <c r="O77" i="40"/>
  <c r="O73" i="40"/>
  <c r="O111" i="40"/>
  <c r="O137" i="40"/>
  <c r="O109" i="40"/>
  <c r="O97" i="40"/>
  <c r="O75" i="40"/>
  <c r="O71" i="40"/>
  <c r="O107" i="40"/>
  <c r="O101" i="40"/>
  <c r="O83" i="40"/>
  <c r="O113" i="40"/>
  <c r="O85" i="40"/>
  <c r="Q38" i="39"/>
  <c r="Q40" i="39" s="1"/>
  <c r="Q67" i="39" s="1"/>
  <c r="P121" i="39"/>
  <c r="Q106" i="39"/>
  <c r="N89" i="36"/>
  <c r="N117" i="36" s="1"/>
  <c r="O45" i="36"/>
  <c r="O55" i="36" s="1"/>
  <c r="O135" i="36" s="1"/>
  <c r="N82" i="36"/>
  <c r="O82" i="36" s="1"/>
  <c r="N115" i="36"/>
  <c r="O109" i="36" l="1"/>
  <c r="O111" i="36" s="1"/>
  <c r="O119" i="36" s="1"/>
  <c r="Q105" i="39"/>
  <c r="Q93" i="39"/>
  <c r="Q79" i="39"/>
  <c r="Q70" i="39"/>
  <c r="Q94" i="39"/>
  <c r="Q73" i="39"/>
  <c r="O81" i="36"/>
  <c r="O83" i="36" s="1"/>
  <c r="O116" i="36" s="1"/>
  <c r="O75" i="36"/>
  <c r="O115" i="36" s="1"/>
  <c r="O99" i="36"/>
  <c r="O118" i="36" s="1"/>
  <c r="O78" i="40"/>
  <c r="O118" i="40" s="1"/>
  <c r="O112" i="40"/>
  <c r="O114" i="40" s="1"/>
  <c r="O122" i="40" s="1"/>
  <c r="O102" i="40"/>
  <c r="O121" i="40" s="1"/>
  <c r="O84" i="40"/>
  <c r="O86" i="40" s="1"/>
  <c r="O119" i="40" s="1"/>
  <c r="Q74" i="39"/>
  <c r="Q134" i="39"/>
  <c r="Q95" i="39"/>
  <c r="Q68" i="39"/>
  <c r="Q108" i="39"/>
  <c r="Q107" i="39"/>
  <c r="Q82" i="39"/>
  <c r="Q96" i="39"/>
  <c r="Q69" i="39"/>
  <c r="Q97" i="39"/>
  <c r="Q72" i="39"/>
  <c r="Q104" i="39"/>
  <c r="Q110" i="39"/>
  <c r="Q98" i="39"/>
  <c r="Q71" i="39"/>
  <c r="Q103" i="39"/>
  <c r="Q80" i="39"/>
  <c r="N83" i="36"/>
  <c r="N116" i="36" s="1"/>
  <c r="N121" i="36" s="1"/>
  <c r="F43" i="10"/>
  <c r="M49" i="40"/>
  <c r="K49" i="40"/>
  <c r="M46" i="39"/>
  <c r="K46" i="39"/>
  <c r="K34" i="40"/>
  <c r="K48" i="39"/>
  <c r="K31" i="39"/>
  <c r="L132" i="40"/>
  <c r="J131" i="40"/>
  <c r="J130" i="40"/>
  <c r="L129" i="40"/>
  <c r="L128" i="40"/>
  <c r="J123" i="40"/>
  <c r="J111" i="40"/>
  <c r="J110" i="40"/>
  <c r="J109" i="40"/>
  <c r="J108" i="40"/>
  <c r="J107" i="40"/>
  <c r="J106" i="40"/>
  <c r="J102" i="40"/>
  <c r="J121" i="40"/>
  <c r="L101" i="40"/>
  <c r="L100" i="40"/>
  <c r="L99" i="40"/>
  <c r="L97" i="40"/>
  <c r="L96" i="40"/>
  <c r="L91" i="40"/>
  <c r="J91" i="40"/>
  <c r="L90" i="40"/>
  <c r="J90" i="40"/>
  <c r="J83" i="40"/>
  <c r="J82" i="40"/>
  <c r="J77" i="40"/>
  <c r="J76" i="40"/>
  <c r="J75" i="40"/>
  <c r="J74" i="40"/>
  <c r="J73" i="40"/>
  <c r="J72" i="40"/>
  <c r="J71" i="40"/>
  <c r="J70" i="40"/>
  <c r="J56" i="40"/>
  <c r="J55" i="40"/>
  <c r="J54" i="40"/>
  <c r="J53" i="40"/>
  <c r="M52" i="40"/>
  <c r="K52" i="40"/>
  <c r="K51" i="40"/>
  <c r="J48" i="40"/>
  <c r="M47" i="40"/>
  <c r="K47" i="40"/>
  <c r="J47" i="40"/>
  <c r="J36" i="40"/>
  <c r="L35" i="40"/>
  <c r="J35" i="40"/>
  <c r="M31" i="39"/>
  <c r="L129" i="39"/>
  <c r="L125" i="39"/>
  <c r="L94" i="39"/>
  <c r="L96" i="39"/>
  <c r="L97" i="39"/>
  <c r="L93" i="39"/>
  <c r="I51" i="39"/>
  <c r="M51" i="39" s="1"/>
  <c r="I52" i="39"/>
  <c r="I53" i="39"/>
  <c r="I50" i="39"/>
  <c r="M50" i="39" s="1"/>
  <c r="K51" i="39"/>
  <c r="K52" i="39"/>
  <c r="K53" i="39"/>
  <c r="K50" i="39"/>
  <c r="G46" i="39"/>
  <c r="M44" i="39"/>
  <c r="L88" i="39"/>
  <c r="L87" i="39"/>
  <c r="L32" i="39"/>
  <c r="K44" i="39"/>
  <c r="J13" i="39"/>
  <c r="J16" i="39"/>
  <c r="J19" i="39"/>
  <c r="J24" i="39"/>
  <c r="J26" i="39"/>
  <c r="J27" i="39"/>
  <c r="J32" i="39"/>
  <c r="J33" i="39"/>
  <c r="J44" i="39"/>
  <c r="J45" i="39"/>
  <c r="J50" i="39"/>
  <c r="J51" i="39"/>
  <c r="J52" i="39"/>
  <c r="J53" i="39"/>
  <c r="J67" i="39"/>
  <c r="J68" i="39"/>
  <c r="J69" i="39"/>
  <c r="J70" i="39"/>
  <c r="J71" i="39"/>
  <c r="J72" i="39"/>
  <c r="J73" i="39"/>
  <c r="J74" i="39"/>
  <c r="J79" i="39"/>
  <c r="J80" i="39"/>
  <c r="J87" i="39"/>
  <c r="J88" i="39"/>
  <c r="J99" i="39"/>
  <c r="J118" i="39" s="1"/>
  <c r="J103" i="39"/>
  <c r="J104" i="39"/>
  <c r="J105" i="39"/>
  <c r="J106" i="39"/>
  <c r="J107" i="39"/>
  <c r="J108" i="39"/>
  <c r="J110" i="39"/>
  <c r="J120" i="39"/>
  <c r="J127" i="39"/>
  <c r="J128" i="39"/>
  <c r="I34" i="40"/>
  <c r="I36" i="40" s="1"/>
  <c r="H123" i="40"/>
  <c r="L123" i="40" s="1"/>
  <c r="H90" i="40"/>
  <c r="H56" i="40"/>
  <c r="H55" i="40"/>
  <c r="H54" i="40"/>
  <c r="H53" i="40"/>
  <c r="H52" i="40"/>
  <c r="I52" i="40" s="1"/>
  <c r="H51" i="40"/>
  <c r="I51" i="40" s="1"/>
  <c r="H49" i="40"/>
  <c r="H41" i="40"/>
  <c r="H35" i="40"/>
  <c r="H16" i="40"/>
  <c r="H13" i="40"/>
  <c r="I46" i="39"/>
  <c r="M46" i="36"/>
  <c r="M31" i="36"/>
  <c r="B32" i="36"/>
  <c r="F32" i="36"/>
  <c r="H32" i="36"/>
  <c r="J32" i="36"/>
  <c r="L32" i="36"/>
  <c r="H99" i="36"/>
  <c r="H88" i="36"/>
  <c r="H87" i="36"/>
  <c r="H81" i="36"/>
  <c r="H83" i="36" s="1"/>
  <c r="I44" i="36"/>
  <c r="I46" i="36"/>
  <c r="I49" i="36"/>
  <c r="I48" i="36"/>
  <c r="I31" i="36"/>
  <c r="I45" i="36" s="1"/>
  <c r="F45" i="10"/>
  <c r="B45" i="10"/>
  <c r="F44" i="10"/>
  <c r="B44" i="10"/>
  <c r="B43" i="10"/>
  <c r="G8" i="10"/>
  <c r="F17" i="10" s="1"/>
  <c r="G9" i="10"/>
  <c r="F18" i="10" s="1"/>
  <c r="G10" i="10"/>
  <c r="F19" i="10" s="1"/>
  <c r="E36" i="10"/>
  <c r="E35" i="10"/>
  <c r="E34" i="10"/>
  <c r="B53" i="10"/>
  <c r="B52" i="10"/>
  <c r="B51" i="10"/>
  <c r="G53" i="38"/>
  <c r="H53" i="38" s="1"/>
  <c r="F53" i="38"/>
  <c r="G52" i="38"/>
  <c r="H52" i="38" s="1"/>
  <c r="F52" i="38"/>
  <c r="G51" i="38"/>
  <c r="F51" i="38"/>
  <c r="G42" i="38"/>
  <c r="H42" i="38" s="1"/>
  <c r="F42" i="38"/>
  <c r="G41" i="38"/>
  <c r="F41" i="38"/>
  <c r="G40" i="38"/>
  <c r="H40" i="38" s="1"/>
  <c r="F40" i="38"/>
  <c r="G39" i="38"/>
  <c r="F39" i="38"/>
  <c r="F50" i="32"/>
  <c r="G50" i="32" s="1"/>
  <c r="F49" i="32"/>
  <c r="G49" i="32" s="1"/>
  <c r="F48" i="32"/>
  <c r="G48" i="32" s="1"/>
  <c r="F47" i="32"/>
  <c r="G47" i="32" s="1"/>
  <c r="F46" i="32"/>
  <c r="G46" i="32" s="1"/>
  <c r="G45" i="32"/>
  <c r="F45" i="32"/>
  <c r="F35" i="32"/>
  <c r="G35" i="32" s="1"/>
  <c r="F34" i="32"/>
  <c r="G34" i="32" s="1"/>
  <c r="F33" i="32"/>
  <c r="G33" i="32" s="1"/>
  <c r="F32" i="32"/>
  <c r="G32" i="32" s="1"/>
  <c r="F31" i="32"/>
  <c r="G31" i="32" s="1"/>
  <c r="F30" i="32"/>
  <c r="G30" i="32" s="1"/>
  <c r="B32" i="39"/>
  <c r="H32" i="39"/>
  <c r="L27" i="40"/>
  <c r="J27" i="40"/>
  <c r="L24" i="40"/>
  <c r="J24" i="40"/>
  <c r="L26" i="40"/>
  <c r="J26" i="40"/>
  <c r="L16" i="40"/>
  <c r="J16" i="40"/>
  <c r="L13" i="40"/>
  <c r="J13" i="40"/>
  <c r="H38" i="39"/>
  <c r="I31" i="39"/>
  <c r="H26" i="39"/>
  <c r="H19" i="39"/>
  <c r="H128" i="39"/>
  <c r="L128" i="39" s="1"/>
  <c r="H127" i="39"/>
  <c r="L127" i="39" s="1"/>
  <c r="H120" i="39"/>
  <c r="L120" i="39" s="1"/>
  <c r="H110" i="39"/>
  <c r="H108" i="39"/>
  <c r="L108" i="39" s="1"/>
  <c r="H107" i="39"/>
  <c r="L107" i="39" s="1"/>
  <c r="H106" i="39"/>
  <c r="L106" i="39" s="1"/>
  <c r="H105" i="39"/>
  <c r="H104" i="39"/>
  <c r="L104" i="39" s="1"/>
  <c r="H103" i="39"/>
  <c r="L103" i="39" s="1"/>
  <c r="H98" i="39"/>
  <c r="L98" i="39" s="1"/>
  <c r="H95" i="39"/>
  <c r="L95" i="39" s="1"/>
  <c r="H88" i="39"/>
  <c r="H87" i="39"/>
  <c r="H80" i="39"/>
  <c r="H79" i="39"/>
  <c r="L79" i="39" s="1"/>
  <c r="H74" i="39"/>
  <c r="L74" i="39" s="1"/>
  <c r="H73" i="39"/>
  <c r="L73" i="39" s="1"/>
  <c r="H72" i="39"/>
  <c r="L72" i="39" s="1"/>
  <c r="H71" i="39"/>
  <c r="L71" i="39" s="1"/>
  <c r="H70" i="39"/>
  <c r="L70" i="39" s="1"/>
  <c r="H69" i="39"/>
  <c r="H68" i="39"/>
  <c r="L68" i="39" s="1"/>
  <c r="H67" i="39"/>
  <c r="L67" i="39" s="1"/>
  <c r="H53" i="39"/>
  <c r="H52" i="39"/>
  <c r="H51" i="39"/>
  <c r="H50" i="39"/>
  <c r="I49" i="39"/>
  <c r="I48" i="39"/>
  <c r="H45" i="39"/>
  <c r="H44" i="39"/>
  <c r="H33" i="39"/>
  <c r="H27" i="39"/>
  <c r="H24" i="39"/>
  <c r="H16" i="39"/>
  <c r="H13" i="39"/>
  <c r="A5" i="36"/>
  <c r="A7" i="36"/>
  <c r="A8" i="36"/>
  <c r="F12" i="36"/>
  <c r="F13" i="36"/>
  <c r="J13" i="36"/>
  <c r="F14" i="36"/>
  <c r="F15" i="36"/>
  <c r="F16" i="36"/>
  <c r="J16" i="36"/>
  <c r="L16" i="36"/>
  <c r="E19" i="36"/>
  <c r="F19" i="36"/>
  <c r="K19" i="36"/>
  <c r="F24" i="36"/>
  <c r="F25" i="36"/>
  <c r="G31" i="36" s="1"/>
  <c r="J25" i="36"/>
  <c r="K31" i="36" s="1"/>
  <c r="F26" i="36"/>
  <c r="J26" i="36"/>
  <c r="F27" i="36"/>
  <c r="J27" i="36"/>
  <c r="L27" i="36"/>
  <c r="B33" i="36"/>
  <c r="F33" i="36"/>
  <c r="J33" i="36"/>
  <c r="L33" i="36"/>
  <c r="B35" i="36"/>
  <c r="F35" i="36"/>
  <c r="J35" i="36"/>
  <c r="L35" i="36"/>
  <c r="B38" i="36"/>
  <c r="F38" i="36"/>
  <c r="J38" i="36"/>
  <c r="L38" i="36"/>
  <c r="B44" i="36"/>
  <c r="J44" i="36"/>
  <c r="L44" i="36"/>
  <c r="F45" i="36"/>
  <c r="J45" i="36"/>
  <c r="L45" i="36"/>
  <c r="B46" i="36"/>
  <c r="F46" i="36"/>
  <c r="G46" i="36" s="1"/>
  <c r="J46" i="36"/>
  <c r="L46" i="36"/>
  <c r="B48" i="36"/>
  <c r="F48" i="36"/>
  <c r="G48" i="36" s="1"/>
  <c r="J48" i="36"/>
  <c r="L48" i="36"/>
  <c r="M48" i="36" s="1"/>
  <c r="B49" i="36"/>
  <c r="F49" i="36"/>
  <c r="G49" i="36" s="1"/>
  <c r="J49" i="36"/>
  <c r="K49" i="36" s="1"/>
  <c r="L49" i="36"/>
  <c r="M49" i="36" s="1"/>
  <c r="B50" i="36"/>
  <c r="F50" i="36"/>
  <c r="G50" i="36" s="1"/>
  <c r="J50" i="36"/>
  <c r="L50" i="36"/>
  <c r="B51" i="36"/>
  <c r="F51" i="36"/>
  <c r="G51" i="36" s="1"/>
  <c r="J51" i="36"/>
  <c r="L51" i="36"/>
  <c r="B52" i="36"/>
  <c r="F52" i="36"/>
  <c r="G52" i="36" s="1"/>
  <c r="J52" i="36"/>
  <c r="L52" i="36"/>
  <c r="B53" i="36"/>
  <c r="F53" i="36"/>
  <c r="K53" i="36" s="1"/>
  <c r="J53" i="36"/>
  <c r="L53" i="36"/>
  <c r="B59" i="36"/>
  <c r="B60" i="36"/>
  <c r="B61" i="36"/>
  <c r="B67" i="36"/>
  <c r="F67" i="36"/>
  <c r="J67" i="36"/>
  <c r="L67" i="36"/>
  <c r="B68" i="36"/>
  <c r="F68" i="36"/>
  <c r="J68" i="36"/>
  <c r="L68" i="36"/>
  <c r="B69" i="36"/>
  <c r="F69" i="36"/>
  <c r="J69" i="36"/>
  <c r="L69" i="36"/>
  <c r="B70" i="36"/>
  <c r="F70" i="36"/>
  <c r="J70" i="36"/>
  <c r="L70" i="36"/>
  <c r="B71" i="36"/>
  <c r="F71" i="36"/>
  <c r="J71" i="36"/>
  <c r="L71" i="36"/>
  <c r="B72" i="36"/>
  <c r="F72" i="36"/>
  <c r="J72" i="36"/>
  <c r="L72" i="36"/>
  <c r="B73" i="36"/>
  <c r="F73" i="36"/>
  <c r="J73" i="36"/>
  <c r="L73" i="36"/>
  <c r="B74" i="36"/>
  <c r="F74" i="36"/>
  <c r="J74" i="36"/>
  <c r="L74" i="36"/>
  <c r="B79" i="36"/>
  <c r="F79" i="36"/>
  <c r="J79" i="36"/>
  <c r="L79" i="36"/>
  <c r="B80" i="36"/>
  <c r="F80" i="36"/>
  <c r="F81" i="36" s="1"/>
  <c r="J80" i="36"/>
  <c r="L80" i="36"/>
  <c r="L81" i="36" s="1"/>
  <c r="B82" i="36"/>
  <c r="B87" i="36"/>
  <c r="F87" i="36"/>
  <c r="J87" i="36"/>
  <c r="L87" i="36"/>
  <c r="B88" i="36"/>
  <c r="J88" i="36"/>
  <c r="L88" i="36"/>
  <c r="B93" i="36"/>
  <c r="F93" i="36"/>
  <c r="J93" i="36"/>
  <c r="B94" i="36"/>
  <c r="B95" i="36"/>
  <c r="F95" i="36"/>
  <c r="J95" i="36"/>
  <c r="B96" i="36"/>
  <c r="F96" i="36"/>
  <c r="J96" i="36"/>
  <c r="B97" i="36"/>
  <c r="B98" i="36"/>
  <c r="F98" i="36"/>
  <c r="J98" i="36"/>
  <c r="L98" i="36"/>
  <c r="L99" i="36" s="1"/>
  <c r="L118" i="36" s="1"/>
  <c r="B103" i="36"/>
  <c r="F103" i="36"/>
  <c r="J103" i="36"/>
  <c r="L103" i="36"/>
  <c r="B104" i="36"/>
  <c r="F104" i="36"/>
  <c r="J104" i="36"/>
  <c r="L104" i="36"/>
  <c r="B105" i="36"/>
  <c r="F105" i="36"/>
  <c r="J105" i="36"/>
  <c r="L105" i="36"/>
  <c r="B106" i="36"/>
  <c r="F106" i="36"/>
  <c r="J106" i="36"/>
  <c r="L106" i="36"/>
  <c r="B107" i="36"/>
  <c r="F107" i="36"/>
  <c r="J107" i="36"/>
  <c r="L107" i="36"/>
  <c r="B108" i="36"/>
  <c r="F108" i="36"/>
  <c r="J108" i="36"/>
  <c r="L108" i="36"/>
  <c r="B110" i="36"/>
  <c r="B115" i="36"/>
  <c r="B116" i="36"/>
  <c r="B117" i="36"/>
  <c r="B118" i="36"/>
  <c r="L128" i="36"/>
  <c r="L127" i="36"/>
  <c r="L120" i="36"/>
  <c r="J128" i="36"/>
  <c r="J127" i="36"/>
  <c r="J104" i="8"/>
  <c r="L103" i="8"/>
  <c r="L102" i="8"/>
  <c r="L101" i="8"/>
  <c r="L104" i="8" s="1"/>
  <c r="J96" i="8"/>
  <c r="L95" i="8"/>
  <c r="L96" i="8" s="1"/>
  <c r="L94" i="8"/>
  <c r="L93" i="8"/>
  <c r="J120" i="36"/>
  <c r="F80" i="39"/>
  <c r="F83" i="40"/>
  <c r="H83" i="40" s="1"/>
  <c r="L83" i="40" s="1"/>
  <c r="B80" i="39"/>
  <c r="B83" i="40"/>
  <c r="C93" i="8"/>
  <c r="D70" i="9"/>
  <c r="F15" i="32"/>
  <c r="G15" i="32" s="1"/>
  <c r="F132" i="40"/>
  <c r="F128" i="40"/>
  <c r="F129" i="39"/>
  <c r="F125" i="39"/>
  <c r="G25" i="38"/>
  <c r="F54" i="40"/>
  <c r="G54" i="40" s="1"/>
  <c r="G26" i="38"/>
  <c r="G27" i="38"/>
  <c r="G16" i="38"/>
  <c r="G15" i="38"/>
  <c r="G14" i="38"/>
  <c r="G13" i="38"/>
  <c r="F20" i="32"/>
  <c r="G20" i="32" s="1"/>
  <c r="F19" i="32"/>
  <c r="G19" i="32"/>
  <c r="F18" i="32"/>
  <c r="G18" i="32" s="1"/>
  <c r="F17" i="32"/>
  <c r="G17" i="32"/>
  <c r="F16" i="32"/>
  <c r="G16" i="32" s="1"/>
  <c r="B10" i="10"/>
  <c r="B27" i="10" s="1"/>
  <c r="B41" i="40"/>
  <c r="F26" i="40"/>
  <c r="F25" i="40"/>
  <c r="G34" i="40" s="1"/>
  <c r="G19" i="40"/>
  <c r="F19" i="40"/>
  <c r="F131" i="40"/>
  <c r="H131" i="40" s="1"/>
  <c r="L131" i="40" s="1"/>
  <c r="F130" i="40"/>
  <c r="H130" i="40" s="1"/>
  <c r="L130" i="40" s="1"/>
  <c r="F123" i="40"/>
  <c r="B122" i="40"/>
  <c r="B121" i="40"/>
  <c r="B120" i="40"/>
  <c r="B119" i="40"/>
  <c r="B118" i="40"/>
  <c r="B113" i="40"/>
  <c r="F111" i="40"/>
  <c r="H111" i="40" s="1"/>
  <c r="L111" i="40" s="1"/>
  <c r="B111" i="40"/>
  <c r="F110" i="40"/>
  <c r="H110" i="40" s="1"/>
  <c r="L110" i="40" s="1"/>
  <c r="B110" i="40"/>
  <c r="F109" i="40"/>
  <c r="H109" i="40" s="1"/>
  <c r="L109" i="40" s="1"/>
  <c r="B109" i="40"/>
  <c r="F108" i="40"/>
  <c r="H108" i="40" s="1"/>
  <c r="L108" i="40" s="1"/>
  <c r="B108" i="40"/>
  <c r="F107" i="40"/>
  <c r="H107" i="40" s="1"/>
  <c r="L107" i="40" s="1"/>
  <c r="B107" i="40"/>
  <c r="F106" i="40"/>
  <c r="H106" i="40" s="1"/>
  <c r="B106" i="40"/>
  <c r="B101" i="40"/>
  <c r="B100" i="40"/>
  <c r="F99" i="40"/>
  <c r="B99" i="40"/>
  <c r="B98" i="40"/>
  <c r="B97" i="40"/>
  <c r="F96" i="40"/>
  <c r="B96" i="40"/>
  <c r="B91" i="40"/>
  <c r="F90" i="40"/>
  <c r="B90" i="40"/>
  <c r="B85" i="40"/>
  <c r="F82" i="40"/>
  <c r="F84" i="40" s="1"/>
  <c r="B82" i="40"/>
  <c r="F77" i="40"/>
  <c r="H77" i="40" s="1"/>
  <c r="L77" i="40" s="1"/>
  <c r="B77" i="40"/>
  <c r="F76" i="40"/>
  <c r="H76" i="40" s="1"/>
  <c r="L76" i="40" s="1"/>
  <c r="B76" i="40"/>
  <c r="F75" i="40"/>
  <c r="H75" i="40" s="1"/>
  <c r="L75" i="40" s="1"/>
  <c r="B75" i="40"/>
  <c r="F74" i="40"/>
  <c r="H74" i="40" s="1"/>
  <c r="L74" i="40" s="1"/>
  <c r="B74" i="40"/>
  <c r="F73" i="40"/>
  <c r="H73" i="40" s="1"/>
  <c r="B73" i="40"/>
  <c r="F72" i="40"/>
  <c r="H72" i="40" s="1"/>
  <c r="L72" i="40" s="1"/>
  <c r="B72" i="40"/>
  <c r="F71" i="40"/>
  <c r="H71" i="40" s="1"/>
  <c r="L71" i="40" s="1"/>
  <c r="B71" i="40"/>
  <c r="F70" i="40"/>
  <c r="H70" i="40" s="1"/>
  <c r="L70" i="40" s="1"/>
  <c r="B70" i="40"/>
  <c r="B64" i="40"/>
  <c r="B63" i="40"/>
  <c r="B62" i="40"/>
  <c r="F56" i="40"/>
  <c r="G56" i="40" s="1"/>
  <c r="I56" i="40" s="1"/>
  <c r="M56" i="40" s="1"/>
  <c r="B56" i="40"/>
  <c r="F55" i="40"/>
  <c r="B55" i="40"/>
  <c r="B54" i="40"/>
  <c r="F53" i="40"/>
  <c r="G53" i="40" s="1"/>
  <c r="B53" i="40"/>
  <c r="F52" i="40"/>
  <c r="G52" i="40" s="1"/>
  <c r="B52" i="40"/>
  <c r="F51" i="40"/>
  <c r="G51" i="40"/>
  <c r="B51" i="40"/>
  <c r="F49" i="40"/>
  <c r="G49" i="40" s="1"/>
  <c r="I49" i="40" s="1"/>
  <c r="B49" i="40"/>
  <c r="F48" i="40"/>
  <c r="B47" i="40"/>
  <c r="F38" i="40"/>
  <c r="F41" i="40"/>
  <c r="F36" i="40"/>
  <c r="B36" i="40"/>
  <c r="F35" i="40"/>
  <c r="B35" i="40"/>
  <c r="F27" i="40"/>
  <c r="F24" i="40"/>
  <c r="E19" i="40"/>
  <c r="F16" i="40"/>
  <c r="F15" i="40"/>
  <c r="F14" i="40"/>
  <c r="F13" i="40"/>
  <c r="F12" i="40"/>
  <c r="A8" i="40"/>
  <c r="A7" i="40"/>
  <c r="A5" i="40"/>
  <c r="B46" i="39"/>
  <c r="B44" i="39"/>
  <c r="B9" i="10"/>
  <c r="B26" i="10" s="1"/>
  <c r="C9" i="10"/>
  <c r="B38" i="39"/>
  <c r="F26" i="39"/>
  <c r="F25" i="39"/>
  <c r="G31" i="39" s="1"/>
  <c r="F19" i="39"/>
  <c r="F128" i="39"/>
  <c r="F127" i="39"/>
  <c r="F120" i="39"/>
  <c r="B119" i="39"/>
  <c r="B118" i="39"/>
  <c r="B117" i="39"/>
  <c r="B116" i="39"/>
  <c r="B115" i="39"/>
  <c r="B110" i="39"/>
  <c r="F108" i="39"/>
  <c r="B108" i="39"/>
  <c r="F107" i="39"/>
  <c r="B107" i="39"/>
  <c r="F106" i="39"/>
  <c r="B106" i="39"/>
  <c r="F105" i="39"/>
  <c r="B105" i="39"/>
  <c r="F104" i="39"/>
  <c r="B104" i="39"/>
  <c r="F103" i="39"/>
  <c r="B103" i="39"/>
  <c r="B98" i="39"/>
  <c r="B97" i="39"/>
  <c r="F96" i="39"/>
  <c r="B96" i="39"/>
  <c r="B95" i="39"/>
  <c r="B94" i="39"/>
  <c r="F93" i="39"/>
  <c r="B93" i="39"/>
  <c r="B88" i="39"/>
  <c r="F87" i="39"/>
  <c r="B87" i="39"/>
  <c r="B82" i="39"/>
  <c r="F79" i="39"/>
  <c r="B79" i="39"/>
  <c r="F74" i="39"/>
  <c r="B74" i="39"/>
  <c r="F73" i="39"/>
  <c r="B73" i="39"/>
  <c r="F72" i="39"/>
  <c r="B72" i="39"/>
  <c r="F71" i="39"/>
  <c r="B71" i="39"/>
  <c r="F70" i="39"/>
  <c r="B70" i="39"/>
  <c r="F69" i="39"/>
  <c r="B69" i="39"/>
  <c r="F68" i="39"/>
  <c r="B68" i="39"/>
  <c r="F67" i="39"/>
  <c r="B67" i="39"/>
  <c r="B61" i="39"/>
  <c r="B60" i="39"/>
  <c r="B59" i="39"/>
  <c r="B53" i="39"/>
  <c r="M52" i="39"/>
  <c r="B52" i="39"/>
  <c r="B51" i="39"/>
  <c r="B50" i="39"/>
  <c r="G49" i="39"/>
  <c r="B49" i="39"/>
  <c r="G48" i="39"/>
  <c r="B48" i="39"/>
  <c r="F45" i="39"/>
  <c r="B35" i="39"/>
  <c r="F38" i="39"/>
  <c r="F33" i="39"/>
  <c r="B33" i="39"/>
  <c r="F27" i="39"/>
  <c r="F24" i="39"/>
  <c r="E19" i="39"/>
  <c r="F16" i="39"/>
  <c r="F15" i="39"/>
  <c r="F14" i="39"/>
  <c r="F13" i="39"/>
  <c r="F12" i="39"/>
  <c r="A8" i="39"/>
  <c r="A7" i="39"/>
  <c r="A5" i="39"/>
  <c r="B8" i="10"/>
  <c r="B25" i="10" s="1"/>
  <c r="E9" i="10"/>
  <c r="E10" i="10"/>
  <c r="E8" i="10"/>
  <c r="F127" i="36"/>
  <c r="F27" i="38"/>
  <c r="H27" i="38" s="1"/>
  <c r="F26" i="38"/>
  <c r="F25" i="38"/>
  <c r="F14" i="38"/>
  <c r="H14" i="38" s="1"/>
  <c r="F15" i="38"/>
  <c r="H15" i="38"/>
  <c r="F16" i="38"/>
  <c r="F13" i="38"/>
  <c r="A3" i="38"/>
  <c r="A2" i="38"/>
  <c r="B66" i="8"/>
  <c r="O60" i="8"/>
  <c r="L74" i="8"/>
  <c r="K19" i="39" s="1"/>
  <c r="L75" i="8"/>
  <c r="E28" i="9"/>
  <c r="E29" i="9" s="1"/>
  <c r="L73" i="8"/>
  <c r="G19" i="36" s="1"/>
  <c r="F129" i="36"/>
  <c r="F125" i="36"/>
  <c r="D27" i="9"/>
  <c r="D28" i="9"/>
  <c r="B27" i="9"/>
  <c r="B28" i="9"/>
  <c r="J76" i="8"/>
  <c r="C7" i="8" s="1"/>
  <c r="F128" i="36"/>
  <c r="F120" i="36"/>
  <c r="B119" i="36"/>
  <c r="A3" i="32"/>
  <c r="A2" i="32"/>
  <c r="D26" i="9"/>
  <c r="D29" i="9"/>
  <c r="B26" i="9"/>
  <c r="E33" i="8"/>
  <c r="F33" i="8" s="1"/>
  <c r="A2" i="31"/>
  <c r="A1" i="31"/>
  <c r="C115" i="8"/>
  <c r="C89" i="8"/>
  <c r="A1" i="10"/>
  <c r="A2" i="10"/>
  <c r="A1" i="9"/>
  <c r="A4" i="9"/>
  <c r="B11" i="9"/>
  <c r="F36" i="8"/>
  <c r="C76" i="8"/>
  <c r="E26" i="9"/>
  <c r="F98" i="39"/>
  <c r="F101" i="40"/>
  <c r="C98" i="8"/>
  <c r="F98" i="40"/>
  <c r="H98" i="40" s="1"/>
  <c r="F95" i="39"/>
  <c r="E105" i="8"/>
  <c r="F110" i="39"/>
  <c r="L76" i="8"/>
  <c r="O63" i="8"/>
  <c r="O68" i="8"/>
  <c r="E27" i="9"/>
  <c r="G19" i="39"/>
  <c r="H26" i="38"/>
  <c r="H13" i="38"/>
  <c r="J75" i="36"/>
  <c r="J115" i="36" s="1"/>
  <c r="M53" i="39"/>
  <c r="H25" i="38"/>
  <c r="H39" i="38"/>
  <c r="H41" i="38"/>
  <c r="H51" i="38"/>
  <c r="H16" i="38"/>
  <c r="H17" i="38"/>
  <c r="H18" i="38" s="1"/>
  <c r="H19" i="38" s="1"/>
  <c r="H43" i="38"/>
  <c r="H44" i="38" s="1"/>
  <c r="H45" i="38" s="1"/>
  <c r="H54" i="38"/>
  <c r="H55" i="38" s="1"/>
  <c r="H56" i="38" s="1"/>
  <c r="I60" i="36"/>
  <c r="G55" i="40"/>
  <c r="K33" i="39"/>
  <c r="M48" i="40"/>
  <c r="A32" i="9"/>
  <c r="A34" i="9"/>
  <c r="Q81" i="39" l="1"/>
  <c r="Q83" i="39" s="1"/>
  <c r="Q116" i="39" s="1"/>
  <c r="F46" i="10"/>
  <c r="F20" i="10"/>
  <c r="J129" i="40"/>
  <c r="K38" i="40"/>
  <c r="K36" i="40"/>
  <c r="K41" i="40" s="1"/>
  <c r="J78" i="40"/>
  <c r="J118" i="40" s="1"/>
  <c r="J84" i="40"/>
  <c r="J85" i="40" s="1"/>
  <c r="J86" i="40" s="1"/>
  <c r="J119" i="40" s="1"/>
  <c r="F75" i="36"/>
  <c r="F115" i="36" s="1"/>
  <c r="G33" i="36"/>
  <c r="G40" i="36" s="1"/>
  <c r="G71" i="36" s="1"/>
  <c r="H89" i="36"/>
  <c r="J81" i="36"/>
  <c r="J82" i="36" s="1"/>
  <c r="M33" i="36"/>
  <c r="M40" i="36" s="1"/>
  <c r="I72" i="36"/>
  <c r="M52" i="36"/>
  <c r="G73" i="36"/>
  <c r="K52" i="36"/>
  <c r="G72" i="36"/>
  <c r="K51" i="36"/>
  <c r="F126" i="36"/>
  <c r="M51" i="36"/>
  <c r="G53" i="36"/>
  <c r="M53" i="36"/>
  <c r="L89" i="36"/>
  <c r="L117" i="36" s="1"/>
  <c r="J89" i="36"/>
  <c r="J117" i="36" s="1"/>
  <c r="K45" i="39"/>
  <c r="K55" i="39"/>
  <c r="K135" i="39" s="1"/>
  <c r="I33" i="39"/>
  <c r="H99" i="39"/>
  <c r="H118" i="39" s="1"/>
  <c r="L118" i="39" s="1"/>
  <c r="F75" i="39"/>
  <c r="F81" i="39"/>
  <c r="F126" i="39"/>
  <c r="J81" i="39"/>
  <c r="I74" i="36"/>
  <c r="I80" i="36"/>
  <c r="L109" i="36"/>
  <c r="I55" i="36"/>
  <c r="I135" i="36" s="1"/>
  <c r="J109" i="36"/>
  <c r="I71" i="36"/>
  <c r="G134" i="36"/>
  <c r="M79" i="36"/>
  <c r="I97" i="36"/>
  <c r="J126" i="36"/>
  <c r="K33" i="36"/>
  <c r="K40" i="36" s="1"/>
  <c r="K96" i="36" s="1"/>
  <c r="J92" i="40"/>
  <c r="J120" i="40" s="1"/>
  <c r="J112" i="40"/>
  <c r="L92" i="40"/>
  <c r="G36" i="40"/>
  <c r="K48" i="40"/>
  <c r="H82" i="40"/>
  <c r="L82" i="40" s="1"/>
  <c r="F78" i="40"/>
  <c r="F85" i="40" s="1"/>
  <c r="F86" i="40" s="1"/>
  <c r="F119" i="40" s="1"/>
  <c r="F112" i="40"/>
  <c r="F129" i="40"/>
  <c r="Q75" i="39"/>
  <c r="Q115" i="39" s="1"/>
  <c r="Q99" i="39"/>
  <c r="Q118" i="39" s="1"/>
  <c r="Q109" i="39"/>
  <c r="Q111" i="39"/>
  <c r="Q119" i="39" s="1"/>
  <c r="J126" i="39"/>
  <c r="J109" i="39"/>
  <c r="J111" i="39" s="1"/>
  <c r="J119" i="39" s="1"/>
  <c r="J89" i="39"/>
  <c r="J117" i="39" s="1"/>
  <c r="I38" i="39"/>
  <c r="I40" i="39" s="1"/>
  <c r="G33" i="39"/>
  <c r="G38" i="39" s="1"/>
  <c r="G40" i="39" s="1"/>
  <c r="F109" i="39"/>
  <c r="F111" i="39" s="1"/>
  <c r="F119" i="39" s="1"/>
  <c r="H89" i="39"/>
  <c r="H117" i="39" s="1"/>
  <c r="L117" i="39" s="1"/>
  <c r="H126" i="39"/>
  <c r="L126" i="39" s="1"/>
  <c r="G108" i="36"/>
  <c r="L75" i="36"/>
  <c r="L126" i="36"/>
  <c r="K50" i="36"/>
  <c r="M50" i="36"/>
  <c r="I33" i="36"/>
  <c r="I40" i="36" s="1"/>
  <c r="I134" i="36" s="1"/>
  <c r="I68" i="36"/>
  <c r="I104" i="36"/>
  <c r="G96" i="36"/>
  <c r="M38" i="40"/>
  <c r="M41" i="40" s="1"/>
  <c r="M134" i="36"/>
  <c r="L98" i="40"/>
  <c r="H102" i="40"/>
  <c r="H121" i="40" s="1"/>
  <c r="L121" i="40" s="1"/>
  <c r="M61" i="39"/>
  <c r="Q61" i="39" s="1"/>
  <c r="M61" i="36"/>
  <c r="O61" i="36" s="1"/>
  <c r="M64" i="40"/>
  <c r="O64" i="40" s="1"/>
  <c r="M63" i="40"/>
  <c r="O63" i="40" s="1"/>
  <c r="M60" i="36"/>
  <c r="O60" i="36" s="1"/>
  <c r="M60" i="39"/>
  <c r="Q60" i="39" s="1"/>
  <c r="L105" i="39"/>
  <c r="H109" i="39"/>
  <c r="H111" i="39" s="1"/>
  <c r="H119" i="39" s="1"/>
  <c r="L119" i="39" s="1"/>
  <c r="L110" i="39"/>
  <c r="L73" i="40"/>
  <c r="M33" i="39"/>
  <c r="M38" i="39" s="1"/>
  <c r="M45" i="39"/>
  <c r="M55" i="39" s="1"/>
  <c r="M135" i="39" s="1"/>
  <c r="K70" i="36"/>
  <c r="M73" i="36"/>
  <c r="M67" i="36"/>
  <c r="M74" i="36"/>
  <c r="M71" i="36"/>
  <c r="M95" i="36"/>
  <c r="M69" i="36"/>
  <c r="M105" i="36"/>
  <c r="M107" i="36"/>
  <c r="M104" i="36"/>
  <c r="M98" i="36"/>
  <c r="M80" i="36"/>
  <c r="M93" i="36"/>
  <c r="M68" i="36"/>
  <c r="M72" i="36"/>
  <c r="M96" i="36"/>
  <c r="M106" i="36"/>
  <c r="M103" i="36"/>
  <c r="M97" i="36"/>
  <c r="M70" i="36"/>
  <c r="M108" i="36"/>
  <c r="M94" i="36"/>
  <c r="H28" i="38"/>
  <c r="H29" i="38" s="1"/>
  <c r="H30" i="38" s="1"/>
  <c r="L78" i="40"/>
  <c r="F82" i="36"/>
  <c r="G82" i="36" s="1"/>
  <c r="L80" i="39"/>
  <c r="H81" i="39"/>
  <c r="G106" i="36"/>
  <c r="I73" i="36"/>
  <c r="I67" i="36"/>
  <c r="I95" i="36"/>
  <c r="I108" i="36"/>
  <c r="G87" i="36"/>
  <c r="K60" i="39"/>
  <c r="O60" i="39" s="1"/>
  <c r="K63" i="40"/>
  <c r="F54" i="8"/>
  <c r="L69" i="39"/>
  <c r="H75" i="39"/>
  <c r="F115" i="39"/>
  <c r="K55" i="40"/>
  <c r="I55" i="40"/>
  <c r="M55" i="40" s="1"/>
  <c r="G70" i="36"/>
  <c r="I106" i="36"/>
  <c r="I88" i="36"/>
  <c r="I69" i="36"/>
  <c r="H48" i="40"/>
  <c r="L106" i="40"/>
  <c r="H112" i="40"/>
  <c r="J75" i="39"/>
  <c r="K53" i="40"/>
  <c r="I53" i="40"/>
  <c r="M53" i="40" s="1"/>
  <c r="G74" i="36"/>
  <c r="G103" i="36"/>
  <c r="I98" i="36"/>
  <c r="I70" i="36"/>
  <c r="I107" i="36"/>
  <c r="I82" i="36"/>
  <c r="I110" i="36"/>
  <c r="I96" i="36"/>
  <c r="G80" i="36"/>
  <c r="G105" i="36"/>
  <c r="G68" i="36"/>
  <c r="G93" i="36"/>
  <c r="G98" i="36"/>
  <c r="G67" i="36"/>
  <c r="G107" i="36"/>
  <c r="G79" i="36"/>
  <c r="I94" i="36"/>
  <c r="I105" i="36"/>
  <c r="I103" i="36"/>
  <c r="I79" i="36"/>
  <c r="I93" i="36"/>
  <c r="I87" i="36"/>
  <c r="G69" i="36"/>
  <c r="G95" i="36"/>
  <c r="G104" i="36"/>
  <c r="H78" i="40"/>
  <c r="G21" i="32"/>
  <c r="G51" i="32"/>
  <c r="C94" i="8"/>
  <c r="C95" i="8" s="1"/>
  <c r="C102" i="8"/>
  <c r="C105" i="8"/>
  <c r="F44" i="36"/>
  <c r="F44" i="39"/>
  <c r="H47" i="40"/>
  <c r="F47" i="40"/>
  <c r="G47" i="40" s="1"/>
  <c r="G48" i="40" s="1"/>
  <c r="K54" i="40"/>
  <c r="I54" i="40"/>
  <c r="M54" i="40" s="1"/>
  <c r="L89" i="39"/>
  <c r="K56" i="40"/>
  <c r="K38" i="39"/>
  <c r="K40" i="39" s="1"/>
  <c r="H91" i="40"/>
  <c r="C99" i="8"/>
  <c r="F88" i="36"/>
  <c r="F88" i="39"/>
  <c r="F91" i="40"/>
  <c r="F92" i="40" s="1"/>
  <c r="F120" i="40" s="1"/>
  <c r="J110" i="36"/>
  <c r="F113" i="40"/>
  <c r="J113" i="40"/>
  <c r="L110" i="36"/>
  <c r="M110" i="36" s="1"/>
  <c r="C117" i="8"/>
  <c r="F110" i="36"/>
  <c r="G110" i="36" s="1"/>
  <c r="F109" i="36"/>
  <c r="G36" i="32"/>
  <c r="G53" i="32" s="1"/>
  <c r="L99" i="39"/>
  <c r="L109" i="39"/>
  <c r="L111" i="39" s="1"/>
  <c r="J19" i="36"/>
  <c r="I19" i="39"/>
  <c r="I38" i="40"/>
  <c r="K43" i="40" l="1"/>
  <c r="K72" i="40" s="1"/>
  <c r="K93" i="36"/>
  <c r="M88" i="36"/>
  <c r="O87" i="36"/>
  <c r="K82" i="36"/>
  <c r="K74" i="36"/>
  <c r="K88" i="36"/>
  <c r="K105" i="36"/>
  <c r="K72" i="36"/>
  <c r="K103" i="36"/>
  <c r="K109" i="36" s="1"/>
  <c r="K104" i="36"/>
  <c r="K68" i="36"/>
  <c r="K73" i="36"/>
  <c r="K67" i="36"/>
  <c r="K75" i="36" s="1"/>
  <c r="K115" i="36" s="1"/>
  <c r="K69" i="36"/>
  <c r="F83" i="36"/>
  <c r="F116" i="36" s="1"/>
  <c r="K98" i="36"/>
  <c r="K106" i="36"/>
  <c r="K80" i="36"/>
  <c r="K71" i="36"/>
  <c r="K107" i="36"/>
  <c r="O88" i="36"/>
  <c r="O89" i="36" s="1"/>
  <c r="O117" i="36" s="1"/>
  <c r="O121" i="36" s="1"/>
  <c r="O137" i="36" s="1"/>
  <c r="K108" i="36"/>
  <c r="K79" i="36"/>
  <c r="K81" i="36" s="1"/>
  <c r="K134" i="36"/>
  <c r="K95" i="36"/>
  <c r="K87" i="36"/>
  <c r="K89" i="36" s="1"/>
  <c r="K117" i="36" s="1"/>
  <c r="M87" i="36"/>
  <c r="M89" i="36" s="1"/>
  <c r="M117" i="36" s="1"/>
  <c r="Q88" i="39"/>
  <c r="Q87" i="39"/>
  <c r="F82" i="39"/>
  <c r="F83" i="39" s="1"/>
  <c r="F116" i="39" s="1"/>
  <c r="I81" i="36"/>
  <c r="I83" i="36" s="1"/>
  <c r="I116" i="36" s="1"/>
  <c r="M81" i="36"/>
  <c r="G38" i="40"/>
  <c r="I41" i="40" s="1"/>
  <c r="I43" i="40" s="1"/>
  <c r="O90" i="40"/>
  <c r="K98" i="40"/>
  <c r="K110" i="40"/>
  <c r="K111" i="40"/>
  <c r="K107" i="40"/>
  <c r="K83" i="40"/>
  <c r="F118" i="40"/>
  <c r="K96" i="40"/>
  <c r="I90" i="40"/>
  <c r="M58" i="40"/>
  <c r="M138" i="40" s="1"/>
  <c r="K109" i="40"/>
  <c r="K100" i="40"/>
  <c r="H84" i="40"/>
  <c r="L84" i="40" s="1"/>
  <c r="K71" i="40"/>
  <c r="K101" i="40"/>
  <c r="K75" i="40"/>
  <c r="K87" i="39"/>
  <c r="I80" i="39"/>
  <c r="I108" i="39"/>
  <c r="I94" i="39"/>
  <c r="I68" i="39"/>
  <c r="I71" i="39"/>
  <c r="I103" i="39"/>
  <c r="I72" i="39"/>
  <c r="I104" i="39"/>
  <c r="I106" i="39"/>
  <c r="I105" i="39"/>
  <c r="I87" i="39"/>
  <c r="I69" i="39"/>
  <c r="I93" i="39"/>
  <c r="I74" i="39"/>
  <c r="I95" i="39"/>
  <c r="I88" i="39"/>
  <c r="I110" i="39"/>
  <c r="I67" i="39"/>
  <c r="I73" i="39"/>
  <c r="I134" i="39"/>
  <c r="I70" i="39"/>
  <c r="I96" i="39"/>
  <c r="I107" i="39"/>
  <c r="I98" i="39"/>
  <c r="I79" i="39"/>
  <c r="I81" i="39" s="1"/>
  <c r="I97" i="39"/>
  <c r="L115" i="36"/>
  <c r="L82" i="36"/>
  <c r="G81" i="36"/>
  <c r="G83" i="36" s="1"/>
  <c r="G116" i="36" s="1"/>
  <c r="I89" i="36"/>
  <c r="I117" i="36" s="1"/>
  <c r="G75" i="36"/>
  <c r="G115" i="36" s="1"/>
  <c r="J83" i="36"/>
  <c r="J116" i="36" s="1"/>
  <c r="K134" i="39"/>
  <c r="K107" i="39"/>
  <c r="K103" i="39"/>
  <c r="K88" i="39"/>
  <c r="K89" i="39" s="1"/>
  <c r="K117" i="39" s="1"/>
  <c r="K71" i="39"/>
  <c r="K80" i="39"/>
  <c r="K104" i="39"/>
  <c r="K67" i="39"/>
  <c r="K106" i="39"/>
  <c r="K93" i="39"/>
  <c r="K97" i="39"/>
  <c r="K105" i="39"/>
  <c r="K73" i="39"/>
  <c r="K72" i="39"/>
  <c r="K108" i="39"/>
  <c r="K69" i="39"/>
  <c r="K68" i="39"/>
  <c r="K79" i="39"/>
  <c r="K81" i="39" s="1"/>
  <c r="K95" i="39"/>
  <c r="K110" i="39"/>
  <c r="K94" i="39"/>
  <c r="K74" i="39"/>
  <c r="K96" i="39"/>
  <c r="K70" i="39"/>
  <c r="K98" i="39"/>
  <c r="L81" i="39"/>
  <c r="L75" i="39"/>
  <c r="H113" i="40"/>
  <c r="H114" i="40" s="1"/>
  <c r="H122" i="40" s="1"/>
  <c r="L122" i="40" s="1"/>
  <c r="F89" i="36"/>
  <c r="F117" i="36" s="1"/>
  <c r="G88" i="36"/>
  <c r="G89" i="36" s="1"/>
  <c r="G117" i="36" s="1"/>
  <c r="G44" i="39"/>
  <c r="I44" i="39"/>
  <c r="I109" i="36"/>
  <c r="I111" i="36" s="1"/>
  <c r="I119" i="36" s="1"/>
  <c r="K58" i="40"/>
  <c r="K138" i="40" s="1"/>
  <c r="L112" i="40"/>
  <c r="J114" i="40"/>
  <c r="J122" i="40" s="1"/>
  <c r="J124" i="40" s="1"/>
  <c r="I60" i="39"/>
  <c r="G60" i="39"/>
  <c r="G63" i="40"/>
  <c r="I63" i="40" s="1"/>
  <c r="K60" i="36"/>
  <c r="G60" i="36"/>
  <c r="K61" i="39"/>
  <c r="O61" i="39" s="1"/>
  <c r="K64" i="40"/>
  <c r="I61" i="36"/>
  <c r="F55" i="8"/>
  <c r="M75" i="36"/>
  <c r="M115" i="36" s="1"/>
  <c r="M40" i="39"/>
  <c r="M110" i="39" s="1"/>
  <c r="L102" i="40"/>
  <c r="G105" i="39"/>
  <c r="G93" i="39"/>
  <c r="G73" i="39"/>
  <c r="G98" i="39"/>
  <c r="G74" i="39"/>
  <c r="G134" i="39"/>
  <c r="G106" i="39"/>
  <c r="G72" i="39"/>
  <c r="G79" i="39"/>
  <c r="G70" i="39"/>
  <c r="G104" i="39"/>
  <c r="G67" i="39"/>
  <c r="G95" i="39"/>
  <c r="G108" i="39"/>
  <c r="G87" i="39"/>
  <c r="G80" i="39"/>
  <c r="G107" i="39"/>
  <c r="G71" i="39"/>
  <c r="G103" i="39"/>
  <c r="G110" i="39"/>
  <c r="G69" i="39"/>
  <c r="G68" i="39"/>
  <c r="G96" i="39"/>
  <c r="F89" i="39"/>
  <c r="F117" i="39" s="1"/>
  <c r="G88" i="39"/>
  <c r="F97" i="40"/>
  <c r="F94" i="36"/>
  <c r="C107" i="8"/>
  <c r="C118" i="8" s="1"/>
  <c r="D23" i="8" s="1"/>
  <c r="J94" i="36"/>
  <c r="F94" i="39"/>
  <c r="G37" i="32"/>
  <c r="G22" i="32"/>
  <c r="G23" i="32"/>
  <c r="G38" i="32"/>
  <c r="G52" i="32"/>
  <c r="J111" i="36"/>
  <c r="J119" i="36" s="1"/>
  <c r="K110" i="36"/>
  <c r="G44" i="36"/>
  <c r="K44" i="36"/>
  <c r="M44" i="36"/>
  <c r="H118" i="40"/>
  <c r="G109" i="36"/>
  <c r="G111" i="36" s="1"/>
  <c r="G119" i="36" s="1"/>
  <c r="J82" i="39"/>
  <c r="J115" i="39"/>
  <c r="M109" i="36"/>
  <c r="M111" i="36" s="1"/>
  <c r="M119" i="36" s="1"/>
  <c r="F111" i="36"/>
  <c r="F119" i="36" s="1"/>
  <c r="H92" i="40"/>
  <c r="H120" i="40" s="1"/>
  <c r="L120" i="40" s="1"/>
  <c r="I91" i="40"/>
  <c r="I47" i="40"/>
  <c r="G58" i="40"/>
  <c r="G138" i="40" s="1"/>
  <c r="F97" i="36"/>
  <c r="G97" i="36" s="1"/>
  <c r="F100" i="40"/>
  <c r="J97" i="36"/>
  <c r="K97" i="36" s="1"/>
  <c r="F97" i="39"/>
  <c r="G97" i="39" s="1"/>
  <c r="I99" i="36"/>
  <c r="I118" i="36" s="1"/>
  <c r="L111" i="36"/>
  <c r="L119" i="36" s="1"/>
  <c r="I48" i="40"/>
  <c r="H82" i="39"/>
  <c r="H115" i="39"/>
  <c r="I75" i="36"/>
  <c r="I115" i="36" s="1"/>
  <c r="M99" i="36"/>
  <c r="M118" i="36" s="1"/>
  <c r="F114" i="40"/>
  <c r="F122" i="40" s="1"/>
  <c r="M43" i="40"/>
  <c r="K99" i="40" l="1"/>
  <c r="K76" i="40"/>
  <c r="K74" i="40"/>
  <c r="K73" i="40"/>
  <c r="K113" i="40"/>
  <c r="K85" i="40"/>
  <c r="O91" i="40"/>
  <c r="O92" i="40" s="1"/>
  <c r="O120" i="40" s="1"/>
  <c r="O124" i="40" s="1"/>
  <c r="O140" i="40" s="1"/>
  <c r="K82" i="40"/>
  <c r="K77" i="40"/>
  <c r="K137" i="40"/>
  <c r="K106" i="40"/>
  <c r="K108" i="40"/>
  <c r="K97" i="40"/>
  <c r="K102" i="40" s="1"/>
  <c r="K121" i="40" s="1"/>
  <c r="K70" i="40"/>
  <c r="K83" i="36"/>
  <c r="K116" i="36" s="1"/>
  <c r="Q89" i="39"/>
  <c r="Q117" i="39" s="1"/>
  <c r="Q121" i="39" s="1"/>
  <c r="Q137" i="39" s="1"/>
  <c r="I109" i="39"/>
  <c r="I111" i="39" s="1"/>
  <c r="I119" i="39" s="1"/>
  <c r="I89" i="39"/>
  <c r="I117" i="39" s="1"/>
  <c r="I75" i="39"/>
  <c r="I115" i="39" s="1"/>
  <c r="M105" i="39"/>
  <c r="G82" i="39"/>
  <c r="I99" i="39"/>
  <c r="I118" i="39" s="1"/>
  <c r="G41" i="40"/>
  <c r="G43" i="40" s="1"/>
  <c r="K84" i="40"/>
  <c r="K86" i="40" s="1"/>
  <c r="K119" i="40" s="1"/>
  <c r="K112" i="40"/>
  <c r="K114" i="40" s="1"/>
  <c r="K122" i="40" s="1"/>
  <c r="I98" i="40"/>
  <c r="I137" i="40"/>
  <c r="I108" i="40"/>
  <c r="I82" i="40"/>
  <c r="I97" i="40"/>
  <c r="I96" i="40"/>
  <c r="I109" i="40"/>
  <c r="I106" i="40"/>
  <c r="K90" i="40"/>
  <c r="I100" i="40"/>
  <c r="I101" i="40"/>
  <c r="I107" i="40"/>
  <c r="I110" i="40"/>
  <c r="I99" i="40"/>
  <c r="K91" i="40"/>
  <c r="I111" i="40"/>
  <c r="I83" i="40"/>
  <c r="K78" i="40"/>
  <c r="K118" i="40" s="1"/>
  <c r="H85" i="40"/>
  <c r="H86" i="40" s="1"/>
  <c r="H119" i="40" s="1"/>
  <c r="L119" i="40" s="1"/>
  <c r="I92" i="40"/>
  <c r="I120" i="40" s="1"/>
  <c r="G75" i="39"/>
  <c r="G115" i="39" s="1"/>
  <c r="G109" i="39"/>
  <c r="G111" i="39" s="1"/>
  <c r="G119" i="39" s="1"/>
  <c r="G89" i="39"/>
  <c r="G117" i="39" s="1"/>
  <c r="L83" i="36"/>
  <c r="L116" i="36" s="1"/>
  <c r="L121" i="36" s="1"/>
  <c r="M82" i="36"/>
  <c r="M83" i="36" s="1"/>
  <c r="M116" i="36" s="1"/>
  <c r="I121" i="36"/>
  <c r="I137" i="36" s="1"/>
  <c r="K111" i="36"/>
  <c r="K119" i="36" s="1"/>
  <c r="M77" i="40"/>
  <c r="M83" i="40"/>
  <c r="M97" i="40"/>
  <c r="M82" i="40"/>
  <c r="M109" i="40"/>
  <c r="M75" i="40"/>
  <c r="M108" i="40"/>
  <c r="M90" i="40"/>
  <c r="M100" i="40"/>
  <c r="M101" i="40"/>
  <c r="M110" i="40"/>
  <c r="M76" i="40"/>
  <c r="M111" i="40"/>
  <c r="M74" i="40"/>
  <c r="M91" i="40"/>
  <c r="M72" i="40"/>
  <c r="M70" i="40"/>
  <c r="M71" i="40"/>
  <c r="M96" i="40"/>
  <c r="M137" i="40"/>
  <c r="M99" i="40"/>
  <c r="M107" i="40"/>
  <c r="M106" i="40"/>
  <c r="M73" i="40"/>
  <c r="M98" i="40"/>
  <c r="I58" i="40"/>
  <c r="I138" i="40" s="1"/>
  <c r="I85" i="40"/>
  <c r="G45" i="36"/>
  <c r="G55" i="36" s="1"/>
  <c r="G135" i="36" s="1"/>
  <c r="M62" i="40"/>
  <c r="M59" i="39"/>
  <c r="K59" i="39"/>
  <c r="K62" i="40"/>
  <c r="I59" i="36"/>
  <c r="I62" i="36" s="1"/>
  <c r="I136" i="36" s="1"/>
  <c r="F99" i="36"/>
  <c r="F118" i="36" s="1"/>
  <c r="F121" i="36" s="1"/>
  <c r="G94" i="36"/>
  <c r="G99" i="36" s="1"/>
  <c r="G118" i="36" s="1"/>
  <c r="G121" i="36" s="1"/>
  <c r="G137" i="36" s="1"/>
  <c r="M107" i="39"/>
  <c r="M72" i="39"/>
  <c r="M67" i="39"/>
  <c r="M79" i="39"/>
  <c r="M71" i="39"/>
  <c r="M98" i="39"/>
  <c r="M96" i="39"/>
  <c r="M106" i="39"/>
  <c r="M104" i="39"/>
  <c r="M70" i="39"/>
  <c r="M108" i="39"/>
  <c r="M95" i="39"/>
  <c r="M88" i="39"/>
  <c r="M134" i="39"/>
  <c r="M93" i="39"/>
  <c r="M103" i="39"/>
  <c r="M73" i="39"/>
  <c r="M94" i="39"/>
  <c r="M74" i="39"/>
  <c r="M87" i="39"/>
  <c r="M68" i="39"/>
  <c r="M97" i="39"/>
  <c r="G45" i="39"/>
  <c r="G55" i="39" s="1"/>
  <c r="G135" i="39" s="1"/>
  <c r="L113" i="40"/>
  <c r="M113" i="40" s="1"/>
  <c r="I113" i="40"/>
  <c r="M69" i="39"/>
  <c r="K75" i="39"/>
  <c r="K115" i="39" s="1"/>
  <c r="J83" i="39"/>
  <c r="J116" i="39" s="1"/>
  <c r="J121" i="39" s="1"/>
  <c r="K82" i="39"/>
  <c r="K83" i="39" s="1"/>
  <c r="K116" i="39" s="1"/>
  <c r="L118" i="40"/>
  <c r="H124" i="40"/>
  <c r="G94" i="39"/>
  <c r="G99" i="39" s="1"/>
  <c r="G118" i="39" s="1"/>
  <c r="F99" i="39"/>
  <c r="F118" i="39" s="1"/>
  <c r="F121" i="39" s="1"/>
  <c r="F102" i="40"/>
  <c r="F121" i="40" s="1"/>
  <c r="F124" i="40" s="1"/>
  <c r="K109" i="39"/>
  <c r="K111" i="39" s="1"/>
  <c r="K119" i="39" s="1"/>
  <c r="L115" i="39"/>
  <c r="L82" i="39"/>
  <c r="M82" i="39" s="1"/>
  <c r="I82" i="39"/>
  <c r="I83" i="39" s="1"/>
  <c r="I116" i="39" s="1"/>
  <c r="M84" i="40"/>
  <c r="M45" i="36"/>
  <c r="M55" i="36" s="1"/>
  <c r="M135" i="36" s="1"/>
  <c r="J99" i="36"/>
  <c r="J118" i="36" s="1"/>
  <c r="J121" i="36" s="1"/>
  <c r="K94" i="36"/>
  <c r="K99" i="36" s="1"/>
  <c r="K118" i="36" s="1"/>
  <c r="M121" i="36"/>
  <c r="M137" i="36" s="1"/>
  <c r="H83" i="39"/>
  <c r="H116" i="39" s="1"/>
  <c r="L116" i="39" s="1"/>
  <c r="K99" i="39"/>
  <c r="K118" i="39" s="1"/>
  <c r="K45" i="36"/>
  <c r="K55" i="36" s="1"/>
  <c r="K135" i="36" s="1"/>
  <c r="M59" i="36"/>
  <c r="F53" i="8"/>
  <c r="G81" i="39"/>
  <c r="G83" i="39" s="1"/>
  <c r="G116" i="39" s="1"/>
  <c r="I61" i="39"/>
  <c r="G61" i="39"/>
  <c r="G61" i="36"/>
  <c r="K61" i="36"/>
  <c r="G64" i="40"/>
  <c r="I64" i="40" s="1"/>
  <c r="M80" i="39"/>
  <c r="I45" i="39"/>
  <c r="I55" i="39" s="1"/>
  <c r="I135" i="39" s="1"/>
  <c r="M81" i="39"/>
  <c r="I121" i="39" l="1"/>
  <c r="I137" i="39" s="1"/>
  <c r="K62" i="39"/>
  <c r="K136" i="39" s="1"/>
  <c r="O59" i="39"/>
  <c r="O62" i="39" s="1"/>
  <c r="O136" i="39" s="1"/>
  <c r="O138" i="39" s="1"/>
  <c r="M83" i="39"/>
  <c r="M116" i="39" s="1"/>
  <c r="M62" i="39"/>
  <c r="M136" i="39" s="1"/>
  <c r="Q59" i="39"/>
  <c r="Q62" i="39" s="1"/>
  <c r="Q136" i="39" s="1"/>
  <c r="Q138" i="39" s="1"/>
  <c r="G137" i="40"/>
  <c r="I70" i="40"/>
  <c r="G77" i="40"/>
  <c r="G82" i="40"/>
  <c r="I72" i="40"/>
  <c r="I75" i="40"/>
  <c r="G73" i="40"/>
  <c r="G110" i="40"/>
  <c r="G75" i="40"/>
  <c r="G76" i="40"/>
  <c r="G113" i="40"/>
  <c r="I73" i="40"/>
  <c r="I76" i="40"/>
  <c r="G70" i="40"/>
  <c r="G96" i="40"/>
  <c r="G99" i="40"/>
  <c r="G85" i="40"/>
  <c r="I77" i="40"/>
  <c r="G90" i="40"/>
  <c r="G111" i="40"/>
  <c r="G74" i="40"/>
  <c r="G106" i="40"/>
  <c r="G107" i="40"/>
  <c r="G98" i="40"/>
  <c r="I71" i="40"/>
  <c r="G101" i="40"/>
  <c r="G109" i="40"/>
  <c r="G91" i="40"/>
  <c r="G71" i="40"/>
  <c r="I74" i="40"/>
  <c r="G108" i="40"/>
  <c r="G72" i="40"/>
  <c r="G83" i="40"/>
  <c r="G100" i="40"/>
  <c r="G97" i="40"/>
  <c r="K92" i="40"/>
  <c r="K120" i="40" s="1"/>
  <c r="K124" i="40" s="1"/>
  <c r="K140" i="40" s="1"/>
  <c r="K141" i="40" s="1"/>
  <c r="K128" i="40" s="1"/>
  <c r="L124" i="40"/>
  <c r="M65" i="40"/>
  <c r="M139" i="40" s="1"/>
  <c r="O62" i="40"/>
  <c r="O65" i="40" s="1"/>
  <c r="O139" i="40" s="1"/>
  <c r="O141" i="40" s="1"/>
  <c r="I84" i="40"/>
  <c r="I86" i="40" s="1"/>
  <c r="I119" i="40" s="1"/>
  <c r="K65" i="40"/>
  <c r="K139" i="40" s="1"/>
  <c r="I112" i="40"/>
  <c r="I114" i="40" s="1"/>
  <c r="I122" i="40" s="1"/>
  <c r="L85" i="40"/>
  <c r="M112" i="40"/>
  <c r="M114" i="40" s="1"/>
  <c r="M122" i="40" s="1"/>
  <c r="I102" i="40"/>
  <c r="I121" i="40" s="1"/>
  <c r="L114" i="40"/>
  <c r="L83" i="39"/>
  <c r="G121" i="39"/>
  <c r="G137" i="39" s="1"/>
  <c r="L121" i="39"/>
  <c r="K121" i="36"/>
  <c r="K137" i="36" s="1"/>
  <c r="I138" i="36"/>
  <c r="I125" i="36" s="1"/>
  <c r="M62" i="36"/>
  <c r="M136" i="36" s="1"/>
  <c r="M138" i="36" s="1"/>
  <c r="M125" i="36" s="1"/>
  <c r="O59" i="36"/>
  <c r="O62" i="36" s="1"/>
  <c r="O136" i="36" s="1"/>
  <c r="O138" i="36" s="1"/>
  <c r="M92" i="40"/>
  <c r="M120" i="40" s="1"/>
  <c r="M102" i="40"/>
  <c r="M121" i="40" s="1"/>
  <c r="H121" i="39"/>
  <c r="K121" i="39"/>
  <c r="K137" i="39" s="1"/>
  <c r="K138" i="39" s="1"/>
  <c r="M89" i="39"/>
  <c r="M117" i="39" s="1"/>
  <c r="M109" i="39"/>
  <c r="M111" i="39" s="1"/>
  <c r="M119" i="39" s="1"/>
  <c r="I59" i="39"/>
  <c r="I62" i="39" s="1"/>
  <c r="I136" i="39" s="1"/>
  <c r="G62" i="40"/>
  <c r="G59" i="39"/>
  <c r="G62" i="39" s="1"/>
  <c r="G136" i="39" s="1"/>
  <c r="G138" i="39" s="1"/>
  <c r="G59" i="36"/>
  <c r="G62" i="36" s="1"/>
  <c r="G136" i="36" s="1"/>
  <c r="G138" i="36" s="1"/>
  <c r="K59" i="36"/>
  <c r="M99" i="39"/>
  <c r="M118" i="39" s="1"/>
  <c r="M75" i="39"/>
  <c r="M115" i="39" s="1"/>
  <c r="M78" i="40"/>
  <c r="M118" i="40" s="1"/>
  <c r="G112" i="40" l="1"/>
  <c r="G114" i="40" s="1"/>
  <c r="G122" i="40" s="1"/>
  <c r="G78" i="40"/>
  <c r="G118" i="40" s="1"/>
  <c r="I138" i="39"/>
  <c r="O125" i="39"/>
  <c r="O129" i="39"/>
  <c r="M121" i="39"/>
  <c r="M137" i="39" s="1"/>
  <c r="M138" i="39" s="1"/>
  <c r="M125" i="39" s="1"/>
  <c r="Q125" i="39"/>
  <c r="I78" i="40"/>
  <c r="I118" i="40" s="1"/>
  <c r="I124" i="40" s="1"/>
  <c r="I140" i="40" s="1"/>
  <c r="G84" i="40"/>
  <c r="G86" i="40" s="1"/>
  <c r="G119" i="40" s="1"/>
  <c r="G102" i="40"/>
  <c r="G121" i="40" s="1"/>
  <c r="G92" i="40"/>
  <c r="G120" i="40" s="1"/>
  <c r="O128" i="40"/>
  <c r="M85" i="40"/>
  <c r="M86" i="40" s="1"/>
  <c r="M119" i="40" s="1"/>
  <c r="M124" i="40" s="1"/>
  <c r="M140" i="40" s="1"/>
  <c r="M141" i="40" s="1"/>
  <c r="M128" i="40" s="1"/>
  <c r="L86" i="40"/>
  <c r="O125" i="36"/>
  <c r="O129" i="36" s="1"/>
  <c r="O127" i="36" s="1"/>
  <c r="K62" i="36"/>
  <c r="K136" i="36" s="1"/>
  <c r="K138" i="36" s="1"/>
  <c r="K125" i="36" s="1"/>
  <c r="I125" i="39"/>
  <c r="I129" i="39" s="1"/>
  <c r="G125" i="36"/>
  <c r="G129" i="36" s="1"/>
  <c r="G128" i="36" s="1"/>
  <c r="G125" i="39"/>
  <c r="I62" i="40"/>
  <c r="I65" i="40" s="1"/>
  <c r="I139" i="40" s="1"/>
  <c r="G65" i="40"/>
  <c r="G139" i="40" s="1"/>
  <c r="K125" i="39"/>
  <c r="K129" i="39" s="1"/>
  <c r="I129" i="36"/>
  <c r="I128" i="36" s="1"/>
  <c r="K132" i="40"/>
  <c r="M129" i="36"/>
  <c r="M127" i="36" s="1"/>
  <c r="G124" i="40" l="1"/>
  <c r="G140" i="40" s="1"/>
  <c r="G141" i="40" s="1"/>
  <c r="G128" i="40" s="1"/>
  <c r="G132" i="40" s="1"/>
  <c r="G131" i="40" s="1"/>
  <c r="O128" i="39"/>
  <c r="O127" i="39"/>
  <c r="Q129" i="39"/>
  <c r="Q127" i="39" s="1"/>
  <c r="I141" i="40"/>
  <c r="I128" i="40" s="1"/>
  <c r="I132" i="40" s="1"/>
  <c r="I130" i="40" s="1"/>
  <c r="O132" i="40"/>
  <c r="M132" i="40"/>
  <c r="M131" i="40" s="1"/>
  <c r="I127" i="39"/>
  <c r="O128" i="36"/>
  <c r="O130" i="36" s="1"/>
  <c r="O139" i="36" s="1"/>
  <c r="O140" i="36" s="1"/>
  <c r="I127" i="36"/>
  <c r="I130" i="36" s="1"/>
  <c r="I139" i="36" s="1"/>
  <c r="I140" i="36" s="1"/>
  <c r="K131" i="40"/>
  <c r="K130" i="40"/>
  <c r="M128" i="36"/>
  <c r="M130" i="36" s="1"/>
  <c r="M139" i="36" s="1"/>
  <c r="M140" i="36" s="1"/>
  <c r="D34" i="10" s="1"/>
  <c r="F34" i="10" s="1"/>
  <c r="G127" i="36"/>
  <c r="G130" i="36" s="1"/>
  <c r="G139" i="36" s="1"/>
  <c r="G140" i="36" s="1"/>
  <c r="I128" i="39"/>
  <c r="K128" i="39"/>
  <c r="K127" i="39"/>
  <c r="M129" i="39"/>
  <c r="M127" i="39" s="1"/>
  <c r="G129" i="39"/>
  <c r="G127" i="39" s="1"/>
  <c r="K129" i="36"/>
  <c r="K127" i="36" s="1"/>
  <c r="I130" i="39" l="1"/>
  <c r="I139" i="39" s="1"/>
  <c r="I140" i="39" s="1"/>
  <c r="K130" i="39"/>
  <c r="K139" i="39" s="1"/>
  <c r="K140" i="39" s="1"/>
  <c r="D9" i="10" s="1"/>
  <c r="F9" i="10" s="1"/>
  <c r="N64" i="8" s="1"/>
  <c r="O130" i="39"/>
  <c r="O139" i="39" s="1"/>
  <c r="O140" i="39" s="1"/>
  <c r="Q128" i="39"/>
  <c r="Q130" i="39" s="1"/>
  <c r="Q139" i="39" s="1"/>
  <c r="Q140" i="39" s="1"/>
  <c r="D80" i="10"/>
  <c r="F80" i="10" s="1"/>
  <c r="H80" i="10" s="1"/>
  <c r="D61" i="10"/>
  <c r="F61" i="10" s="1"/>
  <c r="H61" i="10" s="1"/>
  <c r="O130" i="40"/>
  <c r="O131" i="40"/>
  <c r="M130" i="40"/>
  <c r="M133" i="40" s="1"/>
  <c r="M142" i="40" s="1"/>
  <c r="M143" i="40" s="1"/>
  <c r="D36" i="10" s="1"/>
  <c r="F36" i="10" s="1"/>
  <c r="H36" i="10" s="1"/>
  <c r="M128" i="39"/>
  <c r="M130" i="39" s="1"/>
  <c r="M139" i="39" s="1"/>
  <c r="M140" i="39" s="1"/>
  <c r="D35" i="10" s="1"/>
  <c r="F35" i="10" s="1"/>
  <c r="E44" i="10" s="1"/>
  <c r="G44" i="10" s="1"/>
  <c r="G52" i="10" s="1"/>
  <c r="H34" i="10"/>
  <c r="E43" i="10"/>
  <c r="G43" i="10" s="1"/>
  <c r="G128" i="39"/>
  <c r="G130" i="39" s="1"/>
  <c r="G139" i="39" s="1"/>
  <c r="G140" i="39" s="1"/>
  <c r="K128" i="36"/>
  <c r="K130" i="36" s="1"/>
  <c r="K139" i="36" s="1"/>
  <c r="K140" i="36" s="1"/>
  <c r="D8" i="10" s="1"/>
  <c r="F8" i="10" s="1"/>
  <c r="I131" i="40"/>
  <c r="I133" i="40" s="1"/>
  <c r="I142" i="40" s="1"/>
  <c r="I143" i="40" s="1"/>
  <c r="G130" i="40"/>
  <c r="G133" i="40" s="1"/>
  <c r="G142" i="40" s="1"/>
  <c r="G143" i="40" s="1"/>
  <c r="K133" i="40"/>
  <c r="K142" i="40" s="1"/>
  <c r="K143" i="40" s="1"/>
  <c r="D10" i="10" s="1"/>
  <c r="F10" i="10" s="1"/>
  <c r="H9" i="10" l="1"/>
  <c r="F27" i="9"/>
  <c r="G27" i="9" s="1"/>
  <c r="H27" i="9" s="1"/>
  <c r="E18" i="10"/>
  <c r="G18" i="10" s="1"/>
  <c r="G26" i="10" s="1"/>
  <c r="D62" i="10"/>
  <c r="D81" i="10"/>
  <c r="G71" i="10"/>
  <c r="G90" i="10"/>
  <c r="O133" i="40"/>
  <c r="O142" i="40" s="1"/>
  <c r="O143" i="40" s="1"/>
  <c r="E45" i="10"/>
  <c r="G45" i="10" s="1"/>
  <c r="G53" i="10" s="1"/>
  <c r="H35" i="10"/>
  <c r="H37" i="10" s="1"/>
  <c r="H38" i="10" s="1"/>
  <c r="G51" i="10"/>
  <c r="E19" i="10"/>
  <c r="G19" i="10" s="1"/>
  <c r="G27" i="10" s="1"/>
  <c r="H10" i="10"/>
  <c r="F28" i="9"/>
  <c r="G28" i="9" s="1"/>
  <c r="H28" i="9" s="1"/>
  <c r="N65" i="8"/>
  <c r="P64" i="8"/>
  <c r="N69" i="8"/>
  <c r="E17" i="10"/>
  <c r="G17" i="10" s="1"/>
  <c r="N63" i="8"/>
  <c r="F26" i="9"/>
  <c r="G26" i="9" s="1"/>
  <c r="H8" i="10"/>
  <c r="H11" i="10" s="1"/>
  <c r="H12" i="10" s="1"/>
  <c r="F62" i="10" l="1"/>
  <c r="H105" i="10"/>
  <c r="F81" i="10"/>
  <c r="H112" i="10"/>
  <c r="D82" i="10"/>
  <c r="D63" i="10"/>
  <c r="G46" i="10"/>
  <c r="G54" i="10"/>
  <c r="H26" i="9"/>
  <c r="H29" i="9" s="1"/>
  <c r="H33" i="9" s="1"/>
  <c r="L67" i="8" s="1"/>
  <c r="G29" i="9"/>
  <c r="H31" i="9" s="1"/>
  <c r="P63" i="8"/>
  <c r="N68" i="8"/>
  <c r="G25" i="10"/>
  <c r="G28" i="10" s="1"/>
  <c r="G20" i="10"/>
  <c r="P65" i="8"/>
  <c r="N70" i="8"/>
  <c r="N74" i="8"/>
  <c r="P74" i="8" s="1"/>
  <c r="P69" i="8"/>
  <c r="H81" i="10" l="1"/>
  <c r="I112" i="10"/>
  <c r="H62" i="10"/>
  <c r="I105" i="10"/>
  <c r="F63" i="10"/>
  <c r="H106" i="10"/>
  <c r="F82" i="10"/>
  <c r="H113" i="10"/>
  <c r="G29" i="10"/>
  <c r="G55" i="10"/>
  <c r="N73" i="8"/>
  <c r="P73" i="8" s="1"/>
  <c r="P68" i="8"/>
  <c r="P70" i="8"/>
  <c r="N75" i="8"/>
  <c r="P75" i="8" s="1"/>
  <c r="M2" i="8"/>
  <c r="L66" i="8"/>
  <c r="M68" i="8"/>
  <c r="G72" i="10" l="1"/>
  <c r="K105" i="10"/>
  <c r="G91" i="10"/>
  <c r="K112" i="10"/>
  <c r="H63" i="10"/>
  <c r="I106" i="10"/>
  <c r="H82" i="10"/>
  <c r="I113" i="10"/>
  <c r="O54" i="8"/>
  <c r="M60" i="8"/>
  <c r="G73" i="10" l="1"/>
  <c r="G74" i="10" s="1"/>
  <c r="G75" i="10" s="1"/>
  <c r="K106" i="10"/>
  <c r="K107" i="10" s="1"/>
  <c r="K108" i="10" s="1"/>
  <c r="K109" i="10" s="1"/>
  <c r="H64" i="10"/>
  <c r="H65" i="10" s="1"/>
  <c r="G92" i="10"/>
  <c r="G93" i="10" s="1"/>
  <c r="G94" i="10" s="1"/>
  <c r="K113" i="10"/>
  <c r="K114" i="10" s="1"/>
  <c r="K115" i="10" s="1"/>
  <c r="K116" i="10" s="1"/>
  <c r="H83" i="10"/>
  <c r="H84" i="10" s="1"/>
  <c r="K117" i="10" l="1"/>
</calcChain>
</file>

<file path=xl/comments1.xml><?xml version="1.0" encoding="utf-8"?>
<comments xmlns="http://schemas.openxmlformats.org/spreadsheetml/2006/main">
  <authors>
    <author>Wilson Rodrigues de Melo Junior</author>
  </authors>
  <commentList>
    <comment ref="K46" authorId="0" shapeId="0">
      <text>
        <r>
          <rPr>
            <b/>
            <sz val="9"/>
            <color indexed="81"/>
            <rFont val="Segoe UI"/>
            <family val="2"/>
          </rPr>
          <t>R$ 34,11 por dia</t>
        </r>
      </text>
    </comment>
    <comment ref="K48" authorId="0" shapeId="0">
      <text>
        <r>
          <rPr>
            <b/>
            <sz val="9"/>
            <color indexed="81"/>
            <rFont val="Segoe UI"/>
            <family val="2"/>
          </rPr>
          <t>Auxílio Saúde de R$140,00 mensal</t>
        </r>
      </text>
    </comment>
  </commentList>
</comments>
</file>

<file path=xl/comments2.xml><?xml version="1.0" encoding="utf-8"?>
<comments xmlns="http://schemas.openxmlformats.org/spreadsheetml/2006/main">
  <authors>
    <author>Wilson Rodrigues de Melo Junior</author>
  </authors>
  <commentList>
    <comment ref="O46" authorId="0" shapeId="0">
      <text>
        <r>
          <rPr>
            <b/>
            <sz val="9"/>
            <color indexed="81"/>
            <rFont val="Segoe UI"/>
            <family val="2"/>
          </rPr>
          <t>R$ 34,11 por dia</t>
        </r>
      </text>
    </comment>
    <comment ref="O48" authorId="0" shapeId="0">
      <text>
        <r>
          <rPr>
            <b/>
            <sz val="9"/>
            <color indexed="81"/>
            <rFont val="Segoe UI"/>
            <family val="2"/>
          </rPr>
          <t>Auxílio Saúde de R$140,00 mensal</t>
        </r>
      </text>
    </comment>
  </commentList>
</comments>
</file>

<file path=xl/sharedStrings.xml><?xml version="1.0" encoding="utf-8"?>
<sst xmlns="http://schemas.openxmlformats.org/spreadsheetml/2006/main" count="1535" uniqueCount="448">
  <si>
    <t xml:space="preserve"> </t>
  </si>
  <si>
    <t>A</t>
  </si>
  <si>
    <t>B</t>
  </si>
  <si>
    <t xml:space="preserve">Município/UF </t>
  </si>
  <si>
    <t>C</t>
  </si>
  <si>
    <t>D</t>
  </si>
  <si>
    <t>E</t>
  </si>
  <si>
    <t>F</t>
  </si>
  <si>
    <t>G</t>
  </si>
  <si>
    <t>H</t>
  </si>
  <si>
    <t>Categoria profissional (vinculada à execução contratual)</t>
  </si>
  <si>
    <t>Data base da categoria (dia/mês/ano)</t>
  </si>
  <si>
    <t> %</t>
  </si>
  <si>
    <t>%</t>
  </si>
  <si>
    <t>INSS</t>
  </si>
  <si>
    <t>SESI ou SESC</t>
  </si>
  <si>
    <t>SENAI ou SENAC</t>
  </si>
  <si>
    <t>INCRA</t>
  </si>
  <si>
    <t>FGTS</t>
  </si>
  <si>
    <t>SEBRAE</t>
  </si>
  <si>
    <t>Lucro</t>
  </si>
  <si>
    <t>PIS</t>
  </si>
  <si>
    <t>COFINS</t>
  </si>
  <si>
    <t>Tributos</t>
  </si>
  <si>
    <t>Hora noturna adicional</t>
  </si>
  <si>
    <t>Benefícios Mensais e Diários</t>
  </si>
  <si>
    <t>Afastamento Maternidade</t>
  </si>
  <si>
    <t>Ausência por doença</t>
  </si>
  <si>
    <t>Ausências legais</t>
  </si>
  <si>
    <t>Custos Indiretos, Tributos e Lucro</t>
  </si>
  <si>
    <t>Custos indiretos</t>
  </si>
  <si>
    <t>Módulo 1 - Composição da Remuneração</t>
  </si>
  <si>
    <t>Módulo 2 - Benefícios Mensais e Diários</t>
  </si>
  <si>
    <t>Módulo 3 - Insumos Diversos (Uniformes, Materiais,equipamentos e outros)</t>
  </si>
  <si>
    <t>Módulo 4 - Encargos Sociais e Trabalhistas</t>
  </si>
  <si>
    <t>Módulo 5 - Custos Indiretos, Tributos e Lucro</t>
  </si>
  <si>
    <t>MÓDULO 1 - COMPOSIÇÃO DA REMUNERAÇÃO</t>
  </si>
  <si>
    <t>MÓDULO 2 - BENEFÍCIOS MENSAIS E DIÁRIOS</t>
  </si>
  <si>
    <t>MÓDULO 3 - INSUMOS DIVERSOS</t>
  </si>
  <si>
    <t>MÓDULO 4 - ENCARGOS SOCIAIS E TRABALHISTAS</t>
  </si>
  <si>
    <t>MÓDULO 5 - CUSTOS INDIRETOS, TRIBUTOS E LUCRO</t>
  </si>
  <si>
    <t>DATA LICITAÇÃO:</t>
  </si>
  <si>
    <t>HORAS:</t>
  </si>
  <si>
    <t>MUNICÍPIO:</t>
  </si>
  <si>
    <t>Brasília - DF</t>
  </si>
  <si>
    <t>ANO CONV. COLETIVA</t>
  </si>
  <si>
    <t>TIPO DE SERVIÇO:</t>
  </si>
  <si>
    <t>UNIDADE MEDIDA (UM):</t>
  </si>
  <si>
    <t>QUANT. A CONTRATAR EM FUNÇÃO DA U.M</t>
  </si>
  <si>
    <t>Nº MESES EXEC. CONTR.:</t>
  </si>
  <si>
    <t>Reserva Técnica</t>
  </si>
  <si>
    <t xml:space="preserve">                                                                                                                                          </t>
  </si>
  <si>
    <t>Encargos Sociais</t>
  </si>
  <si>
    <t>dias</t>
  </si>
  <si>
    <t>INSUMOS DA MÃO-DE-OBRA (BENEFÍCIOS MENSAIS E DIÁRIOS)</t>
  </si>
  <si>
    <t>Desconto de 6% sobre o salário</t>
  </si>
  <si>
    <t>INSUMOS DIVERSOS</t>
  </si>
  <si>
    <t>D. Adm.</t>
  </si>
  <si>
    <t>ISSQN ou ISS</t>
  </si>
  <si>
    <t>TOTAL - TRIBUTOS</t>
  </si>
  <si>
    <t>CATEGORIA</t>
  </si>
  <si>
    <t>SALÁRIO</t>
  </si>
  <si>
    <t>TOTAL</t>
  </si>
  <si>
    <t>4.1</t>
  </si>
  <si>
    <t>ENCARGOS PREVIDENCIÁRIOS E FGTS</t>
  </si>
  <si>
    <t>SINDICATOS UTILIZADOS NA ELABORAÇÃO DA PROPOSTA</t>
  </si>
  <si>
    <t>SINDICATO</t>
  </si>
  <si>
    <t>VIGÊNCIA ATUAL</t>
  </si>
  <si>
    <t>DATA-BASE</t>
  </si>
  <si>
    <t>SINDESV/SINDESP-DF</t>
  </si>
  <si>
    <t>4.2</t>
  </si>
  <si>
    <t>SUBTOTAL</t>
  </si>
  <si>
    <t>4.3</t>
  </si>
  <si>
    <t>AFASTAMENTO MATERNIDADE</t>
  </si>
  <si>
    <t>4.4</t>
  </si>
  <si>
    <t>PROVISÕES PARA RESCISÃO</t>
  </si>
  <si>
    <t>Aviso Prévio Indenizado </t>
  </si>
  <si>
    <t>4.5</t>
  </si>
  <si>
    <t>CUSTOS DE REPOSIÇÃO DO PROFISSIONAL AUSENTE</t>
  </si>
  <si>
    <t>Licença Paternidade</t>
  </si>
  <si>
    <t>Ausência por Acidente de trabalho</t>
  </si>
  <si>
    <t>Outros (especificar)</t>
  </si>
  <si>
    <t>TOTAL GERAL</t>
  </si>
  <si>
    <t>Nesta</t>
  </si>
  <si>
    <t>---</t>
  </si>
  <si>
    <t>Declarações:</t>
  </si>
  <si>
    <t>Regime de tributação:</t>
  </si>
  <si>
    <t>Sindicatos:</t>
  </si>
  <si>
    <t>Dados da empresa:</t>
  </si>
  <si>
    <t>BRASFORT EMPRESA DE SEGURANÇA LTDA</t>
  </si>
  <si>
    <t>Representante legal:</t>
  </si>
  <si>
    <t>Validade da proposta:</t>
  </si>
  <si>
    <t>ROBÉRIO BANDEIRA DE NEGREIROS</t>
  </si>
  <si>
    <t>SÓCIO-GERENTE</t>
  </si>
  <si>
    <t>Item</t>
  </si>
  <si>
    <t>Quantidade de Postos</t>
  </si>
  <si>
    <t>Unidade</t>
  </si>
  <si>
    <t>Par</t>
  </si>
  <si>
    <t>Posto de Serviço</t>
  </si>
  <si>
    <t>LICITAÇÃO Nº:</t>
  </si>
  <si>
    <t>CNPJ: 03.497.401/0001-97</t>
  </si>
  <si>
    <t>Tipo de serviço (mesmo serviço com características distintas)</t>
  </si>
  <si>
    <t>Salário Normativo da Categoria Profissional</t>
  </si>
  <si>
    <t>Valor  Total (R$)</t>
  </si>
  <si>
    <t>Composição da Remuneração</t>
  </si>
  <si>
    <t>Adcional de Hora Extra</t>
  </si>
  <si>
    <t>Desconto Legal do transporte 6%</t>
  </si>
  <si>
    <t>Insumos Diversos</t>
  </si>
  <si>
    <t xml:space="preserve">Subtotal </t>
  </si>
  <si>
    <t>Submódulo 4.3 - Afastamento Maternidade</t>
  </si>
  <si>
    <t>Submódulo 4.4 - Provisão para Rescisão</t>
  </si>
  <si>
    <t>Provisão para Rescisão</t>
  </si>
  <si>
    <t>Submódulo 4.5 - Custo de Reposição do Profissional Ausente</t>
  </si>
  <si>
    <t>Módulo 4 - Encargos sociais e trabalhistas</t>
  </si>
  <si>
    <t>Subtotal (A + B + C + D)</t>
  </si>
  <si>
    <t>Brasília/DF,</t>
  </si>
  <si>
    <t>Descrição</t>
  </si>
  <si>
    <t>Identificação do Serviço</t>
  </si>
  <si>
    <t>Mão de obra vinculada à execução contratual</t>
  </si>
  <si>
    <t>Submódulo 4.2 - 13º (décimo terceiro) salário</t>
  </si>
  <si>
    <t xml:space="preserve">Salário Educação </t>
  </si>
  <si>
    <t xml:space="preserve">13º (décimo terceiro) Salário </t>
  </si>
  <si>
    <t>Encargos previdenciários, FGTS e outras contribuições</t>
  </si>
  <si>
    <t>Composição do Custo de Reposição do Profissional Ausente</t>
  </si>
  <si>
    <t>Submódulo 4.1 - Encargos previdenciários, FGTS e outras contribuições:</t>
  </si>
  <si>
    <t>Uniformes</t>
  </si>
  <si>
    <t>Inscrição Estadual: 07.328.028/001-25</t>
  </si>
  <si>
    <t>A validade da presente proposta é de 60 (sessenta) dias, a contar a data de sua apresentação.</t>
  </si>
  <si>
    <t>Endereço: SAAN Quadra 01 Lote 635</t>
  </si>
  <si>
    <t xml:space="preserve">Telefone: (61) 3878-3434          Fax: (61) 3878-3433                     </t>
  </si>
  <si>
    <t>Cidade: Brasília/DF                   CEP: 70.632-100</t>
  </si>
  <si>
    <t>4.6</t>
  </si>
  <si>
    <t>Unidade de Medida</t>
  </si>
  <si>
    <t>Ano do acordo coletivo, convenção coletiva ou sentença normativa em dissídio coletivo</t>
  </si>
  <si>
    <t>Data da apresentação da proposta (dia/mês/ano)</t>
  </si>
  <si>
    <t>Nº de meses de execução contratual</t>
  </si>
  <si>
    <t>1.1</t>
  </si>
  <si>
    <t>Quantidade de Funcionários</t>
  </si>
  <si>
    <t>Discriminação dos Serviços (Dados referentes à contratação)</t>
  </si>
  <si>
    <t>Total da Remuneração</t>
  </si>
  <si>
    <t>Total de Benefícios mensais e diários</t>
  </si>
  <si>
    <t>Valor (R$)</t>
  </si>
  <si>
    <t>Total de Insumos diversos</t>
  </si>
  <si>
    <t>Quadro - resumo - Módulo 4 - Encargos sociais e trabalhistas</t>
  </si>
  <si>
    <t>Total dos Encargos Sociais e Trabalhistas</t>
  </si>
  <si>
    <t>I</t>
  </si>
  <si>
    <t>Valor Global da Proposta</t>
  </si>
  <si>
    <t>Valor mensal do serviço</t>
  </si>
  <si>
    <t>13º SALÁRIO</t>
  </si>
  <si>
    <t>Seguro Acidente do Trabalho - RAT x FAP</t>
  </si>
  <si>
    <t xml:space="preserve">Incidência dos encargos previstos no Submódulo 4.1 sobre 13° (décimo terceiro) salário </t>
  </si>
  <si>
    <t>Incidência dos encargos do Submódulo 4.1 sobre o afastamento maternidade</t>
  </si>
  <si>
    <t>Aviso Prévio trabalhado</t>
  </si>
  <si>
    <t>Incidência dos encargos do submódulo 4.1 sobre aviso prévio trabalhado</t>
  </si>
  <si>
    <t>Incidência dos encargos previstos no Submódulo 4.1 sobre o custo de reposição do profissional ausente</t>
  </si>
  <si>
    <t xml:space="preserve">Despesas Administrativas </t>
  </si>
  <si>
    <t>2016/2016</t>
  </si>
  <si>
    <t xml:space="preserve">ESTIMATIVA - EDITAL </t>
  </si>
  <si>
    <t xml:space="preserve">PROPOSTA COMERCIAL </t>
  </si>
  <si>
    <t>01/01/2016 a 31/12/2016</t>
  </si>
  <si>
    <t>Declaramos que iremos cumprir os termos da Convenção Coletiva - SINDESV/SINDESP-DF, e de que reconhecemos a Categoria Sindical, como sendo aquela que regerá durante a vigência do contrato os salários dos profissionais a serem alocados na execução dos serviços objeto deste Termo de Referência. Os preços desta proposta foram elaborados de acordo com a CCT 2016/2016, registro no M.T.E DF000010/2016, vigência 01/01/2016 a 31/12/2016, sendo a data-base da categoria 1º janeiro. Os reajustes terão como base os mesmos percentuais acordados na data-base.</t>
  </si>
  <si>
    <t>CCT UTILIZADA PARA ELABORAÇÃO DA PROPOSTA</t>
  </si>
  <si>
    <t xml:space="preserve">(R$) </t>
  </si>
  <si>
    <t>Fórmula de Cálculo:</t>
  </si>
  <si>
    <t>Manutenção dos equipamentos</t>
  </si>
  <si>
    <t>MÉMORIA SÚMULA 444 TST</t>
  </si>
  <si>
    <t>(A)</t>
  </si>
  <si>
    <t>(B)</t>
  </si>
  <si>
    <t>(D) = (B x C)</t>
  </si>
  <si>
    <t>Tipo de Serviço</t>
  </si>
  <si>
    <t>VALOR MENSAL DOS SERVIÇOS</t>
  </si>
  <si>
    <t>Razão Social: BRASFORT EMPRESA DE SEGURANÇA LTDA</t>
  </si>
  <si>
    <t>E-mail: brasfort@brasfort.com.br // comercial@brasfort.com.br</t>
  </si>
  <si>
    <t>Dados Bancários: Banco do Brasil, Agência nº 3382-0, Conta Corrente nº 435.247-5</t>
  </si>
  <si>
    <t>Esta empresa é optante do LUCRO REAL.</t>
  </si>
  <si>
    <t>Valores VT</t>
  </si>
  <si>
    <t>Normal</t>
  </si>
  <si>
    <t>Circular</t>
  </si>
  <si>
    <t>(C)</t>
  </si>
  <si>
    <t>Adicional Motorizado - Cláusula 3ª, alínea "f" da CCT</t>
  </si>
  <si>
    <t>Ref.:</t>
  </si>
  <si>
    <t>Salário Base</t>
  </si>
  <si>
    <t>Dados complementares para composição dos custos referente à mão de obra</t>
  </si>
  <si>
    <t>(C )</t>
  </si>
  <si>
    <t xml:space="preserve">Valor Mensal </t>
  </si>
  <si>
    <t>ANUAL:</t>
  </si>
  <si>
    <t>----</t>
  </si>
  <si>
    <t>VIGILANTE:</t>
  </si>
  <si>
    <t>(E)</t>
  </si>
  <si>
    <t>(F) = (D x E)</t>
  </si>
  <si>
    <t>Valor proposto por empregado</t>
  </si>
  <si>
    <t>Qtde de empregados por posto</t>
  </si>
  <si>
    <t>Valor proposto por posto</t>
  </si>
  <si>
    <t>Valor do Unitário por posto</t>
  </si>
  <si>
    <t xml:space="preserve">  </t>
  </si>
  <si>
    <t>Noturno</t>
  </si>
  <si>
    <t>Proposta</t>
  </si>
  <si>
    <t>Mín.MPOG</t>
  </si>
  <si>
    <t>Diferença</t>
  </si>
  <si>
    <t>Supervisor</t>
  </si>
  <si>
    <t>Ao</t>
  </si>
  <si>
    <t>Vigilante</t>
  </si>
  <si>
    <t>Qtd. de Profissionais</t>
  </si>
  <si>
    <t>% PROP.</t>
  </si>
  <si>
    <t xml:space="preserve">Valor para 12 (doze) meses </t>
  </si>
  <si>
    <t>(E) = (D x 12)</t>
  </si>
  <si>
    <t>VALOR GLOBAL DA PROPOSTA PARA 12 (DOZE) MESES DE CONTRATO</t>
  </si>
  <si>
    <t>Vigilância</t>
  </si>
  <si>
    <t>001/2017</t>
  </si>
  <si>
    <t>UASG/ID Nº:</t>
  </si>
  <si>
    <t>CCT VENCIDA</t>
  </si>
  <si>
    <t>MINISTÉRIO DE MINAS E ENERGIA - MME</t>
  </si>
  <si>
    <t>PREGÃO ELETRÔNICO Nº 001/2017 - MME</t>
  </si>
  <si>
    <t>PLANILHA DE CUSTOS E FORMAÇÃO DE PREÇOS - MME</t>
  </si>
  <si>
    <t>1.1) 1º/janeiro - Confraternização universal (Art. 1º da Lei nº 662/1949);</t>
  </si>
  <si>
    <t>1.2) Data variável - Sexta-feira da Paixão (Art. 2º da Lei nº 9.093/1995);</t>
  </si>
  <si>
    <t>1.3) 21/abril - Tiradentes (Art. 1º da Lei nº 662/1949);</t>
  </si>
  <si>
    <t>1.4) 1º/maio - Dia do trabalho (Art. 1º da Lei nº 662/1949);</t>
  </si>
  <si>
    <t>1.5) 7/setembro - Independência do Brasil (Art. 1º da Lei nº 662/1949);</t>
  </si>
  <si>
    <t>1.6) 12/outubro - Padroeira do Brasil (Art. 1º da Lei nº 6.802/1980);</t>
  </si>
  <si>
    <t>1.7) 2/novembro - Finados (Art. 1º da Lei nº 662/1949);</t>
  </si>
  <si>
    <t>1.8) 15/novembro - Proclamação da República (Art. 1º da Lei nº 662/1949);</t>
  </si>
  <si>
    <t>Esplanada Bloco "U"</t>
  </si>
  <si>
    <t>MENSAL:</t>
  </si>
  <si>
    <t>Feriados (Súmula nº 444/TST)</t>
  </si>
  <si>
    <t>QTDE.P/ POSTO</t>
  </si>
  <si>
    <t>TRIBUTAÇÃO (Alíquotas)</t>
  </si>
  <si>
    <t>48000.001766/2016-11</t>
  </si>
  <si>
    <t>Secretaria Executiva</t>
  </si>
  <si>
    <t>Subsecretaria de Planejamento, Orçamento e Administração</t>
  </si>
  <si>
    <t>Coordenação-Geral de Compras e Contratos</t>
  </si>
  <si>
    <t>Processo Administrativo nº: 48000.001766/2016-11</t>
  </si>
  <si>
    <t>Data/Hora de Abertura: 22/02/2017 às 10h00</t>
  </si>
  <si>
    <t>A empresa resguarda o direito a repactuação das novas datas-base 2017/2017, tão logo que sejam registradas nos termos legais.</t>
  </si>
  <si>
    <t>Pagamento (item 19 Edital, pág.19)</t>
  </si>
  <si>
    <t>Vigilante Diurno Desarmado - 12 horas de segunda-feira a domingo, envolvendo 2 (dois) vigilantes em turnos de 12x36hs</t>
  </si>
  <si>
    <t>Vigilante Noturno Desarmado - 12 horas de segunda-feira a domingo, envolvendo 2 (dois) vigilantes em turnos de 12x36hs</t>
  </si>
  <si>
    <t xml:space="preserve">Diurno </t>
  </si>
  <si>
    <t xml:space="preserve">- Fornecer crachá e EPI's, quando for o caso (subitem 12.6 TR, pág.36); </t>
  </si>
  <si>
    <t>CV</t>
  </si>
  <si>
    <t xml:space="preserve">- Manter Preposto no local de prestação de serviço (subitem 12.26 TR, pág.39); </t>
  </si>
  <si>
    <t>- Fornecer roupeiros de aço, portas altas, com pintura antiferrugem e total de compartimentos (portas) suficientes ao número de empregados, sendo um compartimento para cada, com fechadura (à chave) ou pitão para cadeado (subitem12.52 TR, pág.41);</t>
  </si>
  <si>
    <t>12x36hs</t>
  </si>
  <si>
    <t>Conta Vinculada (subitens 12.14 a 12.19.4 e Item 23 TR, pág.37/38 e 52)</t>
  </si>
  <si>
    <t xml:space="preserve">Conforme subitem 22.2 do Termo de Referência, foram observados os Limites Mínimos e Máximos para Contratação de Serviços de Vigilância no Distrito Federal estipulado na Portaria do MPOG </t>
  </si>
  <si>
    <t>Especificações dos Uniformes</t>
  </si>
  <si>
    <t>ANEXO II</t>
  </si>
  <si>
    <t>RELAÇÃO DOS UNIFORMES A SEREM DISPONIBILIZADOS</t>
  </si>
  <si>
    <t>PLANILHA ESTIMATIVA DE UNIFORMES - VALOR MENSAL E ANUAL</t>
  </si>
  <si>
    <t>Preço Unitário Médio</t>
  </si>
  <si>
    <t>Ternos, na cor preta, 55% poliéster, 45% lã leve fina, em tecido tipo microfibra, forrado internamente, inclusive na manga, de boa qualidade.</t>
  </si>
  <si>
    <t>Gravata, em tecido 100% poliéster ou 100% seda, na cor preta, de boa qualidade.</t>
  </si>
  <si>
    <t>Camisa, em estilo social em tecido, gola com entretela, 65% poliéster e 35% algodão, cor azul clara ou branca, de boa qualidade.</t>
  </si>
  <si>
    <t>Sapatos, tipo esporte fino, com cadarço, de couro, solado de borracha, cor preta, de boa qualidade.</t>
  </si>
  <si>
    <t>Meias, de tecido 60% algodão, 39% poliamida e 1% elastano, cor preta, de boa qualidade.</t>
  </si>
  <si>
    <t>Cinto, tipo esporte fino, de couro e cor preta, de boa qualidade.</t>
  </si>
  <si>
    <t>ANEXO III</t>
  </si>
  <si>
    <t>Preço Total/Vigilante + Supervisor</t>
  </si>
  <si>
    <t>Quantidade Anual por Vigilante + Supervisor</t>
  </si>
  <si>
    <t>RELAÇÃO DE MATERIAIS DE CONSUMO E EQUIPAMENTOS A SEREM DISPONIBILIZADOS</t>
  </si>
  <si>
    <t>Material de Consumo e Equipamentos (ANUAL)</t>
  </si>
  <si>
    <t>MATERIAL DE CONSUMO</t>
  </si>
  <si>
    <t xml:space="preserve">Quantidade </t>
  </si>
  <si>
    <t>Em R$</t>
  </si>
  <si>
    <t>Preço Unitário</t>
  </si>
  <si>
    <t>Preço Total</t>
  </si>
  <si>
    <t>Mensal</t>
  </si>
  <si>
    <t>Anual</t>
  </si>
  <si>
    <t>TOTAL GERAL ANUAL (VIGILANTE + SUPERVISOR)</t>
  </si>
  <si>
    <t>TOTAL ANUAL (VIGILANTE + SUPERVISOR)</t>
  </si>
  <si>
    <t>TOTAL MENSAL (VIGILANTE + SUPERVISOR)</t>
  </si>
  <si>
    <t>Livros para anotações de ocorrências, capa dura, contendo 100 folhas pautadas cada, um para cada mês.</t>
  </si>
  <si>
    <t>Canetas esferográficas.</t>
  </si>
  <si>
    <t>Resma de Papel.</t>
  </si>
  <si>
    <t>Bloco de Rascunho tamanho ofício.</t>
  </si>
  <si>
    <t>EQUIPAMENTO PARA DESENVOLVIMENTO DAS ATIVIDADES</t>
  </si>
  <si>
    <t>Lanternas Vigilight ou similar, de mão, tipo farolete, com lâmpada Halógena de 55 W, tensão de carregador 110 V/220 V, peso Máximo de 3,6 Kg.</t>
  </si>
  <si>
    <t>Spray de defesa de gás pimenta, extra forte, frasco com 110 ml, previsão anual.</t>
  </si>
  <si>
    <t xml:space="preserve">Especificações </t>
  </si>
  <si>
    <t>Conforme Edital/Escl.</t>
  </si>
  <si>
    <t>Valor de R$ 10,00 CCT/2016 - Não integra no Contrato atual e Conforme Esclarecimento não cotar por ser entendido como parte do auxílio saúde</t>
  </si>
  <si>
    <t>Auxílio Funeral (Despesas de sepultamento - R$ 3.560,00 - Cláusula 16ª alínea "d" da CCT/2016</t>
  </si>
  <si>
    <t>Seguro de vida, inclusive invalidez - Cláusula 16ª da CCT/2016</t>
  </si>
  <si>
    <t>R$ 25,22 Contrato Atual e R$ 26,11 Edital</t>
  </si>
  <si>
    <t>Valores reais</t>
  </si>
  <si>
    <t xml:space="preserve">Auxílio alimentação (Tiquete refeição de R$ 32,00 x 20,5 dias efetivamente trabalhados) - Cláusula 12ª da CCT/2016 </t>
  </si>
  <si>
    <t>Seguro de Vida</t>
  </si>
  <si>
    <t>R$ 1,80 Contrato Atual e R$ 17,80 Edital</t>
  </si>
  <si>
    <t>R$ 6,83 Contrato Atual e R$ 36,67 Edital</t>
  </si>
  <si>
    <t>CT 15,5</t>
  </si>
  <si>
    <t>CT 25</t>
  </si>
  <si>
    <t>44hs</t>
  </si>
  <si>
    <t>Salário Mín. Categoria</t>
  </si>
  <si>
    <t>CT 70,64%</t>
  </si>
  <si>
    <t>Valor de R$ 140,00 CCT/2016 - Não integra no Contrato atual e Conforme Esclarecimento não cotar conforme Parecer Nº 15/2014/CPLC/ DEPCONSU/PGF/AGU c/c a Portaria Nº 409, de 21/12/2016</t>
  </si>
  <si>
    <t>R$ 110,28 (Supervisor) e R$ 88,67 (Not.Armado) Contrato Atual e R$ 247,19 Edital</t>
  </si>
  <si>
    <t>R$ 7,65 Contrato Atual e Não há depreciação no Edital</t>
  </si>
  <si>
    <t>R$ 5,57 Contrato Atual e R$ 4,71 Edital</t>
  </si>
  <si>
    <t>R$ 76,52 Contrato Atual e R$ 46,88 Edital</t>
  </si>
  <si>
    <t>1,00% Contrato Atual e 7,39% Edital</t>
  </si>
  <si>
    <t>1,35230% Contrato Atual e 5,00% Edital</t>
  </si>
  <si>
    <t>Data 22/02/2017 às 10h00</t>
  </si>
  <si>
    <t>Pregão Eletrônico nº</t>
  </si>
  <si>
    <t>Processo nº</t>
  </si>
  <si>
    <t>CNPJ Nº: 37.115.383/0001-53</t>
  </si>
  <si>
    <t>Valor do Contrato Atual</t>
  </si>
  <si>
    <t>(*) No contrato atual são 07 Postos com 13 Profissionais</t>
  </si>
  <si>
    <t>QTDE. PROF. (*)</t>
  </si>
  <si>
    <t>QTD POSTOS(*)</t>
  </si>
  <si>
    <t>Mão-de-obra</t>
  </si>
  <si>
    <t>Supervisor Diurno Desarmado - 44 h./semana</t>
  </si>
  <si>
    <t>1º de Janeiro</t>
  </si>
  <si>
    <t>Adicional de Insalubridade</t>
  </si>
  <si>
    <t>Adicional de Periculosidade/Risco de Vida - (Lei nº 12.740/2012 e Cláusula 3ª § 4º da CCT/2016)</t>
  </si>
  <si>
    <t>Adicional Noturno - Cláusula 49ª da CCT/2016</t>
  </si>
  <si>
    <r>
      <t xml:space="preserve">Outros (Feriado Trabalhado - Súmula nº 444 TST remuneração em dobro em feriados na jornada especial pelo regime 12x36 (Art. 9º da Lei nº 605/49) = Salário Base + Adicionais + Intrajornada </t>
    </r>
    <r>
      <rPr>
        <sz val="11"/>
        <rFont val="Calibri"/>
        <family val="2"/>
      </rPr>
      <t>÷</t>
    </r>
    <r>
      <rPr>
        <sz val="11"/>
        <rFont val="Cambria"/>
        <family val="1"/>
      </rPr>
      <t xml:space="preserve"> 30 dias x 10 feriados ÷ 12 meses</t>
    </r>
  </si>
  <si>
    <t>Não se Aplica ao Supervisor, por se tratar de pagamento somente para regime 12x36</t>
  </si>
  <si>
    <t>Auxílio Saúde - Cláusula 14ª da CCT/2016 - NÃO SE APLICA CONFORME PARECER Nº 15/2014/CPLC/ DEPCONSU/PGF/AGU</t>
  </si>
  <si>
    <t>Fundo Ind. Aposent. Ou Doença - Cláusula 15ª da CCT/2016</t>
  </si>
  <si>
    <t>Auxílio alimentação (Tiquete refeição de R$ 32,00 x 15,5 dias efetivamente trabalhados) - Cláusula 12ª da CCT/2016</t>
  </si>
  <si>
    <t>Fundo Social e Odontológico - Cláusula 18ª da CCT/2016 - NÃO SE APLICA CONFORME PARECER Nº 15/2014/CPLC/ DEPCONSU/PGF/AGU, por entender que integra ao Auxílio Saúde</t>
  </si>
  <si>
    <t>Treinamento/Capacitação/Reciclagem - Cláusula 28ª da CCT/2016</t>
  </si>
  <si>
    <t>Equipamentos para desenvolvimento das atividades</t>
  </si>
  <si>
    <t>Materiais de Consumo Mensal</t>
  </si>
  <si>
    <t>Conforme Edital exceto SAT, incidências e CV                      (Edital 70,70%)</t>
  </si>
  <si>
    <t>Edital e Contrato Zerado</t>
  </si>
  <si>
    <t>CT 3,33%</t>
  </si>
  <si>
    <t>CT 11,11%</t>
  </si>
  <si>
    <t>CT 2,12%</t>
  </si>
  <si>
    <t>CT 0,56%</t>
  </si>
  <si>
    <t>CT 0,02%</t>
  </si>
  <si>
    <t>Prezados Senhores,</t>
  </si>
  <si>
    <t>PROPOSTA DE PREÇOS Nº 011/2017</t>
  </si>
  <si>
    <t>O correto a incidência sobre o FGTS</t>
  </si>
  <si>
    <t>Incidência dos encargos do submódulo 4.1 sobre aviso prévio indenizado</t>
  </si>
  <si>
    <t xml:space="preserve">Multa do FGTS e contribuições sociais sobre o aviso prévio indenizado </t>
  </si>
  <si>
    <t>Multa do FGTS e contribuições sociais sobre o aviso prévio trabalhado</t>
  </si>
  <si>
    <t>Total dos Custos Indiretos, Tributos e Lucro</t>
  </si>
  <si>
    <t>B.1. Tributos Federais - PIS (0,65%) + COFINS (3,00%) = 3,65%</t>
  </si>
  <si>
    <t>B.2. Tributos Estaduais - ISS (5,00%) (Distrito Federal)</t>
  </si>
  <si>
    <t>Quadro-resumo do Custo por Empregado</t>
  </si>
  <si>
    <t>Mão-de-obra vinculada à execução contratual (valor por empregado)</t>
  </si>
  <si>
    <t>Valor total por empregado</t>
  </si>
  <si>
    <t>II</t>
  </si>
  <si>
    <t>III</t>
  </si>
  <si>
    <t>Valor total do serviço</t>
  </si>
  <si>
    <t>VALOR MENSAL DOS SERVIÇOS (I + II + III)</t>
  </si>
  <si>
    <t>Quadro-demonstrativo - VALOR GLOBAL DA PROPOSTA</t>
  </si>
  <si>
    <t>A1</t>
  </si>
  <si>
    <t>A2</t>
  </si>
  <si>
    <t>A3</t>
  </si>
  <si>
    <t>Valor globa da proposta (valor mensal do serviço x 12 meses do contrato)</t>
  </si>
  <si>
    <t>Complemento dos Serviços de Vigilância</t>
  </si>
  <si>
    <t>TIPO</t>
  </si>
  <si>
    <t>ESCALA DE TRABALHO</t>
  </si>
  <si>
    <t>PREÇO MENSAL DO POSTO</t>
  </si>
  <si>
    <t>Nº DE POSTOS</t>
  </si>
  <si>
    <t>SUBTOTAL (R$)</t>
  </si>
  <si>
    <t>ANEXO V</t>
  </si>
  <si>
    <t>1.2</t>
  </si>
  <si>
    <t>Vigilante Diurno Desarmado - 12x36hs</t>
  </si>
  <si>
    <r>
      <t xml:space="preserve">Outros (Feriado Trabalhado - Súmula nº 444 TST remuneração em dobro em feriados na jornada especial pelo regime 12x36 (Art. 9º da Lei nº 605/49) = Salário Base + Adicionais + Intrajornada </t>
    </r>
    <r>
      <rPr>
        <sz val="11"/>
        <rFont val="Calibri"/>
        <family val="2"/>
      </rPr>
      <t>÷</t>
    </r>
    <r>
      <rPr>
        <sz val="11"/>
        <rFont val="Cambria"/>
        <family val="1"/>
      </rPr>
      <t xml:space="preserve"> 30 dias x 10 feriados ÷ 12 meses - NÃO SE APLICA</t>
    </r>
  </si>
  <si>
    <t>Vigilante Noturno Desarmado - 12x36hs</t>
  </si>
  <si>
    <r>
      <t xml:space="preserve">Adicional Noturno - Cláusula 49ª da CCT/2016 [(Coeficiente de Conversão Hora Noturna (1,142857) x Qtd.horas (9:00hs = 22:00 às 07:00hs) x (Valor Hora = (Salário Base + Ad.Peric.) </t>
    </r>
    <r>
      <rPr>
        <sz val="11"/>
        <rFont val="Calibri"/>
        <family val="2"/>
      </rPr>
      <t>÷ 220hs x (alíquota adic. Not = 20%) x (qtd.dias = 15,5)]</t>
    </r>
  </si>
  <si>
    <t>Contrato atual o cálculo está por hora</t>
  </si>
  <si>
    <t>Brasfort</t>
  </si>
  <si>
    <t>Edital</t>
  </si>
  <si>
    <t xml:space="preserve"> Salário Base + Adicionais + Intervalo de Intrajornada ÷ 30 dias x nº de feriados no ano ÷ 12 meses</t>
  </si>
  <si>
    <t>A presente proposta para a prestação de serviços de Vigilância desarmada, será pelo preço mensal e valor total global para 12 (doze) meses conforme planilha abaixo:</t>
  </si>
  <si>
    <t>Declaramos que estamos de pleno acordo com todas as condições estabelecidas no Edital e seus Anexos, bem como aceitamos todas as obrigações e responsabilidades especificadas no Termo de Referência, Anexo I do Edital.</t>
  </si>
  <si>
    <t>Declaramos que nos preços cotados estão incluídas todas as despesas que, direta ou indiretamente, façam parte da prestação dos serviços, tais como gastos da empresa com suporte técnico e administrativo, impostos, seguro, taxas, ou quaisquer outros que possam incidir sobre gastos da empresa, sem quaisquer acréscimos em virtude de expectativa inflacionária e deduzidos os descontos eventualmente concedidos.</t>
  </si>
  <si>
    <t>Repactuação (Item 26 TR, pág.54 e Cláusula 6ª MC, pág.90)</t>
  </si>
  <si>
    <t>C.I nº: 257.787/SSP-DF e CPF nº: 084.837.521-15</t>
  </si>
  <si>
    <t>Nome: Robério Bandeira de Negreiros</t>
  </si>
  <si>
    <t>Cargo: Sócio-Gerente</t>
  </si>
  <si>
    <t>Garantia (item 13 Edital, pág.16 e Cláusula 76ª MC, pág.92)</t>
  </si>
  <si>
    <t>Critérios de Sustentabilidade Ambiental (Item 28 TR, pág.56 e  Cláusula 11ª MC, pág.94)</t>
  </si>
  <si>
    <t>Acréscimos ou supreessões (subitem 31.4 TR, pág.58 e  Cláusula 15ª MC, pág.97)</t>
  </si>
  <si>
    <t>Feriados Nacionais considerados para o cálculo da Súmula, conforme Decreto nº 38.011, de 16 de Fevereiro de 2017:</t>
  </si>
  <si>
    <t>LANCE FINAL:</t>
  </si>
  <si>
    <t>Transporte [(R$ 5,00) x 2] x 20,5 dias - Cláusula 13ª da CCT/2016</t>
  </si>
  <si>
    <t>Transporte [(R$ 5,00) x 2] x 15,5 dias - Cláusula 13ª da CCT/2016</t>
  </si>
  <si>
    <t>Adicional de férias</t>
  </si>
  <si>
    <t xml:space="preserve">Férias </t>
  </si>
  <si>
    <t>1.9) 25/dezembro - Natal (Art. 1º da Lei nº 662/1949).</t>
  </si>
  <si>
    <t>CV 4,35</t>
  </si>
  <si>
    <t>Na renovação vai p/ 68,32%</t>
  </si>
  <si>
    <t>PROPOSTA FINAL RETIFICADA - 2ª DILIGÊNCIA - CONTRAPROPOSTA</t>
  </si>
  <si>
    <r>
      <rPr>
        <b/>
        <sz val="11"/>
        <rFont val="Cambria"/>
        <family val="1"/>
      </rPr>
      <t>Módulo 1 -</t>
    </r>
    <r>
      <rPr>
        <sz val="11"/>
        <rFont val="Cambria"/>
        <family val="1"/>
      </rPr>
      <t xml:space="preserve"> Composição da Remuneração</t>
    </r>
  </si>
  <si>
    <r>
      <rPr>
        <b/>
        <sz val="11"/>
        <rFont val="Cambria"/>
        <family val="1"/>
      </rPr>
      <t xml:space="preserve">Módulo 2 </t>
    </r>
    <r>
      <rPr>
        <sz val="11"/>
        <rFont val="Cambria"/>
        <family val="1"/>
      </rPr>
      <t>- Benefícios Mensais e Diários</t>
    </r>
  </si>
  <si>
    <r>
      <rPr>
        <b/>
        <sz val="11"/>
        <rFont val="Cambria"/>
        <family val="1"/>
      </rPr>
      <t>Módulo 3</t>
    </r>
    <r>
      <rPr>
        <sz val="11"/>
        <rFont val="Cambria"/>
        <family val="1"/>
      </rPr>
      <t xml:space="preserve"> - Insumos Diversos (Uniformes, Materiais,equipamentos e outros)</t>
    </r>
  </si>
  <si>
    <r>
      <rPr>
        <b/>
        <sz val="11"/>
        <rFont val="Cambria"/>
        <family val="1"/>
      </rPr>
      <t xml:space="preserve">Módulo 4 </t>
    </r>
    <r>
      <rPr>
        <sz val="11"/>
        <rFont val="Cambria"/>
        <family val="1"/>
      </rPr>
      <t>- Encargos Sociais e Trabalhistas</t>
    </r>
  </si>
  <si>
    <r>
      <rPr>
        <b/>
        <sz val="11"/>
        <rFont val="Cambria"/>
        <family val="1"/>
      </rPr>
      <t xml:space="preserve">Módulo 5 </t>
    </r>
    <r>
      <rPr>
        <sz val="11"/>
        <rFont val="Cambria"/>
        <family val="1"/>
      </rPr>
      <t>- Custos Indiretos, Tributos e Lucro</t>
    </r>
  </si>
  <si>
    <r>
      <t>Comprovar, antes da assinatura do contrato, a formação técnica específica da mão-de-obra oferecida, através de</t>
    </r>
    <r>
      <rPr>
        <b/>
        <u/>
        <sz val="9"/>
        <rFont val="Cambria"/>
        <family val="1"/>
      </rPr>
      <t xml:space="preserve"> Certificado de Curso de Formação de Vigilantes</t>
    </r>
    <r>
      <rPr>
        <b/>
        <sz val="9"/>
        <rFont val="Cambria"/>
        <family val="1"/>
      </rPr>
      <t xml:space="preserve"> , como também apresentar os</t>
    </r>
    <r>
      <rPr>
        <b/>
        <u/>
        <sz val="9"/>
        <rFont val="Cambria"/>
        <family val="1"/>
      </rPr>
      <t xml:space="preserve"> Atestados de Antecedentes civil e ciminal</t>
    </r>
    <r>
      <rPr>
        <b/>
        <sz val="9"/>
        <rFont val="Cambria"/>
        <family val="1"/>
      </rPr>
      <t xml:space="preserve"> dos empregados que prestarão serviços no Ministério. (subitens 12.37 e 12.39 TR, pág.40)</t>
    </r>
  </si>
  <si>
    <r>
      <t>Apresentar comprovação de</t>
    </r>
    <r>
      <rPr>
        <b/>
        <u/>
        <sz val="9"/>
        <rFont val="Cambria"/>
        <family val="1"/>
      </rPr>
      <t xml:space="preserve"> Seguro de Vida Coletivo</t>
    </r>
    <r>
      <rPr>
        <b/>
        <sz val="9"/>
        <rFont val="Cambria"/>
        <family val="1"/>
      </rPr>
      <t>, com abrangência para todos os vigilantes lotados no Ministério, na forma do Art. 4 da Portaria nº 358/2009-DG/DPF, em até 30 (trinta) dias após a assinatura do contrato (subitem 12.70 TR, pág.43)</t>
    </r>
  </si>
  <si>
    <r>
      <t xml:space="preserve">Intervalo Intrajornada - {[(Salário Base + Adicionais) </t>
    </r>
    <r>
      <rPr>
        <sz val="8"/>
        <color indexed="8"/>
        <rFont val="Calibri"/>
        <family val="2"/>
      </rPr>
      <t>÷</t>
    </r>
    <r>
      <rPr>
        <sz val="8"/>
        <color indexed="8"/>
        <rFont val="Cambria"/>
        <family val="1"/>
      </rPr>
      <t xml:space="preserve"> 220] x 1,50 (hora extra acrescida de 50%) x 20,5 dias) - NÃO SE APLICA</t>
    </r>
  </si>
  <si>
    <r>
      <t xml:space="preserve">Intervalo Intrajornada - {[(Salário Base + Adicionais) </t>
    </r>
    <r>
      <rPr>
        <sz val="8"/>
        <color indexed="8"/>
        <rFont val="Calibri"/>
        <family val="2"/>
      </rPr>
      <t>÷</t>
    </r>
    <r>
      <rPr>
        <sz val="8"/>
        <color indexed="8"/>
        <rFont val="Cambria"/>
        <family val="1"/>
      </rPr>
      <t xml:space="preserve"> 220] x 1,50 (hora extra acrescida de 50%) x 15,5 dias) </t>
    </r>
  </si>
  <si>
    <t>2017/2017</t>
  </si>
  <si>
    <r>
      <t xml:space="preserve">Supervisor Diurno Desarmado - 44hs semanais </t>
    </r>
    <r>
      <rPr>
        <sz val="9"/>
        <color indexed="10"/>
        <rFont val="Cambria"/>
        <family val="1"/>
      </rPr>
      <t>envolvendo 1 (um) funcionário</t>
    </r>
  </si>
  <si>
    <r>
      <t xml:space="preserve">Apresentamos a V.Sa. a nossa proposta final após as determinações e justificaticas contidas na Diligência de propostas de 14/03/2017, para a </t>
    </r>
    <r>
      <rPr>
        <b/>
        <sz val="10"/>
        <rFont val="Arial Narrow"/>
        <family val="2"/>
      </rPr>
      <t>prestação de serviços de vigilância desarmada período diurno/noturno</t>
    </r>
    <r>
      <rPr>
        <sz val="10"/>
        <rFont val="Arial Narrow"/>
        <family val="2"/>
      </rPr>
      <t>, a serem executados de forma contínua, com disponibilização de vigilante e supervisor, com fornecimento de materiais acessórios, a serem executados de forma contínua, no âmbito do Bloco “U” da Esplanada dos Ministérios, sedes dos Ministérios de Minas e Energia, e do Turismo, em Brasília - DF, conforme especificações técnicas, quantitativos e demais condições e exigências estabelecidas no Edital e seus Anexos.</t>
    </r>
  </si>
  <si>
    <t>PERÍODO DE 1º de janeiro/2018 até 05 de abril/2018</t>
  </si>
  <si>
    <t>PERÍODO à partir de 06 de abril/2018</t>
  </si>
  <si>
    <t>01.Jan.2018 a 05.Abr.2018</t>
  </si>
  <si>
    <t>06.Abr.2018 a 06.Abr.2019</t>
  </si>
  <si>
    <r>
      <rPr>
        <sz val="8"/>
        <rFont val="Cambria"/>
        <family val="1"/>
      </rPr>
      <t>Total Geral (Vigilância+Supervisão/</t>
    </r>
    <r>
      <rPr>
        <b/>
        <sz val="8"/>
        <rFont val="Cambria"/>
        <family val="1"/>
      </rPr>
      <t>Ano</t>
    </r>
    <r>
      <rPr>
        <sz val="8"/>
        <rFont val="Cambria"/>
        <family val="1"/>
      </rPr>
      <t>)</t>
    </r>
  </si>
  <si>
    <r>
      <rPr>
        <sz val="8"/>
        <rFont val="Cambria"/>
        <family val="1"/>
      </rPr>
      <t>Total Geral (Vigilância+Supervisão/</t>
    </r>
    <r>
      <rPr>
        <b/>
        <sz val="8"/>
        <rFont val="Cambria"/>
        <family val="1"/>
      </rPr>
      <t>Mês</t>
    </r>
    <r>
      <rPr>
        <sz val="8"/>
        <rFont val="Cambria"/>
        <family val="1"/>
      </rPr>
      <t>)</t>
    </r>
  </si>
  <si>
    <r>
      <rPr>
        <sz val="8"/>
        <rFont val="Cambria"/>
        <family val="1"/>
      </rPr>
      <t>Total Geral (Vigilantes+Supervisores/</t>
    </r>
    <r>
      <rPr>
        <b/>
        <sz val="8"/>
        <rFont val="Cambria"/>
        <family val="1"/>
      </rPr>
      <t>Ano</t>
    </r>
    <r>
      <rPr>
        <sz val="8"/>
        <rFont val="Cambria"/>
        <family val="1"/>
      </rPr>
      <t>)</t>
    </r>
  </si>
  <si>
    <r>
      <rPr>
        <sz val="9"/>
        <rFont val="Cambria"/>
        <family val="1"/>
      </rPr>
      <t>Total Geral (Vigilância+Supervisão/</t>
    </r>
    <r>
      <rPr>
        <b/>
        <sz val="9"/>
        <rFont val="Cambria"/>
        <family val="1"/>
      </rPr>
      <t>Ano</t>
    </r>
    <r>
      <rPr>
        <sz val="9"/>
        <rFont val="Cambria"/>
        <family val="1"/>
      </rPr>
      <t>)</t>
    </r>
  </si>
  <si>
    <r>
      <rPr>
        <sz val="9"/>
        <rFont val="Cambria"/>
        <family val="1"/>
      </rPr>
      <t>Total Geral (Vigilância+Supervisão/</t>
    </r>
    <r>
      <rPr>
        <b/>
        <sz val="9"/>
        <rFont val="Cambria"/>
        <family val="1"/>
      </rPr>
      <t>Mês</t>
    </r>
    <r>
      <rPr>
        <sz val="9"/>
        <rFont val="Cambria"/>
        <family val="1"/>
      </rPr>
      <t>)</t>
    </r>
  </si>
  <si>
    <r>
      <rPr>
        <sz val="9"/>
        <rFont val="Cambria"/>
        <family val="1"/>
      </rPr>
      <t>Total Geral (Vigilantes+Supervisores/</t>
    </r>
    <r>
      <rPr>
        <b/>
        <sz val="9"/>
        <rFont val="Cambria"/>
        <family val="1"/>
      </rPr>
      <t>Ano</t>
    </r>
    <r>
      <rPr>
        <sz val="9"/>
        <rFont val="Cambria"/>
        <family val="1"/>
      </rPr>
      <t>)</t>
    </r>
  </si>
  <si>
    <r>
      <t xml:space="preserve">Aparelho de radiocomunicação, com níveis de potência ajustáveis, com alcance mínimo de 20 km na transmissão, nível profissional, acompanhado de baterias carregáveis e carregado ou </t>
    </r>
    <r>
      <rPr>
        <b/>
        <sz val="8.5"/>
        <rFont val="Cambria"/>
        <family val="1"/>
      </rPr>
      <t>aluguel mensal junto a uma operadora.</t>
    </r>
  </si>
  <si>
    <t>INICIAL</t>
  </si>
  <si>
    <r>
      <rPr>
        <b/>
        <sz val="9"/>
        <rFont val="Cambria"/>
        <family val="1"/>
      </rPr>
      <t>- Diurno:</t>
    </r>
    <r>
      <rPr>
        <sz val="9"/>
        <rFont val="Cambria"/>
        <family val="1"/>
      </rPr>
      <t xml:space="preserve"> R$ 2.012,54 (Salário Base) + R$ 603,76 (Adicional de Periculosidade) ÷ 30 dias x 10 (nº de feriados no ano) ÷ 12 meses = </t>
    </r>
    <r>
      <rPr>
        <b/>
        <u/>
        <sz val="9"/>
        <rFont val="Cambria"/>
        <family val="1"/>
      </rPr>
      <t>R$ 65,71</t>
    </r>
  </si>
  <si>
    <r>
      <rPr>
        <b/>
        <sz val="9"/>
        <rFont val="Cambria"/>
        <family val="1"/>
      </rPr>
      <t>- Noturno:</t>
    </r>
    <r>
      <rPr>
        <sz val="9"/>
        <rFont val="Cambria"/>
        <family val="1"/>
      </rPr>
      <t xml:space="preserve"> R$ 2.012,54 (Salário Base) + R$ 603,76 (Adicional de Periculosidade) + R$ 379,19 (Adicional Noturno) ÷ 30 dias x 10 (nº de feriados no ano) ÷ 12 meses = </t>
    </r>
    <r>
      <rPr>
        <b/>
        <u/>
        <sz val="9"/>
        <rFont val="Cambria"/>
        <family val="1"/>
      </rPr>
      <t>R$ 75,26</t>
    </r>
  </si>
  <si>
    <t>1º Termo Aditivo - A partir de 06/04/2018 - Inseriu 1 Supervisor e concedeu Repactuação (desconto)</t>
  </si>
  <si>
    <t>Supervisor Diurno Desarmado - 44hs semanais envolvendo 1 (um) funcionário</t>
  </si>
  <si>
    <t>CONTRATO</t>
  </si>
  <si>
    <t>A partir de 06.Abr.2018 a 06.Abr.2019</t>
  </si>
  <si>
    <t xml:space="preserve">Acréscimo salário, Auxílio alimentação de R$32,0 para R$34,11, </t>
  </si>
  <si>
    <r>
      <rPr>
        <b/>
        <sz val="11"/>
        <rFont val="Cambria"/>
        <family val="1"/>
      </rPr>
      <t>Módulo 1 -</t>
    </r>
    <r>
      <rPr>
        <sz val="11"/>
        <rFont val="Cambria"/>
        <family val="1"/>
      </rPr>
      <t xml:space="preserve"> Composição da Remuneração</t>
    </r>
  </si>
  <si>
    <r>
      <rPr>
        <b/>
        <sz val="11"/>
        <rFont val="Cambria"/>
        <family val="1"/>
      </rPr>
      <t xml:space="preserve">Módulo 2 </t>
    </r>
    <r>
      <rPr>
        <sz val="11"/>
        <rFont val="Cambria"/>
        <family val="1"/>
      </rPr>
      <t>- Benefícios Mensais e Diários</t>
    </r>
  </si>
  <si>
    <r>
      <rPr>
        <b/>
        <sz val="11"/>
        <rFont val="Cambria"/>
        <family val="1"/>
      </rPr>
      <t>Módulo 3</t>
    </r>
    <r>
      <rPr>
        <sz val="11"/>
        <rFont val="Cambria"/>
        <family val="1"/>
      </rPr>
      <t xml:space="preserve"> - Insumos Diversos (Uniformes, Materiais,equipamentos e outros)</t>
    </r>
  </si>
  <si>
    <r>
      <rPr>
        <b/>
        <sz val="11"/>
        <rFont val="Cambria"/>
        <family val="1"/>
      </rPr>
      <t xml:space="preserve">Módulo 4 </t>
    </r>
    <r>
      <rPr>
        <sz val="11"/>
        <rFont val="Cambria"/>
        <family val="1"/>
      </rPr>
      <t>- Encargos Sociais e Trabalhistas</t>
    </r>
  </si>
  <si>
    <r>
      <rPr>
        <b/>
        <sz val="11"/>
        <rFont val="Cambria"/>
        <family val="1"/>
      </rPr>
      <t xml:space="preserve">Módulo 5 </t>
    </r>
    <r>
      <rPr>
        <sz val="11"/>
        <rFont val="Cambria"/>
        <family val="1"/>
      </rPr>
      <t>- Custos Indiretos, Tributos e Lucro</t>
    </r>
  </si>
  <si>
    <t xml:space="preserve">Supressão da Sumula 444, Reajuste salarial, Aumento do auxilio alimentação para 34,11, </t>
  </si>
  <si>
    <t>Supressão da Sumula 444, Reajuste salarial, Aumento do auxilio alimentação para 34,11, alteração na proporção da material e equipamentos para 16 colaboradores</t>
  </si>
  <si>
    <t>VALOR GLOBAL DO CONTRATO APÓS REPACTUAÇÃO</t>
  </si>
  <si>
    <t>2º Termo Aditivo</t>
  </si>
  <si>
    <t>1º Termo de Apostilamento</t>
  </si>
  <si>
    <t>Acréscimo salário, Auxílio alimentação de R$32,0 para R$34,11, , alteração na proporção da material e equipamentos para 16 colaboradores, redução aviso prévio</t>
  </si>
  <si>
    <t>Coparticipação do empregado - Cláusula 11ª parág. 5º - Dissidio/2018</t>
  </si>
  <si>
    <t>Acréscimo salário, Auxílio alimentação de R$34,11 para R$34,84, alteração no SAT</t>
  </si>
  <si>
    <t>Acréscimo salário, Auxílio alimentação de de R$34,11 para R$34,84 , alteração na proporção da material e equipamentos para 16 colaboradores, redução aviso prévio, alteração no SAT</t>
  </si>
  <si>
    <t>Acréscimo salário, Auxílio alimentação de de R$34,11 para R$34,84 , alteração na proporção da material e equipamentos para 16 colaboradores, redução aviso prévio, alteração no SAT, REDUÇÃO PERCENTUAL ADICIONAL NOTURNO</t>
  </si>
  <si>
    <t>VALOR DOS SERVIÇOS A PARTIR DE 01/01/2018 - 3 REPACTUAÇÃO - 1º TERMO DE APOSTILAMENTO</t>
  </si>
  <si>
    <t>VALOR DOS SERVIÇOS A PARTIR DE 06/04/2018 - 3 REPACTUAÇÃO - 1º TERMO DE APOSTILAMENTO</t>
  </si>
  <si>
    <t>VALOR DOS SERVIÇOS A PARTIR DE 06/01/2018 - 2º TERMO ADITIVO</t>
  </si>
  <si>
    <t>VALOR DOS SERVIÇOS DE 01/01/2018 A 05/01/2018 - 2º TERMO ADITIVO</t>
  </si>
  <si>
    <t>PERÍODO DE 01/01/2018 A 05/04/2018</t>
  </si>
  <si>
    <t>Diferença mensal</t>
  </si>
  <si>
    <t>Diferença para o período de 01/01/2018 à 05/04/2018</t>
  </si>
  <si>
    <t>Diferença para o período de 06/04/2018 à 06/04/2019</t>
  </si>
  <si>
    <t>TOTAL MENSAL</t>
  </si>
  <si>
    <t>2º TERMO ADITIVO</t>
  </si>
  <si>
    <t>1º TERMO DE APOSTILAMENTO</t>
  </si>
  <si>
    <t>VALOR DA REPACTUAÇÃO REFERENTE AO 1º TERMO DE APOSTILAMENTO</t>
  </si>
  <si>
    <t>PERÍODO DE 06/04/2018 A 06/04/2019</t>
  </si>
  <si>
    <t>DIFERENÇA TOTAL PARA PERÍODO DE 01/01/2018 À 06/04/2019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</si>
</sst>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_(&quot;R$ &quot;* #,##0.00_);_(&quot;R$ &quot;* \(#,##0.00\);_(&quot;R$ &quot;* &quot;-&quot;??_);_(@_)"/>
    <numFmt numFmtId="168" formatCode="0.0000"/>
    <numFmt numFmtId="169" formatCode="&quot;R$ &quot;#,##0.00"/>
    <numFmt numFmtId="170" formatCode="0.000"/>
    <numFmt numFmtId="171" formatCode="&quot;R$&quot;\ #,##0.00"/>
    <numFmt numFmtId="172" formatCode="00"/>
    <numFmt numFmtId="173" formatCode="[$-F800]dddd\,\ mmmm\ dd\,\ yyyy"/>
    <numFmt numFmtId="174" formatCode="_-[$R$-416]\ * #,##0.00_-;\-[$R$-416]\ * #,##0.00_-;_-[$R$-416]\ * &quot;-&quot;??_-;_-@_-"/>
    <numFmt numFmtId="175" formatCode="&quot;R$&quot;#,##0.00"/>
  </numFmts>
  <fonts count="7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11"/>
      <name val="Cambria"/>
      <family val="1"/>
    </font>
    <font>
      <sz val="11"/>
      <name val="Calibri"/>
      <family val="2"/>
    </font>
    <font>
      <b/>
      <sz val="11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u/>
      <sz val="9"/>
      <name val="Cambria"/>
      <family val="1"/>
    </font>
    <font>
      <sz val="9"/>
      <color indexed="10"/>
      <name val="Cambria"/>
      <family val="1"/>
    </font>
    <font>
      <sz val="8"/>
      <color indexed="8"/>
      <name val="Calibri"/>
      <family val="2"/>
    </font>
    <font>
      <sz val="8"/>
      <color indexed="8"/>
      <name val="Cambria"/>
      <family val="1"/>
    </font>
    <font>
      <b/>
      <sz val="10"/>
      <name val="Arial Narrow"/>
      <family val="2"/>
    </font>
    <font>
      <sz val="10"/>
      <name val="Arial Narrow"/>
      <family val="2"/>
    </font>
    <font>
      <b/>
      <u/>
      <sz val="10"/>
      <name val="Arial Narrow"/>
      <family val="2"/>
    </font>
    <font>
      <sz val="8"/>
      <name val="Cambria"/>
      <family val="1"/>
    </font>
    <font>
      <b/>
      <sz val="8"/>
      <name val="Cambria"/>
      <family val="1"/>
    </font>
    <font>
      <b/>
      <sz val="8.5"/>
      <name val="Cambria"/>
      <family val="1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1"/>
      <color indexed="12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mbria"/>
      <family val="1"/>
      <scheme val="major"/>
    </font>
    <font>
      <b/>
      <sz val="9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9"/>
      <name val="Cambria"/>
      <family val="1"/>
      <scheme val="major"/>
    </font>
    <font>
      <u/>
      <sz val="9"/>
      <name val="Cambria"/>
      <family val="1"/>
      <scheme val="major"/>
    </font>
    <font>
      <b/>
      <u/>
      <sz val="9"/>
      <color rgb="FFFF0000"/>
      <name val="Cambria"/>
      <family val="1"/>
      <scheme val="major"/>
    </font>
    <font>
      <b/>
      <u/>
      <sz val="9"/>
      <name val="Cambria"/>
      <family val="1"/>
      <scheme val="major"/>
    </font>
    <font>
      <sz val="9"/>
      <color theme="0"/>
      <name val="Cambria"/>
      <family val="1"/>
      <scheme val="major"/>
    </font>
    <font>
      <b/>
      <sz val="9"/>
      <color theme="0"/>
      <name val="Cambria"/>
      <family val="1"/>
      <scheme val="major"/>
    </font>
    <font>
      <b/>
      <u/>
      <sz val="11"/>
      <name val="Cambria"/>
      <family val="1"/>
      <scheme val="major"/>
    </font>
    <font>
      <sz val="9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sz val="9"/>
      <color rgb="FFFF0000"/>
      <name val="Cambria"/>
      <family val="1"/>
      <scheme val="major"/>
    </font>
    <font>
      <sz val="9"/>
      <color indexed="8"/>
      <name val="Cambria"/>
      <family val="1"/>
      <scheme val="major"/>
    </font>
    <font>
      <b/>
      <sz val="9"/>
      <color indexed="8"/>
      <name val="Cambria"/>
      <family val="1"/>
      <scheme val="major"/>
    </font>
    <font>
      <sz val="9"/>
      <color indexed="10"/>
      <name val="Cambria"/>
      <family val="1"/>
      <scheme val="major"/>
    </font>
    <font>
      <b/>
      <sz val="9"/>
      <color indexed="10"/>
      <name val="Cambria"/>
      <family val="1"/>
      <scheme val="major"/>
    </font>
    <font>
      <sz val="8"/>
      <color indexed="8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8"/>
      <name val="Cambria"/>
      <family val="1"/>
      <scheme val="major"/>
    </font>
    <font>
      <sz val="9"/>
      <color indexed="9"/>
      <name val="Cambria"/>
      <family val="1"/>
      <scheme val="major"/>
    </font>
    <font>
      <sz val="11"/>
      <color theme="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2"/>
      <name val="Cambria"/>
      <family val="1"/>
      <scheme val="major"/>
    </font>
    <font>
      <u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0"/>
      <name val="Cambria"/>
      <family val="1"/>
      <scheme val="major"/>
    </font>
    <font>
      <sz val="8.5"/>
      <name val="Cambria"/>
      <family val="1"/>
      <scheme val="major"/>
    </font>
    <font>
      <b/>
      <u/>
      <sz val="8.5"/>
      <name val="Cambria"/>
      <family val="1"/>
      <scheme val="major"/>
    </font>
    <font>
      <b/>
      <sz val="8.5"/>
      <name val="Cambria"/>
      <family val="1"/>
      <scheme val="major"/>
    </font>
    <font>
      <b/>
      <sz val="8"/>
      <color rgb="FFFF0000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1"/>
      <color rgb="FF000000"/>
      <name val="Times New Roman"/>
      <family val="1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F2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FF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9">
    <xf numFmtId="0" fontId="0" fillId="0" borderId="0"/>
    <xf numFmtId="0" fontId="29" fillId="3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28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1008">
    <xf numFmtId="0" fontId="0" fillId="0" borderId="0" xfId="0"/>
    <xf numFmtId="0" fontId="3" fillId="0" borderId="0" xfId="8" applyFont="1" applyAlignment="1">
      <alignment vertical="center"/>
    </xf>
    <xf numFmtId="0" fontId="3" fillId="0" borderId="0" xfId="10" applyFont="1"/>
    <xf numFmtId="0" fontId="3" fillId="0" borderId="0" xfId="10" applyFont="1" applyBorder="1"/>
    <xf numFmtId="0" fontId="4" fillId="0" borderId="0" xfId="10" applyFont="1"/>
    <xf numFmtId="0" fontId="3" fillId="0" borderId="0" xfId="10"/>
    <xf numFmtId="0" fontId="7" fillId="0" borderId="0" xfId="10" applyFont="1" applyFill="1" applyAlignment="1">
      <alignment horizontal="center" vertical="center"/>
    </xf>
    <xf numFmtId="165" fontId="7" fillId="0" borderId="0" xfId="10" applyNumberFormat="1" applyFont="1" applyFill="1" applyAlignment="1">
      <alignment horizontal="center" vertical="center"/>
    </xf>
    <xf numFmtId="0" fontId="5" fillId="0" borderId="0" xfId="10" applyFont="1" applyFill="1" applyAlignment="1">
      <alignment vertical="center"/>
    </xf>
    <xf numFmtId="165" fontId="5" fillId="0" borderId="0" xfId="10" applyNumberFormat="1" applyFont="1" applyFill="1" applyAlignment="1">
      <alignment vertical="center"/>
    </xf>
    <xf numFmtId="0" fontId="3" fillId="0" borderId="0" xfId="10" applyAlignment="1">
      <alignment vertical="center"/>
    </xf>
    <xf numFmtId="0" fontId="3" fillId="0" borderId="0" xfId="10" applyFont="1" applyAlignment="1">
      <alignment horizontal="justify" vertical="justify"/>
    </xf>
    <xf numFmtId="0" fontId="8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43" fontId="5" fillId="0" borderId="0" xfId="10" applyNumberFormat="1" applyFont="1" applyFill="1" applyAlignment="1">
      <alignment vertical="center"/>
    </xf>
    <xf numFmtId="0" fontId="6" fillId="0" borderId="0" xfId="14" applyFont="1" applyAlignment="1">
      <alignment horizontal="center" vertical="center" wrapText="1"/>
    </xf>
    <xf numFmtId="0" fontId="3" fillId="0" borderId="0" xfId="10" applyFill="1" applyAlignment="1">
      <alignment vertical="center"/>
    </xf>
    <xf numFmtId="0" fontId="3" fillId="0" borderId="0" xfId="10" applyFont="1" applyFill="1"/>
    <xf numFmtId="0" fontId="30" fillId="0" borderId="0" xfId="0" applyFont="1" applyFill="1" applyAlignment="1">
      <alignment horizontal="left"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/>
    <xf numFmtId="0" fontId="31" fillId="0" borderId="0" xfId="0" applyFont="1" applyFill="1" applyBorder="1" applyAlignment="1" applyProtection="1">
      <alignment vertical="center" wrapText="1"/>
      <protection locked="0"/>
    </xf>
    <xf numFmtId="0" fontId="32" fillId="0" borderId="2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 applyProtection="1">
      <alignment vertical="center" wrapText="1"/>
      <protection locked="0"/>
    </xf>
    <xf numFmtId="14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20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justify" vertical="center" wrapText="1"/>
    </xf>
    <xf numFmtId="10" fontId="31" fillId="0" borderId="0" xfId="0" applyNumberFormat="1" applyFont="1" applyFill="1" applyBorder="1" applyAlignment="1">
      <alignment horizontal="center" vertical="center" wrapText="1"/>
    </xf>
    <xf numFmtId="167" fontId="31" fillId="0" borderId="0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31" fillId="0" borderId="0" xfId="14" applyFont="1" applyAlignment="1">
      <alignment vertical="center"/>
    </xf>
    <xf numFmtId="0" fontId="31" fillId="0" borderId="0" xfId="8" applyFont="1" applyAlignment="1">
      <alignment vertical="center"/>
    </xf>
    <xf numFmtId="0" fontId="31" fillId="0" borderId="0" xfId="8" applyFont="1"/>
    <xf numFmtId="0" fontId="28" fillId="0" borderId="0" xfId="13" applyAlignment="1">
      <alignment vertical="center"/>
    </xf>
    <xf numFmtId="0" fontId="34" fillId="0" borderId="0" xfId="13" applyFont="1" applyAlignment="1">
      <alignment vertical="center"/>
    </xf>
    <xf numFmtId="0" fontId="35" fillId="0" borderId="0" xfId="13" applyFont="1" applyAlignment="1">
      <alignment horizontal="center" vertical="center"/>
    </xf>
    <xf numFmtId="167" fontId="35" fillId="0" borderId="0" xfId="4" applyFont="1" applyAlignment="1">
      <alignment horizontal="center" vertical="center"/>
    </xf>
    <xf numFmtId="0" fontId="36" fillId="0" borderId="0" xfId="13" applyFont="1" applyAlignment="1">
      <alignment horizontal="center" vertical="center"/>
    </xf>
    <xf numFmtId="0" fontId="4" fillId="0" borderId="0" xfId="8" applyFont="1" applyAlignment="1">
      <alignment vertical="center" wrapText="1"/>
    </xf>
    <xf numFmtId="0" fontId="35" fillId="0" borderId="0" xfId="13" applyFont="1" applyAlignment="1">
      <alignment vertical="center"/>
    </xf>
    <xf numFmtId="0" fontId="3" fillId="0" borderId="0" xfId="8" applyFont="1" applyAlignment="1">
      <alignment vertical="center" wrapText="1"/>
    </xf>
    <xf numFmtId="0" fontId="3" fillId="0" borderId="0" xfId="8" applyAlignment="1">
      <alignment vertical="center" wrapText="1"/>
    </xf>
    <xf numFmtId="0" fontId="3" fillId="0" borderId="0" xfId="8" applyAlignment="1">
      <alignment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3" fillId="0" borderId="0" xfId="14" applyAlignment="1">
      <alignment vertical="center"/>
    </xf>
    <xf numFmtId="0" fontId="6" fillId="0" borderId="0" xfId="14" applyFont="1" applyAlignment="1">
      <alignment vertical="center"/>
    </xf>
    <xf numFmtId="0" fontId="3" fillId="0" borderId="0" xfId="14" applyBorder="1" applyAlignment="1">
      <alignment vertical="center"/>
    </xf>
    <xf numFmtId="0" fontId="37" fillId="0" borderId="0" xfId="0" applyFont="1" applyAlignment="1"/>
    <xf numFmtId="0" fontId="31" fillId="0" borderId="0" xfId="0" applyFont="1" applyAlignment="1"/>
    <xf numFmtId="0" fontId="32" fillId="0" borderId="0" xfId="0" applyFont="1" applyAlignment="1"/>
    <xf numFmtId="0" fontId="31" fillId="0" borderId="0" xfId="0" applyFont="1" applyAlignment="1">
      <alignment horizontal="justify" vertical="center"/>
    </xf>
    <xf numFmtId="0" fontId="31" fillId="0" borderId="0" xfId="0" applyFont="1" applyFill="1" applyAlignment="1"/>
    <xf numFmtId="0" fontId="31" fillId="0" borderId="0" xfId="0" applyFont="1" applyBorder="1" applyAlignment="1"/>
    <xf numFmtId="0" fontId="31" fillId="0" borderId="0" xfId="0" applyFont="1" applyAlignment="1">
      <alignment vertical="center"/>
    </xf>
    <xf numFmtId="0" fontId="32" fillId="0" borderId="0" xfId="0" applyFont="1" applyFill="1" applyAlignment="1"/>
    <xf numFmtId="17" fontId="32" fillId="0" borderId="0" xfId="0" applyNumberFormat="1" applyFont="1" applyFill="1" applyBorder="1" applyAlignment="1" applyProtection="1">
      <alignment vertical="center"/>
      <protection locked="0"/>
    </xf>
    <xf numFmtId="3" fontId="3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8" applyFont="1" applyFill="1" applyAlignment="1">
      <alignment vertical="center"/>
    </xf>
    <xf numFmtId="0" fontId="31" fillId="0" borderId="0" xfId="9" applyFont="1" applyAlignment="1">
      <alignment vertical="center"/>
    </xf>
    <xf numFmtId="0" fontId="31" fillId="0" borderId="0" xfId="14" applyFont="1" applyAlignment="1">
      <alignment horizontal="center" vertical="center" wrapText="1"/>
    </xf>
    <xf numFmtId="0" fontId="31" fillId="0" borderId="0" xfId="14" applyFont="1" applyBorder="1" applyAlignment="1">
      <alignment vertical="center"/>
    </xf>
    <xf numFmtId="167" fontId="35" fillId="0" borderId="0" xfId="4" applyFont="1" applyAlignment="1">
      <alignment vertical="center"/>
    </xf>
    <xf numFmtId="0" fontId="36" fillId="0" borderId="0" xfId="13" applyFont="1" applyAlignment="1">
      <alignment horizontal="center"/>
    </xf>
    <xf numFmtId="167" fontId="35" fillId="0" borderId="0" xfId="13" applyNumberFormat="1" applyFont="1" applyAlignment="1">
      <alignment horizontal="center" vertical="center"/>
    </xf>
    <xf numFmtId="0" fontId="38" fillId="0" borderId="0" xfId="8" applyFont="1" applyFill="1" applyBorder="1" applyAlignment="1">
      <alignment horizontal="center" vertical="center"/>
    </xf>
    <xf numFmtId="0" fontId="39" fillId="0" borderId="0" xfId="8" applyFont="1" applyFill="1" applyAlignment="1">
      <alignment vertical="center"/>
    </xf>
    <xf numFmtId="0" fontId="40" fillId="0" borderId="0" xfId="8" applyFont="1" applyFill="1" applyAlignment="1">
      <alignment vertical="center"/>
    </xf>
    <xf numFmtId="0" fontId="37" fillId="0" borderId="0" xfId="14" applyFont="1" applyAlignment="1">
      <alignment vertical="center"/>
    </xf>
    <xf numFmtId="0" fontId="37" fillId="0" borderId="0" xfId="14" applyFont="1" applyFill="1" applyAlignment="1">
      <alignment vertical="center"/>
    </xf>
    <xf numFmtId="0" fontId="37" fillId="0" borderId="0" xfId="14" applyFont="1" applyFill="1" applyAlignment="1">
      <alignment horizontal="center" vertical="center"/>
    </xf>
    <xf numFmtId="0" fontId="38" fillId="0" borderId="0" xfId="14" applyFont="1" applyAlignment="1">
      <alignment horizontal="center" vertical="center" wrapText="1"/>
    </xf>
    <xf numFmtId="167" fontId="40" fillId="0" borderId="0" xfId="4" applyFont="1" applyAlignment="1">
      <alignment horizontal="center" vertical="center" wrapText="1"/>
    </xf>
    <xf numFmtId="167" fontId="40" fillId="0" borderId="0" xfId="4" applyFont="1" applyAlignment="1">
      <alignment vertical="center"/>
    </xf>
    <xf numFmtId="167" fontId="40" fillId="0" borderId="0" xfId="4" applyFont="1" applyBorder="1" applyAlignment="1">
      <alignment vertical="center"/>
    </xf>
    <xf numFmtId="0" fontId="41" fillId="0" borderId="0" xfId="14" applyFont="1" applyAlignment="1">
      <alignment vertical="center"/>
    </xf>
    <xf numFmtId="0" fontId="41" fillId="0" borderId="0" xfId="14" applyFont="1" applyFill="1" applyAlignment="1">
      <alignment vertical="center"/>
    </xf>
    <xf numFmtId="0" fontId="41" fillId="0" borderId="0" xfId="14" applyFont="1" applyFill="1" applyAlignment="1">
      <alignment horizontal="center" vertical="center"/>
    </xf>
    <xf numFmtId="0" fontId="40" fillId="0" borderId="0" xfId="14" applyFont="1" applyAlignment="1">
      <alignment vertical="center"/>
    </xf>
    <xf numFmtId="1" fontId="40" fillId="0" borderId="3" xfId="6" applyNumberFormat="1" applyFont="1" applyFill="1" applyBorder="1" applyAlignment="1">
      <alignment horizontal="center" vertical="center" wrapText="1"/>
    </xf>
    <xf numFmtId="172" fontId="40" fillId="0" borderId="3" xfId="6" applyNumberFormat="1" applyFont="1" applyFill="1" applyBorder="1" applyAlignment="1">
      <alignment horizontal="center" vertical="center" wrapText="1"/>
    </xf>
    <xf numFmtId="165" fontId="40" fillId="0" borderId="4" xfId="6" applyFont="1" applyFill="1" applyBorder="1" applyAlignment="1">
      <alignment horizontal="center" vertical="center" wrapText="1"/>
    </xf>
    <xf numFmtId="165" fontId="40" fillId="0" borderId="3" xfId="6" applyFont="1" applyFill="1" applyBorder="1" applyAlignment="1">
      <alignment horizontal="center" vertical="center" wrapText="1"/>
    </xf>
    <xf numFmtId="0" fontId="40" fillId="0" borderId="0" xfId="14" applyFont="1" applyFill="1" applyAlignment="1">
      <alignment vertical="center"/>
    </xf>
    <xf numFmtId="0" fontId="40" fillId="0" borderId="0" xfId="14" applyFont="1" applyFill="1" applyAlignment="1">
      <alignment horizontal="center" vertical="center"/>
    </xf>
    <xf numFmtId="0" fontId="40" fillId="0" borderId="3" xfId="9" applyFont="1" applyFill="1" applyBorder="1" applyAlignment="1">
      <alignment vertical="center" wrapText="1"/>
    </xf>
    <xf numFmtId="0" fontId="40" fillId="0" borderId="0" xfId="8" applyFont="1" applyAlignment="1">
      <alignment vertical="center"/>
    </xf>
    <xf numFmtId="0" fontId="38" fillId="0" borderId="0" xfId="8" applyFont="1" applyAlignment="1">
      <alignment vertical="center"/>
    </xf>
    <xf numFmtId="0" fontId="39" fillId="0" borderId="0" xfId="8" applyFont="1" applyAlignment="1">
      <alignment vertical="center"/>
    </xf>
    <xf numFmtId="0" fontId="40" fillId="0" borderId="0" xfId="8" quotePrefix="1" applyFont="1" applyAlignment="1">
      <alignment horizontal="justify" vertical="center" wrapText="1"/>
    </xf>
    <xf numFmtId="0" fontId="42" fillId="0" borderId="0" xfId="8" quotePrefix="1" applyFont="1" applyAlignment="1">
      <alignment horizontal="left" vertical="center"/>
    </xf>
    <xf numFmtId="0" fontId="43" fillId="0" borderId="0" xfId="8" applyFont="1" applyFill="1" applyBorder="1" applyAlignment="1">
      <alignment horizontal="center" vertical="center"/>
    </xf>
    <xf numFmtId="0" fontId="44" fillId="0" borderId="0" xfId="8" applyFont="1"/>
    <xf numFmtId="0" fontId="40" fillId="0" borderId="0" xfId="8" applyFont="1" applyFill="1"/>
    <xf numFmtId="0" fontId="40" fillId="0" borderId="0" xfId="0" applyFont="1" applyFill="1" applyAlignment="1">
      <alignment horizontal="left" indent="1"/>
    </xf>
    <xf numFmtId="0" fontId="40" fillId="0" borderId="0" xfId="8" applyNumberFormat="1" applyFont="1" applyFill="1" applyAlignment="1">
      <alignment horizontal="left" vertical="center"/>
    </xf>
    <xf numFmtId="0" fontId="40" fillId="0" borderId="0" xfId="8" applyFont="1" applyAlignment="1" applyProtection="1">
      <alignment horizontal="left" vertical="center"/>
      <protection hidden="1"/>
    </xf>
    <xf numFmtId="0" fontId="40" fillId="0" borderId="0" xfId="8" applyFont="1"/>
    <xf numFmtId="0" fontId="45" fillId="0" borderId="0" xfId="8" applyFont="1" applyAlignment="1"/>
    <xf numFmtId="0" fontId="46" fillId="0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38" fillId="0" borderId="0" xfId="8" applyFont="1" applyBorder="1" applyAlignment="1">
      <alignment horizontal="left" vertical="center"/>
    </xf>
    <xf numFmtId="0" fontId="38" fillId="0" borderId="0" xfId="8" applyFont="1" applyBorder="1" applyAlignment="1">
      <alignment horizontal="center" vertical="center"/>
    </xf>
    <xf numFmtId="0" fontId="47" fillId="0" borderId="0" xfId="13" applyFont="1" applyAlignment="1">
      <alignment vertical="center"/>
    </xf>
    <xf numFmtId="0" fontId="38" fillId="0" borderId="0" xfId="8" applyFont="1" applyBorder="1" applyAlignment="1">
      <alignment vertical="center"/>
    </xf>
    <xf numFmtId="0" fontId="39" fillId="0" borderId="0" xfId="8" applyFont="1" applyBorder="1" applyAlignment="1">
      <alignment vertical="center"/>
    </xf>
    <xf numFmtId="167" fontId="39" fillId="0" borderId="0" xfId="5" applyFont="1" applyBorder="1" applyAlignment="1">
      <alignment horizontal="center" vertical="center"/>
    </xf>
    <xf numFmtId="167" fontId="38" fillId="0" borderId="0" xfId="5" applyFont="1" applyBorder="1" applyAlignment="1">
      <alignment horizontal="center" vertical="center"/>
    </xf>
    <xf numFmtId="3" fontId="40" fillId="0" borderId="5" xfId="8" quotePrefix="1" applyNumberFormat="1" applyFont="1" applyBorder="1" applyAlignment="1">
      <alignment horizontal="center" vertical="center"/>
    </xf>
    <xf numFmtId="0" fontId="40" fillId="0" borderId="0" xfId="8" applyFont="1" applyBorder="1" applyAlignment="1">
      <alignment vertical="center"/>
    </xf>
    <xf numFmtId="0" fontId="48" fillId="0" borderId="0" xfId="13" applyFont="1" applyAlignment="1">
      <alignment vertical="center"/>
    </xf>
    <xf numFmtId="0" fontId="40" fillId="0" borderId="6" xfId="8" applyFont="1" applyBorder="1" applyAlignment="1">
      <alignment vertical="center"/>
    </xf>
    <xf numFmtId="14" fontId="40" fillId="0" borderId="5" xfId="8" applyNumberFormat="1" applyFont="1" applyBorder="1" applyAlignment="1">
      <alignment horizontal="center" vertical="center"/>
    </xf>
    <xf numFmtId="172" fontId="40" fillId="0" borderId="5" xfId="8" applyNumberFormat="1" applyFont="1" applyBorder="1" applyAlignment="1">
      <alignment horizontal="center" vertical="center"/>
    </xf>
    <xf numFmtId="1" fontId="40" fillId="0" borderId="0" xfId="8" applyNumberFormat="1" applyFont="1" applyBorder="1" applyAlignment="1">
      <alignment horizontal="center" vertical="center"/>
    </xf>
    <xf numFmtId="17" fontId="40" fillId="0" borderId="5" xfId="8" quotePrefix="1" applyNumberFormat="1" applyFont="1" applyBorder="1" applyAlignment="1">
      <alignment horizontal="center" vertical="center"/>
    </xf>
    <xf numFmtId="17" fontId="40" fillId="0" borderId="0" xfId="8" quotePrefix="1" applyNumberFormat="1" applyFont="1" applyBorder="1" applyAlignment="1">
      <alignment vertical="center"/>
    </xf>
    <xf numFmtId="20" fontId="40" fillId="0" borderId="0" xfId="8" applyNumberFormat="1" applyFont="1" applyBorder="1" applyAlignment="1">
      <alignment horizontal="center" vertical="center"/>
    </xf>
    <xf numFmtId="0" fontId="40" fillId="0" borderId="0" xfId="8" applyFont="1" applyBorder="1" applyAlignment="1">
      <alignment horizontal="center" vertical="center"/>
    </xf>
    <xf numFmtId="20" fontId="40" fillId="0" borderId="5" xfId="8" applyNumberFormat="1" applyFont="1" applyBorder="1" applyAlignment="1">
      <alignment horizontal="center" vertical="center"/>
    </xf>
    <xf numFmtId="20" fontId="40" fillId="0" borderId="0" xfId="8" applyNumberFormat="1" applyFont="1" applyBorder="1" applyAlignment="1">
      <alignment vertical="center"/>
    </xf>
    <xf numFmtId="0" fontId="49" fillId="4" borderId="5" xfId="8" applyFont="1" applyFill="1" applyBorder="1" applyAlignment="1">
      <alignment horizontal="left" vertical="center"/>
    </xf>
    <xf numFmtId="0" fontId="40" fillId="0" borderId="0" xfId="8" applyFont="1" applyFill="1" applyBorder="1" applyAlignment="1">
      <alignment vertical="center"/>
    </xf>
    <xf numFmtId="0" fontId="40" fillId="0" borderId="7" xfId="8" applyFont="1" applyBorder="1" applyAlignment="1">
      <alignment vertical="center"/>
    </xf>
    <xf numFmtId="0" fontId="40" fillId="0" borderId="5" xfId="8" applyFont="1" applyBorder="1" applyAlignment="1">
      <alignment horizontal="center" vertical="center"/>
    </xf>
    <xf numFmtId="0" fontId="40" fillId="0" borderId="8" xfId="8" applyFont="1" applyBorder="1" applyAlignment="1">
      <alignment vertical="center"/>
    </xf>
    <xf numFmtId="172" fontId="40" fillId="0" borderId="0" xfId="8" applyNumberFormat="1" applyFont="1" applyBorder="1" applyAlignment="1">
      <alignment horizontal="center" vertical="center"/>
    </xf>
    <xf numFmtId="0" fontId="40" fillId="0" borderId="9" xfId="8" applyFont="1" applyBorder="1" applyAlignment="1">
      <alignment vertical="center"/>
    </xf>
    <xf numFmtId="0" fontId="40" fillId="0" borderId="10" xfId="8" applyFont="1" applyBorder="1" applyAlignment="1">
      <alignment vertical="center"/>
    </xf>
    <xf numFmtId="0" fontId="49" fillId="0" borderId="5" xfId="8" applyFont="1" applyBorder="1" applyAlignment="1">
      <alignment vertical="center"/>
    </xf>
    <xf numFmtId="2" fontId="38" fillId="0" borderId="0" xfId="8" applyNumberFormat="1" applyFont="1" applyBorder="1" applyAlignment="1">
      <alignment horizontal="center" vertical="center"/>
    </xf>
    <xf numFmtId="2" fontId="38" fillId="0" borderId="0" xfId="8" applyNumberFormat="1" applyFont="1" applyFill="1" applyBorder="1" applyAlignment="1">
      <alignment horizontal="center" vertical="center"/>
    </xf>
    <xf numFmtId="0" fontId="40" fillId="0" borderId="11" xfId="8" applyFont="1" applyBorder="1" applyAlignment="1">
      <alignment vertical="center"/>
    </xf>
    <xf numFmtId="0" fontId="40" fillId="0" borderId="12" xfId="8" applyFont="1" applyBorder="1" applyAlignment="1">
      <alignment horizontal="right" vertical="center" shrinkToFit="1"/>
    </xf>
    <xf numFmtId="167" fontId="49" fillId="4" borderId="13" xfId="4" applyFont="1" applyFill="1" applyBorder="1" applyAlignment="1">
      <alignment horizontal="left" vertical="center" shrinkToFit="1"/>
    </xf>
    <xf numFmtId="0" fontId="40" fillId="0" borderId="5" xfId="8" applyFont="1" applyBorder="1" applyAlignment="1">
      <alignment vertical="center"/>
    </xf>
    <xf numFmtId="0" fontId="49" fillId="0" borderId="0" xfId="13" applyFont="1" applyAlignment="1">
      <alignment horizontal="right" vertical="center"/>
    </xf>
    <xf numFmtId="0" fontId="47" fillId="0" borderId="0" xfId="13" applyFont="1" applyAlignment="1">
      <alignment horizontal="right" vertical="center"/>
    </xf>
    <xf numFmtId="39" fontId="40" fillId="0" borderId="9" xfId="6" applyNumberFormat="1" applyFont="1" applyBorder="1" applyAlignment="1">
      <alignment vertical="center"/>
    </xf>
    <xf numFmtId="0" fontId="40" fillId="0" borderId="14" xfId="8" applyFont="1" applyBorder="1" applyAlignment="1">
      <alignment vertical="center"/>
    </xf>
    <xf numFmtId="0" fontId="50" fillId="0" borderId="11" xfId="8" applyFont="1" applyBorder="1" applyAlignment="1">
      <alignment vertical="center"/>
    </xf>
    <xf numFmtId="0" fontId="49" fillId="0" borderId="0" xfId="8" applyFont="1" applyBorder="1" applyAlignment="1">
      <alignment vertical="center"/>
    </xf>
    <xf numFmtId="0" fontId="47" fillId="0" borderId="0" xfId="13" applyFont="1" applyBorder="1" applyAlignment="1">
      <alignment vertical="center"/>
    </xf>
    <xf numFmtId="0" fontId="40" fillId="0" borderId="0" xfId="8" applyFont="1" applyBorder="1" applyAlignment="1">
      <alignment horizontal="right" vertical="center"/>
    </xf>
    <xf numFmtId="167" fontId="49" fillId="0" borderId="0" xfId="4" applyFont="1" applyFill="1" applyBorder="1" applyAlignment="1">
      <alignment horizontal="left" vertical="center"/>
    </xf>
    <xf numFmtId="171" fontId="49" fillId="0" borderId="0" xfId="6" applyNumberFormat="1" applyFont="1" applyBorder="1" applyAlignment="1">
      <alignment horizontal="left" vertical="center"/>
    </xf>
    <xf numFmtId="39" fontId="40" fillId="0" borderId="15" xfId="6" applyNumberFormat="1" applyFont="1" applyBorder="1" applyAlignment="1">
      <alignment vertical="center"/>
    </xf>
    <xf numFmtId="0" fontId="40" fillId="0" borderId="16" xfId="8" applyFont="1" applyBorder="1" applyAlignment="1">
      <alignment vertical="center"/>
    </xf>
    <xf numFmtId="37" fontId="39" fillId="0" borderId="0" xfId="6" applyNumberFormat="1" applyFont="1" applyBorder="1" applyAlignment="1">
      <alignment vertical="center"/>
    </xf>
    <xf numFmtId="37" fontId="45" fillId="0" borderId="0" xfId="6" applyNumberFormat="1" applyFont="1" applyBorder="1" applyAlignment="1">
      <alignment vertical="center"/>
    </xf>
    <xf numFmtId="0" fontId="45" fillId="0" borderId="0" xfId="8" applyFont="1" applyBorder="1" applyAlignment="1">
      <alignment vertical="center"/>
    </xf>
    <xf numFmtId="0" fontId="47" fillId="0" borderId="8" xfId="13" applyFont="1" applyBorder="1" applyAlignment="1">
      <alignment vertical="center"/>
    </xf>
    <xf numFmtId="165" fontId="40" fillId="0" borderId="17" xfId="6" applyFont="1" applyBorder="1" applyAlignment="1">
      <alignment horizontal="right" vertical="center"/>
    </xf>
    <xf numFmtId="167" fontId="40" fillId="0" borderId="18" xfId="4" applyFont="1" applyBorder="1" applyAlignment="1">
      <alignment vertical="center"/>
    </xf>
    <xf numFmtId="165" fontId="40" fillId="0" borderId="19" xfId="6" applyFont="1" applyBorder="1" applyAlignment="1">
      <alignment horizontal="right" vertical="center"/>
    </xf>
    <xf numFmtId="167" fontId="40" fillId="0" borderId="20" xfId="4" applyFont="1" applyBorder="1" applyAlignment="1">
      <alignment vertical="center"/>
    </xf>
    <xf numFmtId="0" fontId="38" fillId="0" borderId="8" xfId="8" applyFont="1" applyBorder="1" applyAlignment="1">
      <alignment vertical="center"/>
    </xf>
    <xf numFmtId="0" fontId="39" fillId="0" borderId="0" xfId="8" applyFont="1" applyAlignment="1">
      <alignment horizontal="left" vertical="center"/>
    </xf>
    <xf numFmtId="2" fontId="38" fillId="0" borderId="0" xfId="8" applyNumberFormat="1" applyFont="1" applyFill="1" applyBorder="1" applyAlignment="1">
      <alignment vertical="center"/>
    </xf>
    <xf numFmtId="0" fontId="50" fillId="0" borderId="21" xfId="8" applyFont="1" applyBorder="1" applyAlignment="1">
      <alignment vertical="center"/>
    </xf>
    <xf numFmtId="0" fontId="49" fillId="0" borderId="5" xfId="6" applyNumberFormat="1" applyFont="1" applyBorder="1" applyAlignment="1">
      <alignment vertical="center"/>
    </xf>
    <xf numFmtId="0" fontId="49" fillId="0" borderId="0" xfId="6" applyNumberFormat="1" applyFont="1" applyBorder="1" applyAlignment="1">
      <alignment vertical="center"/>
    </xf>
    <xf numFmtId="0" fontId="50" fillId="0" borderId="5" xfId="8" applyFont="1" applyBorder="1" applyAlignment="1">
      <alignment vertical="center"/>
    </xf>
    <xf numFmtId="10" fontId="40" fillId="0" borderId="22" xfId="18" applyNumberFormat="1" applyFont="1" applyFill="1" applyBorder="1" applyAlignment="1">
      <alignment vertical="center"/>
    </xf>
    <xf numFmtId="0" fontId="38" fillId="0" borderId="23" xfId="8" applyFont="1" applyBorder="1" applyAlignment="1">
      <alignment horizontal="center" vertical="center" shrinkToFit="1"/>
    </xf>
    <xf numFmtId="0" fontId="49" fillId="0" borderId="0" xfId="6" applyNumberFormat="1" applyFont="1" applyBorder="1" applyAlignment="1">
      <alignment horizontal="center" vertical="center"/>
    </xf>
    <xf numFmtId="165" fontId="49" fillId="0" borderId="0" xfId="6" applyFont="1" applyBorder="1" applyAlignment="1">
      <alignment vertical="center"/>
    </xf>
    <xf numFmtId="0" fontId="49" fillId="0" borderId="0" xfId="6" applyNumberFormat="1" applyFont="1" applyBorder="1" applyAlignment="1">
      <alignment horizontal="left" vertical="center"/>
    </xf>
    <xf numFmtId="0" fontId="50" fillId="0" borderId="9" xfId="8" applyFont="1" applyBorder="1" applyAlignment="1">
      <alignment vertical="center"/>
    </xf>
    <xf numFmtId="0" fontId="50" fillId="0" borderId="24" xfId="8" applyFont="1" applyBorder="1" applyAlignment="1">
      <alignment vertical="center"/>
    </xf>
    <xf numFmtId="0" fontId="40" fillId="0" borderId="25" xfId="8" applyFont="1" applyBorder="1" applyAlignment="1">
      <alignment vertical="center"/>
    </xf>
    <xf numFmtId="0" fontId="50" fillId="0" borderId="26" xfId="8" applyFont="1" applyBorder="1" applyAlignment="1">
      <alignment vertical="center"/>
    </xf>
    <xf numFmtId="165" fontId="40" fillId="0" borderId="22" xfId="6" applyFont="1" applyFill="1" applyBorder="1" applyAlignment="1">
      <alignment vertical="center"/>
    </xf>
    <xf numFmtId="174" fontId="40" fillId="0" borderId="0" xfId="6" applyNumberFormat="1" applyFont="1" applyFill="1" applyBorder="1" applyAlignment="1">
      <alignment vertical="center"/>
    </xf>
    <xf numFmtId="165" fontId="40" fillId="0" borderId="0" xfId="6" applyFont="1" applyFill="1" applyBorder="1" applyAlignment="1">
      <alignment vertical="center"/>
    </xf>
    <xf numFmtId="165" fontId="40" fillId="0" borderId="27" xfId="6" applyFont="1" applyFill="1" applyBorder="1" applyAlignment="1">
      <alignment vertical="center"/>
    </xf>
    <xf numFmtId="0" fontId="49" fillId="0" borderId="28" xfId="8" applyFont="1" applyBorder="1" applyAlignment="1">
      <alignment horizontal="right" vertical="center"/>
    </xf>
    <xf numFmtId="165" fontId="40" fillId="0" borderId="29" xfId="6" applyFont="1" applyFill="1" applyBorder="1" applyAlignment="1">
      <alignment vertical="center" shrinkToFit="1"/>
    </xf>
    <xf numFmtId="0" fontId="40" fillId="0" borderId="11" xfId="8" applyFont="1" applyBorder="1" applyAlignment="1">
      <alignment horizontal="left" vertical="center"/>
    </xf>
    <xf numFmtId="0" fontId="49" fillId="0" borderId="6" xfId="8" applyFont="1" applyBorder="1" applyAlignment="1">
      <alignment horizontal="left" vertical="center"/>
    </xf>
    <xf numFmtId="0" fontId="49" fillId="0" borderId="19" xfId="8" applyFont="1" applyBorder="1" applyAlignment="1">
      <alignment horizontal="right" vertical="center"/>
    </xf>
    <xf numFmtId="165" fontId="40" fillId="0" borderId="30" xfId="6" applyFont="1" applyFill="1" applyBorder="1" applyAlignment="1">
      <alignment vertical="center" shrinkToFit="1"/>
    </xf>
    <xf numFmtId="0" fontId="40" fillId="0" borderId="31" xfId="8" applyFont="1" applyBorder="1" applyAlignment="1">
      <alignment vertical="center"/>
    </xf>
    <xf numFmtId="0" fontId="40" fillId="0" borderId="32" xfId="8" applyFont="1" applyBorder="1" applyAlignment="1">
      <alignment vertical="center"/>
    </xf>
    <xf numFmtId="165" fontId="40" fillId="0" borderId="33" xfId="6" applyFont="1" applyBorder="1" applyAlignment="1">
      <alignment vertical="center"/>
    </xf>
    <xf numFmtId="174" fontId="49" fillId="0" borderId="0" xfId="4" applyNumberFormat="1" applyFont="1" applyBorder="1" applyAlignment="1">
      <alignment horizontal="left" vertical="center"/>
    </xf>
    <xf numFmtId="10" fontId="40" fillId="0" borderId="0" xfId="8" applyNumberFormat="1" applyFont="1" applyBorder="1" applyAlignment="1">
      <alignment vertical="center"/>
    </xf>
    <xf numFmtId="0" fontId="40" fillId="0" borderId="0" xfId="19" applyNumberFormat="1" applyFont="1" applyBorder="1" applyAlignment="1">
      <alignment vertical="center"/>
    </xf>
    <xf numFmtId="0" fontId="50" fillId="0" borderId="0" xfId="8" applyFont="1" applyBorder="1" applyAlignment="1">
      <alignment vertical="center"/>
    </xf>
    <xf numFmtId="10" fontId="40" fillId="0" borderId="0" xfId="19" applyNumberFormat="1" applyFont="1" applyBorder="1" applyAlignment="1">
      <alignment vertical="center"/>
    </xf>
    <xf numFmtId="0" fontId="51" fillId="0" borderId="0" xfId="8" applyFont="1" applyBorder="1" applyAlignment="1">
      <alignment vertical="center"/>
    </xf>
    <xf numFmtId="0" fontId="39" fillId="0" borderId="0" xfId="8" applyFont="1" applyAlignment="1">
      <alignment horizontal="left" vertical="center" wrapText="1"/>
    </xf>
    <xf numFmtId="2" fontId="49" fillId="0" borderId="34" xfId="8" applyNumberFormat="1" applyFont="1" applyBorder="1" applyAlignment="1">
      <alignment horizontal="right" vertical="center"/>
    </xf>
    <xf numFmtId="165" fontId="40" fillId="0" borderId="34" xfId="6" applyFont="1" applyBorder="1" applyAlignment="1">
      <alignment vertical="center"/>
    </xf>
    <xf numFmtId="167" fontId="49" fillId="0" borderId="0" xfId="5" applyFont="1" applyBorder="1" applyAlignment="1">
      <alignment vertical="center"/>
    </xf>
    <xf numFmtId="2" fontId="49" fillId="0" borderId="35" xfId="8" applyNumberFormat="1" applyFont="1" applyBorder="1" applyAlignment="1">
      <alignment horizontal="right" vertical="center"/>
    </xf>
    <xf numFmtId="165" fontId="40" fillId="0" borderId="35" xfId="6" applyFont="1" applyBorder="1" applyAlignment="1">
      <alignment vertical="center"/>
    </xf>
    <xf numFmtId="167" fontId="49" fillId="0" borderId="0" xfId="4" applyFont="1" applyBorder="1" applyAlignment="1">
      <alignment vertical="center"/>
    </xf>
    <xf numFmtId="2" fontId="39" fillId="0" borderId="36" xfId="8" applyNumberFormat="1" applyFont="1" applyBorder="1" applyAlignment="1">
      <alignment horizontal="center" vertical="center"/>
    </xf>
    <xf numFmtId="165" fontId="40" fillId="0" borderId="36" xfId="6" applyFont="1" applyBorder="1" applyAlignment="1">
      <alignment vertical="center"/>
    </xf>
    <xf numFmtId="10" fontId="39" fillId="0" borderId="0" xfId="8" applyNumberFormat="1" applyFont="1" applyBorder="1" applyAlignment="1">
      <alignment horizontal="right" vertical="center"/>
    </xf>
    <xf numFmtId="167" fontId="39" fillId="0" borderId="0" xfId="4" applyFont="1" applyBorder="1" applyAlignment="1">
      <alignment vertical="center"/>
    </xf>
    <xf numFmtId="0" fontId="50" fillId="0" borderId="19" xfId="8" applyFont="1" applyFill="1" applyBorder="1" applyAlignment="1">
      <alignment vertical="center"/>
    </xf>
    <xf numFmtId="10" fontId="39" fillId="0" borderId="16" xfId="8" applyNumberFormat="1" applyFont="1" applyBorder="1" applyAlignment="1">
      <alignment horizontal="center" vertical="center"/>
    </xf>
    <xf numFmtId="165" fontId="40" fillId="0" borderId="16" xfId="6" applyFont="1" applyBorder="1" applyAlignment="1">
      <alignment vertical="center"/>
    </xf>
    <xf numFmtId="0" fontId="39" fillId="0" borderId="0" xfId="8" applyFont="1" applyBorder="1" applyAlignment="1">
      <alignment horizontal="center" vertical="center"/>
    </xf>
    <xf numFmtId="167" fontId="40" fillId="0" borderId="0" xfId="8" applyNumberFormat="1" applyFont="1" applyBorder="1" applyAlignment="1">
      <alignment vertical="center"/>
    </xf>
    <xf numFmtId="10" fontId="40" fillId="0" borderId="9" xfId="19" applyNumberFormat="1" applyFont="1" applyFill="1" applyBorder="1" applyAlignment="1">
      <alignment horizontal="center" vertical="center"/>
    </xf>
    <xf numFmtId="10" fontId="40" fillId="0" borderId="37" xfId="19" applyNumberFormat="1" applyFont="1" applyFill="1" applyBorder="1" applyAlignment="1">
      <alignment horizontal="center" vertical="center"/>
    </xf>
    <xf numFmtId="10" fontId="49" fillId="0" borderId="0" xfId="19" applyNumberFormat="1" applyFont="1" applyFill="1" applyBorder="1" applyAlignment="1">
      <alignment horizontal="center" vertical="center"/>
    </xf>
    <xf numFmtId="167" fontId="49" fillId="0" borderId="0" xfId="19" applyNumberFormat="1" applyFont="1" applyFill="1" applyBorder="1" applyAlignment="1">
      <alignment horizontal="center" vertical="center"/>
    </xf>
    <xf numFmtId="0" fontId="40" fillId="0" borderId="38" xfId="8" applyFont="1" applyBorder="1" applyAlignment="1">
      <alignment vertical="center"/>
    </xf>
    <xf numFmtId="10" fontId="40" fillId="0" borderId="15" xfId="19" applyNumberFormat="1" applyFont="1" applyFill="1" applyBorder="1" applyAlignment="1">
      <alignment horizontal="center" vertical="center"/>
    </xf>
    <xf numFmtId="165" fontId="47" fillId="0" borderId="0" xfId="13" applyNumberFormat="1" applyFont="1" applyAlignment="1">
      <alignment vertical="center"/>
    </xf>
    <xf numFmtId="0" fontId="49" fillId="0" borderId="0" xfId="13" applyFont="1" applyAlignment="1">
      <alignment horizontal="center" vertical="center"/>
    </xf>
    <xf numFmtId="0" fontId="47" fillId="0" borderId="0" xfId="13" applyFont="1" applyFill="1" applyAlignment="1">
      <alignment vertical="center"/>
    </xf>
    <xf numFmtId="0" fontId="47" fillId="0" borderId="0" xfId="13" applyFont="1" applyFill="1" applyBorder="1" applyAlignment="1">
      <alignment vertical="center"/>
    </xf>
    <xf numFmtId="0" fontId="38" fillId="0" borderId="0" xfId="8" applyFont="1" applyFill="1" applyBorder="1" applyAlignment="1">
      <alignment vertical="center"/>
    </xf>
    <xf numFmtId="0" fontId="38" fillId="5" borderId="17" xfId="8" applyFont="1" applyFill="1" applyBorder="1" applyAlignment="1">
      <alignment horizontal="right" vertical="center" shrinkToFit="1"/>
    </xf>
    <xf numFmtId="165" fontId="38" fillId="0" borderId="0" xfId="6" applyFont="1" applyFill="1" applyBorder="1" applyAlignment="1">
      <alignment vertical="center"/>
    </xf>
    <xf numFmtId="0" fontId="38" fillId="0" borderId="0" xfId="8" applyFont="1" applyFill="1" applyBorder="1" applyAlignment="1">
      <alignment horizontal="right" vertical="center"/>
    </xf>
    <xf numFmtId="0" fontId="38" fillId="5" borderId="17" xfId="8" applyFont="1" applyFill="1" applyBorder="1" applyAlignment="1">
      <alignment horizontal="right" vertical="center"/>
    </xf>
    <xf numFmtId="0" fontId="38" fillId="5" borderId="19" xfId="8" applyFont="1" applyFill="1" applyBorder="1" applyAlignment="1">
      <alignment horizontal="right" vertical="center" shrinkToFit="1"/>
    </xf>
    <xf numFmtId="0" fontId="38" fillId="5" borderId="19" xfId="8" applyFont="1" applyFill="1" applyBorder="1" applyAlignment="1">
      <alignment horizontal="right" vertical="center"/>
    </xf>
    <xf numFmtId="165" fontId="38" fillId="0" borderId="0" xfId="6" applyFont="1" applyBorder="1" applyAlignment="1">
      <alignment vertical="center"/>
    </xf>
    <xf numFmtId="165" fontId="39" fillId="0" borderId="0" xfId="6" applyFont="1" applyFill="1" applyBorder="1" applyAlignment="1">
      <alignment vertical="center" wrapText="1"/>
    </xf>
    <xf numFmtId="165" fontId="38" fillId="0" borderId="39" xfId="6" applyFont="1" applyFill="1" applyBorder="1" applyAlignment="1">
      <alignment horizontal="center" vertical="center" shrinkToFit="1"/>
    </xf>
    <xf numFmtId="168" fontId="38" fillId="0" borderId="40" xfId="8" applyNumberFormat="1" applyFont="1" applyFill="1" applyBorder="1" applyAlignment="1">
      <alignment horizontal="center" vertical="center"/>
    </xf>
    <xf numFmtId="0" fontId="38" fillId="0" borderId="0" xfId="8" applyFont="1" applyAlignment="1">
      <alignment horizontal="left"/>
    </xf>
    <xf numFmtId="0" fontId="38" fillId="0" borderId="0" xfId="8" applyFont="1" applyAlignment="1">
      <alignment horizontal="center" vertical="center"/>
    </xf>
    <xf numFmtId="0" fontId="38" fillId="0" borderId="41" xfId="8" applyFont="1" applyBorder="1" applyAlignment="1">
      <alignment horizontal="center" vertical="center" wrapText="1"/>
    </xf>
    <xf numFmtId="0" fontId="38" fillId="0" borderId="13" xfId="8" applyFont="1" applyBorder="1" applyAlignment="1">
      <alignment horizontal="center" vertical="center" wrapText="1"/>
    </xf>
    <xf numFmtId="0" fontId="40" fillId="0" borderId="9" xfId="8" applyNumberFormat="1" applyFont="1" applyBorder="1" applyAlignment="1">
      <alignment horizontal="left" vertical="center"/>
    </xf>
    <xf numFmtId="0" fontId="38" fillId="0" borderId="0" xfId="8" applyFont="1" applyAlignment="1">
      <alignment horizontal="center" vertical="center" wrapText="1"/>
    </xf>
    <xf numFmtId="0" fontId="40" fillId="0" borderId="0" xfId="8" applyFont="1" applyAlignment="1">
      <alignment vertical="center" wrapText="1"/>
    </xf>
    <xf numFmtId="0" fontId="5" fillId="0" borderId="0" xfId="8" applyFont="1" applyAlignment="1">
      <alignment vertical="center" wrapText="1"/>
    </xf>
    <xf numFmtId="0" fontId="40" fillId="0" borderId="26" xfId="8" applyFont="1" applyFill="1" applyBorder="1" applyAlignment="1">
      <alignment vertical="center"/>
    </xf>
    <xf numFmtId="0" fontId="40" fillId="0" borderId="42" xfId="8" applyFont="1" applyFill="1" applyBorder="1" applyAlignment="1">
      <alignment vertical="center"/>
    </xf>
    <xf numFmtId="172" fontId="40" fillId="0" borderId="43" xfId="6" applyNumberFormat="1" applyFont="1" applyFill="1" applyBorder="1" applyAlignment="1">
      <alignment horizontal="center" vertical="center" wrapText="1"/>
    </xf>
    <xf numFmtId="165" fontId="40" fillId="0" borderId="36" xfId="6" applyFont="1" applyFill="1" applyBorder="1" applyAlignment="1">
      <alignment horizontal="center" vertical="center" wrapText="1"/>
    </xf>
    <xf numFmtId="0" fontId="40" fillId="0" borderId="11" xfId="8" applyNumberFormat="1" applyFont="1" applyBorder="1" applyAlignment="1">
      <alignment horizontal="left" vertical="center" wrapText="1"/>
    </xf>
    <xf numFmtId="0" fontId="40" fillId="0" borderId="6" xfId="8" applyFont="1" applyBorder="1" applyAlignment="1">
      <alignment vertical="center" wrapText="1"/>
    </xf>
    <xf numFmtId="10" fontId="40" fillId="0" borderId="44" xfId="28" applyNumberFormat="1" applyFont="1" applyBorder="1" applyAlignment="1">
      <alignment horizontal="center" vertical="center" wrapText="1"/>
    </xf>
    <xf numFmtId="0" fontId="40" fillId="0" borderId="4" xfId="8" applyFont="1" applyFill="1" applyBorder="1" applyAlignment="1">
      <alignment vertical="center"/>
    </xf>
    <xf numFmtId="0" fontId="40" fillId="0" borderId="5" xfId="8" applyNumberFormat="1" applyFont="1" applyBorder="1" applyAlignment="1">
      <alignment horizontal="left" vertical="center" wrapText="1"/>
    </xf>
    <xf numFmtId="0" fontId="40" fillId="0" borderId="0" xfId="8" applyFont="1" applyBorder="1" applyAlignment="1">
      <alignment vertical="center" wrapText="1"/>
    </xf>
    <xf numFmtId="10" fontId="40" fillId="0" borderId="45" xfId="28" applyNumberFormat="1" applyFont="1" applyBorder="1" applyAlignment="1">
      <alignment horizontal="center" vertical="center" wrapText="1"/>
    </xf>
    <xf numFmtId="10" fontId="38" fillId="0" borderId="20" xfId="8" applyNumberFormat="1" applyFont="1" applyBorder="1" applyAlignment="1">
      <alignment horizontal="center" vertical="center" wrapText="1"/>
    </xf>
    <xf numFmtId="172" fontId="38" fillId="0" borderId="41" xfId="8" applyNumberFormat="1" applyFont="1" applyFill="1" applyBorder="1" applyAlignment="1">
      <alignment horizontal="center" vertical="center" wrapText="1"/>
    </xf>
    <xf numFmtId="172" fontId="38" fillId="0" borderId="41" xfId="8" quotePrefix="1" applyNumberFormat="1" applyFont="1" applyFill="1" applyBorder="1" applyAlignment="1">
      <alignment horizontal="center" vertical="center" wrapText="1"/>
    </xf>
    <xf numFmtId="165" fontId="38" fillId="0" borderId="13" xfId="6" quotePrefix="1" applyFont="1" applyFill="1" applyBorder="1" applyAlignment="1">
      <alignment horizontal="center" vertical="center" wrapText="1"/>
    </xf>
    <xf numFmtId="10" fontId="38" fillId="0" borderId="0" xfId="8" applyNumberFormat="1" applyFont="1" applyAlignment="1">
      <alignment horizontal="center" vertical="center" wrapText="1"/>
    </xf>
    <xf numFmtId="0" fontId="5" fillId="0" borderId="0" xfId="8" applyFont="1" applyAlignment="1">
      <alignment vertical="center"/>
    </xf>
    <xf numFmtId="0" fontId="49" fillId="0" borderId="0" xfId="0" quotePrefix="1" applyFont="1" applyBorder="1" applyAlignment="1">
      <alignment vertical="center"/>
    </xf>
    <xf numFmtId="2" fontId="38" fillId="0" borderId="28" xfId="0" applyNumberFormat="1" applyFont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172" fontId="40" fillId="2" borderId="46" xfId="0" applyNumberFormat="1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14" fontId="38" fillId="0" borderId="47" xfId="8" applyNumberFormat="1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52" fillId="0" borderId="0" xfId="0" applyFont="1" applyFill="1" applyBorder="1" applyAlignment="1">
      <alignment vertical="center"/>
    </xf>
    <xf numFmtId="0" fontId="49" fillId="0" borderId="0" xfId="0" applyFont="1" applyAlignment="1">
      <alignment vertical="center"/>
    </xf>
    <xf numFmtId="0" fontId="52" fillId="0" borderId="0" xfId="8" applyFont="1" applyBorder="1" applyAlignment="1">
      <alignment vertical="center"/>
    </xf>
    <xf numFmtId="2" fontId="38" fillId="2" borderId="46" xfId="0" applyNumberFormat="1" applyFont="1" applyFill="1" applyBorder="1" applyAlignment="1">
      <alignment horizontal="center" vertical="center"/>
    </xf>
    <xf numFmtId="172" fontId="40" fillId="0" borderId="46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53" fillId="0" borderId="0" xfId="8" applyFont="1" applyBorder="1" applyAlignment="1">
      <alignment vertical="center"/>
    </xf>
    <xf numFmtId="0" fontId="49" fillId="0" borderId="0" xfId="8" quotePrefix="1" applyFont="1" applyAlignment="1">
      <alignment horizontal="left" vertical="center"/>
    </xf>
    <xf numFmtId="2" fontId="38" fillId="0" borderId="46" xfId="0" applyNumberFormat="1" applyFont="1" applyFill="1" applyBorder="1" applyAlignment="1">
      <alignment horizontal="center" vertical="center"/>
    </xf>
    <xf numFmtId="0" fontId="40" fillId="0" borderId="46" xfId="9" applyFont="1" applyFill="1" applyBorder="1" applyAlignment="1">
      <alignment horizontal="center" vertical="center"/>
    </xf>
    <xf numFmtId="0" fontId="38" fillId="0" borderId="0" xfId="9" applyFont="1" applyBorder="1" applyAlignment="1">
      <alignment vertical="center"/>
    </xf>
    <xf numFmtId="10" fontId="49" fillId="0" borderId="0" xfId="0" applyNumberFormat="1" applyFont="1" applyAlignment="1">
      <alignment vertical="center"/>
    </xf>
    <xf numFmtId="0" fontId="52" fillId="0" borderId="0" xfId="8" applyFont="1" applyAlignment="1">
      <alignment vertical="center"/>
    </xf>
    <xf numFmtId="0" fontId="49" fillId="0" borderId="0" xfId="0" applyFont="1" applyFill="1" applyBorder="1" applyAlignment="1">
      <alignment vertical="center"/>
    </xf>
    <xf numFmtId="0" fontId="38" fillId="0" borderId="0" xfId="8" quotePrefix="1" applyFont="1" applyBorder="1" applyAlignment="1">
      <alignment vertical="center"/>
    </xf>
    <xf numFmtId="0" fontId="40" fillId="2" borderId="46" xfId="9" applyFont="1" applyFill="1" applyBorder="1" applyAlignment="1">
      <alignment horizontal="center" vertical="center"/>
    </xf>
    <xf numFmtId="0" fontId="38" fillId="0" borderId="0" xfId="8" quotePrefix="1" applyFont="1" applyBorder="1" applyAlignment="1">
      <alignment horizontal="left" vertical="center"/>
    </xf>
    <xf numFmtId="0" fontId="40" fillId="0" borderId="46" xfId="9" applyFont="1" applyBorder="1" applyAlignment="1">
      <alignment horizontal="center" vertical="center"/>
    </xf>
    <xf numFmtId="10" fontId="49" fillId="0" borderId="0" xfId="0" applyNumberFormat="1" applyFont="1" applyFill="1" applyBorder="1" applyAlignment="1">
      <alignment vertical="center"/>
    </xf>
    <xf numFmtId="0" fontId="40" fillId="0" borderId="0" xfId="8" applyFont="1" applyBorder="1" applyAlignment="1">
      <alignment horizontal="left" vertical="center"/>
    </xf>
    <xf numFmtId="0" fontId="30" fillId="0" borderId="11" xfId="8" applyFont="1" applyBorder="1" applyAlignment="1">
      <alignment vertical="center"/>
    </xf>
    <xf numFmtId="0" fontId="30" fillId="0" borderId="9" xfId="8" applyFont="1" applyBorder="1" applyAlignment="1">
      <alignment vertical="center"/>
    </xf>
    <xf numFmtId="0" fontId="54" fillId="0" borderId="11" xfId="8" applyFont="1" applyBorder="1" applyAlignment="1">
      <alignment vertical="center"/>
    </xf>
    <xf numFmtId="0" fontId="55" fillId="0" borderId="38" xfId="13" applyFont="1" applyBorder="1" applyAlignment="1">
      <alignment vertical="center"/>
    </xf>
    <xf numFmtId="0" fontId="56" fillId="0" borderId="9" xfId="8" applyFont="1" applyBorder="1" applyAlignment="1">
      <alignment horizontal="left" vertical="center"/>
    </xf>
    <xf numFmtId="0" fontId="56" fillId="0" borderId="11" xfId="8" applyFont="1" applyBorder="1" applyAlignment="1">
      <alignment vertical="center"/>
    </xf>
    <xf numFmtId="0" fontId="56" fillId="0" borderId="11" xfId="8" applyFont="1" applyBorder="1" applyAlignment="1">
      <alignment horizontal="left" vertical="center"/>
    </xf>
    <xf numFmtId="0" fontId="56" fillId="0" borderId="26" xfId="8" applyFont="1" applyBorder="1" applyAlignment="1">
      <alignment horizontal="left" vertical="center"/>
    </xf>
    <xf numFmtId="0" fontId="56" fillId="0" borderId="38" xfId="8" applyFont="1" applyBorder="1" applyAlignment="1">
      <alignment horizontal="left" vertical="center"/>
    </xf>
    <xf numFmtId="0" fontId="38" fillId="0" borderId="0" xfId="8" applyFont="1" applyBorder="1" applyAlignment="1">
      <alignment horizontal="center" vertical="center" wrapText="1"/>
    </xf>
    <xf numFmtId="0" fontId="56" fillId="0" borderId="10" xfId="8" applyFont="1" applyBorder="1" applyAlignment="1">
      <alignment horizontal="center" vertical="center" wrapText="1"/>
    </xf>
    <xf numFmtId="0" fontId="30" fillId="0" borderId="6" xfId="8" applyFont="1" applyBorder="1" applyAlignment="1">
      <alignment vertical="center" wrapText="1"/>
    </xf>
    <xf numFmtId="0" fontId="56" fillId="0" borderId="6" xfId="8" applyFont="1" applyBorder="1" applyAlignment="1">
      <alignment horizontal="left" vertical="center" wrapText="1"/>
    </xf>
    <xf numFmtId="0" fontId="30" fillId="0" borderId="7" xfId="8" applyFont="1" applyBorder="1" applyAlignment="1">
      <alignment vertical="center" wrapText="1"/>
    </xf>
    <xf numFmtId="0" fontId="30" fillId="0" borderId="8" xfId="8" applyFont="1" applyBorder="1" applyAlignment="1">
      <alignment vertical="center" wrapText="1"/>
    </xf>
    <xf numFmtId="0" fontId="38" fillId="0" borderId="0" xfId="8" applyFont="1" applyFill="1" applyBorder="1" applyAlignment="1">
      <alignment horizontal="center" vertical="center" wrapText="1"/>
    </xf>
    <xf numFmtId="0" fontId="30" fillId="0" borderId="10" xfId="8" applyFont="1" applyBorder="1" applyAlignment="1">
      <alignment vertical="center" wrapText="1"/>
    </xf>
    <xf numFmtId="0" fontId="55" fillId="0" borderId="8" xfId="13" applyFont="1" applyBorder="1" applyAlignment="1">
      <alignment vertical="center" wrapText="1"/>
    </xf>
    <xf numFmtId="0" fontId="40" fillId="0" borderId="8" xfId="8" applyFont="1" applyBorder="1" applyAlignment="1">
      <alignment vertical="center" wrapText="1"/>
    </xf>
    <xf numFmtId="0" fontId="40" fillId="0" borderId="48" xfId="8" applyFont="1" applyBorder="1" applyAlignment="1">
      <alignment vertical="center" wrapText="1"/>
    </xf>
    <xf numFmtId="0" fontId="40" fillId="0" borderId="10" xfId="8" applyFont="1" applyBorder="1" applyAlignment="1">
      <alignment vertical="center" wrapText="1"/>
    </xf>
    <xf numFmtId="0" fontId="40" fillId="0" borderId="25" xfId="8" applyFont="1" applyBorder="1" applyAlignment="1">
      <alignment vertical="center" wrapText="1"/>
    </xf>
    <xf numFmtId="0" fontId="40" fillId="0" borderId="7" xfId="8" applyFont="1" applyBorder="1" applyAlignment="1">
      <alignment vertical="center" wrapText="1"/>
    </xf>
    <xf numFmtId="0" fontId="40" fillId="0" borderId="6" xfId="8" applyFont="1" applyBorder="1" applyAlignment="1">
      <alignment horizontal="left" vertical="center" wrapText="1"/>
    </xf>
    <xf numFmtId="165" fontId="40" fillId="0" borderId="32" xfId="6" applyFont="1" applyBorder="1" applyAlignment="1">
      <alignment vertical="center" wrapText="1"/>
    </xf>
    <xf numFmtId="9" fontId="40" fillId="0" borderId="49" xfId="19" applyFont="1" applyBorder="1" applyAlignment="1">
      <alignment vertical="center" wrapText="1"/>
    </xf>
    <xf numFmtId="0" fontId="47" fillId="0" borderId="0" xfId="13" applyFont="1" applyAlignment="1">
      <alignment vertical="center" wrapText="1"/>
    </xf>
    <xf numFmtId="0" fontId="47" fillId="0" borderId="0" xfId="13" applyFont="1" applyFill="1" applyAlignment="1">
      <alignment vertical="center" wrapText="1"/>
    </xf>
    <xf numFmtId="165" fontId="38" fillId="0" borderId="18" xfId="6" applyFont="1" applyFill="1" applyBorder="1" applyAlignment="1">
      <alignment vertical="center" wrapText="1"/>
    </xf>
    <xf numFmtId="165" fontId="38" fillId="0" borderId="20" xfId="6" applyFont="1" applyFill="1" applyBorder="1" applyAlignment="1">
      <alignment vertical="center" wrapText="1"/>
    </xf>
    <xf numFmtId="165" fontId="39" fillId="0" borderId="0" xfId="6" applyFont="1" applyBorder="1" applyAlignment="1">
      <alignment horizontal="left" vertical="center" wrapText="1"/>
    </xf>
    <xf numFmtId="165" fontId="38" fillId="0" borderId="0" xfId="6" applyFont="1" applyBorder="1" applyAlignment="1">
      <alignment horizontal="left" vertical="center" wrapText="1"/>
    </xf>
    <xf numFmtId="0" fontId="40" fillId="2" borderId="3" xfId="9" applyFont="1" applyFill="1" applyBorder="1" applyAlignment="1">
      <alignment vertical="center" wrapText="1"/>
    </xf>
    <xf numFmtId="0" fontId="40" fillId="0" borderId="3" xfId="0" applyFont="1" applyFill="1" applyBorder="1" applyAlignment="1">
      <alignment vertical="center" wrapText="1"/>
    </xf>
    <xf numFmtId="0" fontId="40" fillId="2" borderId="3" xfId="0" applyFont="1" applyFill="1" applyBorder="1" applyAlignment="1">
      <alignment vertical="center" wrapText="1"/>
    </xf>
    <xf numFmtId="0" fontId="34" fillId="0" borderId="0" xfId="13" applyFont="1" applyAlignment="1">
      <alignment vertical="center" wrapText="1"/>
    </xf>
    <xf numFmtId="0" fontId="38" fillId="0" borderId="0" xfId="8" applyFont="1" applyBorder="1" applyAlignment="1">
      <alignment vertical="center" wrapText="1"/>
    </xf>
    <xf numFmtId="14" fontId="40" fillId="0" borderId="0" xfId="8" applyNumberFormat="1" applyFont="1" applyBorder="1" applyAlignment="1">
      <alignment vertical="center" wrapText="1"/>
    </xf>
    <xf numFmtId="172" fontId="40" fillId="0" borderId="0" xfId="8" applyNumberFormat="1" applyFont="1" applyBorder="1" applyAlignment="1">
      <alignment horizontal="center" vertical="center" wrapText="1"/>
    </xf>
    <xf numFmtId="0" fontId="55" fillId="0" borderId="14" xfId="13" applyFont="1" applyBorder="1" applyAlignment="1">
      <alignment vertical="center" wrapText="1"/>
    </xf>
    <xf numFmtId="10" fontId="49" fillId="0" borderId="37" xfId="8" applyNumberFormat="1" applyFont="1" applyBorder="1" applyAlignment="1">
      <alignment horizontal="center" vertical="center" wrapText="1"/>
    </xf>
    <xf numFmtId="0" fontId="55" fillId="0" borderId="35" xfId="13" applyFont="1" applyBorder="1" applyAlignment="1">
      <alignment vertical="center" wrapText="1"/>
    </xf>
    <xf numFmtId="10" fontId="40" fillId="0" borderId="50" xfId="8" applyNumberFormat="1" applyFont="1" applyBorder="1" applyAlignment="1">
      <alignment horizontal="center" vertical="center" wrapText="1"/>
    </xf>
    <xf numFmtId="10" fontId="40" fillId="0" borderId="33" xfId="19" applyNumberFormat="1" applyFont="1" applyBorder="1" applyAlignment="1">
      <alignment horizontal="center" vertical="center" wrapText="1"/>
    </xf>
    <xf numFmtId="10" fontId="40" fillId="0" borderId="27" xfId="19" applyNumberFormat="1" applyFont="1" applyBorder="1" applyAlignment="1">
      <alignment horizontal="center" vertical="center" wrapText="1"/>
    </xf>
    <xf numFmtId="0" fontId="47" fillId="0" borderId="51" xfId="13" applyFont="1" applyBorder="1" applyAlignment="1">
      <alignment horizontal="center" vertical="center" wrapText="1"/>
    </xf>
    <xf numFmtId="0" fontId="47" fillId="0" borderId="48" xfId="13" applyFont="1" applyBorder="1" applyAlignment="1">
      <alignment vertical="center" wrapText="1"/>
    </xf>
    <xf numFmtId="0" fontId="47" fillId="0" borderId="4" xfId="13" applyFont="1" applyBorder="1" applyAlignment="1">
      <alignment vertical="center" wrapText="1"/>
    </xf>
    <xf numFmtId="0" fontId="40" fillId="0" borderId="10" xfId="8" applyFont="1" applyBorder="1" applyAlignment="1">
      <alignment horizontal="right" vertical="center" wrapText="1"/>
    </xf>
    <xf numFmtId="0" fontId="40" fillId="0" borderId="25" xfId="8" applyFont="1" applyBorder="1" applyAlignment="1">
      <alignment horizontal="right" vertical="center" wrapText="1"/>
    </xf>
    <xf numFmtId="0" fontId="40" fillId="0" borderId="32" xfId="8" applyFont="1" applyBorder="1" applyAlignment="1">
      <alignment vertical="center" wrapText="1"/>
    </xf>
    <xf numFmtId="2" fontId="39" fillId="0" borderId="23" xfId="8" applyNumberFormat="1" applyFont="1" applyBorder="1" applyAlignment="1">
      <alignment horizontal="center" vertical="center" wrapText="1"/>
    </xf>
    <xf numFmtId="2" fontId="39" fillId="0" borderId="27" xfId="8" applyNumberFormat="1" applyFont="1" applyBorder="1" applyAlignment="1">
      <alignment horizontal="center" vertical="center" wrapText="1"/>
    </xf>
    <xf numFmtId="2" fontId="39" fillId="0" borderId="22" xfId="8" applyNumberFormat="1" applyFont="1" applyBorder="1" applyAlignment="1">
      <alignment horizontal="center" vertical="center" wrapText="1"/>
    </xf>
    <xf numFmtId="0" fontId="40" fillId="0" borderId="16" xfId="8" applyFont="1" applyBorder="1" applyAlignment="1">
      <alignment vertical="center" wrapText="1"/>
    </xf>
    <xf numFmtId="10" fontId="39" fillId="0" borderId="51" xfId="8" applyNumberFormat="1" applyFont="1" applyBorder="1" applyAlignment="1">
      <alignment horizontal="center" vertical="center" wrapText="1"/>
    </xf>
    <xf numFmtId="0" fontId="47" fillId="0" borderId="10" xfId="13" applyFont="1" applyBorder="1" applyAlignment="1">
      <alignment vertical="center" wrapText="1"/>
    </xf>
    <xf numFmtId="10" fontId="49" fillId="0" borderId="10" xfId="19" applyNumberFormat="1" applyFont="1" applyFill="1" applyBorder="1" applyAlignment="1">
      <alignment horizontal="center" vertical="center" wrapText="1"/>
    </xf>
    <xf numFmtId="0" fontId="47" fillId="0" borderId="8" xfId="13" applyFont="1" applyBorder="1" applyAlignment="1">
      <alignment vertical="center" wrapText="1"/>
    </xf>
    <xf numFmtId="10" fontId="49" fillId="0" borderId="8" xfId="19" applyNumberFormat="1" applyFont="1" applyFill="1" applyBorder="1" applyAlignment="1">
      <alignment horizontal="center" vertical="center" wrapText="1"/>
    </xf>
    <xf numFmtId="0" fontId="49" fillId="0" borderId="0" xfId="13" applyFont="1" applyAlignment="1">
      <alignment horizontal="right" vertical="center" wrapText="1"/>
    </xf>
    <xf numFmtId="0" fontId="47" fillId="0" borderId="0" xfId="13" applyFont="1" applyFill="1" applyBorder="1" applyAlignment="1">
      <alignment vertical="center" wrapText="1"/>
    </xf>
    <xf numFmtId="0" fontId="38" fillId="0" borderId="0" xfId="8" applyFont="1" applyFill="1" applyBorder="1" applyAlignment="1">
      <alignment vertical="center" wrapText="1"/>
    </xf>
    <xf numFmtId="165" fontId="38" fillId="0" borderId="0" xfId="6" applyFont="1" applyFill="1" applyBorder="1" applyAlignment="1">
      <alignment vertical="center" wrapText="1"/>
    </xf>
    <xf numFmtId="165" fontId="38" fillId="0" borderId="0" xfId="6" applyFont="1" applyBorder="1" applyAlignment="1">
      <alignment vertical="center" wrapText="1"/>
    </xf>
    <xf numFmtId="10" fontId="40" fillId="0" borderId="47" xfId="28" applyNumberFormat="1" applyFont="1" applyBorder="1" applyAlignment="1">
      <alignment horizontal="center" vertical="center" wrapText="1"/>
    </xf>
    <xf numFmtId="0" fontId="40" fillId="0" borderId="0" xfId="0" applyFont="1" applyFill="1" applyAlignment="1">
      <alignment vertical="center" wrapText="1"/>
    </xf>
    <xf numFmtId="10" fontId="40" fillId="2" borderId="44" xfId="0" applyNumberFormat="1" applyFont="1" applyFill="1" applyBorder="1" applyAlignment="1">
      <alignment horizontal="center" vertical="center" wrapText="1"/>
    </xf>
    <xf numFmtId="0" fontId="38" fillId="0" borderId="0" xfId="0" applyFont="1" applyFill="1" applyAlignment="1">
      <alignment vertical="center" wrapText="1"/>
    </xf>
    <xf numFmtId="10" fontId="49" fillId="2" borderId="44" xfId="0" applyNumberFormat="1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vertical="center" wrapText="1"/>
    </xf>
    <xf numFmtId="10" fontId="38" fillId="2" borderId="44" xfId="0" applyNumberFormat="1" applyFont="1" applyFill="1" applyBorder="1" applyAlignment="1">
      <alignment horizontal="center" vertical="center" wrapText="1"/>
    </xf>
    <xf numFmtId="10" fontId="49" fillId="0" borderId="44" xfId="0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vertical="center" wrapText="1"/>
    </xf>
    <xf numFmtId="10" fontId="38" fillId="0" borderId="44" xfId="0" applyNumberFormat="1" applyFont="1" applyFill="1" applyBorder="1" applyAlignment="1">
      <alignment horizontal="center" vertical="center" wrapText="1"/>
    </xf>
    <xf numFmtId="10" fontId="40" fillId="0" borderId="44" xfId="0" applyNumberFormat="1" applyFont="1" applyFill="1" applyBorder="1" applyAlignment="1">
      <alignment horizontal="center" vertical="center" wrapText="1"/>
    </xf>
    <xf numFmtId="10" fontId="40" fillId="0" borderId="52" xfId="19" applyNumberFormat="1" applyFont="1" applyFill="1" applyBorder="1" applyAlignment="1">
      <alignment horizontal="center" vertical="center" wrapText="1"/>
    </xf>
    <xf numFmtId="10" fontId="40" fillId="0" borderId="44" xfId="19" applyNumberFormat="1" applyFont="1" applyFill="1" applyBorder="1" applyAlignment="1">
      <alignment horizontal="center" vertical="center" wrapText="1"/>
    </xf>
    <xf numFmtId="10" fontId="49" fillId="0" borderId="52" xfId="19" applyNumberFormat="1" applyFont="1" applyFill="1" applyBorder="1" applyAlignment="1">
      <alignment horizontal="center" vertical="center" wrapText="1"/>
    </xf>
    <xf numFmtId="10" fontId="49" fillId="0" borderId="44" xfId="19" applyNumberFormat="1" applyFont="1" applyFill="1" applyBorder="1" applyAlignment="1">
      <alignment horizontal="center" vertical="center" wrapText="1"/>
    </xf>
    <xf numFmtId="10" fontId="40" fillId="4" borderId="44" xfId="19" applyNumberFormat="1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vertical="center" wrapText="1"/>
    </xf>
    <xf numFmtId="0" fontId="57" fillId="0" borderId="0" xfId="0" applyFont="1" applyFill="1" applyBorder="1" applyAlignment="1">
      <alignment vertical="center" wrapText="1"/>
    </xf>
    <xf numFmtId="10" fontId="40" fillId="2" borderId="44" xfId="19" applyNumberFormat="1" applyFont="1" applyFill="1" applyBorder="1" applyAlignment="1">
      <alignment horizontal="center" vertical="center" wrapText="1"/>
    </xf>
    <xf numFmtId="10" fontId="38" fillId="2" borderId="44" xfId="19" applyNumberFormat="1" applyFont="1" applyFill="1" applyBorder="1" applyAlignment="1">
      <alignment horizontal="center" vertical="center" wrapText="1"/>
    </xf>
    <xf numFmtId="10" fontId="40" fillId="0" borderId="44" xfId="19" applyNumberFormat="1" applyFont="1" applyBorder="1" applyAlignment="1">
      <alignment horizontal="center" vertical="center" wrapText="1"/>
    </xf>
    <xf numFmtId="10" fontId="38" fillId="0" borderId="44" xfId="0" applyNumberFormat="1" applyFont="1" applyBorder="1" applyAlignment="1">
      <alignment horizontal="center" vertical="center" wrapText="1"/>
    </xf>
    <xf numFmtId="10" fontId="38" fillId="0" borderId="20" xfId="0" applyNumberFormat="1" applyFont="1" applyBorder="1" applyAlignment="1">
      <alignment horizontal="center" vertical="center" wrapText="1"/>
    </xf>
    <xf numFmtId="10" fontId="49" fillId="0" borderId="0" xfId="0" applyNumberFormat="1" applyFont="1" applyFill="1" applyBorder="1" applyAlignment="1">
      <alignment vertical="center" wrapText="1"/>
    </xf>
    <xf numFmtId="0" fontId="38" fillId="0" borderId="0" xfId="8" applyFont="1" applyAlignment="1">
      <alignment vertical="center" wrapText="1"/>
    </xf>
    <xf numFmtId="0" fontId="38" fillId="0" borderId="0" xfId="9" applyFont="1" applyBorder="1" applyAlignment="1">
      <alignment vertical="center" wrapText="1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21" fillId="0" borderId="0" xfId="1" applyFont="1" applyFill="1" applyAlignment="1">
      <alignment horizontal="left" vertical="center"/>
    </xf>
    <xf numFmtId="0" fontId="22" fillId="0" borderId="0" xfId="1" applyFont="1" applyFill="1" applyAlignment="1">
      <alignment horizontal="left" vertical="center"/>
    </xf>
    <xf numFmtId="0" fontId="23" fillId="0" borderId="0" xfId="1" applyFont="1" applyFill="1" applyAlignment="1">
      <alignment vertical="center"/>
    </xf>
    <xf numFmtId="0" fontId="22" fillId="0" borderId="0" xfId="1" applyFont="1" applyFill="1" applyAlignment="1">
      <alignment horizontal="justify" vertical="center"/>
    </xf>
    <xf numFmtId="0" fontId="21" fillId="5" borderId="53" xfId="1" applyFont="1" applyFill="1" applyBorder="1" applyAlignment="1">
      <alignment horizontal="center" vertical="center" wrapText="1"/>
    </xf>
    <xf numFmtId="0" fontId="21" fillId="5" borderId="43" xfId="1" quotePrefix="1" applyFont="1" applyFill="1" applyBorder="1" applyAlignment="1">
      <alignment horizontal="center" vertical="center" wrapText="1"/>
    </xf>
    <xf numFmtId="0" fontId="21" fillId="5" borderId="43" xfId="1" applyFont="1" applyFill="1" applyBorder="1" applyAlignment="1">
      <alignment horizontal="center" vertical="center" wrapText="1"/>
    </xf>
    <xf numFmtId="0" fontId="22" fillId="0" borderId="3" xfId="1" applyFont="1" applyFill="1" applyBorder="1" applyAlignment="1">
      <alignment horizontal="center" vertical="center"/>
    </xf>
    <xf numFmtId="172" fontId="22" fillId="0" borderId="3" xfId="1" applyNumberFormat="1" applyFont="1" applyFill="1" applyBorder="1" applyAlignment="1">
      <alignment horizontal="center" vertical="center"/>
    </xf>
    <xf numFmtId="167" fontId="22" fillId="0" borderId="3" xfId="1" applyNumberFormat="1" applyFont="1" applyFill="1" applyBorder="1" applyAlignment="1">
      <alignment horizontal="center" vertical="center"/>
    </xf>
    <xf numFmtId="165" fontId="22" fillId="0" borderId="3" xfId="1" applyNumberFormat="1" applyFont="1" applyFill="1" applyBorder="1" applyAlignment="1">
      <alignment vertical="center"/>
    </xf>
    <xf numFmtId="172" fontId="21" fillId="5" borderId="3" xfId="1" applyNumberFormat="1" applyFont="1" applyFill="1" applyBorder="1" applyAlignment="1">
      <alignment horizontal="center" vertical="center"/>
    </xf>
    <xf numFmtId="167" fontId="21" fillId="5" borderId="3" xfId="1" quotePrefix="1" applyNumberFormat="1" applyFont="1" applyFill="1" applyBorder="1" applyAlignment="1">
      <alignment horizontal="center" vertical="center"/>
    </xf>
    <xf numFmtId="167" fontId="21" fillId="5" borderId="3" xfId="1" applyNumberFormat="1" applyFont="1" applyFill="1" applyBorder="1" applyAlignment="1">
      <alignment horizontal="center" vertical="center"/>
    </xf>
    <xf numFmtId="165" fontId="21" fillId="5" borderId="3" xfId="1" applyNumberFormat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22" fillId="0" borderId="0" xfId="1" applyFont="1" applyFill="1" applyAlignment="1">
      <alignment horizontal="justify" vertical="center" wrapText="1"/>
    </xf>
    <xf numFmtId="0" fontId="22" fillId="0" borderId="0" xfId="1" applyFont="1" applyFill="1"/>
    <xf numFmtId="0" fontId="22" fillId="0" borderId="0" xfId="1" applyFont="1" applyFill="1" applyAlignment="1"/>
    <xf numFmtId="0" fontId="22" fillId="0" borderId="0" xfId="1" applyFont="1" applyFill="1" applyAlignment="1">
      <alignment horizontal="right" vertical="center"/>
    </xf>
    <xf numFmtId="0" fontId="22" fillId="0" borderId="0" xfId="1" applyFont="1" applyFill="1" applyAlignment="1" applyProtection="1">
      <alignment vertical="center"/>
    </xf>
    <xf numFmtId="0" fontId="21" fillId="0" borderId="0" xfId="1" applyFont="1" applyFill="1" applyAlignment="1">
      <alignment horizontal="right" vertical="center" wrapText="1"/>
    </xf>
    <xf numFmtId="173" fontId="22" fillId="0" borderId="0" xfId="1" applyNumberFormat="1" applyFont="1" applyFill="1" applyAlignment="1">
      <alignment horizontal="center" vertical="center"/>
    </xf>
    <xf numFmtId="0" fontId="22" fillId="0" borderId="0" xfId="10" applyFont="1" applyFill="1" applyAlignment="1">
      <alignment vertical="center"/>
    </xf>
    <xf numFmtId="0" fontId="49" fillId="6" borderId="0" xfId="8" applyFont="1" applyFill="1" applyAlignment="1">
      <alignment vertical="center" wrapText="1"/>
    </xf>
    <xf numFmtId="14" fontId="49" fillId="6" borderId="20" xfId="8" applyNumberFormat="1" applyFont="1" applyFill="1" applyBorder="1" applyAlignment="1">
      <alignment horizontal="center" vertical="center"/>
    </xf>
    <xf numFmtId="172" fontId="49" fillId="6" borderId="43" xfId="6" applyNumberFormat="1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3" fillId="0" borderId="0" xfId="14" applyFont="1" applyFill="1" applyAlignment="1">
      <alignment horizontal="center" vertical="center" wrapText="1"/>
    </xf>
    <xf numFmtId="0" fontId="31" fillId="0" borderId="0" xfId="0" applyFont="1" applyFill="1" applyAlignment="1">
      <alignment horizontal="left" vertical="center"/>
    </xf>
    <xf numFmtId="0" fontId="37" fillId="0" borderId="0" xfId="0" applyFont="1" applyFill="1" applyAlignment="1">
      <alignment horizontal="left" vertical="center"/>
    </xf>
    <xf numFmtId="0" fontId="31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justify" vertical="center" wrapText="1"/>
    </xf>
    <xf numFmtId="0" fontId="33" fillId="0" borderId="3" xfId="0" applyFont="1" applyFill="1" applyBorder="1" applyAlignment="1" applyProtection="1">
      <alignment vertical="center" wrapText="1"/>
      <protection locked="0"/>
    </xf>
    <xf numFmtId="0" fontId="31" fillId="0" borderId="3" xfId="0" applyFont="1" applyFill="1" applyBorder="1" applyAlignment="1" applyProtection="1">
      <alignment vertical="center" wrapText="1"/>
      <protection locked="0"/>
    </xf>
    <xf numFmtId="0" fontId="31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7" borderId="3" xfId="0" applyFont="1" applyFill="1" applyBorder="1" applyAlignment="1">
      <alignment horizontal="center" vertical="center"/>
    </xf>
    <xf numFmtId="0" fontId="32" fillId="7" borderId="3" xfId="0" applyFont="1" applyFill="1" applyBorder="1" applyAlignment="1">
      <alignment horizontal="center" vertical="center" wrapText="1"/>
    </xf>
    <xf numFmtId="172" fontId="32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58" fillId="0" borderId="3" xfId="0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10" fontId="31" fillId="0" borderId="3" xfId="0" applyNumberFormat="1" applyFont="1" applyFill="1" applyBorder="1" applyAlignment="1">
      <alignment horizontal="center" vertical="center"/>
    </xf>
    <xf numFmtId="167" fontId="32" fillId="0" borderId="3" xfId="0" applyNumberFormat="1" applyFont="1" applyFill="1" applyBorder="1" applyAlignment="1" applyProtection="1">
      <alignment horizontal="left" vertical="center"/>
    </xf>
    <xf numFmtId="167" fontId="31" fillId="0" borderId="3" xfId="0" applyNumberFormat="1" applyFont="1" applyFill="1" applyBorder="1" applyAlignment="1" applyProtection="1">
      <alignment horizontal="left" vertical="center"/>
    </xf>
    <xf numFmtId="0" fontId="31" fillId="0" borderId="3" xfId="0" applyFont="1" applyFill="1" applyBorder="1" applyAlignment="1">
      <alignment horizontal="justify" vertical="center" wrapText="1"/>
    </xf>
    <xf numFmtId="167" fontId="31" fillId="0" borderId="3" xfId="0" applyNumberFormat="1" applyFont="1" applyFill="1" applyBorder="1" applyAlignment="1" applyProtection="1">
      <alignment horizontal="left" vertical="center"/>
      <protection locked="0"/>
    </xf>
    <xf numFmtId="10" fontId="58" fillId="0" borderId="3" xfId="0" applyNumberFormat="1" applyFont="1" applyFill="1" applyBorder="1" applyAlignment="1">
      <alignment horizontal="center" vertical="center"/>
    </xf>
    <xf numFmtId="166" fontId="58" fillId="0" borderId="3" xfId="27" applyFont="1" applyFill="1" applyBorder="1" applyAlignment="1">
      <alignment horizontal="center" vertical="center"/>
    </xf>
    <xf numFmtId="10" fontId="32" fillId="0" borderId="3" xfId="0" applyNumberFormat="1" applyFont="1" applyFill="1" applyBorder="1" applyAlignment="1">
      <alignment horizontal="left" vertical="center"/>
    </xf>
    <xf numFmtId="167" fontId="60" fillId="7" borderId="3" xfId="0" applyNumberFormat="1" applyFont="1" applyFill="1" applyBorder="1" applyAlignment="1">
      <alignment horizontal="left" vertical="center"/>
    </xf>
    <xf numFmtId="10" fontId="31" fillId="0" borderId="3" xfId="0" applyNumberFormat="1" applyFont="1" applyFill="1" applyBorder="1" applyAlignment="1">
      <alignment horizontal="center" vertical="center" wrapText="1"/>
    </xf>
    <xf numFmtId="167" fontId="31" fillId="0" borderId="3" xfId="0" applyNumberFormat="1" applyFont="1" applyFill="1" applyBorder="1" applyAlignment="1">
      <alignment horizontal="center" vertical="center" wrapText="1"/>
    </xf>
    <xf numFmtId="167" fontId="58" fillId="0" borderId="3" xfId="4" applyFont="1" applyFill="1" applyBorder="1" applyAlignment="1">
      <alignment horizontal="center" vertical="center"/>
    </xf>
    <xf numFmtId="167" fontId="31" fillId="0" borderId="3" xfId="0" applyNumberFormat="1" applyFont="1" applyFill="1" applyBorder="1" applyAlignment="1" applyProtection="1">
      <alignment horizontal="center" vertical="center"/>
      <protection locked="0"/>
    </xf>
    <xf numFmtId="10" fontId="31" fillId="0" borderId="3" xfId="0" applyNumberFormat="1" applyFont="1" applyFill="1" applyBorder="1" applyAlignment="1" applyProtection="1">
      <alignment horizontal="center" vertical="center"/>
    </xf>
    <xf numFmtId="167" fontId="31" fillId="0" borderId="3" xfId="0" applyNumberFormat="1" applyFont="1" applyFill="1" applyBorder="1" applyAlignment="1">
      <alignment horizontal="center" vertical="center"/>
    </xf>
    <xf numFmtId="167" fontId="31" fillId="8" borderId="3" xfId="0" applyNumberFormat="1" applyFont="1" applyFill="1" applyBorder="1" applyAlignment="1" applyProtection="1">
      <alignment horizontal="center" vertical="center"/>
      <protection locked="0"/>
    </xf>
    <xf numFmtId="0" fontId="31" fillId="0" borderId="3" xfId="0" applyFont="1" applyFill="1" applyBorder="1" applyAlignment="1" applyProtection="1">
      <alignment vertical="center"/>
      <protection locked="0"/>
    </xf>
    <xf numFmtId="167" fontId="32" fillId="0" borderId="3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justify" vertical="center"/>
    </xf>
    <xf numFmtId="167" fontId="32" fillId="0" borderId="3" xfId="0" applyNumberFormat="1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vertical="center"/>
    </xf>
    <xf numFmtId="10" fontId="31" fillId="0" borderId="3" xfId="0" applyNumberFormat="1" applyFont="1" applyFill="1" applyBorder="1" applyAlignment="1" applyProtection="1">
      <alignment horizontal="center" vertical="center" wrapText="1"/>
    </xf>
    <xf numFmtId="10" fontId="32" fillId="0" borderId="3" xfId="0" applyNumberFormat="1" applyFont="1" applyFill="1" applyBorder="1" applyAlignment="1">
      <alignment horizontal="center" vertical="center" wrapText="1"/>
    </xf>
    <xf numFmtId="0" fontId="61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10" fontId="31" fillId="8" borderId="3" xfId="0" applyNumberFormat="1" applyFont="1" applyFill="1" applyBorder="1" applyAlignment="1" applyProtection="1">
      <alignment horizontal="center" vertical="center" wrapText="1"/>
    </xf>
    <xf numFmtId="0" fontId="46" fillId="0" borderId="3" xfId="0" applyFont="1" applyFill="1" applyBorder="1" applyAlignment="1">
      <alignment vertical="center" wrapText="1"/>
    </xf>
    <xf numFmtId="167" fontId="31" fillId="0" borderId="3" xfId="4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vertical="center" wrapText="1"/>
    </xf>
    <xf numFmtId="167" fontId="31" fillId="0" borderId="3" xfId="4" applyFont="1" applyFill="1" applyBorder="1" applyAlignment="1">
      <alignment horizontal="right" vertical="center"/>
    </xf>
    <xf numFmtId="167" fontId="31" fillId="0" borderId="3" xfId="4" applyFont="1" applyFill="1" applyBorder="1" applyAlignment="1">
      <alignment horizontal="center" vertical="center" wrapText="1"/>
    </xf>
    <xf numFmtId="167" fontId="32" fillId="0" borderId="3" xfId="4" applyFont="1" applyFill="1" applyBorder="1" applyAlignment="1">
      <alignment horizontal="center" vertical="center" wrapText="1"/>
    </xf>
    <xf numFmtId="169" fontId="31" fillId="0" borderId="3" xfId="0" applyNumberFormat="1" applyFont="1" applyFill="1" applyBorder="1" applyAlignment="1">
      <alignment horizontal="center" vertical="center" wrapText="1"/>
    </xf>
    <xf numFmtId="167" fontId="62" fillId="7" borderId="3" xfId="0" applyNumberFormat="1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/>
    </xf>
    <xf numFmtId="167" fontId="32" fillId="9" borderId="3" xfId="0" applyNumberFormat="1" applyFont="1" applyFill="1" applyBorder="1" applyAlignment="1">
      <alignment horizontal="left" vertical="center"/>
    </xf>
    <xf numFmtId="0" fontId="31" fillId="7" borderId="3" xfId="0" applyFont="1" applyFill="1" applyBorder="1" applyAlignment="1">
      <alignment horizontal="center" vertical="center" wrapText="1"/>
    </xf>
    <xf numFmtId="172" fontId="31" fillId="7" borderId="3" xfId="0" applyNumberFormat="1" applyFont="1" applyFill="1" applyBorder="1" applyAlignment="1" applyProtection="1">
      <alignment horizontal="center" vertical="center" wrapText="1"/>
      <protection locked="0"/>
    </xf>
    <xf numFmtId="167" fontId="32" fillId="7" borderId="3" xfId="0" applyNumberFormat="1" applyFont="1" applyFill="1" applyBorder="1" applyAlignment="1">
      <alignment horizontal="left" vertical="center"/>
    </xf>
    <xf numFmtId="0" fontId="32" fillId="0" borderId="3" xfId="0" applyFont="1" applyFill="1" applyBorder="1" applyAlignment="1">
      <alignment vertical="center"/>
    </xf>
    <xf numFmtId="0" fontId="31" fillId="0" borderId="54" xfId="0" applyFont="1" applyFill="1" applyBorder="1" applyAlignment="1">
      <alignment horizontal="center" vertical="center" wrapText="1"/>
    </xf>
    <xf numFmtId="172" fontId="63" fillId="8" borderId="3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/>
    <xf numFmtId="168" fontId="31" fillId="0" borderId="0" xfId="0" applyNumberFormat="1" applyFont="1" applyAlignment="1">
      <alignment horizontal="justify" vertical="center"/>
    </xf>
    <xf numFmtId="170" fontId="31" fillId="0" borderId="0" xfId="0" applyNumberFormat="1" applyFont="1" applyAlignment="1">
      <alignment vertical="center"/>
    </xf>
    <xf numFmtId="167" fontId="32" fillId="0" borderId="3" xfId="0" applyNumberFormat="1" applyFont="1" applyFill="1" applyBorder="1" applyAlignment="1">
      <alignment horizontal="right" vertical="center"/>
    </xf>
    <xf numFmtId="0" fontId="38" fillId="0" borderId="0" xfId="14" applyFont="1" applyFill="1" applyBorder="1" applyAlignment="1">
      <alignment horizontal="center" vertical="center"/>
    </xf>
    <xf numFmtId="0" fontId="56" fillId="0" borderId="3" xfId="14" applyFont="1" applyFill="1" applyBorder="1" applyAlignment="1">
      <alignment horizontal="center" vertical="center" wrapText="1"/>
    </xf>
    <xf numFmtId="1" fontId="30" fillId="0" borderId="3" xfId="6" applyNumberFormat="1" applyFont="1" applyFill="1" applyBorder="1" applyAlignment="1">
      <alignment horizontal="center" vertical="center" wrapText="1"/>
    </xf>
    <xf numFmtId="172" fontId="30" fillId="0" borderId="3" xfId="6" applyNumberFormat="1" applyFont="1" applyFill="1" applyBorder="1" applyAlignment="1">
      <alignment horizontal="center" vertical="center" wrapText="1"/>
    </xf>
    <xf numFmtId="165" fontId="30" fillId="0" borderId="4" xfId="6" applyFont="1" applyFill="1" applyBorder="1" applyAlignment="1">
      <alignment horizontal="center" vertical="center" wrapText="1"/>
    </xf>
    <xf numFmtId="165" fontId="30" fillId="0" borderId="3" xfId="6" applyFont="1" applyFill="1" applyBorder="1" applyAlignment="1">
      <alignment horizontal="center" vertical="center" wrapText="1"/>
    </xf>
    <xf numFmtId="165" fontId="56" fillId="0" borderId="3" xfId="14" applyNumberFormat="1" applyFont="1" applyFill="1" applyBorder="1" applyAlignment="1">
      <alignment vertical="center" wrapText="1"/>
    </xf>
    <xf numFmtId="164" fontId="56" fillId="0" borderId="3" xfId="14" applyNumberFormat="1" applyFont="1" applyFill="1" applyBorder="1" applyAlignment="1">
      <alignment vertical="center" wrapText="1"/>
    </xf>
    <xf numFmtId="0" fontId="38" fillId="0" borderId="3" xfId="14" applyFont="1" applyFill="1" applyBorder="1" applyAlignment="1">
      <alignment horizontal="center" vertical="center" wrapText="1"/>
    </xf>
    <xf numFmtId="165" fontId="38" fillId="0" borderId="3" xfId="14" applyNumberFormat="1" applyFont="1" applyFill="1" applyBorder="1" applyAlignment="1">
      <alignment vertical="center" wrapText="1"/>
    </xf>
    <xf numFmtId="164" fontId="38" fillId="0" borderId="3" xfId="14" applyNumberFormat="1" applyFont="1" applyFill="1" applyBorder="1" applyAlignment="1">
      <alignment vertical="center" wrapText="1"/>
    </xf>
    <xf numFmtId="0" fontId="5" fillId="0" borderId="0" xfId="8" applyFont="1" applyFill="1" applyAlignment="1">
      <alignment vertical="center"/>
    </xf>
    <xf numFmtId="172" fontId="40" fillId="8" borderId="43" xfId="6" applyNumberFormat="1" applyFont="1" applyFill="1" applyBorder="1" applyAlignment="1">
      <alignment horizontal="center" vertical="center" wrapText="1"/>
    </xf>
    <xf numFmtId="172" fontId="39" fillId="8" borderId="41" xfId="8" applyNumberFormat="1" applyFont="1" applyFill="1" applyBorder="1" applyAlignment="1">
      <alignment horizontal="center" vertical="center" wrapText="1"/>
    </xf>
    <xf numFmtId="0" fontId="64" fillId="0" borderId="0" xfId="14" applyFont="1" applyAlignment="1">
      <alignment horizontal="center" vertical="center" wrapText="1"/>
    </xf>
    <xf numFmtId="167" fontId="37" fillId="0" borderId="0" xfId="4" applyFont="1" applyAlignment="1">
      <alignment horizontal="center" vertical="center" wrapText="1"/>
    </xf>
    <xf numFmtId="167" fontId="37" fillId="0" borderId="0" xfId="4" applyFont="1" applyAlignment="1">
      <alignment vertical="center"/>
    </xf>
    <xf numFmtId="167" fontId="37" fillId="0" borderId="0" xfId="4" applyFont="1" applyBorder="1" applyAlignment="1">
      <alignment vertical="center"/>
    </xf>
    <xf numFmtId="0" fontId="37" fillId="0" borderId="0" xfId="14" applyFont="1" applyBorder="1" applyAlignment="1">
      <alignment vertical="center"/>
    </xf>
    <xf numFmtId="0" fontId="65" fillId="0" borderId="0" xfId="14" applyFont="1" applyAlignment="1">
      <alignment vertical="center"/>
    </xf>
    <xf numFmtId="0" fontId="66" fillId="0" borderId="0" xfId="14" applyFont="1" applyFill="1" applyAlignment="1">
      <alignment horizontal="center" vertical="center" wrapText="1"/>
    </xf>
    <xf numFmtId="0" fontId="65" fillId="0" borderId="3" xfId="14" applyFont="1" applyFill="1" applyBorder="1" applyAlignment="1">
      <alignment horizontal="center" vertical="center" wrapText="1"/>
    </xf>
    <xf numFmtId="1" fontId="65" fillId="0" borderId="3" xfId="6" applyNumberFormat="1" applyFont="1" applyFill="1" applyBorder="1" applyAlignment="1">
      <alignment horizontal="center" vertical="center" wrapText="1"/>
    </xf>
    <xf numFmtId="172" fontId="65" fillId="0" borderId="3" xfId="6" applyNumberFormat="1" applyFont="1" applyFill="1" applyBorder="1" applyAlignment="1">
      <alignment horizontal="center" vertical="center" wrapText="1"/>
    </xf>
    <xf numFmtId="172" fontId="65" fillId="0" borderId="4" xfId="6" applyNumberFormat="1" applyFont="1" applyFill="1" applyBorder="1" applyAlignment="1">
      <alignment horizontal="center" vertical="center" wrapText="1"/>
    </xf>
    <xf numFmtId="165" fontId="65" fillId="0" borderId="4" xfId="6" applyFont="1" applyFill="1" applyBorder="1" applyAlignment="1">
      <alignment horizontal="center" vertical="center" wrapText="1"/>
    </xf>
    <xf numFmtId="165" fontId="65" fillId="0" borderId="3" xfId="6" applyFont="1" applyFill="1" applyBorder="1" applyAlignment="1">
      <alignment horizontal="center" vertical="center" wrapText="1"/>
    </xf>
    <xf numFmtId="165" fontId="67" fillId="10" borderId="3" xfId="14" applyNumberFormat="1" applyFont="1" applyFill="1" applyBorder="1" applyAlignment="1">
      <alignment vertical="center" wrapText="1"/>
    </xf>
    <xf numFmtId="164" fontId="67" fillId="10" borderId="3" xfId="14" applyNumberFormat="1" applyFont="1" applyFill="1" applyBorder="1" applyAlignment="1">
      <alignment vertical="center" wrapText="1"/>
    </xf>
    <xf numFmtId="0" fontId="65" fillId="0" borderId="0" xfId="14" applyFont="1" applyFill="1" applyAlignment="1">
      <alignment vertical="center"/>
    </xf>
    <xf numFmtId="0" fontId="65" fillId="0" borderId="0" xfId="14" applyFont="1" applyFill="1" applyAlignment="1">
      <alignment horizontal="center" vertical="center"/>
    </xf>
    <xf numFmtId="0" fontId="56" fillId="0" borderId="43" xfId="8" quotePrefix="1" applyFont="1" applyFill="1" applyBorder="1" applyAlignment="1">
      <alignment horizontal="center" vertical="center" wrapText="1"/>
    </xf>
    <xf numFmtId="0" fontId="56" fillId="0" borderId="43" xfId="10" applyFont="1" applyFill="1" applyBorder="1" applyAlignment="1">
      <alignment horizontal="center" vertical="center" wrapText="1"/>
    </xf>
    <xf numFmtId="172" fontId="56" fillId="0" borderId="3" xfId="8" applyNumberFormat="1" applyFont="1" applyFill="1" applyBorder="1" applyAlignment="1">
      <alignment horizontal="center" vertical="center"/>
    </xf>
    <xf numFmtId="167" fontId="30" fillId="0" borderId="3" xfId="4" applyFont="1" applyFill="1" applyBorder="1" applyAlignment="1">
      <alignment horizontal="center" vertical="center"/>
    </xf>
    <xf numFmtId="172" fontId="30" fillId="0" borderId="3" xfId="8" applyNumberFormat="1" applyFont="1" applyFill="1" applyBorder="1" applyAlignment="1">
      <alignment horizontal="center" vertical="center"/>
    </xf>
    <xf numFmtId="165" fontId="30" fillId="0" borderId="3" xfId="6" applyFont="1" applyFill="1" applyBorder="1" applyAlignment="1">
      <alignment horizontal="center" vertical="center"/>
    </xf>
    <xf numFmtId="165" fontId="56" fillId="0" borderId="3" xfId="8" applyNumberFormat="1" applyFont="1" applyFill="1" applyBorder="1" applyAlignment="1">
      <alignment horizontal="center" vertical="center"/>
    </xf>
    <xf numFmtId="0" fontId="56" fillId="0" borderId="3" xfId="10" applyFont="1" applyFill="1" applyBorder="1" applyAlignment="1">
      <alignment horizontal="center" vertical="center" wrapText="1"/>
    </xf>
    <xf numFmtId="165" fontId="30" fillId="0" borderId="3" xfId="8" applyNumberFormat="1" applyFont="1" applyFill="1" applyBorder="1" applyAlignment="1">
      <alignment horizontal="center" vertical="center" wrapText="1"/>
    </xf>
    <xf numFmtId="172" fontId="30" fillId="0" borderId="3" xfId="8" applyNumberFormat="1" applyFont="1" applyFill="1" applyBorder="1" applyAlignment="1">
      <alignment horizontal="center" vertical="center" wrapText="1"/>
    </xf>
    <xf numFmtId="0" fontId="56" fillId="0" borderId="3" xfId="10" applyFont="1" applyFill="1" applyBorder="1" applyAlignment="1">
      <alignment horizontal="center" vertical="center"/>
    </xf>
    <xf numFmtId="172" fontId="68" fillId="8" borderId="3" xfId="8" applyNumberFormat="1" applyFont="1" applyFill="1" applyBorder="1" applyAlignment="1">
      <alignment horizontal="center" vertical="center"/>
    </xf>
    <xf numFmtId="0" fontId="32" fillId="0" borderId="5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7" borderId="54" xfId="0" applyFont="1" applyFill="1" applyBorder="1" applyAlignment="1">
      <alignment horizontal="center" vertical="center" wrapText="1"/>
    </xf>
    <xf numFmtId="172" fontId="32" fillId="7" borderId="54" xfId="0" applyNumberFormat="1" applyFont="1" applyFill="1" applyBorder="1" applyAlignment="1" applyProtection="1">
      <alignment horizontal="center" vertical="center" wrapText="1"/>
      <protection locked="0"/>
    </xf>
    <xf numFmtId="0" fontId="59" fillId="0" borderId="54" xfId="0" applyFont="1" applyFill="1" applyBorder="1" applyAlignment="1">
      <alignment horizontal="center" vertical="center" wrapText="1"/>
    </xf>
    <xf numFmtId="167" fontId="32" fillId="0" borderId="54" xfId="0" applyNumberFormat="1" applyFont="1" applyFill="1" applyBorder="1" applyAlignment="1" applyProtection="1">
      <alignment horizontal="left" vertical="center"/>
    </xf>
    <xf numFmtId="167" fontId="31" fillId="0" borderId="54" xfId="0" applyNumberFormat="1" applyFont="1" applyFill="1" applyBorder="1" applyAlignment="1" applyProtection="1">
      <alignment horizontal="left" vertical="center"/>
    </xf>
    <xf numFmtId="167" fontId="31" fillId="0" borderId="54" xfId="0" applyNumberFormat="1" applyFont="1" applyFill="1" applyBorder="1" applyAlignment="1" applyProtection="1">
      <alignment horizontal="left" vertical="center"/>
      <protection locked="0"/>
    </xf>
    <xf numFmtId="167" fontId="60" fillId="7" borderId="54" xfId="0" applyNumberFormat="1" applyFont="1" applyFill="1" applyBorder="1" applyAlignment="1">
      <alignment horizontal="left" vertical="center"/>
    </xf>
    <xf numFmtId="167" fontId="31" fillId="0" borderId="54" xfId="0" applyNumberFormat="1" applyFont="1" applyFill="1" applyBorder="1" applyAlignment="1">
      <alignment horizontal="center" vertical="center" wrapText="1"/>
    </xf>
    <xf numFmtId="167" fontId="31" fillId="0" borderId="54" xfId="0" applyNumberFormat="1" applyFont="1" applyFill="1" applyBorder="1" applyAlignment="1" applyProtection="1">
      <alignment horizontal="center" vertical="center"/>
      <protection locked="0"/>
    </xf>
    <xf numFmtId="167" fontId="31" fillId="0" borderId="54" xfId="0" applyNumberFormat="1" applyFont="1" applyFill="1" applyBorder="1" applyAlignment="1">
      <alignment horizontal="center" vertical="center"/>
    </xf>
    <xf numFmtId="167" fontId="32" fillId="0" borderId="54" xfId="0" applyNumberFormat="1" applyFont="1" applyFill="1" applyBorder="1" applyAlignment="1">
      <alignment horizontal="center" vertical="center" wrapText="1"/>
    </xf>
    <xf numFmtId="167" fontId="32" fillId="0" borderId="54" xfId="0" applyNumberFormat="1" applyFont="1" applyFill="1" applyBorder="1" applyAlignment="1">
      <alignment horizontal="center" vertical="center"/>
    </xf>
    <xf numFmtId="0" fontId="32" fillId="0" borderId="54" xfId="0" applyFont="1" applyFill="1" applyBorder="1" applyAlignment="1">
      <alignment horizontal="center" vertical="center" wrapText="1"/>
    </xf>
    <xf numFmtId="167" fontId="31" fillId="0" borderId="54" xfId="4" applyFont="1" applyFill="1" applyBorder="1" applyAlignment="1">
      <alignment horizontal="center" vertical="center"/>
    </xf>
    <xf numFmtId="167" fontId="31" fillId="0" borderId="54" xfId="4" applyFont="1" applyFill="1" applyBorder="1" applyAlignment="1">
      <alignment horizontal="right" vertical="center"/>
    </xf>
    <xf numFmtId="167" fontId="31" fillId="0" borderId="54" xfId="4" applyFont="1" applyFill="1" applyBorder="1" applyAlignment="1">
      <alignment horizontal="center" vertical="center" wrapText="1"/>
    </xf>
    <xf numFmtId="167" fontId="32" fillId="0" borderId="54" xfId="4" applyFont="1" applyFill="1" applyBorder="1" applyAlignment="1">
      <alignment horizontal="center" vertical="center" wrapText="1"/>
    </xf>
    <xf numFmtId="169" fontId="31" fillId="0" borderId="54" xfId="0" applyNumberFormat="1" applyFont="1" applyFill="1" applyBorder="1" applyAlignment="1">
      <alignment horizontal="center" vertical="center" wrapText="1"/>
    </xf>
    <xf numFmtId="167" fontId="62" fillId="7" borderId="54" xfId="0" applyNumberFormat="1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2" fillId="7" borderId="4" xfId="0" applyFont="1" applyFill="1" applyBorder="1" applyAlignment="1">
      <alignment horizontal="center" vertical="center" wrapText="1"/>
    </xf>
    <xf numFmtId="172" fontId="32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58" fillId="0" borderId="4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vertical="center"/>
    </xf>
    <xf numFmtId="0" fontId="31" fillId="0" borderId="4" xfId="0" applyFont="1" applyFill="1" applyBorder="1" applyAlignment="1">
      <alignment vertical="center" wrapText="1"/>
    </xf>
    <xf numFmtId="10" fontId="31" fillId="0" borderId="4" xfId="0" applyNumberFormat="1" applyFont="1" applyFill="1" applyBorder="1" applyAlignment="1">
      <alignment horizontal="center" vertical="center"/>
    </xf>
    <xf numFmtId="10" fontId="58" fillId="0" borderId="4" xfId="0" applyNumberFormat="1" applyFont="1" applyFill="1" applyBorder="1" applyAlignment="1">
      <alignment horizontal="center" vertical="center"/>
    </xf>
    <xf numFmtId="166" fontId="58" fillId="0" borderId="4" xfId="27" applyFont="1" applyFill="1" applyBorder="1" applyAlignment="1">
      <alignment horizontal="center" vertical="center"/>
    </xf>
    <xf numFmtId="167" fontId="60" fillId="7" borderId="4" xfId="0" applyNumberFormat="1" applyFont="1" applyFill="1" applyBorder="1" applyAlignment="1">
      <alignment horizontal="left" vertical="center"/>
    </xf>
    <xf numFmtId="10" fontId="31" fillId="0" borderId="4" xfId="0" applyNumberFormat="1" applyFont="1" applyFill="1" applyBorder="1" applyAlignment="1">
      <alignment horizontal="center" vertical="center" wrapText="1"/>
    </xf>
    <xf numFmtId="167" fontId="58" fillId="0" borderId="4" xfId="4" applyFont="1" applyFill="1" applyBorder="1" applyAlignment="1">
      <alignment horizontal="center" vertical="center"/>
    </xf>
    <xf numFmtId="10" fontId="31" fillId="0" borderId="4" xfId="0" applyNumberFormat="1" applyFont="1" applyFill="1" applyBorder="1" applyAlignment="1" applyProtection="1">
      <alignment horizontal="center" vertical="center"/>
    </xf>
    <xf numFmtId="167" fontId="32" fillId="0" borderId="4" xfId="0" applyNumberFormat="1" applyFont="1" applyFill="1" applyBorder="1" applyAlignment="1">
      <alignment horizontal="center" vertical="center" wrapText="1"/>
    </xf>
    <xf numFmtId="167" fontId="32" fillId="0" borderId="4" xfId="0" applyNumberFormat="1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/>
    </xf>
    <xf numFmtId="10" fontId="31" fillId="0" borderId="4" xfId="0" applyNumberFormat="1" applyFont="1" applyFill="1" applyBorder="1" applyAlignment="1" applyProtection="1">
      <alignment horizontal="center" vertical="center" wrapText="1"/>
    </xf>
    <xf numFmtId="10" fontId="32" fillId="0" borderId="4" xfId="0" applyNumberFormat="1" applyFont="1" applyFill="1" applyBorder="1" applyAlignment="1">
      <alignment horizontal="center" vertical="center" wrapText="1"/>
    </xf>
    <xf numFmtId="10" fontId="31" fillId="8" borderId="4" xfId="0" applyNumberFormat="1" applyFont="1" applyFill="1" applyBorder="1" applyAlignment="1" applyProtection="1">
      <alignment horizontal="center" vertical="center" wrapText="1"/>
    </xf>
    <xf numFmtId="167" fontId="32" fillId="0" borderId="4" xfId="4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justify" vertical="center" wrapText="1"/>
    </xf>
    <xf numFmtId="167" fontId="31" fillId="0" borderId="4" xfId="0" applyNumberFormat="1" applyFont="1" applyFill="1" applyBorder="1" applyAlignment="1">
      <alignment horizontal="center" vertical="center" wrapText="1"/>
    </xf>
    <xf numFmtId="167" fontId="62" fillId="7" borderId="4" xfId="0" applyNumberFormat="1" applyFont="1" applyFill="1" applyBorder="1" applyAlignment="1">
      <alignment horizontal="center" vertical="center" wrapText="1"/>
    </xf>
    <xf numFmtId="0" fontId="32" fillId="0" borderId="46" xfId="0" applyFont="1" applyFill="1" applyBorder="1" applyAlignment="1">
      <alignment horizontal="center" vertical="center" wrapText="1"/>
    </xf>
    <xf numFmtId="0" fontId="32" fillId="0" borderId="44" xfId="0" applyFont="1" applyFill="1" applyBorder="1" applyAlignment="1">
      <alignment horizontal="center" vertical="center" wrapText="1"/>
    </xf>
    <xf numFmtId="0" fontId="32" fillId="7" borderId="46" xfId="0" applyFont="1" applyFill="1" applyBorder="1" applyAlignment="1">
      <alignment horizontal="center" vertical="center" wrapText="1"/>
    </xf>
    <xf numFmtId="0" fontId="32" fillId="7" borderId="44" xfId="0" applyFont="1" applyFill="1" applyBorder="1" applyAlignment="1">
      <alignment horizontal="center" vertical="center" wrapText="1"/>
    </xf>
    <xf numFmtId="0" fontId="59" fillId="0" borderId="46" xfId="0" applyFont="1" applyFill="1" applyBorder="1" applyAlignment="1">
      <alignment horizontal="center" vertical="center" wrapText="1"/>
    </xf>
    <xf numFmtId="0" fontId="59" fillId="0" borderId="44" xfId="0" applyFont="1" applyFill="1" applyBorder="1" applyAlignment="1">
      <alignment horizontal="center" vertical="center" wrapText="1"/>
    </xf>
    <xf numFmtId="0" fontId="32" fillId="0" borderId="46" xfId="0" applyFont="1" applyFill="1" applyBorder="1" applyAlignment="1">
      <alignment horizontal="center" vertical="center"/>
    </xf>
    <xf numFmtId="0" fontId="32" fillId="0" borderId="35" xfId="0" applyFont="1" applyFill="1" applyBorder="1" applyAlignment="1">
      <alignment horizontal="center" vertical="center"/>
    </xf>
    <xf numFmtId="0" fontId="31" fillId="0" borderId="46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2" fillId="0" borderId="44" xfId="0" applyFont="1" applyFill="1" applyBorder="1" applyAlignment="1">
      <alignment horizontal="center" vertical="center"/>
    </xf>
    <xf numFmtId="10" fontId="31" fillId="0" borderId="46" xfId="0" applyNumberFormat="1" applyFont="1" applyFill="1" applyBorder="1" applyAlignment="1">
      <alignment horizontal="center" vertical="center"/>
    </xf>
    <xf numFmtId="167" fontId="32" fillId="0" borderId="44" xfId="0" applyNumberFormat="1" applyFont="1" applyFill="1" applyBorder="1" applyAlignment="1" applyProtection="1">
      <alignment horizontal="left" vertical="center"/>
    </xf>
    <xf numFmtId="167" fontId="31" fillId="0" borderId="44" xfId="0" applyNumberFormat="1" applyFont="1" applyFill="1" applyBorder="1" applyAlignment="1" applyProtection="1">
      <alignment horizontal="left" vertical="center"/>
    </xf>
    <xf numFmtId="167" fontId="31" fillId="0" borderId="44" xfId="0" applyNumberFormat="1" applyFont="1" applyFill="1" applyBorder="1" applyAlignment="1" applyProtection="1">
      <alignment horizontal="left" vertical="center"/>
      <protection locked="0"/>
    </xf>
    <xf numFmtId="167" fontId="31" fillId="0" borderId="46" xfId="0" applyNumberFormat="1" applyFont="1" applyFill="1" applyBorder="1" applyAlignment="1" applyProtection="1">
      <alignment horizontal="left" vertical="center"/>
      <protection locked="0"/>
    </xf>
    <xf numFmtId="167" fontId="60" fillId="7" borderId="46" xfId="0" applyNumberFormat="1" applyFont="1" applyFill="1" applyBorder="1" applyAlignment="1">
      <alignment horizontal="left" vertical="center"/>
    </xf>
    <xf numFmtId="167" fontId="60" fillId="7" borderId="44" xfId="0" applyNumberFormat="1" applyFont="1" applyFill="1" applyBorder="1" applyAlignment="1">
      <alignment horizontal="left" vertical="center"/>
    </xf>
    <xf numFmtId="167" fontId="31" fillId="0" borderId="46" xfId="0" applyNumberFormat="1" applyFont="1" applyFill="1" applyBorder="1" applyAlignment="1">
      <alignment horizontal="center" vertical="center" wrapText="1"/>
    </xf>
    <xf numFmtId="167" fontId="31" fillId="0" borderId="44" xfId="0" applyNumberFormat="1" applyFont="1" applyFill="1" applyBorder="1" applyAlignment="1">
      <alignment horizontal="center" vertical="center" wrapText="1"/>
    </xf>
    <xf numFmtId="167" fontId="58" fillId="0" borderId="46" xfId="4" applyFont="1" applyFill="1" applyBorder="1" applyAlignment="1">
      <alignment horizontal="center" vertical="center"/>
    </xf>
    <xf numFmtId="167" fontId="31" fillId="0" borderId="44" xfId="0" applyNumberFormat="1" applyFont="1" applyFill="1" applyBorder="1" applyAlignment="1" applyProtection="1">
      <alignment horizontal="center" vertical="center"/>
      <protection locked="0"/>
    </xf>
    <xf numFmtId="10" fontId="31" fillId="0" borderId="46" xfId="0" applyNumberFormat="1" applyFont="1" applyFill="1" applyBorder="1" applyAlignment="1" applyProtection="1">
      <alignment horizontal="center" vertical="center"/>
    </xf>
    <xf numFmtId="167" fontId="31" fillId="0" borderId="44" xfId="0" applyNumberFormat="1" applyFont="1" applyFill="1" applyBorder="1" applyAlignment="1">
      <alignment horizontal="center" vertical="center"/>
    </xf>
    <xf numFmtId="10" fontId="31" fillId="0" borderId="46" xfId="0" applyNumberFormat="1" applyFont="1" applyFill="1" applyBorder="1" applyAlignment="1">
      <alignment horizontal="center" vertical="center" wrapText="1"/>
    </xf>
    <xf numFmtId="167" fontId="32" fillId="0" borderId="46" xfId="0" applyNumberFormat="1" applyFont="1" applyFill="1" applyBorder="1" applyAlignment="1">
      <alignment horizontal="center" vertical="center" wrapText="1"/>
    </xf>
    <xf numFmtId="167" fontId="32" fillId="0" borderId="44" xfId="0" applyNumberFormat="1" applyFont="1" applyFill="1" applyBorder="1" applyAlignment="1">
      <alignment horizontal="center" vertical="center" wrapText="1"/>
    </xf>
    <xf numFmtId="167" fontId="31" fillId="0" borderId="46" xfId="0" applyNumberFormat="1" applyFont="1" applyFill="1" applyBorder="1" applyAlignment="1" applyProtection="1">
      <alignment horizontal="center" vertical="center"/>
      <protection locked="0"/>
    </xf>
    <xf numFmtId="167" fontId="32" fillId="0" borderId="46" xfId="0" applyNumberFormat="1" applyFont="1" applyFill="1" applyBorder="1" applyAlignment="1">
      <alignment horizontal="center" vertical="center"/>
    </xf>
    <xf numFmtId="167" fontId="32" fillId="0" borderId="44" xfId="0" applyNumberFormat="1" applyFont="1" applyFill="1" applyBorder="1" applyAlignment="1">
      <alignment horizontal="center" vertical="center"/>
    </xf>
    <xf numFmtId="0" fontId="32" fillId="0" borderId="46" xfId="0" applyFont="1" applyFill="1" applyBorder="1" applyAlignment="1">
      <alignment horizontal="left" vertical="center"/>
    </xf>
    <xf numFmtId="0" fontId="32" fillId="0" borderId="44" xfId="0" applyFont="1" applyFill="1" applyBorder="1" applyAlignment="1">
      <alignment horizontal="left" vertical="center"/>
    </xf>
    <xf numFmtId="10" fontId="31" fillId="0" borderId="46" xfId="0" applyNumberFormat="1" applyFont="1" applyFill="1" applyBorder="1" applyAlignment="1" applyProtection="1">
      <alignment horizontal="center" vertical="center" wrapText="1"/>
    </xf>
    <xf numFmtId="167" fontId="31" fillId="0" borderId="46" xfId="0" applyNumberFormat="1" applyFont="1" applyFill="1" applyBorder="1" applyAlignment="1">
      <alignment horizontal="center" vertical="center"/>
    </xf>
    <xf numFmtId="10" fontId="32" fillId="0" borderId="46" xfId="0" applyNumberFormat="1" applyFont="1" applyFill="1" applyBorder="1" applyAlignment="1">
      <alignment horizontal="center" vertical="center" wrapText="1"/>
    </xf>
    <xf numFmtId="10" fontId="59" fillId="0" borderId="46" xfId="0" applyNumberFormat="1" applyFont="1" applyFill="1" applyBorder="1" applyAlignment="1" applyProtection="1">
      <alignment horizontal="center" vertical="center" wrapText="1"/>
    </xf>
    <xf numFmtId="167" fontId="31" fillId="0" borderId="44" xfId="4" applyFont="1" applyFill="1" applyBorder="1" applyAlignment="1">
      <alignment horizontal="center" vertical="center"/>
    </xf>
    <xf numFmtId="167" fontId="31" fillId="0" borderId="44" xfId="4" applyFont="1" applyFill="1" applyBorder="1" applyAlignment="1">
      <alignment horizontal="right" vertical="center"/>
    </xf>
    <xf numFmtId="167" fontId="31" fillId="0" borderId="44" xfId="4" applyFont="1" applyFill="1" applyBorder="1" applyAlignment="1">
      <alignment horizontal="center" vertical="center" wrapText="1"/>
    </xf>
    <xf numFmtId="167" fontId="32" fillId="0" borderId="46" xfId="4" applyFont="1" applyFill="1" applyBorder="1" applyAlignment="1">
      <alignment horizontal="center" vertical="center" wrapText="1"/>
    </xf>
    <xf numFmtId="167" fontId="32" fillId="0" borderId="44" xfId="4" applyFont="1" applyFill="1" applyBorder="1" applyAlignment="1">
      <alignment horizontal="center" vertical="center" wrapText="1"/>
    </xf>
    <xf numFmtId="169" fontId="31" fillId="0" borderId="46" xfId="0" applyNumberFormat="1" applyFont="1" applyFill="1" applyBorder="1" applyAlignment="1">
      <alignment horizontal="center" vertical="center" wrapText="1"/>
    </xf>
    <xf numFmtId="169" fontId="31" fillId="0" borderId="44" xfId="0" applyNumberFormat="1" applyFont="1" applyFill="1" applyBorder="1" applyAlignment="1">
      <alignment horizontal="center" vertical="center" wrapText="1"/>
    </xf>
    <xf numFmtId="167" fontId="62" fillId="7" borderId="19" xfId="0" applyNumberFormat="1" applyFont="1" applyFill="1" applyBorder="1" applyAlignment="1">
      <alignment horizontal="center" vertical="center" wrapText="1"/>
    </xf>
    <xf numFmtId="167" fontId="62" fillId="7" borderId="20" xfId="0" applyNumberFormat="1" applyFont="1" applyFill="1" applyBorder="1" applyAlignment="1">
      <alignment horizontal="center" vertical="center" wrapText="1"/>
    </xf>
    <xf numFmtId="167" fontId="59" fillId="0" borderId="3" xfId="0" applyNumberFormat="1" applyFont="1" applyFill="1" applyBorder="1" applyAlignment="1">
      <alignment horizontal="center" vertical="center"/>
    </xf>
    <xf numFmtId="10" fontId="59" fillId="8" borderId="3" xfId="0" applyNumberFormat="1" applyFont="1" applyFill="1" applyBorder="1" applyAlignment="1" applyProtection="1">
      <alignment horizontal="center" vertical="center" wrapText="1"/>
    </xf>
    <xf numFmtId="0" fontId="67" fillId="0" borderId="0" xfId="14" applyFont="1" applyFill="1" applyBorder="1" applyAlignment="1">
      <alignment horizontal="center" vertical="center" wrapText="1"/>
    </xf>
    <xf numFmtId="164" fontId="67" fillId="10" borderId="0" xfId="14" applyNumberFormat="1" applyFont="1" applyFill="1" applyBorder="1" applyAlignment="1">
      <alignment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left" vertical="center"/>
    </xf>
    <xf numFmtId="0" fontId="46" fillId="0" borderId="0" xfId="0" applyFont="1" applyFill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justify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 wrapText="1"/>
    </xf>
    <xf numFmtId="10" fontId="59" fillId="0" borderId="3" xfId="0" applyNumberFormat="1" applyFont="1" applyFill="1" applyBorder="1" applyAlignment="1" applyProtection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justify" vertical="center" wrapText="1"/>
    </xf>
    <xf numFmtId="0" fontId="56" fillId="0" borderId="6" xfId="8" applyFont="1" applyFill="1" applyBorder="1" applyAlignment="1">
      <alignment horizontal="center" vertical="center"/>
    </xf>
    <xf numFmtId="0" fontId="43" fillId="0" borderId="0" xfId="8" applyFont="1" applyFill="1" applyAlignment="1">
      <alignment horizontal="center" vertical="center"/>
    </xf>
    <xf numFmtId="0" fontId="56" fillId="0" borderId="54" xfId="8" applyFont="1" applyFill="1" applyBorder="1" applyAlignment="1">
      <alignment horizontal="left" vertical="center"/>
    </xf>
    <xf numFmtId="0" fontId="56" fillId="0" borderId="6" xfId="8" applyFont="1" applyFill="1" applyBorder="1" applyAlignment="1">
      <alignment horizontal="left" vertical="center"/>
    </xf>
    <xf numFmtId="166" fontId="31" fillId="0" borderId="3" xfId="27" applyFont="1" applyFill="1" applyBorder="1" applyAlignment="1">
      <alignment horizontal="center" vertical="center"/>
    </xf>
    <xf numFmtId="10" fontId="32" fillId="0" borderId="3" xfId="0" applyNumberFormat="1" applyFont="1" applyFill="1" applyBorder="1" applyAlignment="1" applyProtection="1">
      <alignment horizontal="center" vertical="center" wrapText="1"/>
    </xf>
    <xf numFmtId="167" fontId="31" fillId="4" borderId="3" xfId="0" applyNumberFormat="1" applyFont="1" applyFill="1" applyBorder="1" applyAlignment="1" applyProtection="1">
      <alignment horizontal="left" vertical="center"/>
      <protection locked="0"/>
    </xf>
    <xf numFmtId="167" fontId="31" fillId="4" borderId="3" xfId="0" applyNumberFormat="1" applyFont="1" applyFill="1" applyBorder="1" applyAlignment="1" applyProtection="1">
      <alignment horizontal="center" vertical="center"/>
      <protection locked="0"/>
    </xf>
    <xf numFmtId="172" fontId="32" fillId="8" borderId="46" xfId="0" applyNumberFormat="1" applyFont="1" applyFill="1" applyBorder="1" applyAlignment="1" applyProtection="1">
      <alignment horizontal="center" vertical="center" wrapText="1"/>
      <protection locked="0"/>
    </xf>
    <xf numFmtId="172" fontId="32" fillId="8" borderId="44" xfId="0" applyNumberFormat="1" applyFont="1" applyFill="1" applyBorder="1" applyAlignment="1" applyProtection="1">
      <alignment horizontal="center" vertical="center" wrapText="1"/>
      <protection locked="0"/>
    </xf>
    <xf numFmtId="165" fontId="56" fillId="0" borderId="6" xfId="8" applyNumberFormat="1" applyFont="1" applyFill="1" applyBorder="1" applyAlignment="1">
      <alignment horizontal="center" vertical="center"/>
    </xf>
    <xf numFmtId="0" fontId="56" fillId="0" borderId="4" xfId="8" applyFont="1" applyFill="1" applyBorder="1" applyAlignment="1">
      <alignment vertical="center"/>
    </xf>
    <xf numFmtId="0" fontId="32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justify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justify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56" fillId="0" borderId="3" xfId="10" applyFont="1" applyFill="1" applyBorder="1" applyAlignment="1">
      <alignment horizontal="center" vertical="center" wrapText="1"/>
    </xf>
    <xf numFmtId="0" fontId="56" fillId="0" borderId="3" xfId="10" applyFont="1" applyFill="1" applyBorder="1" applyAlignment="1">
      <alignment horizontal="center" vertical="center"/>
    </xf>
    <xf numFmtId="0" fontId="56" fillId="0" borderId="54" xfId="8" applyFont="1" applyFill="1" applyBorder="1" applyAlignment="1">
      <alignment horizontal="left" vertical="center"/>
    </xf>
    <xf numFmtId="0" fontId="56" fillId="0" borderId="6" xfId="8" applyFont="1" applyFill="1" applyBorder="1" applyAlignment="1">
      <alignment horizontal="left" vertical="center"/>
    </xf>
    <xf numFmtId="0" fontId="56" fillId="0" borderId="6" xfId="8" applyFont="1" applyFill="1" applyBorder="1" applyAlignment="1">
      <alignment horizontal="center" vertical="center"/>
    </xf>
    <xf numFmtId="167" fontId="31" fillId="4" borderId="3" xfId="0" applyNumberFormat="1" applyFont="1" applyFill="1" applyBorder="1" applyAlignment="1">
      <alignment horizontal="center" vertical="center"/>
    </xf>
    <xf numFmtId="10" fontId="31" fillId="4" borderId="3" xfId="0" applyNumberFormat="1" applyFont="1" applyFill="1" applyBorder="1" applyAlignment="1" applyProtection="1">
      <alignment horizontal="center" vertical="center" wrapText="1"/>
    </xf>
    <xf numFmtId="43" fontId="37" fillId="0" borderId="0" xfId="0" applyNumberFormat="1" applyFont="1" applyAlignment="1"/>
    <xf numFmtId="43" fontId="31" fillId="0" borderId="0" xfId="0" applyNumberFormat="1" applyFont="1" applyFill="1" applyAlignment="1">
      <alignment horizontal="center" vertical="center"/>
    </xf>
    <xf numFmtId="167" fontId="58" fillId="14" borderId="3" xfId="4" applyFont="1" applyFill="1" applyBorder="1" applyAlignment="1">
      <alignment horizontal="center" vertical="center"/>
    </xf>
    <xf numFmtId="167" fontId="31" fillId="14" borderId="54" xfId="0" applyNumberFormat="1" applyFont="1" applyFill="1" applyBorder="1" applyAlignment="1" applyProtection="1">
      <alignment horizontal="center" vertical="center"/>
      <protection locked="0"/>
    </xf>
    <xf numFmtId="167" fontId="58" fillId="14" borderId="46" xfId="4" applyFont="1" applyFill="1" applyBorder="1" applyAlignment="1">
      <alignment horizontal="center" vertical="center"/>
    </xf>
    <xf numFmtId="167" fontId="31" fillId="14" borderId="44" xfId="0" applyNumberFormat="1" applyFont="1" applyFill="1" applyBorder="1" applyAlignment="1" applyProtection="1">
      <alignment horizontal="center" vertical="center"/>
      <protection locked="0"/>
    </xf>
    <xf numFmtId="167" fontId="58" fillId="14" borderId="4" xfId="4" applyFont="1" applyFill="1" applyBorder="1" applyAlignment="1">
      <alignment horizontal="center" vertical="center"/>
    </xf>
    <xf numFmtId="167" fontId="59" fillId="14" borderId="3" xfId="0" applyNumberFormat="1" applyFont="1" applyFill="1" applyBorder="1" applyAlignment="1">
      <alignment horizontal="center" vertical="center"/>
    </xf>
    <xf numFmtId="167" fontId="31" fillId="14" borderId="3" xfId="0" applyNumberFormat="1" applyFont="1" applyFill="1" applyBorder="1" applyAlignment="1">
      <alignment horizontal="center" vertical="center"/>
    </xf>
    <xf numFmtId="167" fontId="31" fillId="14" borderId="3" xfId="0" applyNumberFormat="1" applyFont="1" applyFill="1" applyBorder="1" applyAlignment="1" applyProtection="1">
      <alignment horizontal="center" vertical="center"/>
      <protection locked="0"/>
    </xf>
    <xf numFmtId="0" fontId="31" fillId="14" borderId="0" xfId="0" applyFont="1" applyFill="1" applyAlignment="1"/>
    <xf numFmtId="167" fontId="31" fillId="14" borderId="3" xfId="4" applyFont="1" applyFill="1" applyBorder="1" applyAlignment="1">
      <alignment horizontal="center" vertical="center"/>
    </xf>
    <xf numFmtId="167" fontId="59" fillId="14" borderId="3" xfId="0" applyNumberFormat="1" applyFont="1" applyFill="1" applyBorder="1" applyAlignment="1" applyProtection="1">
      <alignment horizontal="left" vertical="center"/>
      <protection locked="0"/>
    </xf>
    <xf numFmtId="10" fontId="31" fillId="14" borderId="3" xfId="0" applyNumberFormat="1" applyFont="1" applyFill="1" applyBorder="1" applyAlignment="1">
      <alignment horizontal="center" vertical="center"/>
    </xf>
    <xf numFmtId="167" fontId="31" fillId="14" borderId="3" xfId="0" applyNumberFormat="1" applyFont="1" applyFill="1" applyBorder="1" applyAlignment="1" applyProtection="1">
      <alignment horizontal="left" vertical="center"/>
      <protection locked="0"/>
    </xf>
    <xf numFmtId="43" fontId="31" fillId="0" borderId="0" xfId="0" applyNumberFormat="1" applyFont="1" applyAlignment="1"/>
    <xf numFmtId="10" fontId="31" fillId="4" borderId="3" xfId="0" applyNumberFormat="1" applyFont="1" applyFill="1" applyBorder="1" applyAlignment="1">
      <alignment horizontal="center" vertical="center"/>
    </xf>
    <xf numFmtId="175" fontId="3" fillId="0" borderId="0" xfId="8" applyNumberFormat="1" applyFont="1" applyAlignment="1">
      <alignment vertical="center"/>
    </xf>
    <xf numFmtId="0" fontId="1" fillId="0" borderId="0" xfId="8" applyFont="1" applyAlignment="1">
      <alignment vertical="center"/>
    </xf>
    <xf numFmtId="167" fontId="3" fillId="0" borderId="0" xfId="4" applyFont="1" applyAlignment="1">
      <alignment vertical="center"/>
    </xf>
    <xf numFmtId="43" fontId="3" fillId="0" borderId="0" xfId="8" applyNumberFormat="1" applyFont="1" applyAlignment="1">
      <alignment vertical="center"/>
    </xf>
    <xf numFmtId="0" fontId="32" fillId="4" borderId="3" xfId="0" applyFont="1" applyFill="1" applyBorder="1" applyAlignment="1" applyProtection="1">
      <alignment vertical="center" wrapText="1"/>
      <protection locked="0"/>
    </xf>
    <xf numFmtId="0" fontId="71" fillId="0" borderId="3" xfId="8" applyFont="1" applyFill="1" applyBorder="1" applyAlignment="1">
      <alignment vertical="center" wrapText="1"/>
    </xf>
    <xf numFmtId="172" fontId="72" fillId="0" borderId="3" xfId="8" applyNumberFormat="1" applyFont="1" applyFill="1" applyBorder="1" applyAlignment="1">
      <alignment vertical="center"/>
    </xf>
    <xf numFmtId="167" fontId="72" fillId="0" borderId="3" xfId="8" applyNumberFormat="1" applyFont="1" applyFill="1" applyBorder="1" applyAlignment="1">
      <alignment vertical="center"/>
    </xf>
    <xf numFmtId="165" fontId="72" fillId="0" borderId="3" xfId="8" applyNumberFormat="1" applyFont="1" applyFill="1" applyBorder="1" applyAlignment="1">
      <alignment vertical="center"/>
    </xf>
    <xf numFmtId="167" fontId="73" fillId="0" borderId="3" xfId="8" applyNumberFormat="1" applyFont="1" applyBorder="1" applyAlignment="1">
      <alignment vertical="center"/>
    </xf>
    <xf numFmtId="165" fontId="73" fillId="0" borderId="3" xfId="8" applyNumberFormat="1" applyFont="1" applyBorder="1" applyAlignment="1">
      <alignment vertical="center"/>
    </xf>
    <xf numFmtId="172" fontId="73" fillId="0" borderId="3" xfId="8" applyNumberFormat="1" applyFont="1" applyBorder="1" applyAlignment="1">
      <alignment vertical="center"/>
    </xf>
    <xf numFmtId="165" fontId="71" fillId="0" borderId="3" xfId="8" applyNumberFormat="1" applyFont="1" applyFill="1" applyBorder="1" applyAlignment="1">
      <alignment vertical="center"/>
    </xf>
    <xf numFmtId="165" fontId="74" fillId="0" borderId="3" xfId="8" applyNumberFormat="1" applyFont="1" applyBorder="1" applyAlignment="1">
      <alignment vertical="center"/>
    </xf>
    <xf numFmtId="44" fontId="73" fillId="0" borderId="3" xfId="8" applyNumberFormat="1" applyFont="1" applyBorder="1" applyAlignment="1">
      <alignment vertical="center"/>
    </xf>
    <xf numFmtId="44" fontId="74" fillId="0" borderId="3" xfId="8" applyNumberFormat="1" applyFont="1" applyBorder="1" applyAlignment="1">
      <alignment vertical="center"/>
    </xf>
    <xf numFmtId="0" fontId="38" fillId="16" borderId="0" xfId="8" applyFont="1" applyFill="1" applyAlignment="1">
      <alignment vertical="center"/>
    </xf>
    <xf numFmtId="0" fontId="40" fillId="16" borderId="0" xfId="8" applyFont="1" applyFill="1" applyAlignment="1">
      <alignment vertical="center"/>
    </xf>
    <xf numFmtId="172" fontId="39" fillId="0" borderId="48" xfId="0" applyNumberFormat="1" applyFont="1" applyBorder="1" applyAlignment="1">
      <alignment horizontal="center" vertical="center" wrapText="1"/>
    </xf>
    <xf numFmtId="172" fontId="39" fillId="0" borderId="0" xfId="0" applyNumberFormat="1" applyFont="1" applyBorder="1" applyAlignment="1">
      <alignment horizontal="center" vertical="center" wrapText="1"/>
    </xf>
    <xf numFmtId="0" fontId="38" fillId="0" borderId="21" xfId="8" applyFont="1" applyBorder="1" applyAlignment="1">
      <alignment horizontal="center" vertical="center"/>
    </xf>
    <xf numFmtId="0" fontId="38" fillId="0" borderId="48" xfId="8" applyFont="1" applyBorder="1" applyAlignment="1">
      <alignment horizontal="center" vertical="center"/>
    </xf>
    <xf numFmtId="0" fontId="38" fillId="0" borderId="34" xfId="8" applyFont="1" applyBorder="1" applyAlignment="1">
      <alignment horizontal="center" vertical="center"/>
    </xf>
    <xf numFmtId="0" fontId="38" fillId="5" borderId="12" xfId="8" applyFont="1" applyFill="1" applyBorder="1" applyAlignment="1">
      <alignment horizontal="center" vertical="center"/>
    </xf>
    <xf numFmtId="0" fontId="38" fillId="5" borderId="56" xfId="8" applyFont="1" applyFill="1" applyBorder="1" applyAlignment="1">
      <alignment horizontal="center" vertical="center"/>
    </xf>
    <xf numFmtId="0" fontId="38" fillId="5" borderId="57" xfId="8" applyFont="1" applyFill="1" applyBorder="1" applyAlignment="1">
      <alignment horizontal="center" vertical="center"/>
    </xf>
    <xf numFmtId="165" fontId="38" fillId="0" borderId="67" xfId="6" applyFont="1" applyFill="1" applyBorder="1" applyAlignment="1">
      <alignment horizontal="center" vertical="center"/>
    </xf>
    <xf numFmtId="165" fontId="38" fillId="0" borderId="36" xfId="6" applyFont="1" applyFill="1" applyBorder="1" applyAlignment="1">
      <alignment horizontal="center" vertical="center"/>
    </xf>
    <xf numFmtId="0" fontId="39" fillId="0" borderId="0" xfId="13" applyFont="1" applyFill="1" applyAlignment="1">
      <alignment horizontal="right" vertical="center"/>
    </xf>
    <xf numFmtId="167" fontId="39" fillId="0" borderId="8" xfId="4" applyFont="1" applyFill="1" applyBorder="1" applyAlignment="1">
      <alignment horizontal="center" vertical="center"/>
    </xf>
    <xf numFmtId="10" fontId="40" fillId="0" borderId="33" xfId="19" applyNumberFormat="1" applyFont="1" applyBorder="1" applyAlignment="1">
      <alignment horizontal="center" vertical="center" wrapText="1"/>
    </xf>
    <xf numFmtId="10" fontId="40" fillId="0" borderId="22" xfId="19" applyNumberFormat="1" applyFont="1" applyBorder="1" applyAlignment="1">
      <alignment horizontal="center" vertical="center" wrapText="1"/>
    </xf>
    <xf numFmtId="0" fontId="38" fillId="0" borderId="11" xfId="8" applyFont="1" applyBorder="1" applyAlignment="1">
      <alignment horizontal="center" vertical="center"/>
    </xf>
    <xf numFmtId="0" fontId="38" fillId="0" borderId="6" xfId="8" applyFont="1" applyBorder="1" applyAlignment="1">
      <alignment horizontal="center" vertical="center"/>
    </xf>
    <xf numFmtId="0" fontId="38" fillId="0" borderId="35" xfId="8" applyFont="1" applyBorder="1" applyAlignment="1">
      <alignment horizontal="center" vertical="center"/>
    </xf>
    <xf numFmtId="0" fontId="38" fillId="0" borderId="12" xfId="8" applyFont="1" applyBorder="1" applyAlignment="1">
      <alignment horizontal="center" vertical="center"/>
    </xf>
    <xf numFmtId="0" fontId="38" fillId="0" borderId="55" xfId="8" applyFont="1" applyBorder="1" applyAlignment="1">
      <alignment horizontal="center" vertical="center"/>
    </xf>
    <xf numFmtId="0" fontId="38" fillId="0" borderId="12" xfId="8" applyFont="1" applyFill="1" applyBorder="1" applyAlignment="1">
      <alignment horizontal="center" vertical="center"/>
    </xf>
    <xf numFmtId="0" fontId="38" fillId="0" borderId="55" xfId="8" applyFont="1" applyFill="1" applyBorder="1" applyAlignment="1">
      <alignment horizontal="center" vertical="center"/>
    </xf>
    <xf numFmtId="0" fontId="38" fillId="0" borderId="5" xfId="8" applyFont="1" applyBorder="1" applyAlignment="1">
      <alignment horizontal="center" vertical="center"/>
    </xf>
    <xf numFmtId="0" fontId="38" fillId="0" borderId="0" xfId="8" applyFont="1" applyBorder="1" applyAlignment="1">
      <alignment horizontal="center" vertical="center"/>
    </xf>
    <xf numFmtId="0" fontId="38" fillId="0" borderId="52" xfId="8" applyFont="1" applyBorder="1" applyAlignment="1">
      <alignment horizontal="center" vertical="center"/>
    </xf>
    <xf numFmtId="0" fontId="49" fillId="0" borderId="0" xfId="0" quotePrefix="1" applyFont="1" applyBorder="1" applyAlignment="1">
      <alignment horizontal="justify" vertical="center" wrapText="1"/>
    </xf>
    <xf numFmtId="0" fontId="38" fillId="0" borderId="28" xfId="8" applyFont="1" applyBorder="1" applyAlignment="1">
      <alignment horizontal="center" vertical="center"/>
    </xf>
    <xf numFmtId="0" fontId="38" fillId="0" borderId="29" xfId="8" applyFont="1" applyBorder="1" applyAlignment="1">
      <alignment horizontal="center" vertical="center"/>
    </xf>
    <xf numFmtId="0" fontId="38" fillId="2" borderId="11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0" fontId="38" fillId="0" borderId="8" xfId="8" applyFont="1" applyBorder="1" applyAlignment="1">
      <alignment horizontal="center" vertical="center"/>
    </xf>
    <xf numFmtId="172" fontId="38" fillId="0" borderId="46" xfId="0" applyNumberFormat="1" applyFont="1" applyFill="1" applyBorder="1" applyAlignment="1">
      <alignment horizontal="center" vertical="center"/>
    </xf>
    <xf numFmtId="172" fontId="38" fillId="0" borderId="3" xfId="0" applyNumberFormat="1" applyFont="1" applyFill="1" applyBorder="1" applyAlignment="1">
      <alignment horizontal="center" vertical="center"/>
    </xf>
    <xf numFmtId="167" fontId="38" fillId="0" borderId="0" xfId="5" applyFont="1" applyBorder="1" applyAlignment="1">
      <alignment horizontal="center" vertical="center"/>
    </xf>
    <xf numFmtId="14" fontId="40" fillId="0" borderId="54" xfId="8" applyNumberFormat="1" applyFont="1" applyFill="1" applyBorder="1" applyAlignment="1">
      <alignment horizontal="center" vertical="center" wrapText="1"/>
    </xf>
    <xf numFmtId="14" fontId="40" fillId="0" borderId="35" xfId="8" applyNumberFormat="1" applyFont="1" applyFill="1" applyBorder="1" applyAlignment="1">
      <alignment horizontal="center" vertical="center" wrapText="1"/>
    </xf>
    <xf numFmtId="14" fontId="40" fillId="0" borderId="54" xfId="8" applyNumberFormat="1" applyFont="1" applyBorder="1" applyAlignment="1">
      <alignment horizontal="center" vertical="center" wrapText="1"/>
    </xf>
    <xf numFmtId="14" fontId="40" fillId="0" borderId="35" xfId="8" applyNumberFormat="1" applyFont="1" applyBorder="1" applyAlignment="1">
      <alignment horizontal="center" vertical="center" wrapText="1"/>
    </xf>
    <xf numFmtId="172" fontId="40" fillId="0" borderId="54" xfId="8" applyNumberFormat="1" applyFont="1" applyBorder="1" applyAlignment="1">
      <alignment horizontal="center" vertical="center" wrapText="1"/>
    </xf>
    <xf numFmtId="172" fontId="40" fillId="0" borderId="35" xfId="8" applyNumberFormat="1" applyFont="1" applyBorder="1" applyAlignment="1">
      <alignment horizontal="center" vertical="center" wrapText="1"/>
    </xf>
    <xf numFmtId="1" fontId="40" fillId="0" borderId="54" xfId="8" quotePrefix="1" applyNumberFormat="1" applyFont="1" applyBorder="1" applyAlignment="1">
      <alignment horizontal="center" vertical="center" wrapText="1"/>
    </xf>
    <xf numFmtId="1" fontId="40" fillId="0" borderId="35" xfId="8" quotePrefix="1" applyNumberFormat="1" applyFont="1" applyBorder="1" applyAlignment="1">
      <alignment horizontal="center" vertical="center" wrapText="1"/>
    </xf>
    <xf numFmtId="3" fontId="40" fillId="0" borderId="61" xfId="8" quotePrefix="1" applyNumberFormat="1" applyFont="1" applyFill="1" applyBorder="1" applyAlignment="1">
      <alignment horizontal="center" vertical="center" wrapText="1"/>
    </xf>
    <xf numFmtId="3" fontId="40" fillId="0" borderId="14" xfId="8" quotePrefix="1" applyNumberFormat="1" applyFont="1" applyFill="1" applyBorder="1" applyAlignment="1">
      <alignment horizontal="center" vertical="center" wrapText="1"/>
    </xf>
    <xf numFmtId="20" fontId="40" fillId="0" borderId="54" xfId="8" applyNumberFormat="1" applyFont="1" applyBorder="1" applyAlignment="1">
      <alignment horizontal="center" vertical="center" wrapText="1"/>
    </xf>
    <xf numFmtId="20" fontId="40" fillId="0" borderId="35" xfId="8" applyNumberFormat="1" applyFont="1" applyBorder="1" applyAlignment="1">
      <alignment horizontal="center" vertical="center" wrapText="1"/>
    </xf>
    <xf numFmtId="172" fontId="40" fillId="0" borderId="64" xfId="8" applyNumberFormat="1" applyFont="1" applyBorder="1" applyAlignment="1">
      <alignment horizontal="center" vertical="center" wrapText="1"/>
    </xf>
    <xf numFmtId="172" fontId="40" fillId="0" borderId="65" xfId="8" applyNumberFormat="1" applyFont="1" applyBorder="1" applyAlignment="1">
      <alignment horizontal="center" vertical="center" wrapText="1"/>
    </xf>
    <xf numFmtId="172" fontId="38" fillId="0" borderId="15" xfId="8" applyNumberFormat="1" applyFont="1" applyBorder="1" applyAlignment="1">
      <alignment horizontal="center" vertical="center" wrapText="1"/>
    </xf>
    <xf numFmtId="172" fontId="38" fillId="0" borderId="66" xfId="8" applyNumberFormat="1" applyFont="1" applyBorder="1" applyAlignment="1">
      <alignment horizontal="center" vertical="center" wrapText="1"/>
    </xf>
    <xf numFmtId="0" fontId="49" fillId="4" borderId="54" xfId="8" applyFont="1" applyFill="1" applyBorder="1" applyAlignment="1">
      <alignment horizontal="center" vertical="center" wrapText="1"/>
    </xf>
    <xf numFmtId="0" fontId="49" fillId="4" borderId="35" xfId="8" applyFont="1" applyFill="1" applyBorder="1" applyAlignment="1">
      <alignment horizontal="center" vertical="center" wrapText="1"/>
    </xf>
    <xf numFmtId="0" fontId="40" fillId="0" borderId="67" xfId="8" applyFont="1" applyBorder="1" applyAlignment="1">
      <alignment horizontal="center" vertical="center" wrapText="1"/>
    </xf>
    <xf numFmtId="0" fontId="40" fillId="0" borderId="36" xfId="8" applyFont="1" applyBorder="1" applyAlignment="1">
      <alignment horizontal="center" vertical="center" wrapText="1"/>
    </xf>
    <xf numFmtId="0" fontId="38" fillId="0" borderId="15" xfId="8" applyFont="1" applyFill="1" applyBorder="1" applyAlignment="1">
      <alignment horizontal="center" vertical="center"/>
    </xf>
    <xf numFmtId="0" fontId="38" fillId="0" borderId="68" xfId="8" applyFont="1" applyFill="1" applyBorder="1" applyAlignment="1">
      <alignment horizontal="center" vertical="center"/>
    </xf>
    <xf numFmtId="0" fontId="38" fillId="0" borderId="16" xfId="8" applyFont="1" applyFill="1" applyBorder="1" applyAlignment="1">
      <alignment horizontal="center" vertical="center"/>
    </xf>
    <xf numFmtId="165" fontId="38" fillId="0" borderId="49" xfId="6" applyFont="1" applyFill="1" applyBorder="1" applyAlignment="1">
      <alignment horizontal="center" vertical="center"/>
    </xf>
    <xf numFmtId="165" fontId="38" fillId="0" borderId="16" xfId="6" applyFont="1" applyFill="1" applyBorder="1" applyAlignment="1">
      <alignment horizontal="center" vertical="center"/>
    </xf>
    <xf numFmtId="17" fontId="40" fillId="0" borderId="54" xfId="8" quotePrefix="1" applyNumberFormat="1" applyFont="1" applyBorder="1" applyAlignment="1">
      <alignment horizontal="center" vertical="center" wrapText="1"/>
    </xf>
    <xf numFmtId="17" fontId="40" fillId="0" borderId="35" xfId="8" quotePrefix="1" applyNumberFormat="1" applyFont="1" applyBorder="1" applyAlignment="1">
      <alignment horizontal="center" vertical="center" wrapText="1"/>
    </xf>
    <xf numFmtId="165" fontId="39" fillId="0" borderId="0" xfId="6" applyFont="1" applyFill="1" applyBorder="1" applyAlignment="1">
      <alignment horizontal="center" vertical="top" wrapText="1"/>
    </xf>
    <xf numFmtId="165" fontId="39" fillId="0" borderId="8" xfId="6" applyFont="1" applyFill="1" applyBorder="1" applyAlignment="1">
      <alignment horizontal="center" vertical="top" wrapText="1"/>
    </xf>
    <xf numFmtId="0" fontId="51" fillId="0" borderId="21" xfId="8" applyFont="1" applyBorder="1" applyAlignment="1">
      <alignment horizontal="center" vertical="center"/>
    </xf>
    <xf numFmtId="0" fontId="51" fillId="0" borderId="48" xfId="8" applyFont="1" applyBorder="1" applyAlignment="1">
      <alignment horizontal="center" vertical="center"/>
    </xf>
    <xf numFmtId="165" fontId="38" fillId="0" borderId="12" xfId="6" applyFont="1" applyBorder="1" applyAlignment="1">
      <alignment horizontal="center" vertical="center"/>
    </xf>
    <xf numFmtId="165" fontId="38" fillId="0" borderId="57" xfId="6" applyFont="1" applyBorder="1" applyAlignment="1">
      <alignment horizontal="center" vertical="center"/>
    </xf>
    <xf numFmtId="0" fontId="50" fillId="0" borderId="17" xfId="8" applyFont="1" applyBorder="1" applyAlignment="1">
      <alignment horizontal="left" vertical="center"/>
    </xf>
    <xf numFmtId="0" fontId="50" fillId="0" borderId="43" xfId="8" applyFont="1" applyBorder="1" applyAlignment="1">
      <alignment horizontal="left" vertical="center"/>
    </xf>
    <xf numFmtId="0" fontId="50" fillId="0" borderId="67" xfId="8" applyFont="1" applyBorder="1" applyAlignment="1">
      <alignment horizontal="left" vertical="center"/>
    </xf>
    <xf numFmtId="0" fontId="50" fillId="0" borderId="46" xfId="8" applyFont="1" applyBorder="1" applyAlignment="1">
      <alignment horizontal="left" vertical="center"/>
    </xf>
    <xf numFmtId="0" fontId="50" fillId="0" borderId="3" xfId="8" applyFont="1" applyBorder="1" applyAlignment="1">
      <alignment horizontal="left" vertical="center"/>
    </xf>
    <xf numFmtId="0" fontId="50" fillId="0" borderId="54" xfId="8" applyFont="1" applyBorder="1" applyAlignment="1">
      <alignment horizontal="left" vertical="center"/>
    </xf>
    <xf numFmtId="165" fontId="49" fillId="0" borderId="22" xfId="6" applyFont="1" applyFill="1" applyBorder="1" applyAlignment="1">
      <alignment horizontal="center" vertical="center"/>
    </xf>
    <xf numFmtId="165" fontId="49" fillId="0" borderId="27" xfId="6" applyFont="1" applyFill="1" applyBorder="1" applyAlignment="1">
      <alignment horizontal="center" vertical="center"/>
    </xf>
    <xf numFmtId="0" fontId="40" fillId="0" borderId="19" xfId="8" applyFont="1" applyBorder="1" applyAlignment="1">
      <alignment horizontal="center" vertical="center"/>
    </xf>
    <xf numFmtId="0" fontId="40" fillId="0" borderId="30" xfId="8" applyFont="1" applyBorder="1" applyAlignment="1">
      <alignment horizontal="center" vertical="center"/>
    </xf>
    <xf numFmtId="0" fontId="38" fillId="0" borderId="61" xfId="8" applyFont="1" applyBorder="1" applyAlignment="1">
      <alignment horizontal="center" vertical="center"/>
    </xf>
    <xf numFmtId="0" fontId="38" fillId="0" borderId="10" xfId="8" applyFont="1" applyBorder="1" applyAlignment="1">
      <alignment horizontal="center" vertical="center"/>
    </xf>
    <xf numFmtId="0" fontId="38" fillId="0" borderId="62" xfId="8" applyFont="1" applyBorder="1" applyAlignment="1">
      <alignment horizontal="center" vertical="center"/>
    </xf>
    <xf numFmtId="165" fontId="40" fillId="0" borderId="37" xfId="6" applyFont="1" applyFill="1" applyBorder="1" applyAlignment="1">
      <alignment horizontal="center" vertical="center"/>
    </xf>
    <xf numFmtId="165" fontId="40" fillId="0" borderId="63" xfId="6" applyFont="1" applyFill="1" applyBorder="1" applyAlignment="1">
      <alignment horizontal="center" vertical="center"/>
    </xf>
    <xf numFmtId="0" fontId="49" fillId="6" borderId="49" xfId="8" applyFont="1" applyFill="1" applyBorder="1" applyAlignment="1">
      <alignment horizontal="center" vertical="center"/>
    </xf>
    <xf numFmtId="0" fontId="49" fillId="6" borderId="68" xfId="8" applyFont="1" applyFill="1" applyBorder="1" applyAlignment="1">
      <alignment horizontal="center" vertical="center"/>
    </xf>
    <xf numFmtId="0" fontId="49" fillId="6" borderId="66" xfId="8" applyFont="1" applyFill="1" applyBorder="1" applyAlignment="1">
      <alignment horizontal="center" vertical="center"/>
    </xf>
    <xf numFmtId="0" fontId="49" fillId="0" borderId="0" xfId="8" applyNumberFormat="1" applyFont="1" applyBorder="1" applyAlignment="1">
      <alignment horizontal="justify" vertical="center" wrapText="1"/>
    </xf>
    <xf numFmtId="0" fontId="40" fillId="0" borderId="58" xfId="8" applyFont="1" applyBorder="1" applyAlignment="1">
      <alignment horizontal="center" vertical="center" wrapText="1"/>
    </xf>
    <xf numFmtId="0" fontId="40" fillId="0" borderId="40" xfId="8" applyFont="1" applyBorder="1" applyAlignment="1">
      <alignment horizontal="center" vertical="center" wrapText="1"/>
    </xf>
    <xf numFmtId="0" fontId="50" fillId="0" borderId="19" xfId="8" applyFont="1" applyBorder="1" applyAlignment="1">
      <alignment horizontal="left" vertical="center"/>
    </xf>
    <xf numFmtId="0" fontId="50" fillId="0" borderId="30" xfId="8" applyFont="1" applyBorder="1" applyAlignment="1">
      <alignment horizontal="left" vertical="center"/>
    </xf>
    <xf numFmtId="0" fontId="50" fillId="0" borderId="49" xfId="8" applyFont="1" applyBorder="1" applyAlignment="1">
      <alignment horizontal="left" vertical="center"/>
    </xf>
    <xf numFmtId="165" fontId="49" fillId="0" borderId="51" xfId="6" applyFont="1" applyFill="1" applyBorder="1" applyAlignment="1">
      <alignment horizontal="center" vertical="center"/>
    </xf>
    <xf numFmtId="0" fontId="40" fillId="0" borderId="21" xfId="8" applyFont="1" applyBorder="1" applyAlignment="1">
      <alignment horizontal="left" vertical="center"/>
    </xf>
    <xf numFmtId="0" fontId="40" fillId="0" borderId="48" xfId="8" applyFont="1" applyBorder="1" applyAlignment="1">
      <alignment horizontal="left" vertical="center"/>
    </xf>
    <xf numFmtId="0" fontId="40" fillId="0" borderId="34" xfId="8" applyFont="1" applyBorder="1" applyAlignment="1">
      <alignment horizontal="left" vertical="center"/>
    </xf>
    <xf numFmtId="0" fontId="40" fillId="0" borderId="11" xfId="8" applyFont="1" applyBorder="1" applyAlignment="1">
      <alignment horizontal="left" vertical="center"/>
    </xf>
    <xf numFmtId="0" fontId="40" fillId="0" borderId="6" xfId="8" applyFont="1" applyBorder="1" applyAlignment="1">
      <alignment horizontal="left" vertical="center"/>
    </xf>
    <xf numFmtId="0" fontId="40" fillId="0" borderId="35" xfId="8" applyFont="1" applyBorder="1" applyAlignment="1">
      <alignment horizontal="left" vertical="center"/>
    </xf>
    <xf numFmtId="2" fontId="38" fillId="0" borderId="19" xfId="0" applyNumberFormat="1" applyFont="1" applyBorder="1" applyAlignment="1">
      <alignment horizontal="center" vertical="center"/>
    </xf>
    <xf numFmtId="2" fontId="38" fillId="0" borderId="30" xfId="0" applyNumberFormat="1" applyFont="1" applyBorder="1" applyAlignment="1">
      <alignment horizontal="center" vertical="center"/>
    </xf>
    <xf numFmtId="2" fontId="38" fillId="0" borderId="29" xfId="0" applyNumberFormat="1" applyFont="1" applyBorder="1" applyAlignment="1">
      <alignment horizontal="center" vertical="center"/>
    </xf>
    <xf numFmtId="2" fontId="38" fillId="0" borderId="47" xfId="0" applyNumberFormat="1" applyFont="1" applyBorder="1" applyAlignment="1">
      <alignment horizontal="center" vertical="center"/>
    </xf>
    <xf numFmtId="172" fontId="38" fillId="2" borderId="46" xfId="0" applyNumberFormat="1" applyFont="1" applyFill="1" applyBorder="1" applyAlignment="1">
      <alignment horizontal="center" vertical="center"/>
    </xf>
    <xf numFmtId="172" fontId="38" fillId="2" borderId="3" xfId="0" applyNumberFormat="1" applyFont="1" applyFill="1" applyBorder="1" applyAlignment="1">
      <alignment horizontal="center" vertical="center"/>
    </xf>
    <xf numFmtId="2" fontId="38" fillId="2" borderId="3" xfId="0" applyNumberFormat="1" applyFont="1" applyFill="1" applyBorder="1" applyAlignment="1">
      <alignment horizontal="center" vertical="center"/>
    </xf>
    <xf numFmtId="2" fontId="38" fillId="2" borderId="44" xfId="0" applyNumberFormat="1" applyFont="1" applyFill="1" applyBorder="1" applyAlignment="1">
      <alignment horizontal="center" vertical="center"/>
    </xf>
    <xf numFmtId="0" fontId="38" fillId="0" borderId="46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172" fontId="38" fillId="0" borderId="11" xfId="0" applyNumberFormat="1" applyFont="1" applyBorder="1" applyAlignment="1">
      <alignment horizontal="center" vertical="center"/>
    </xf>
    <xf numFmtId="172" fontId="38" fillId="0" borderId="4" xfId="0" applyNumberFormat="1" applyFont="1" applyBorder="1" applyAlignment="1">
      <alignment horizontal="center" vertical="center"/>
    </xf>
    <xf numFmtId="2" fontId="38" fillId="0" borderId="54" xfId="0" applyNumberFormat="1" applyFont="1" applyFill="1" applyBorder="1" applyAlignment="1">
      <alignment horizontal="left" vertical="center"/>
    </xf>
    <xf numFmtId="2" fontId="38" fillId="0" borderId="35" xfId="0" applyNumberFormat="1" applyFont="1" applyFill="1" applyBorder="1" applyAlignment="1">
      <alignment horizontal="left" vertical="center"/>
    </xf>
    <xf numFmtId="2" fontId="38" fillId="0" borderId="3" xfId="0" applyNumberFormat="1" applyFont="1" applyFill="1" applyBorder="1" applyAlignment="1">
      <alignment horizontal="center" vertical="center"/>
    </xf>
    <xf numFmtId="2" fontId="38" fillId="0" borderId="44" xfId="0" applyNumberFormat="1" applyFont="1" applyFill="1" applyBorder="1" applyAlignment="1">
      <alignment horizontal="center" vertical="center"/>
    </xf>
    <xf numFmtId="0" fontId="54" fillId="0" borderId="11" xfId="8" applyFont="1" applyBorder="1" applyAlignment="1">
      <alignment horizontal="left" vertical="center" wrapText="1"/>
    </xf>
    <xf numFmtId="0" fontId="54" fillId="0" borderId="6" xfId="8" applyFont="1" applyBorder="1" applyAlignment="1">
      <alignment horizontal="left" vertical="center" wrapText="1"/>
    </xf>
    <xf numFmtId="0" fontId="54" fillId="0" borderId="35" xfId="8" applyFont="1" applyBorder="1" applyAlignment="1">
      <alignment horizontal="left" vertical="center" wrapText="1"/>
    </xf>
    <xf numFmtId="0" fontId="38" fillId="0" borderId="0" xfId="9" applyFont="1" applyBorder="1" applyAlignment="1">
      <alignment horizontal="justify" vertical="center" wrapText="1"/>
    </xf>
    <xf numFmtId="0" fontId="69" fillId="6" borderId="12" xfId="13" applyFont="1" applyFill="1" applyBorder="1" applyAlignment="1">
      <alignment horizontal="left" vertical="center"/>
    </xf>
    <xf numFmtId="0" fontId="69" fillId="6" borderId="56" xfId="13" applyFont="1" applyFill="1" applyBorder="1" applyAlignment="1">
      <alignment horizontal="left" vertical="center"/>
    </xf>
    <xf numFmtId="0" fontId="69" fillId="6" borderId="57" xfId="13" applyFont="1" applyFill="1" applyBorder="1" applyAlignment="1">
      <alignment horizontal="left" vertical="center"/>
    </xf>
    <xf numFmtId="165" fontId="40" fillId="0" borderId="23" xfId="6" applyFont="1" applyFill="1" applyBorder="1" applyAlignment="1">
      <alignment horizontal="center" vertical="center"/>
    </xf>
    <xf numFmtId="165" fontId="40" fillId="0" borderId="22" xfId="6" applyFont="1" applyFill="1" applyBorder="1" applyAlignment="1">
      <alignment horizontal="center" vertical="center"/>
    </xf>
    <xf numFmtId="165" fontId="49" fillId="0" borderId="58" xfId="6" applyFont="1" applyBorder="1" applyAlignment="1">
      <alignment horizontal="center" vertical="center"/>
    </xf>
    <xf numFmtId="165" fontId="49" fillId="0" borderId="18" xfId="6" applyFont="1" applyBorder="1" applyAlignment="1">
      <alignment horizontal="center" vertical="center"/>
    </xf>
    <xf numFmtId="0" fontId="50" fillId="11" borderId="59" xfId="8" applyFont="1" applyFill="1" applyBorder="1" applyAlignment="1">
      <alignment horizontal="center" vertical="center"/>
    </xf>
    <xf numFmtId="0" fontId="50" fillId="11" borderId="41" xfId="8" applyFont="1" applyFill="1" applyBorder="1" applyAlignment="1">
      <alignment horizontal="center" vertical="center"/>
    </xf>
    <xf numFmtId="0" fontId="50" fillId="11" borderId="13" xfId="8" applyFont="1" applyFill="1" applyBorder="1" applyAlignment="1">
      <alignment horizontal="center" vertical="center"/>
    </xf>
    <xf numFmtId="0" fontId="40" fillId="0" borderId="23" xfId="8" applyFont="1" applyBorder="1" applyAlignment="1">
      <alignment horizontal="center" vertical="center" wrapText="1"/>
    </xf>
    <xf numFmtId="0" fontId="40" fillId="0" borderId="60" xfId="8" applyFont="1" applyBorder="1" applyAlignment="1">
      <alignment horizontal="center" vertical="center" wrapText="1"/>
    </xf>
    <xf numFmtId="0" fontId="49" fillId="0" borderId="0" xfId="6" applyNumberFormat="1" applyFont="1" applyFill="1" applyBorder="1" applyAlignment="1">
      <alignment horizontal="justify" vertical="center" wrapText="1"/>
    </xf>
    <xf numFmtId="0" fontId="22" fillId="0" borderId="0" xfId="1" applyFont="1" applyFill="1" applyAlignment="1">
      <alignment horizontal="justify" vertical="center"/>
    </xf>
    <xf numFmtId="0" fontId="22" fillId="0" borderId="54" xfId="1" applyFont="1" applyFill="1" applyBorder="1" applyAlignment="1">
      <alignment horizontal="justify" vertical="center" wrapText="1"/>
    </xf>
    <xf numFmtId="0" fontId="22" fillId="0" borderId="6" xfId="1" applyFont="1" applyFill="1" applyBorder="1" applyAlignment="1">
      <alignment horizontal="justify" vertical="center" wrapText="1"/>
    </xf>
    <xf numFmtId="0" fontId="21" fillId="10" borderId="3" xfId="1" applyFont="1" applyFill="1" applyBorder="1" applyAlignment="1">
      <alignment horizontal="center" vertical="center"/>
    </xf>
    <xf numFmtId="0" fontId="22" fillId="0" borderId="54" xfId="1" applyFont="1" applyFill="1" applyBorder="1" applyAlignment="1">
      <alignment horizontal="center" vertical="center"/>
    </xf>
    <xf numFmtId="0" fontId="22" fillId="0" borderId="6" xfId="1" applyFont="1" applyFill="1" applyBorder="1" applyAlignment="1">
      <alignment horizontal="center" vertical="center"/>
    </xf>
    <xf numFmtId="0" fontId="22" fillId="0" borderId="4" xfId="1" applyFont="1" applyFill="1" applyBorder="1" applyAlignment="1">
      <alignment horizontal="center" vertical="center"/>
    </xf>
    <xf numFmtId="0" fontId="21" fillId="5" borderId="53" xfId="1" applyFont="1" applyFill="1" applyBorder="1" applyAlignment="1">
      <alignment horizontal="center" vertical="center" wrapText="1"/>
    </xf>
    <xf numFmtId="0" fontId="21" fillId="5" borderId="43" xfId="1" applyFont="1" applyFill="1" applyBorder="1" applyAlignment="1">
      <alignment horizontal="center" vertical="center" wrapText="1"/>
    </xf>
    <xf numFmtId="0" fontId="21" fillId="5" borderId="69" xfId="1" applyFont="1" applyFill="1" applyBorder="1" applyAlignment="1">
      <alignment horizontal="center" vertical="center"/>
    </xf>
    <xf numFmtId="0" fontId="21" fillId="5" borderId="32" xfId="1" applyFont="1" applyFill="1" applyBorder="1" applyAlignment="1">
      <alignment horizontal="center" vertical="center"/>
    </xf>
    <xf numFmtId="0" fontId="21" fillId="5" borderId="67" xfId="1" applyFont="1" applyFill="1" applyBorder="1" applyAlignment="1">
      <alignment horizontal="center" vertical="center"/>
    </xf>
    <xf numFmtId="0" fontId="21" fillId="0" borderId="0" xfId="1" applyFont="1" applyFill="1" applyAlignment="1">
      <alignment horizontal="center" vertical="center"/>
    </xf>
    <xf numFmtId="0" fontId="22" fillId="0" borderId="0" xfId="1" applyFont="1" applyFill="1" applyAlignment="1">
      <alignment horizontal="justify" vertical="center" wrapText="1"/>
    </xf>
    <xf numFmtId="173" fontId="21" fillId="0" borderId="0" xfId="1" applyNumberFormat="1" applyFont="1" applyFill="1" applyAlignment="1">
      <alignment horizontal="left" vertical="center"/>
    </xf>
    <xf numFmtId="0" fontId="22" fillId="0" borderId="0" xfId="1" applyFont="1" applyFill="1" applyAlignment="1">
      <alignment horizontal="justify" vertical="justify" wrapText="1"/>
    </xf>
    <xf numFmtId="0" fontId="21" fillId="5" borderId="43" xfId="1" applyFont="1" applyFill="1" applyBorder="1" applyAlignment="1">
      <alignment horizontal="center" vertical="center"/>
    </xf>
    <xf numFmtId="0" fontId="21" fillId="5" borderId="3" xfId="1" applyFont="1" applyFill="1" applyBorder="1" applyAlignment="1">
      <alignment horizontal="center" vertical="center"/>
    </xf>
    <xf numFmtId="0" fontId="21" fillId="5" borderId="54" xfId="1" applyFont="1" applyFill="1" applyBorder="1" applyAlignment="1">
      <alignment horizontal="right" vertical="center"/>
    </xf>
    <xf numFmtId="0" fontId="21" fillId="5" borderId="6" xfId="1" applyFont="1" applyFill="1" applyBorder="1" applyAlignment="1">
      <alignment horizontal="right" vertical="center"/>
    </xf>
    <xf numFmtId="0" fontId="21" fillId="5" borderId="4" xfId="1" applyFont="1" applyFill="1" applyBorder="1" applyAlignment="1">
      <alignment horizontal="right" vertical="center"/>
    </xf>
    <xf numFmtId="14" fontId="31" fillId="0" borderId="7" xfId="0" applyNumberFormat="1" applyFont="1" applyFill="1" applyBorder="1" applyAlignment="1" applyProtection="1">
      <alignment horizontal="left" vertical="top" wrapText="1"/>
      <protection locked="0"/>
    </xf>
    <xf numFmtId="0" fontId="32" fillId="0" borderId="3" xfId="0" applyFont="1" applyFill="1" applyBorder="1" applyAlignment="1" applyProtection="1">
      <alignment horizontal="center" vertical="center" wrapText="1"/>
      <protection locked="0"/>
    </xf>
    <xf numFmtId="14" fontId="3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4" fillId="13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 applyProtection="1">
      <alignment horizontal="center" vertical="center" wrapText="1"/>
      <protection locked="0"/>
    </xf>
    <xf numFmtId="14" fontId="3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2" fillId="8" borderId="3" xfId="0" applyFont="1" applyFill="1" applyBorder="1" applyAlignment="1" applyProtection="1">
      <alignment horizontal="center" vertical="center" wrapText="1"/>
      <protection locked="0"/>
    </xf>
    <xf numFmtId="0" fontId="32" fillId="0" borderId="4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169" fontId="60" fillId="8" borderId="3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justify" vertical="center" wrapText="1"/>
    </xf>
    <xf numFmtId="0" fontId="32" fillId="0" borderId="54" xfId="0" applyFont="1" applyFill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 wrapText="1"/>
    </xf>
    <xf numFmtId="169" fontId="60" fillId="7" borderId="3" xfId="0" applyNumberFormat="1" applyFont="1" applyFill="1" applyBorder="1" applyAlignment="1" applyProtection="1">
      <alignment horizontal="center" vertical="center" wrapText="1"/>
      <protection locked="0"/>
    </xf>
    <xf numFmtId="169" fontId="60" fillId="7" borderId="54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6" xfId="0" applyFont="1" applyFill="1" applyBorder="1" applyAlignment="1">
      <alignment horizontal="center" vertical="center" wrapText="1"/>
    </xf>
    <xf numFmtId="0" fontId="64" fillId="8" borderId="3" xfId="0" applyFont="1" applyFill="1" applyBorder="1" applyAlignment="1">
      <alignment horizontal="center" vertical="center" wrapText="1"/>
    </xf>
    <xf numFmtId="0" fontId="64" fillId="8" borderId="54" xfId="0" applyFont="1" applyFill="1" applyBorder="1" applyAlignment="1">
      <alignment horizontal="center" vertical="center" wrapText="1"/>
    </xf>
    <xf numFmtId="0" fontId="32" fillId="0" borderId="54" xfId="0" applyFont="1" applyFill="1" applyBorder="1" applyAlignment="1" applyProtection="1">
      <alignment horizontal="center" vertical="center" wrapText="1"/>
      <protection locked="0"/>
    </xf>
    <xf numFmtId="14" fontId="3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3" xfId="0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center" vertical="center"/>
    </xf>
    <xf numFmtId="0" fontId="31" fillId="0" borderId="3" xfId="0" applyFont="1" applyFill="1" applyBorder="1" applyAlignment="1" applyProtection="1">
      <alignment horizontal="justify" vertical="center" wrapText="1"/>
      <protection locked="0"/>
    </xf>
    <xf numFmtId="0" fontId="32" fillId="0" borderId="3" xfId="0" applyFont="1" applyFill="1" applyBorder="1" applyAlignment="1">
      <alignment horizontal="right" vertical="center"/>
    </xf>
    <xf numFmtId="0" fontId="32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/>
    </xf>
    <xf numFmtId="0" fontId="31" fillId="0" borderId="53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14" borderId="54" xfId="0" applyFont="1" applyFill="1" applyBorder="1" applyAlignment="1">
      <alignment horizontal="left" vertical="center" wrapText="1"/>
    </xf>
    <xf numFmtId="0" fontId="31" fillId="14" borderId="6" xfId="0" applyFont="1" applyFill="1" applyBorder="1" applyAlignment="1">
      <alignment horizontal="left" vertical="center" wrapText="1"/>
    </xf>
    <xf numFmtId="0" fontId="31" fillId="14" borderId="4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right" vertical="center" wrapText="1"/>
    </xf>
    <xf numFmtId="0" fontId="32" fillId="0" borderId="54" xfId="0" applyFont="1" applyFill="1" applyBorder="1" applyAlignment="1">
      <alignment horizontal="left" vertical="center"/>
    </xf>
    <xf numFmtId="0" fontId="31" fillId="0" borderId="3" xfId="0" applyFont="1" applyFill="1" applyBorder="1" applyAlignment="1" applyProtection="1">
      <alignment horizontal="left" vertical="center"/>
      <protection locked="0"/>
    </xf>
    <xf numFmtId="0" fontId="32" fillId="0" borderId="54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0" borderId="4" xfId="0" applyFont="1" applyFill="1" applyBorder="1" applyAlignment="1" applyProtection="1">
      <alignment horizontal="center" vertical="center" wrapText="1"/>
      <protection locked="0"/>
    </xf>
    <xf numFmtId="0" fontId="32" fillId="0" borderId="46" xfId="0" applyFont="1" applyFill="1" applyBorder="1" applyAlignment="1">
      <alignment horizontal="center" vertical="center" wrapText="1"/>
    </xf>
    <xf numFmtId="0" fontId="32" fillId="0" borderId="44" xfId="0" applyFont="1" applyFill="1" applyBorder="1" applyAlignment="1">
      <alignment horizontal="center" vertical="center" wrapText="1"/>
    </xf>
    <xf numFmtId="169" fontId="60" fillId="7" borderId="46" xfId="0" applyNumberFormat="1" applyFont="1" applyFill="1" applyBorder="1" applyAlignment="1" applyProtection="1">
      <alignment horizontal="center" vertical="center" wrapText="1"/>
      <protection locked="0"/>
    </xf>
    <xf numFmtId="169" fontId="60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46" xfId="0" applyFont="1" applyFill="1" applyBorder="1" applyAlignment="1" applyProtection="1">
      <alignment horizontal="center" vertical="center" wrapText="1"/>
      <protection locked="0"/>
    </xf>
    <xf numFmtId="0" fontId="32" fillId="0" borderId="44" xfId="0" applyFont="1" applyFill="1" applyBorder="1" applyAlignment="1" applyProtection="1">
      <alignment horizontal="center" vertical="center" wrapText="1"/>
      <protection locked="0"/>
    </xf>
    <xf numFmtId="14" fontId="31" fillId="0" borderId="46" xfId="0" applyNumberFormat="1" applyFont="1" applyFill="1" applyBorder="1" applyAlignment="1" applyProtection="1">
      <alignment horizontal="center" vertical="center" wrapText="1"/>
      <protection locked="0"/>
    </xf>
    <xf numFmtId="14" fontId="31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64" fillId="12" borderId="12" xfId="0" applyFont="1" applyFill="1" applyBorder="1" applyAlignment="1">
      <alignment horizontal="center" vertical="center" wrapText="1"/>
    </xf>
    <xf numFmtId="0" fontId="64" fillId="12" borderId="57" xfId="0" applyFont="1" applyFill="1" applyBorder="1" applyAlignment="1">
      <alignment horizontal="center" vertical="center" wrapText="1"/>
    </xf>
    <xf numFmtId="14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44" xfId="0" applyFont="1" applyFill="1" applyBorder="1" applyAlignment="1" applyProtection="1">
      <alignment horizontal="center" vertical="center" wrapText="1"/>
      <protection locked="0"/>
    </xf>
    <xf numFmtId="0" fontId="31" fillId="0" borderId="46" xfId="0" applyFont="1" applyFill="1" applyBorder="1" applyAlignment="1" applyProtection="1">
      <alignment horizontal="center" vertical="center" wrapText="1"/>
      <protection locked="0"/>
    </xf>
    <xf numFmtId="0" fontId="31" fillId="0" borderId="54" xfId="0" applyFont="1" applyFill="1" applyBorder="1" applyAlignment="1" applyProtection="1">
      <alignment horizontal="center" vertical="center" wrapText="1"/>
      <protection locked="0"/>
    </xf>
    <xf numFmtId="169" fontId="60" fillId="4" borderId="3" xfId="0" applyNumberFormat="1" applyFont="1" applyFill="1" applyBorder="1" applyAlignment="1" applyProtection="1">
      <alignment horizontal="center" vertical="center" wrapText="1"/>
      <protection locked="0"/>
    </xf>
    <xf numFmtId="169" fontId="60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32" fillId="15" borderId="3" xfId="0" applyFont="1" applyFill="1" applyBorder="1" applyAlignment="1" applyProtection="1">
      <alignment horizontal="center" vertical="center" wrapText="1"/>
      <protection locked="0"/>
    </xf>
    <xf numFmtId="0" fontId="32" fillId="4" borderId="54" xfId="0" applyFont="1" applyFill="1" applyBorder="1" applyAlignment="1" applyProtection="1">
      <alignment horizontal="center" vertical="center" wrapText="1"/>
      <protection locked="0"/>
    </xf>
    <xf numFmtId="0" fontId="32" fillId="4" borderId="4" xfId="0" applyFont="1" applyFill="1" applyBorder="1" applyAlignment="1" applyProtection="1">
      <alignment horizontal="center" vertical="center" wrapText="1"/>
      <protection locked="0"/>
    </xf>
    <xf numFmtId="0" fontId="32" fillId="4" borderId="3" xfId="0" applyFont="1" applyFill="1" applyBorder="1" applyAlignment="1" applyProtection="1">
      <alignment horizontal="center" vertical="center" wrapText="1"/>
      <protection locked="0"/>
    </xf>
    <xf numFmtId="0" fontId="64" fillId="13" borderId="4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 applyProtection="1">
      <alignment horizontal="center" vertical="center" wrapText="1"/>
      <protection locked="0"/>
    </xf>
    <xf numFmtId="0" fontId="32" fillId="8" borderId="4" xfId="0" applyFont="1" applyFill="1" applyBorder="1" applyAlignment="1" applyProtection="1">
      <alignment horizontal="center" vertical="center" wrapText="1"/>
      <protection locked="0"/>
    </xf>
    <xf numFmtId="14" fontId="31" fillId="0" borderId="32" xfId="0" applyNumberFormat="1" applyFont="1" applyFill="1" applyBorder="1" applyAlignment="1" applyProtection="1">
      <alignment horizontal="center" vertical="top" wrapText="1"/>
      <protection locked="0"/>
    </xf>
    <xf numFmtId="14" fontId="31" fillId="0" borderId="7" xfId="0" applyNumberFormat="1" applyFont="1" applyFill="1" applyBorder="1" applyAlignment="1" applyProtection="1">
      <alignment horizontal="center" vertical="top" wrapText="1"/>
      <protection locked="0"/>
    </xf>
    <xf numFmtId="169" fontId="60" fillId="4" borderId="54" xfId="0" applyNumberFormat="1" applyFont="1" applyFill="1" applyBorder="1" applyAlignment="1" applyProtection="1">
      <alignment horizontal="center" vertical="center" wrapText="1"/>
      <protection locked="0"/>
    </xf>
    <xf numFmtId="169" fontId="60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Fill="1" applyBorder="1" applyAlignment="1">
      <alignment horizontal="right" vertical="center"/>
    </xf>
    <xf numFmtId="169" fontId="32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64" fillId="13" borderId="54" xfId="0" applyFont="1" applyFill="1" applyBorder="1" applyAlignment="1">
      <alignment horizontal="center" vertical="center" wrapText="1"/>
    </xf>
    <xf numFmtId="20" fontId="31" fillId="0" borderId="3" xfId="0" applyNumberFormat="1" applyFont="1" applyFill="1" applyBorder="1" applyAlignment="1" applyProtection="1">
      <alignment horizontal="left" vertical="top" wrapText="1"/>
      <protection locked="0"/>
    </xf>
    <xf numFmtId="0" fontId="38" fillId="0" borderId="54" xfId="14" applyFont="1" applyFill="1" applyBorder="1" applyAlignment="1">
      <alignment horizontal="center" vertical="center" wrapText="1"/>
    </xf>
    <xf numFmtId="0" fontId="38" fillId="0" borderId="6" xfId="14" applyFont="1" applyFill="1" applyBorder="1" applyAlignment="1">
      <alignment horizontal="center" vertical="center" wrapText="1"/>
    </xf>
    <xf numFmtId="0" fontId="38" fillId="0" borderId="4" xfId="14" applyFont="1" applyFill="1" applyBorder="1" applyAlignment="1">
      <alignment horizontal="center" vertical="center" wrapText="1"/>
    </xf>
    <xf numFmtId="0" fontId="38" fillId="0" borderId="3" xfId="14" applyFont="1" applyFill="1" applyBorder="1" applyAlignment="1">
      <alignment horizontal="center" vertical="center" wrapText="1"/>
    </xf>
    <xf numFmtId="0" fontId="43" fillId="0" borderId="0" xfId="14" applyFont="1" applyFill="1" applyAlignment="1">
      <alignment horizontal="center" vertical="center"/>
    </xf>
    <xf numFmtId="0" fontId="43" fillId="0" borderId="0" xfId="14" applyFont="1" applyFill="1" applyAlignment="1">
      <alignment horizontal="center" vertical="center" wrapText="1"/>
    </xf>
    <xf numFmtId="0" fontId="38" fillId="0" borderId="0" xfId="14" applyFont="1" applyFill="1" applyBorder="1" applyAlignment="1">
      <alignment horizontal="center" vertical="center"/>
    </xf>
    <xf numFmtId="0" fontId="40" fillId="14" borderId="3" xfId="14" applyFont="1" applyFill="1" applyBorder="1" applyAlignment="1">
      <alignment horizontal="justify" vertical="center" wrapText="1"/>
    </xf>
    <xf numFmtId="0" fontId="56" fillId="0" borderId="54" xfId="14" applyFont="1" applyFill="1" applyBorder="1" applyAlignment="1">
      <alignment horizontal="center" vertical="center" wrapText="1"/>
    </xf>
    <xf numFmtId="0" fontId="56" fillId="0" borderId="6" xfId="14" applyFont="1" applyFill="1" applyBorder="1" applyAlignment="1">
      <alignment horizontal="center" vertical="center" wrapText="1"/>
    </xf>
    <xf numFmtId="0" fontId="56" fillId="0" borderId="4" xfId="14" applyFont="1" applyFill="1" applyBorder="1" applyAlignment="1">
      <alignment horizontal="center" vertical="center" wrapText="1"/>
    </xf>
    <xf numFmtId="0" fontId="38" fillId="8" borderId="3" xfId="0" applyFont="1" applyFill="1" applyBorder="1" applyAlignment="1">
      <alignment horizontal="center" vertical="center" wrapText="1"/>
    </xf>
    <xf numFmtId="0" fontId="30" fillId="14" borderId="3" xfId="14" applyFont="1" applyFill="1" applyBorder="1" applyAlignment="1">
      <alignment horizontal="justify" vertical="center" wrapText="1"/>
    </xf>
    <xf numFmtId="0" fontId="56" fillId="8" borderId="3" xfId="0" applyFont="1" applyFill="1" applyBorder="1" applyAlignment="1">
      <alignment horizontal="center" vertical="center" wrapText="1"/>
    </xf>
    <xf numFmtId="0" fontId="56" fillId="0" borderId="3" xfId="14" applyFont="1" applyFill="1" applyBorder="1" applyAlignment="1">
      <alignment horizontal="center" vertical="center" wrapText="1"/>
    </xf>
    <xf numFmtId="0" fontId="67" fillId="10" borderId="3" xfId="14" applyFont="1" applyFill="1" applyBorder="1" applyAlignment="1">
      <alignment horizontal="center" vertical="center"/>
    </xf>
    <xf numFmtId="0" fontId="67" fillId="10" borderId="3" xfId="14" applyFont="1" applyFill="1" applyBorder="1" applyAlignment="1">
      <alignment horizontal="center" vertical="center" wrapText="1"/>
    </xf>
    <xf numFmtId="0" fontId="66" fillId="0" borderId="0" xfId="14" applyFont="1" applyFill="1" applyAlignment="1">
      <alignment horizontal="center" vertical="center" wrapText="1"/>
    </xf>
    <xf numFmtId="0" fontId="67" fillId="0" borderId="54" xfId="14" applyFont="1" applyFill="1" applyBorder="1" applyAlignment="1">
      <alignment horizontal="center" vertical="center" wrapText="1"/>
    </xf>
    <xf numFmtId="0" fontId="67" fillId="0" borderId="6" xfId="14" applyFont="1" applyFill="1" applyBorder="1" applyAlignment="1">
      <alignment horizontal="center" vertical="center" wrapText="1"/>
    </xf>
    <xf numFmtId="0" fontId="67" fillId="0" borderId="4" xfId="14" applyFont="1" applyFill="1" applyBorder="1" applyAlignment="1">
      <alignment horizontal="center" vertical="center" wrapText="1"/>
    </xf>
    <xf numFmtId="0" fontId="65" fillId="14" borderId="3" xfId="14" applyFont="1" applyFill="1" applyBorder="1" applyAlignment="1">
      <alignment horizontal="justify" vertical="center" wrapText="1"/>
    </xf>
    <xf numFmtId="0" fontId="67" fillId="10" borderId="54" xfId="14" applyFont="1" applyFill="1" applyBorder="1" applyAlignment="1">
      <alignment horizontal="center" vertical="center" wrapText="1"/>
    </xf>
    <xf numFmtId="0" fontId="67" fillId="10" borderId="4" xfId="14" applyFont="1" applyFill="1" applyBorder="1" applyAlignment="1">
      <alignment horizontal="center" vertical="center" wrapText="1"/>
    </xf>
    <xf numFmtId="0" fontId="67" fillId="15" borderId="0" xfId="14" applyFont="1" applyFill="1" applyBorder="1" applyAlignment="1">
      <alignment horizontal="center" vertical="center" wrapText="1"/>
    </xf>
    <xf numFmtId="0" fontId="71" fillId="0" borderId="54" xfId="8" applyFont="1" applyFill="1" applyBorder="1" applyAlignment="1">
      <alignment horizontal="center" vertical="center"/>
    </xf>
    <xf numFmtId="0" fontId="71" fillId="0" borderId="6" xfId="8" applyFont="1" applyFill="1" applyBorder="1" applyAlignment="1">
      <alignment horizontal="center" vertical="center"/>
    </xf>
    <xf numFmtId="0" fontId="71" fillId="0" borderId="4" xfId="8" applyFont="1" applyFill="1" applyBorder="1" applyAlignment="1">
      <alignment horizontal="center" vertical="center"/>
    </xf>
    <xf numFmtId="0" fontId="72" fillId="0" borderId="54" xfId="8" applyFont="1" applyFill="1" applyBorder="1" applyAlignment="1">
      <alignment horizontal="center" vertical="center" wrapText="1"/>
    </xf>
    <xf numFmtId="0" fontId="72" fillId="0" borderId="4" xfId="8" applyFont="1" applyFill="1" applyBorder="1" applyAlignment="1">
      <alignment horizontal="center" vertical="center" wrapText="1"/>
    </xf>
    <xf numFmtId="0" fontId="73" fillId="0" borderId="32" xfId="8" applyFont="1" applyBorder="1" applyAlignment="1">
      <alignment horizontal="center" vertical="center"/>
    </xf>
    <xf numFmtId="0" fontId="73" fillId="0" borderId="70" xfId="8" applyFont="1" applyBorder="1" applyAlignment="1">
      <alignment horizontal="center" vertical="center"/>
    </xf>
    <xf numFmtId="0" fontId="73" fillId="0" borderId="0" xfId="8" applyFont="1" applyAlignment="1">
      <alignment horizontal="center" vertical="center"/>
    </xf>
    <xf numFmtId="0" fontId="73" fillId="0" borderId="71" xfId="8" applyFont="1" applyBorder="1" applyAlignment="1">
      <alignment horizontal="center" vertical="center"/>
    </xf>
    <xf numFmtId="0" fontId="71" fillId="0" borderId="3" xfId="8" applyFont="1" applyFill="1" applyBorder="1" applyAlignment="1">
      <alignment horizontal="center" vertical="center"/>
    </xf>
    <xf numFmtId="0" fontId="71" fillId="0" borderId="54" xfId="8" applyFont="1" applyFill="1" applyBorder="1" applyAlignment="1">
      <alignment horizontal="left" vertical="center"/>
    </xf>
    <xf numFmtId="0" fontId="71" fillId="0" borderId="6" xfId="8" applyFont="1" applyFill="1" applyBorder="1" applyAlignment="1">
      <alignment horizontal="left" vertical="center"/>
    </xf>
    <xf numFmtId="0" fontId="71" fillId="0" borderId="4" xfId="8" applyFont="1" applyFill="1" applyBorder="1" applyAlignment="1">
      <alignment horizontal="left" vertical="center"/>
    </xf>
    <xf numFmtId="0" fontId="71" fillId="0" borderId="3" xfId="8" applyFont="1" applyFill="1" applyBorder="1" applyAlignment="1">
      <alignment horizontal="left" vertical="center"/>
    </xf>
    <xf numFmtId="0" fontId="73" fillId="0" borderId="7" xfId="8" applyFont="1" applyBorder="1" applyAlignment="1">
      <alignment horizontal="center" vertical="center"/>
    </xf>
    <xf numFmtId="0" fontId="71" fillId="0" borderId="32" xfId="8" applyFont="1" applyFill="1" applyBorder="1" applyAlignment="1">
      <alignment horizontal="center" vertical="center"/>
    </xf>
    <xf numFmtId="0" fontId="71" fillId="0" borderId="70" xfId="8" applyFont="1" applyFill="1" applyBorder="1" applyAlignment="1">
      <alignment horizontal="center" vertical="center"/>
    </xf>
    <xf numFmtId="0" fontId="71" fillId="0" borderId="7" xfId="8" applyFont="1" applyFill="1" applyBorder="1" applyAlignment="1">
      <alignment horizontal="center" vertical="center"/>
    </xf>
    <xf numFmtId="0" fontId="71" fillId="0" borderId="42" xfId="8" applyFont="1" applyFill="1" applyBorder="1" applyAlignment="1">
      <alignment horizontal="center" vertical="center"/>
    </xf>
    <xf numFmtId="0" fontId="56" fillId="0" borderId="54" xfId="8" applyFont="1" applyFill="1" applyBorder="1" applyAlignment="1">
      <alignment horizontal="left" vertical="center"/>
    </xf>
    <xf numFmtId="0" fontId="56" fillId="0" borderId="6" xfId="8" applyFont="1" applyFill="1" applyBorder="1" applyAlignment="1">
      <alignment horizontal="left" vertical="center"/>
    </xf>
    <xf numFmtId="171" fontId="56" fillId="0" borderId="3" xfId="8" applyNumberFormat="1" applyFont="1" applyFill="1" applyBorder="1" applyAlignment="1">
      <alignment horizontal="right" vertical="center"/>
    </xf>
    <xf numFmtId="0" fontId="30" fillId="0" borderId="54" xfId="8" applyFont="1" applyFill="1" applyBorder="1" applyAlignment="1">
      <alignment horizontal="left" vertical="center" wrapText="1"/>
    </xf>
    <xf numFmtId="0" fontId="30" fillId="0" borderId="6" xfId="8" applyFont="1" applyFill="1" applyBorder="1" applyAlignment="1">
      <alignment horizontal="left" vertical="center" wrapText="1"/>
    </xf>
    <xf numFmtId="0" fontId="30" fillId="0" borderId="4" xfId="8" applyFont="1" applyFill="1" applyBorder="1" applyAlignment="1">
      <alignment horizontal="left" vertical="center" wrapText="1"/>
    </xf>
    <xf numFmtId="171" fontId="30" fillId="0" borderId="54" xfId="8" applyNumberFormat="1" applyFont="1" applyFill="1" applyBorder="1" applyAlignment="1">
      <alignment horizontal="right" vertical="center"/>
    </xf>
    <xf numFmtId="171" fontId="30" fillId="0" borderId="4" xfId="8" applyNumberFormat="1" applyFont="1" applyFill="1" applyBorder="1" applyAlignment="1">
      <alignment horizontal="right" vertical="center"/>
    </xf>
    <xf numFmtId="0" fontId="56" fillId="0" borderId="4" xfId="8" applyFont="1" applyFill="1" applyBorder="1" applyAlignment="1">
      <alignment horizontal="left" vertical="center"/>
    </xf>
    <xf numFmtId="0" fontId="56" fillId="0" borderId="3" xfId="10" applyFont="1" applyFill="1" applyBorder="1" applyAlignment="1">
      <alignment horizontal="center" vertical="center"/>
    </xf>
    <xf numFmtId="0" fontId="56" fillId="0" borderId="3" xfId="10" applyFont="1" applyFill="1" applyBorder="1" applyAlignment="1">
      <alignment horizontal="center" vertical="center" wrapText="1"/>
    </xf>
    <xf numFmtId="0" fontId="30" fillId="0" borderId="3" xfId="8" applyFont="1" applyFill="1" applyBorder="1" applyAlignment="1">
      <alignment horizontal="justify" vertical="center" wrapText="1"/>
    </xf>
    <xf numFmtId="0" fontId="56" fillId="0" borderId="6" xfId="8" applyFont="1" applyFill="1" applyBorder="1" applyAlignment="1">
      <alignment horizontal="center" vertical="center"/>
    </xf>
    <xf numFmtId="0" fontId="56" fillId="0" borderId="3" xfId="8" applyFont="1" applyFill="1" applyBorder="1" applyAlignment="1">
      <alignment horizontal="center" vertical="center"/>
    </xf>
    <xf numFmtId="0" fontId="56" fillId="4" borderId="3" xfId="8" applyFont="1" applyFill="1" applyBorder="1" applyAlignment="1">
      <alignment horizontal="center" vertical="center"/>
    </xf>
    <xf numFmtId="0" fontId="56" fillId="0" borderId="67" xfId="10" applyFont="1" applyFill="1" applyBorder="1" applyAlignment="1">
      <alignment horizontal="center" vertical="center"/>
    </xf>
    <xf numFmtId="0" fontId="56" fillId="0" borderId="7" xfId="10" applyFont="1" applyFill="1" applyBorder="1" applyAlignment="1">
      <alignment horizontal="center" vertical="center"/>
    </xf>
    <xf numFmtId="0" fontId="56" fillId="0" borderId="42" xfId="10" applyFont="1" applyFill="1" applyBorder="1" applyAlignment="1">
      <alignment horizontal="center" vertical="center"/>
    </xf>
    <xf numFmtId="0" fontId="56" fillId="0" borderId="54" xfId="10" applyFont="1" applyFill="1" applyBorder="1" applyAlignment="1">
      <alignment horizontal="center" vertical="center" wrapText="1"/>
    </xf>
    <xf numFmtId="0" fontId="56" fillId="0" borderId="6" xfId="10" applyFont="1" applyFill="1" applyBorder="1" applyAlignment="1">
      <alignment horizontal="center" vertical="center" wrapText="1"/>
    </xf>
    <xf numFmtId="0" fontId="56" fillId="0" borderId="4" xfId="10" applyFont="1" applyFill="1" applyBorder="1" applyAlignment="1">
      <alignment horizontal="center" vertical="center" wrapText="1"/>
    </xf>
    <xf numFmtId="171" fontId="30" fillId="0" borderId="54" xfId="8" applyNumberFormat="1" applyFont="1" applyFill="1" applyBorder="1" applyAlignment="1">
      <alignment horizontal="center" vertical="center"/>
    </xf>
    <xf numFmtId="171" fontId="30" fillId="0" borderId="4" xfId="8" applyNumberFormat="1" applyFont="1" applyFill="1" applyBorder="1" applyAlignment="1">
      <alignment horizontal="center" vertical="center"/>
    </xf>
    <xf numFmtId="0" fontId="38" fillId="0" borderId="6" xfId="8" applyFont="1" applyFill="1" applyBorder="1" applyAlignment="1">
      <alignment horizontal="center" vertical="center"/>
    </xf>
    <xf numFmtId="171" fontId="56" fillId="0" borderId="3" xfId="8" applyNumberFormat="1" applyFont="1" applyFill="1" applyBorder="1" applyAlignment="1">
      <alignment horizontal="center" vertical="center"/>
    </xf>
    <xf numFmtId="0" fontId="56" fillId="0" borderId="54" xfId="10" applyFont="1" applyFill="1" applyBorder="1" applyAlignment="1">
      <alignment horizontal="center" vertical="center"/>
    </xf>
    <xf numFmtId="0" fontId="56" fillId="0" borderId="6" xfId="10" applyFont="1" applyFill="1" applyBorder="1" applyAlignment="1">
      <alignment horizontal="center" vertical="center"/>
    </xf>
    <xf numFmtId="0" fontId="56" fillId="0" borderId="4" xfId="10" applyFont="1" applyFill="1" applyBorder="1" applyAlignment="1">
      <alignment horizontal="center" vertical="center"/>
    </xf>
    <xf numFmtId="0" fontId="43" fillId="0" borderId="0" xfId="8" applyFont="1" applyFill="1" applyAlignment="1">
      <alignment horizontal="center" vertical="center"/>
    </xf>
    <xf numFmtId="0" fontId="56" fillId="5" borderId="3" xfId="8" applyFont="1" applyFill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43" fillId="0" borderId="0" xfId="8" applyFont="1" applyAlignment="1">
      <alignment horizontal="center" vertical="center"/>
    </xf>
    <xf numFmtId="0" fontId="43" fillId="0" borderId="0" xfId="8" applyFont="1" applyFill="1" applyBorder="1" applyAlignment="1">
      <alignment horizontal="center" vertical="center"/>
    </xf>
    <xf numFmtId="0" fontId="40" fillId="0" borderId="0" xfId="8" quotePrefix="1" applyFont="1" applyAlignment="1">
      <alignment horizontal="justify" vertical="center" wrapText="1"/>
    </xf>
  </cellXfs>
  <cellStyles count="29">
    <cellStyle name="Bom" xfId="1" builtinId="26"/>
    <cellStyle name="Hiperlink 2" xfId="2"/>
    <cellStyle name="Hiperlink 2 2" xfId="3"/>
    <cellStyle name="Moeda" xfId="4" builtinId="4"/>
    <cellStyle name="Moeda 2" xfId="5"/>
    <cellStyle name="Moeda 2 2" xfId="6"/>
    <cellStyle name="Moeda 3" xfId="7"/>
    <cellStyle name="Normal" xfId="0" builtinId="0"/>
    <cellStyle name="Normal 2" xfId="8"/>
    <cellStyle name="Normal 2 2" xfId="9"/>
    <cellStyle name="Normal 2 2 2" xfId="10"/>
    <cellStyle name="Normal 2 3" xfId="11"/>
    <cellStyle name="Normal 2 4" xfId="12"/>
    <cellStyle name="Normal 3" xfId="13"/>
    <cellStyle name="Normal 3 2" xfId="14"/>
    <cellStyle name="Normal 4" xfId="15"/>
    <cellStyle name="Normal 4 2" xfId="16"/>
    <cellStyle name="Normal 5" xfId="17"/>
    <cellStyle name="Porcentagem 2" xfId="18"/>
    <cellStyle name="Porcentagem 2 2" xfId="19"/>
    <cellStyle name="Porcentagem 3" xfId="20"/>
    <cellStyle name="Porcentagem 4" xfId="21"/>
    <cellStyle name="Separador de milhares 2" xfId="22"/>
    <cellStyle name="Separador de milhares 3" xfId="23"/>
    <cellStyle name="Separador de milhares 4" xfId="24"/>
    <cellStyle name="Título 1 1" xfId="25"/>
    <cellStyle name="Título 1 1 1" xfId="26"/>
    <cellStyle name="Vírgula" xfId="27" builtinId="3"/>
    <cellStyle name="Vírgula 2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nilma\Documents\029%20INICIAL%20LANCE%20FINAL%20-%20arredondamento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io"/>
      <sheetName val="AVISO"/>
      <sheetName val="Dados"/>
      <sheetName val="Proposta"/>
      <sheetName val="Dados Contratação"/>
      <sheetName val="Dados Proponente"/>
      <sheetName val="Insumos"/>
      <sheetName val="Vig Armada - Diurno"/>
      <sheetName val="Vig Armada - Noturno"/>
      <sheetName val="Valor Global"/>
      <sheetName val="Memória VT e VA"/>
      <sheetName val="Memória Desp.Adm"/>
      <sheetName val="Mem. encargos"/>
      <sheetName val="Resumo"/>
      <sheetName val="k"/>
    </sheetNames>
    <sheetDataSet>
      <sheetData sheetId="0">
        <row r="1">
          <cell r="A1" t="str">
            <v>Tipo de Joranda de Trabalho</v>
          </cell>
        </row>
        <row r="2">
          <cell r="A2" t="str">
            <v>Escala 12x36 horas</v>
          </cell>
        </row>
        <row r="3">
          <cell r="A3" t="str">
            <v>44 horas semanais</v>
          </cell>
        </row>
        <row r="4">
          <cell r="A4" t="str">
            <v>40 horas semanais</v>
          </cell>
        </row>
        <row r="5">
          <cell r="A5" t="str">
            <v>36 horas semanais</v>
          </cell>
        </row>
        <row r="6">
          <cell r="A6" t="str">
            <v>30 horas semanais</v>
          </cell>
        </row>
        <row r="7">
          <cell r="A7" t="str">
            <v>15 horas semanais (TQQ)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theme="8" tint="0.79998168889431442"/>
  </sheetPr>
  <dimension ref="A1:II121"/>
  <sheetViews>
    <sheetView view="pageBreakPreview" topLeftCell="A94" zoomScale="90" zoomScaleNormal="100" zoomScaleSheetLayoutView="90" workbookViewId="0">
      <selection activeCell="C117" sqref="C117"/>
    </sheetView>
  </sheetViews>
  <sheetFormatPr defaultRowHeight="15.75" x14ac:dyDescent="0.2"/>
  <cols>
    <col min="1" max="1" width="14.28515625" style="42" customWidth="1"/>
    <col min="2" max="2" width="38.140625" style="324" customWidth="1"/>
    <col min="3" max="3" width="29.7109375" style="324" customWidth="1"/>
    <col min="4" max="4" width="19.140625" style="324" customWidth="1"/>
    <col min="5" max="5" width="11.85546875" style="42" customWidth="1"/>
    <col min="6" max="6" width="19" style="42" customWidth="1"/>
    <col min="7" max="7" width="11.7109375" style="42" customWidth="1"/>
    <col min="8" max="8" width="17.7109375" style="42" customWidth="1"/>
    <col min="9" max="9" width="73.42578125" style="42" customWidth="1"/>
    <col min="10" max="11" width="11.85546875" style="42" customWidth="1"/>
    <col min="12" max="12" width="21" style="42" bestFit="1" customWidth="1"/>
    <col min="13" max="13" width="16.5703125" style="42" customWidth="1"/>
    <col min="14" max="14" width="14.42578125" style="47" customWidth="1"/>
    <col min="15" max="15" width="14.140625" style="47" bestFit="1" customWidth="1"/>
    <col min="16" max="16" width="13.140625" style="47" bestFit="1" customWidth="1"/>
    <col min="17" max="39" width="9.140625" style="47"/>
    <col min="40" max="16384" width="9.140625" style="41"/>
  </cols>
  <sheetData>
    <row r="1" spans="1:13" ht="15" x14ac:dyDescent="0.2">
      <c r="A1" s="109" t="s">
        <v>332</v>
      </c>
      <c r="B1" s="298"/>
      <c r="C1" s="242"/>
      <c r="D1" s="315"/>
      <c r="E1" s="112"/>
      <c r="F1" s="729" t="s">
        <v>387</v>
      </c>
      <c r="G1" s="729"/>
      <c r="H1" s="729"/>
      <c r="I1" s="729"/>
      <c r="J1" s="112"/>
      <c r="K1" s="112"/>
      <c r="L1" s="739"/>
      <c r="M1" s="739"/>
    </row>
    <row r="2" spans="1:13" thickBot="1" x14ac:dyDescent="0.25">
      <c r="A2" s="109"/>
      <c r="B2" s="298"/>
      <c r="C2" s="242"/>
      <c r="D2" s="325"/>
      <c r="E2" s="112"/>
      <c r="F2" s="112"/>
      <c r="G2" s="112"/>
      <c r="H2" s="112"/>
      <c r="I2" s="112"/>
      <c r="J2" s="113" t="s">
        <v>379</v>
      </c>
      <c r="K2" s="113"/>
      <c r="L2" s="114">
        <v>1281417.21</v>
      </c>
      <c r="M2" s="115">
        <f>L67-L2</f>
        <v>38370.629999999997</v>
      </c>
    </row>
    <row r="3" spans="1:13" ht="15" x14ac:dyDescent="0.2">
      <c r="A3" s="293" t="s">
        <v>303</v>
      </c>
      <c r="B3" s="299"/>
      <c r="C3" s="748" t="s">
        <v>227</v>
      </c>
      <c r="D3" s="749"/>
      <c r="E3" s="116"/>
      <c r="F3" s="117"/>
      <c r="G3" s="117"/>
      <c r="H3" s="118"/>
      <c r="I3" s="118"/>
      <c r="J3" s="118"/>
      <c r="K3" s="118"/>
      <c r="L3" s="118"/>
      <c r="M3" s="118"/>
    </row>
    <row r="4" spans="1:13" ht="15" x14ac:dyDescent="0.2">
      <c r="A4" s="294" t="s">
        <v>41</v>
      </c>
      <c r="B4" s="300"/>
      <c r="C4" s="740">
        <v>42788</v>
      </c>
      <c r="D4" s="741"/>
      <c r="E4" s="120">
        <v>42809</v>
      </c>
      <c r="F4" s="110"/>
      <c r="G4" s="110"/>
      <c r="H4" s="118"/>
      <c r="I4" s="118"/>
      <c r="J4" s="118"/>
      <c r="K4" s="118"/>
      <c r="L4" s="118"/>
      <c r="M4" s="118"/>
    </row>
    <row r="5" spans="1:13" ht="15" x14ac:dyDescent="0.2">
      <c r="A5" s="294" t="s">
        <v>43</v>
      </c>
      <c r="B5" s="300"/>
      <c r="C5" s="742" t="s">
        <v>44</v>
      </c>
      <c r="D5" s="743"/>
      <c r="E5" s="120"/>
      <c r="F5" s="110"/>
      <c r="G5" s="110"/>
      <c r="H5" s="118"/>
      <c r="I5" s="118"/>
      <c r="J5" s="118"/>
      <c r="K5" s="118"/>
      <c r="L5" s="118"/>
      <c r="M5" s="118"/>
    </row>
    <row r="6" spans="1:13" ht="15" x14ac:dyDescent="0.2">
      <c r="A6" s="294" t="s">
        <v>46</v>
      </c>
      <c r="B6" s="300"/>
      <c r="C6" s="742" t="s">
        <v>207</v>
      </c>
      <c r="D6" s="743"/>
      <c r="E6" s="120"/>
      <c r="F6" s="110"/>
      <c r="G6" s="110"/>
      <c r="H6" s="118"/>
      <c r="I6" s="118"/>
      <c r="J6" s="118"/>
      <c r="K6" s="118"/>
      <c r="L6" s="118"/>
      <c r="M6" s="118"/>
    </row>
    <row r="7" spans="1:13" ht="15" x14ac:dyDescent="0.2">
      <c r="A7" s="294" t="s">
        <v>48</v>
      </c>
      <c r="B7" s="300"/>
      <c r="C7" s="744">
        <f>J76</f>
        <v>8</v>
      </c>
      <c r="D7" s="745"/>
      <c r="E7" s="121"/>
      <c r="F7" s="122"/>
      <c r="G7" s="122"/>
      <c r="H7" s="118"/>
      <c r="I7" s="118"/>
      <c r="J7" s="118"/>
      <c r="K7" s="118"/>
      <c r="L7" s="118"/>
      <c r="M7" s="118"/>
    </row>
    <row r="8" spans="1:13" ht="15" x14ac:dyDescent="0.2">
      <c r="A8" s="294" t="s">
        <v>99</v>
      </c>
      <c r="B8" s="301" t="s">
        <v>302</v>
      </c>
      <c r="C8" s="765" t="s">
        <v>208</v>
      </c>
      <c r="D8" s="766"/>
      <c r="E8" s="123"/>
      <c r="F8" s="124"/>
      <c r="G8" s="124"/>
      <c r="H8" s="109"/>
      <c r="I8" s="125"/>
      <c r="J8" s="125"/>
      <c r="K8" s="126"/>
      <c r="L8" s="126"/>
      <c r="M8" s="126"/>
    </row>
    <row r="9" spans="1:13" ht="15" x14ac:dyDescent="0.2">
      <c r="A9" s="294" t="s">
        <v>209</v>
      </c>
      <c r="B9" s="300"/>
      <c r="C9" s="746">
        <v>320004</v>
      </c>
      <c r="D9" s="747"/>
      <c r="E9" s="123"/>
      <c r="F9" s="124"/>
      <c r="G9" s="124"/>
      <c r="H9" s="109"/>
      <c r="I9" s="125"/>
      <c r="J9" s="125"/>
      <c r="K9" s="126"/>
      <c r="L9" s="126"/>
      <c r="M9" s="126"/>
    </row>
    <row r="10" spans="1:13" ht="15" x14ac:dyDescent="0.2">
      <c r="A10" s="295" t="s">
        <v>42</v>
      </c>
      <c r="B10" s="300"/>
      <c r="C10" s="750">
        <v>0.41666666666666702</v>
      </c>
      <c r="D10" s="751"/>
      <c r="E10" s="127"/>
      <c r="F10" s="128"/>
      <c r="G10" s="128"/>
      <c r="H10" s="109"/>
      <c r="I10" s="125"/>
      <c r="J10" s="125"/>
      <c r="K10" s="126"/>
      <c r="L10" s="126"/>
      <c r="M10" s="126"/>
    </row>
    <row r="11" spans="1:13" ht="15" x14ac:dyDescent="0.2">
      <c r="A11" s="295" t="s">
        <v>45</v>
      </c>
      <c r="B11" s="300"/>
      <c r="C11" s="756" t="s">
        <v>156</v>
      </c>
      <c r="D11" s="757"/>
      <c r="E11" s="129" t="s">
        <v>210</v>
      </c>
      <c r="F11" s="130"/>
      <c r="G11" s="130"/>
      <c r="H11" s="109"/>
      <c r="I11" s="125"/>
      <c r="J11" s="125"/>
      <c r="K11" s="126"/>
      <c r="L11" s="126"/>
      <c r="M11" s="126"/>
    </row>
    <row r="12" spans="1:13" ht="15" x14ac:dyDescent="0.2">
      <c r="A12" s="296" t="s">
        <v>47</v>
      </c>
      <c r="B12" s="302"/>
      <c r="C12" s="758" t="s">
        <v>98</v>
      </c>
      <c r="D12" s="759"/>
      <c r="E12" s="132"/>
      <c r="F12" s="117"/>
      <c r="G12" s="117"/>
      <c r="H12" s="109"/>
      <c r="I12" s="125"/>
      <c r="J12" s="125"/>
      <c r="K12" s="126"/>
      <c r="L12" s="126"/>
      <c r="M12" s="126"/>
    </row>
    <row r="13" spans="1:13" thickBot="1" x14ac:dyDescent="0.25">
      <c r="A13" s="297" t="s">
        <v>49</v>
      </c>
      <c r="B13" s="303"/>
      <c r="C13" s="752">
        <v>12</v>
      </c>
      <c r="D13" s="753"/>
      <c r="E13" s="132"/>
      <c r="F13" s="117"/>
      <c r="G13" s="117"/>
      <c r="H13" s="109"/>
      <c r="I13" s="125"/>
      <c r="J13" s="125"/>
      <c r="K13" s="126"/>
      <c r="L13" s="126"/>
      <c r="M13" s="126"/>
    </row>
    <row r="14" spans="1:13" ht="15" x14ac:dyDescent="0.2">
      <c r="A14" s="112"/>
      <c r="B14" s="253"/>
      <c r="C14" s="326"/>
      <c r="D14" s="327"/>
      <c r="E14" s="134"/>
      <c r="F14" s="122"/>
      <c r="G14" s="122"/>
      <c r="H14" s="109"/>
      <c r="I14" s="125"/>
      <c r="J14" s="125"/>
      <c r="K14" s="126"/>
      <c r="L14" s="126"/>
      <c r="M14" s="126"/>
    </row>
    <row r="15" spans="1:13" thickBot="1" x14ac:dyDescent="0.25">
      <c r="A15" s="110"/>
      <c r="B15" s="298"/>
      <c r="C15" s="298"/>
      <c r="D15" s="298"/>
      <c r="E15" s="110"/>
      <c r="F15" s="110"/>
      <c r="G15" s="110"/>
      <c r="H15" s="110"/>
      <c r="I15" s="110"/>
      <c r="J15" s="110"/>
      <c r="K15" s="110"/>
      <c r="L15" s="110"/>
      <c r="M15" s="117"/>
    </row>
    <row r="16" spans="1:13" ht="15" x14ac:dyDescent="0.2">
      <c r="A16" s="709" t="s">
        <v>211</v>
      </c>
      <c r="B16" s="710"/>
      <c r="C16" s="710"/>
      <c r="D16" s="710"/>
      <c r="E16" s="710"/>
      <c r="F16" s="710"/>
      <c r="G16" s="710"/>
      <c r="H16" s="710"/>
      <c r="I16" s="710"/>
      <c r="J16" s="710"/>
      <c r="K16" s="710"/>
      <c r="L16" s="710"/>
      <c r="M16" s="711"/>
    </row>
    <row r="17" spans="1:13" ht="15" x14ac:dyDescent="0.2">
      <c r="A17" s="721" t="s">
        <v>304</v>
      </c>
      <c r="B17" s="722"/>
      <c r="C17" s="722"/>
      <c r="D17" s="722"/>
      <c r="E17" s="722"/>
      <c r="F17" s="722"/>
      <c r="G17" s="722"/>
      <c r="H17" s="722"/>
      <c r="I17" s="722"/>
      <c r="J17" s="722"/>
      <c r="K17" s="722"/>
      <c r="L17" s="722"/>
      <c r="M17" s="723"/>
    </row>
    <row r="18" spans="1:13" ht="15" x14ac:dyDescent="0.2">
      <c r="A18" s="728" t="s">
        <v>212</v>
      </c>
      <c r="B18" s="729"/>
      <c r="C18" s="729"/>
      <c r="D18" s="729"/>
      <c r="E18" s="729"/>
      <c r="F18" s="729"/>
      <c r="G18" s="729"/>
      <c r="H18" s="729"/>
      <c r="I18" s="729"/>
      <c r="J18" s="729"/>
      <c r="K18" s="729"/>
      <c r="L18" s="729"/>
      <c r="M18" s="730"/>
    </row>
    <row r="19" spans="1:13" thickBot="1" x14ac:dyDescent="0.25">
      <c r="A19" s="760" t="s">
        <v>213</v>
      </c>
      <c r="B19" s="761"/>
      <c r="C19" s="761"/>
      <c r="D19" s="761"/>
      <c r="E19" s="761"/>
      <c r="F19" s="761"/>
      <c r="G19" s="761"/>
      <c r="H19" s="761"/>
      <c r="I19" s="761"/>
      <c r="J19" s="761"/>
      <c r="K19" s="761"/>
      <c r="L19" s="761"/>
      <c r="M19" s="762"/>
    </row>
    <row r="20" spans="1:13" ht="15" x14ac:dyDescent="0.2">
      <c r="A20" s="73"/>
      <c r="B20" s="304"/>
      <c r="C20" s="304"/>
      <c r="D20" s="304"/>
      <c r="E20" s="73"/>
      <c r="F20" s="73"/>
      <c r="G20" s="73"/>
      <c r="H20" s="73"/>
      <c r="I20" s="73"/>
      <c r="J20" s="73"/>
      <c r="K20" s="130" t="s">
        <v>51</v>
      </c>
      <c r="L20" s="130"/>
      <c r="M20" s="130"/>
    </row>
    <row r="21" spans="1:13" thickBot="1" x14ac:dyDescent="0.25">
      <c r="A21" s="73"/>
      <c r="B21" s="304"/>
      <c r="C21" s="304"/>
      <c r="D21" s="304"/>
      <c r="E21" s="73"/>
      <c r="F21" s="94"/>
      <c r="G21" s="94"/>
      <c r="H21" s="94"/>
      <c r="I21" s="94"/>
      <c r="J21" s="94"/>
      <c r="K21" s="130"/>
      <c r="L21" s="130"/>
      <c r="M21" s="130"/>
    </row>
    <row r="22" spans="1:13" thickBot="1" x14ac:dyDescent="0.25">
      <c r="A22" s="290" t="s">
        <v>50</v>
      </c>
      <c r="B22" s="305"/>
      <c r="C22" s="328"/>
      <c r="D22" s="329">
        <v>0</v>
      </c>
      <c r="E22" s="137"/>
      <c r="F22" s="117"/>
      <c r="G22" s="117"/>
      <c r="H22" s="138"/>
      <c r="I22" s="138"/>
      <c r="J22" s="139"/>
      <c r="K22" s="130"/>
      <c r="L22" s="130"/>
      <c r="M22" s="130"/>
    </row>
    <row r="23" spans="1:13" thickBot="1" x14ac:dyDescent="0.25">
      <c r="A23" s="289" t="s">
        <v>52</v>
      </c>
      <c r="B23" s="300"/>
      <c r="C23" s="330"/>
      <c r="D23" s="331">
        <f>C118</f>
        <v>0.73460000000000003</v>
      </c>
      <c r="E23" s="137" t="s">
        <v>293</v>
      </c>
      <c r="F23" s="141" t="s">
        <v>292</v>
      </c>
      <c r="G23" s="142">
        <v>1888.29</v>
      </c>
      <c r="H23" s="143"/>
      <c r="I23" s="111"/>
      <c r="J23" s="144" t="s">
        <v>289</v>
      </c>
      <c r="K23" s="145" t="s">
        <v>242</v>
      </c>
      <c r="L23" s="146">
        <v>15.5</v>
      </c>
      <c r="M23" s="147" t="s">
        <v>53</v>
      </c>
    </row>
    <row r="24" spans="1:13" thickBot="1" x14ac:dyDescent="0.25">
      <c r="A24" s="291" t="s">
        <v>314</v>
      </c>
      <c r="B24" s="300"/>
      <c r="C24" s="330"/>
      <c r="D24" s="332">
        <v>0.2</v>
      </c>
      <c r="E24" s="149"/>
      <c r="F24" s="150"/>
      <c r="G24" s="151"/>
      <c r="H24" s="152"/>
      <c r="I24" s="153"/>
      <c r="J24" s="144" t="s">
        <v>290</v>
      </c>
      <c r="K24" s="145" t="s">
        <v>291</v>
      </c>
      <c r="L24" s="154">
        <v>20.5</v>
      </c>
      <c r="M24" s="155" t="s">
        <v>53</v>
      </c>
    </row>
    <row r="25" spans="1:13" ht="15" x14ac:dyDescent="0.2">
      <c r="A25" s="291" t="s">
        <v>313</v>
      </c>
      <c r="B25" s="300"/>
      <c r="C25" s="330"/>
      <c r="D25" s="333">
        <v>0.3</v>
      </c>
      <c r="E25" s="117"/>
      <c r="F25" s="117"/>
      <c r="G25" s="117"/>
      <c r="H25" s="138"/>
      <c r="I25" s="138"/>
      <c r="J25" s="139"/>
      <c r="K25" s="130"/>
      <c r="L25" s="156" t="s">
        <v>279</v>
      </c>
      <c r="M25" s="113"/>
    </row>
    <row r="26" spans="1:13" ht="15" x14ac:dyDescent="0.2">
      <c r="A26" s="291" t="s">
        <v>179</v>
      </c>
      <c r="B26" s="300"/>
      <c r="C26" s="330"/>
      <c r="D26" s="333">
        <v>0.1</v>
      </c>
      <c r="E26" s="117"/>
      <c r="F26" s="117"/>
      <c r="G26" s="117"/>
      <c r="H26" s="138"/>
      <c r="I26" s="138"/>
      <c r="J26" s="138"/>
      <c r="K26" s="117"/>
      <c r="L26" s="157"/>
      <c r="M26" s="158"/>
    </row>
    <row r="27" spans="1:13" ht="23.25" customHeight="1" x14ac:dyDescent="0.2">
      <c r="A27" s="820" t="s">
        <v>395</v>
      </c>
      <c r="B27" s="821"/>
      <c r="C27" s="822"/>
      <c r="D27" s="719">
        <v>1.5</v>
      </c>
      <c r="E27" s="117"/>
      <c r="F27" s="117"/>
      <c r="G27" s="117"/>
      <c r="H27" s="138"/>
      <c r="I27" s="138"/>
      <c r="J27" s="138"/>
      <c r="K27" s="117"/>
      <c r="L27" s="157"/>
      <c r="M27" s="158"/>
    </row>
    <row r="28" spans="1:13" thickBot="1" x14ac:dyDescent="0.25">
      <c r="A28" s="291" t="s">
        <v>396</v>
      </c>
      <c r="B28" s="300"/>
      <c r="C28" s="330"/>
      <c r="D28" s="720"/>
      <c r="E28" s="117"/>
      <c r="F28" s="117"/>
      <c r="G28" s="117"/>
      <c r="H28" s="138"/>
      <c r="I28" s="138"/>
      <c r="J28" s="138"/>
      <c r="K28" s="117"/>
      <c r="L28" s="157"/>
      <c r="M28" s="158"/>
    </row>
    <row r="29" spans="1:13" thickBot="1" x14ac:dyDescent="0.25">
      <c r="A29" s="292" t="s">
        <v>224</v>
      </c>
      <c r="B29" s="306"/>
      <c r="C29" s="306"/>
      <c r="D29" s="334">
        <v>9</v>
      </c>
      <c r="E29" s="149" t="s">
        <v>364</v>
      </c>
      <c r="F29" s="117"/>
      <c r="G29" s="117"/>
      <c r="H29" s="138"/>
      <c r="I29" s="138"/>
      <c r="J29" s="138"/>
      <c r="K29" s="117"/>
      <c r="L29" s="771" t="s">
        <v>175</v>
      </c>
      <c r="M29" s="772"/>
    </row>
    <row r="30" spans="1:13" ht="15" x14ac:dyDescent="0.2">
      <c r="A30" s="117"/>
      <c r="B30" s="253"/>
      <c r="C30" s="253"/>
      <c r="D30" s="253"/>
      <c r="E30" s="117"/>
      <c r="F30" s="117"/>
      <c r="G30" s="117"/>
      <c r="H30" s="138"/>
      <c r="I30" s="138"/>
      <c r="J30" s="138"/>
      <c r="K30" s="117"/>
      <c r="L30" s="160" t="s">
        <v>176</v>
      </c>
      <c r="M30" s="161">
        <v>5</v>
      </c>
    </row>
    <row r="31" spans="1:13" thickBot="1" x14ac:dyDescent="0.25">
      <c r="A31" s="117"/>
      <c r="B31" s="253"/>
      <c r="C31" s="253"/>
      <c r="D31" s="253"/>
      <c r="E31" s="117"/>
      <c r="F31" s="117"/>
      <c r="G31" s="117"/>
      <c r="H31" s="138"/>
      <c r="I31" s="138"/>
      <c r="J31" s="138"/>
      <c r="K31" s="117"/>
      <c r="L31" s="162" t="s">
        <v>177</v>
      </c>
      <c r="M31" s="163">
        <v>0</v>
      </c>
    </row>
    <row r="32" spans="1:13" thickBot="1" x14ac:dyDescent="0.25">
      <c r="A32" s="164" t="s">
        <v>54</v>
      </c>
      <c r="B32" s="307"/>
      <c r="C32" s="307"/>
      <c r="D32" s="307"/>
      <c r="E32" s="133"/>
      <c r="F32" s="159"/>
      <c r="G32" s="110"/>
      <c r="H32" s="165"/>
      <c r="I32" s="166"/>
      <c r="J32" s="166"/>
      <c r="K32" s="166"/>
      <c r="L32" s="156" t="s">
        <v>279</v>
      </c>
      <c r="M32" s="111"/>
    </row>
    <row r="33" spans="1:16" ht="15.75" customHeight="1" x14ac:dyDescent="0.2">
      <c r="A33" s="167" t="s">
        <v>380</v>
      </c>
      <c r="B33" s="308"/>
      <c r="C33" s="308"/>
      <c r="D33" s="335"/>
      <c r="E33" s="829">
        <f>M30+M31</f>
        <v>5</v>
      </c>
      <c r="F33" s="827">
        <f>E33*2</f>
        <v>10</v>
      </c>
      <c r="G33" s="168" t="s">
        <v>222</v>
      </c>
      <c r="H33" s="169"/>
      <c r="I33" s="169"/>
      <c r="J33" s="169"/>
      <c r="K33" s="169"/>
      <c r="L33" s="111"/>
      <c r="M33" s="111"/>
    </row>
    <row r="34" spans="1:16" ht="15.75" customHeight="1" x14ac:dyDescent="0.2">
      <c r="A34" s="148" t="s">
        <v>381</v>
      </c>
      <c r="B34" s="249"/>
      <c r="C34" s="249"/>
      <c r="D34" s="336"/>
      <c r="E34" s="830"/>
      <c r="F34" s="828"/>
      <c r="G34" s="168"/>
      <c r="H34" s="169"/>
      <c r="I34" s="169"/>
      <c r="J34" s="169"/>
      <c r="K34" s="169"/>
      <c r="L34" s="111"/>
      <c r="M34" s="111"/>
    </row>
    <row r="35" spans="1:16" thickBot="1" x14ac:dyDescent="0.25">
      <c r="A35" s="170" t="s">
        <v>55</v>
      </c>
      <c r="B35" s="253"/>
      <c r="C35" s="253"/>
      <c r="D35" s="253"/>
      <c r="E35" s="117"/>
      <c r="F35" s="171">
        <v>0.06</v>
      </c>
      <c r="G35" s="168"/>
      <c r="H35" s="169"/>
      <c r="I35" s="169"/>
      <c r="J35" s="169"/>
      <c r="K35" s="169"/>
      <c r="L35" s="111"/>
      <c r="M35" s="111"/>
    </row>
    <row r="36" spans="1:16" thickBot="1" x14ac:dyDescent="0.25">
      <c r="A36" s="769" t="s">
        <v>161</v>
      </c>
      <c r="B36" s="770"/>
      <c r="C36" s="770"/>
      <c r="D36" s="770"/>
      <c r="E36" s="770"/>
      <c r="F36" s="172" t="str">
        <f>H82</f>
        <v>SINDESV/SINDESP-DF</v>
      </c>
      <c r="G36" s="173"/>
      <c r="H36" s="111"/>
      <c r="I36" s="174"/>
      <c r="J36" s="174"/>
      <c r="K36" s="175"/>
      <c r="L36" s="111"/>
      <c r="M36" s="111"/>
    </row>
    <row r="37" spans="1:16" ht="15" x14ac:dyDescent="0.2">
      <c r="A37" s="176" t="s">
        <v>285</v>
      </c>
      <c r="B37" s="309"/>
      <c r="C37" s="337"/>
      <c r="D37" s="309"/>
      <c r="E37" s="136"/>
      <c r="F37" s="786">
        <v>32</v>
      </c>
      <c r="G37" s="173"/>
      <c r="H37" s="111"/>
      <c r="I37" s="174"/>
      <c r="J37" s="174"/>
      <c r="K37" s="175"/>
      <c r="L37" s="111"/>
      <c r="M37" s="111"/>
    </row>
    <row r="38" spans="1:16" thickBot="1" x14ac:dyDescent="0.25">
      <c r="A38" s="177" t="s">
        <v>319</v>
      </c>
      <c r="B38" s="310"/>
      <c r="C38" s="338"/>
      <c r="D38" s="310"/>
      <c r="E38" s="178"/>
      <c r="F38" s="787"/>
      <c r="G38" s="173"/>
      <c r="H38" s="111"/>
      <c r="I38" s="174"/>
      <c r="J38" s="174"/>
      <c r="K38" s="175"/>
      <c r="L38" s="111"/>
      <c r="M38" s="111"/>
    </row>
    <row r="39" spans="1:16" ht="16.5" thickTop="1" thickBot="1" x14ac:dyDescent="0.25">
      <c r="A39" s="179" t="s">
        <v>318</v>
      </c>
      <c r="B39" s="311"/>
      <c r="C39" s="311"/>
      <c r="D39" s="311"/>
      <c r="E39" s="131"/>
      <c r="F39" s="180">
        <v>14</v>
      </c>
      <c r="G39" s="181"/>
      <c r="H39" s="111"/>
      <c r="I39" s="182"/>
      <c r="J39" s="182"/>
      <c r="K39" s="117"/>
      <c r="L39" s="111"/>
      <c r="M39" s="111"/>
    </row>
    <row r="40" spans="1:16" ht="15.75" customHeight="1" x14ac:dyDescent="0.2">
      <c r="A40" s="140" t="s">
        <v>282</v>
      </c>
      <c r="B40" s="249"/>
      <c r="C40" s="249"/>
      <c r="D40" s="249"/>
      <c r="E40" s="119"/>
      <c r="F40" s="183"/>
      <c r="G40" s="169" t="s">
        <v>283</v>
      </c>
      <c r="H40" s="111"/>
      <c r="I40" s="182"/>
      <c r="J40" s="834" t="s">
        <v>286</v>
      </c>
      <c r="K40" s="184" t="s">
        <v>201</v>
      </c>
      <c r="L40" s="185">
        <v>10.25</v>
      </c>
      <c r="M40" s="792" t="s">
        <v>284</v>
      </c>
    </row>
    <row r="41" spans="1:16" thickBot="1" x14ac:dyDescent="0.25">
      <c r="A41" s="186" t="s">
        <v>281</v>
      </c>
      <c r="B41" s="312"/>
      <c r="C41" s="312"/>
      <c r="D41" s="312"/>
      <c r="E41" s="187"/>
      <c r="F41" s="183">
        <v>1.8</v>
      </c>
      <c r="G41" s="169" t="s">
        <v>287</v>
      </c>
      <c r="H41" s="111"/>
      <c r="I41" s="182"/>
      <c r="J41" s="835"/>
      <c r="K41" s="188" t="s">
        <v>199</v>
      </c>
      <c r="L41" s="189">
        <v>12.22</v>
      </c>
      <c r="M41" s="793"/>
    </row>
    <row r="42" spans="1:16" thickBot="1" x14ac:dyDescent="0.25">
      <c r="A42" s="190" t="s">
        <v>321</v>
      </c>
      <c r="B42" s="313"/>
      <c r="C42" s="339"/>
      <c r="D42" s="339"/>
      <c r="E42" s="191"/>
      <c r="F42" s="192">
        <v>12.08</v>
      </c>
      <c r="G42" s="169" t="s">
        <v>288</v>
      </c>
      <c r="H42" s="193"/>
      <c r="I42" s="194"/>
      <c r="J42" s="194"/>
      <c r="K42" s="194"/>
      <c r="L42" s="117"/>
      <c r="M42" s="117"/>
    </row>
    <row r="43" spans="1:16" ht="8.25" customHeight="1" thickBot="1" x14ac:dyDescent="0.25">
      <c r="A43" s="831"/>
      <c r="B43" s="832"/>
      <c r="C43" s="832"/>
      <c r="D43" s="832"/>
      <c r="E43" s="832"/>
      <c r="F43" s="833"/>
      <c r="G43" s="195"/>
      <c r="H43" s="194"/>
      <c r="I43" s="194"/>
      <c r="J43" s="194"/>
      <c r="K43" s="194"/>
      <c r="L43" s="117"/>
      <c r="M43" s="117"/>
      <c r="N43" s="43"/>
      <c r="O43" s="43"/>
      <c r="P43" s="43"/>
    </row>
    <row r="44" spans="1:16" ht="15" x14ac:dyDescent="0.2">
      <c r="A44" s="773" t="s">
        <v>320</v>
      </c>
      <c r="B44" s="774"/>
      <c r="C44" s="774"/>
      <c r="D44" s="774"/>
      <c r="E44" s="775"/>
      <c r="F44" s="779">
        <v>0</v>
      </c>
      <c r="G44" s="791" t="s">
        <v>280</v>
      </c>
      <c r="H44" s="791"/>
      <c r="I44" s="791"/>
      <c r="J44" s="791"/>
      <c r="K44" s="791"/>
      <c r="L44" s="791"/>
      <c r="M44" s="791"/>
      <c r="N44" s="43"/>
      <c r="O44" s="43"/>
      <c r="P44" s="43"/>
    </row>
    <row r="45" spans="1:16" ht="15" x14ac:dyDescent="0.2">
      <c r="A45" s="776"/>
      <c r="B45" s="777"/>
      <c r="C45" s="777"/>
      <c r="D45" s="777"/>
      <c r="E45" s="778"/>
      <c r="F45" s="780"/>
      <c r="G45" s="791"/>
      <c r="H45" s="791"/>
      <c r="I45" s="791"/>
      <c r="J45" s="791"/>
      <c r="K45" s="791"/>
      <c r="L45" s="791"/>
      <c r="M45" s="791"/>
      <c r="N45" s="43"/>
      <c r="O45" s="43"/>
      <c r="P45" s="43"/>
    </row>
    <row r="46" spans="1:16" ht="15" x14ac:dyDescent="0.2">
      <c r="A46" s="776" t="s">
        <v>317</v>
      </c>
      <c r="B46" s="777"/>
      <c r="C46" s="777"/>
      <c r="D46" s="777"/>
      <c r="E46" s="778"/>
      <c r="F46" s="780">
        <v>0</v>
      </c>
      <c r="G46" s="836" t="s">
        <v>294</v>
      </c>
      <c r="H46" s="836"/>
      <c r="I46" s="836"/>
      <c r="J46" s="836"/>
      <c r="K46" s="836"/>
      <c r="L46" s="836"/>
      <c r="M46" s="836"/>
      <c r="N46" s="43"/>
      <c r="O46" s="43"/>
      <c r="P46" s="43"/>
    </row>
    <row r="47" spans="1:16" ht="15" x14ac:dyDescent="0.2">
      <c r="A47" s="776"/>
      <c r="B47" s="777"/>
      <c r="C47" s="777"/>
      <c r="D47" s="777"/>
      <c r="E47" s="778"/>
      <c r="F47" s="780"/>
      <c r="G47" s="836"/>
      <c r="H47" s="836"/>
      <c r="I47" s="836"/>
      <c r="J47" s="836"/>
      <c r="K47" s="836"/>
      <c r="L47" s="836"/>
      <c r="M47" s="836"/>
      <c r="N47" s="43"/>
      <c r="O47" s="43"/>
      <c r="P47" s="43"/>
    </row>
    <row r="48" spans="1:16" thickBot="1" x14ac:dyDescent="0.25">
      <c r="A48" s="794"/>
      <c r="B48" s="795"/>
      <c r="C48" s="795"/>
      <c r="D48" s="795"/>
      <c r="E48" s="796"/>
      <c r="F48" s="797"/>
      <c r="G48" s="836"/>
      <c r="H48" s="836"/>
      <c r="I48" s="836"/>
      <c r="J48" s="836"/>
      <c r="K48" s="836"/>
      <c r="L48" s="836"/>
      <c r="M48" s="836"/>
      <c r="N48" s="43"/>
      <c r="O48" s="43"/>
      <c r="P48" s="43"/>
    </row>
    <row r="49" spans="1:16" ht="15" x14ac:dyDescent="0.2">
      <c r="A49" s="196"/>
      <c r="B49" s="253"/>
      <c r="C49" s="253"/>
      <c r="D49" s="253"/>
      <c r="E49" s="117"/>
      <c r="F49" s="197"/>
      <c r="G49" s="195"/>
      <c r="H49" s="194"/>
      <c r="I49" s="194"/>
      <c r="J49" s="194"/>
      <c r="K49" s="194"/>
      <c r="L49" s="117"/>
      <c r="M49" s="117"/>
      <c r="N49" s="43"/>
      <c r="O49" s="43"/>
      <c r="P49" s="43"/>
    </row>
    <row r="50" spans="1:16" ht="15" x14ac:dyDescent="0.2">
      <c r="A50" s="196"/>
      <c r="B50" s="253"/>
      <c r="C50" s="253"/>
      <c r="D50" s="253"/>
      <c r="E50" s="117"/>
      <c r="F50" s="197"/>
      <c r="G50" s="195"/>
      <c r="H50" s="194"/>
      <c r="I50" s="194"/>
      <c r="J50" s="194"/>
      <c r="K50" s="194"/>
      <c r="L50" s="117"/>
      <c r="M50" s="117"/>
      <c r="N50" s="43"/>
      <c r="O50" s="43"/>
      <c r="P50" s="43"/>
    </row>
    <row r="51" spans="1:16" ht="15" x14ac:dyDescent="0.2">
      <c r="A51" s="196"/>
      <c r="B51" s="253"/>
      <c r="C51" s="253"/>
      <c r="D51" s="253"/>
      <c r="E51" s="117"/>
      <c r="F51" s="197"/>
      <c r="G51" s="195"/>
      <c r="H51" s="194"/>
      <c r="I51" s="194"/>
      <c r="J51" s="194"/>
      <c r="K51" s="194"/>
      <c r="L51" s="118"/>
      <c r="M51" s="117"/>
      <c r="N51" s="43"/>
      <c r="O51" s="43"/>
      <c r="P51" s="43"/>
    </row>
    <row r="52" spans="1:16" thickBot="1" x14ac:dyDescent="0.25">
      <c r="A52" s="198" t="s">
        <v>56</v>
      </c>
      <c r="B52" s="253"/>
      <c r="C52" s="253"/>
      <c r="D52" s="253"/>
      <c r="E52" s="117"/>
      <c r="F52" s="197"/>
      <c r="G52" s="195"/>
      <c r="H52" s="199"/>
      <c r="I52" s="194"/>
      <c r="J52" s="118"/>
      <c r="K52" s="118"/>
      <c r="L52" s="118"/>
      <c r="M52" s="117"/>
      <c r="N52" s="44"/>
      <c r="O52" s="44"/>
      <c r="P52" s="44"/>
    </row>
    <row r="53" spans="1:16" ht="15" x14ac:dyDescent="0.2">
      <c r="A53" s="798" t="s">
        <v>125</v>
      </c>
      <c r="B53" s="799"/>
      <c r="C53" s="800"/>
      <c r="D53" s="340">
        <v>1.59</v>
      </c>
      <c r="E53" s="200"/>
      <c r="F53" s="201">
        <f>UNIFORMES!G22</f>
        <v>240.13</v>
      </c>
      <c r="G53" s="169" t="s">
        <v>295</v>
      </c>
      <c r="H53" s="202"/>
      <c r="I53" s="202"/>
      <c r="J53" s="118"/>
      <c r="K53" s="118"/>
      <c r="L53" s="118"/>
      <c r="M53" s="117"/>
    </row>
    <row r="54" spans="1:16" ht="15" x14ac:dyDescent="0.2">
      <c r="A54" s="801" t="s">
        <v>323</v>
      </c>
      <c r="B54" s="802"/>
      <c r="C54" s="803"/>
      <c r="D54" s="341">
        <v>1</v>
      </c>
      <c r="E54" s="203"/>
      <c r="F54" s="204">
        <f>'MAT e EQUIPS'!H19</f>
        <v>8.5299999999999994</v>
      </c>
      <c r="G54" s="169" t="s">
        <v>297</v>
      </c>
      <c r="H54" s="202"/>
      <c r="I54" s="174"/>
      <c r="J54" s="174"/>
      <c r="K54" s="205"/>
      <c r="L54" s="149"/>
      <c r="M54" s="117"/>
      <c r="N54" s="43"/>
      <c r="O54" s="72">
        <f>M2</f>
        <v>38370.629999999997</v>
      </c>
      <c r="P54" s="43"/>
    </row>
    <row r="55" spans="1:16" ht="15" x14ac:dyDescent="0.2">
      <c r="A55" s="801" t="s">
        <v>322</v>
      </c>
      <c r="B55" s="802"/>
      <c r="C55" s="803"/>
      <c r="D55" s="342">
        <v>1</v>
      </c>
      <c r="E55" s="206"/>
      <c r="F55" s="207">
        <f>'MAT e EQUIPS'!H30</f>
        <v>27.13</v>
      </c>
      <c r="G55" s="169" t="s">
        <v>298</v>
      </c>
      <c r="H55" s="202"/>
      <c r="I55" s="174"/>
      <c r="J55" s="174"/>
      <c r="K55" s="208"/>
      <c r="L55" s="209"/>
      <c r="M55" s="209"/>
      <c r="N55" s="44"/>
      <c r="O55" s="44"/>
      <c r="P55" s="44"/>
    </row>
    <row r="56" spans="1:16" thickBot="1" x14ac:dyDescent="0.25">
      <c r="A56" s="210" t="s">
        <v>164</v>
      </c>
      <c r="B56" s="314"/>
      <c r="C56" s="343"/>
      <c r="D56" s="344">
        <v>0.1</v>
      </c>
      <c r="E56" s="211"/>
      <c r="F56" s="212"/>
      <c r="G56" s="169" t="s">
        <v>296</v>
      </c>
      <c r="H56" s="117"/>
      <c r="I56" s="117"/>
      <c r="J56" s="117"/>
      <c r="K56" s="194"/>
      <c r="L56" s="117"/>
      <c r="M56" s="117"/>
    </row>
    <row r="57" spans="1:16" ht="15" x14ac:dyDescent="0.2">
      <c r="A57" s="94"/>
      <c r="B57" s="242"/>
      <c r="C57" s="242"/>
      <c r="D57" s="253"/>
      <c r="E57" s="117"/>
      <c r="F57" s="117"/>
      <c r="G57" s="117"/>
      <c r="H57" s="194"/>
      <c r="I57" s="194"/>
      <c r="J57" s="194"/>
      <c r="K57" s="194"/>
      <c r="L57" s="117"/>
      <c r="M57" s="117"/>
      <c r="N57" s="43"/>
      <c r="O57" s="43"/>
      <c r="P57" s="43"/>
    </row>
    <row r="58" spans="1:16" ht="15" x14ac:dyDescent="0.2">
      <c r="A58" s="94"/>
      <c r="B58" s="242"/>
      <c r="C58" s="242"/>
      <c r="D58" s="253"/>
      <c r="E58" s="117"/>
      <c r="F58" s="117"/>
      <c r="G58" s="117"/>
      <c r="H58" s="194"/>
      <c r="I58" s="194"/>
      <c r="J58" s="194"/>
      <c r="K58" s="194"/>
      <c r="L58" s="117"/>
      <c r="M58" s="117"/>
      <c r="N58" s="43"/>
      <c r="O58" s="43"/>
      <c r="P58" s="43"/>
    </row>
    <row r="59" spans="1:16" thickBot="1" x14ac:dyDescent="0.25">
      <c r="A59" s="94"/>
      <c r="B59" s="242"/>
      <c r="C59" s="242"/>
      <c r="D59" s="253"/>
      <c r="E59" s="213" t="s">
        <v>199</v>
      </c>
      <c r="F59" s="213" t="s">
        <v>237</v>
      </c>
      <c r="G59" s="213" t="s">
        <v>195</v>
      </c>
      <c r="H59" s="194"/>
      <c r="I59" s="194"/>
      <c r="J59" s="194"/>
      <c r="K59" s="194"/>
      <c r="L59" s="214"/>
      <c r="M59" s="117"/>
      <c r="N59" s="44"/>
      <c r="O59" s="44"/>
      <c r="P59" s="44"/>
    </row>
    <row r="60" spans="1:16" ht="15" x14ac:dyDescent="0.2">
      <c r="A60" s="135" t="s">
        <v>57</v>
      </c>
      <c r="B60" s="309"/>
      <c r="C60" s="345"/>
      <c r="D60" s="346"/>
      <c r="E60" s="215">
        <v>6.9000000000000006E-2</v>
      </c>
      <c r="F60" s="215">
        <v>6.9000000000000006E-2</v>
      </c>
      <c r="G60" s="216">
        <v>6.9000000000000006E-2</v>
      </c>
      <c r="H60" s="169" t="s">
        <v>299</v>
      </c>
      <c r="I60" s="217"/>
      <c r="J60" s="217"/>
      <c r="K60" s="150"/>
      <c r="L60" s="111"/>
      <c r="M60" s="218">
        <f>M2</f>
        <v>38370.629999999997</v>
      </c>
      <c r="O60" s="48">
        <f>M73/M74</f>
        <v>1.1994767752834601</v>
      </c>
    </row>
    <row r="61" spans="1:16" thickBot="1" x14ac:dyDescent="0.25">
      <c r="A61" s="219" t="s">
        <v>20</v>
      </c>
      <c r="B61" s="307"/>
      <c r="C61" s="347"/>
      <c r="D61" s="348"/>
      <c r="E61" s="220">
        <v>3.85E-2</v>
      </c>
      <c r="F61" s="220">
        <v>3.85E-2</v>
      </c>
      <c r="G61" s="220">
        <v>3.85E-2</v>
      </c>
      <c r="H61" s="169" t="s">
        <v>300</v>
      </c>
      <c r="I61" s="217"/>
      <c r="J61" s="217"/>
      <c r="K61" s="150"/>
      <c r="L61" s="221"/>
      <c r="M61" s="217"/>
    </row>
    <row r="62" spans="1:16" ht="15" x14ac:dyDescent="0.2">
      <c r="A62" s="111"/>
      <c r="B62" s="315"/>
      <c r="C62" s="315"/>
      <c r="D62" s="349"/>
      <c r="E62" s="222"/>
      <c r="F62" s="222"/>
      <c r="G62" s="222"/>
      <c r="H62" s="111"/>
      <c r="I62" s="111"/>
      <c r="J62" s="111"/>
      <c r="K62" s="111"/>
      <c r="L62" s="111"/>
      <c r="M62" s="111"/>
      <c r="N62" s="45" t="s">
        <v>196</v>
      </c>
      <c r="O62" s="45" t="s">
        <v>197</v>
      </c>
      <c r="P62" s="45" t="s">
        <v>198</v>
      </c>
    </row>
    <row r="63" spans="1:16" ht="15" x14ac:dyDescent="0.2">
      <c r="A63" s="111"/>
      <c r="B63" s="315"/>
      <c r="C63" s="315"/>
      <c r="D63" s="349"/>
      <c r="E63" s="222"/>
      <c r="F63" s="222"/>
      <c r="G63" s="222"/>
      <c r="H63" s="111"/>
      <c r="I63" s="111"/>
      <c r="J63" s="111"/>
      <c r="K63" s="111"/>
      <c r="L63" s="111"/>
      <c r="M63" s="111"/>
      <c r="N63" s="44">
        <f>RESUMO!F8</f>
        <v>7922.18</v>
      </c>
      <c r="O63" s="44">
        <f>(O64/2)*$O$60</f>
        <v>9056.3700000000008</v>
      </c>
      <c r="P63" s="70">
        <f>N63-O63</f>
        <v>-1134.19</v>
      </c>
    </row>
    <row r="64" spans="1:16" thickBot="1" x14ac:dyDescent="0.25">
      <c r="A64" s="111"/>
      <c r="B64" s="316"/>
      <c r="C64" s="316"/>
      <c r="D64" s="316"/>
      <c r="E64" s="223"/>
      <c r="F64" s="111"/>
      <c r="G64" s="111"/>
      <c r="H64" s="111"/>
      <c r="I64" s="717" t="s">
        <v>305</v>
      </c>
      <c r="J64" s="717"/>
      <c r="K64" s="717"/>
      <c r="L64" s="718">
        <v>996836.64</v>
      </c>
      <c r="M64" s="718"/>
      <c r="N64" s="44">
        <f>RESUMO!F9</f>
        <v>14327.52</v>
      </c>
      <c r="O64" s="44">
        <v>15100.54</v>
      </c>
      <c r="P64" s="70">
        <f>N64-O64</f>
        <v>-773.02</v>
      </c>
    </row>
    <row r="65" spans="1:39" ht="15" customHeight="1" thickBot="1" x14ac:dyDescent="0.25">
      <c r="A65" s="712" t="s">
        <v>157</v>
      </c>
      <c r="B65" s="714"/>
      <c r="C65" s="350"/>
      <c r="D65" s="351"/>
      <c r="E65" s="225"/>
      <c r="F65" s="225"/>
      <c r="G65" s="225"/>
      <c r="H65" s="224"/>
      <c r="I65" s="225"/>
      <c r="J65" s="225"/>
      <c r="K65" s="712" t="s">
        <v>158</v>
      </c>
      <c r="L65" s="713"/>
      <c r="M65" s="714"/>
      <c r="N65" s="44">
        <f>RESUMO!F10</f>
        <v>16095.02</v>
      </c>
      <c r="O65" s="44">
        <v>16451.59</v>
      </c>
      <c r="P65" s="70">
        <f>N65-O65</f>
        <v>-356.57</v>
      </c>
    </row>
    <row r="66" spans="1:39" ht="15" customHeight="1" x14ac:dyDescent="0.2">
      <c r="A66" s="226" t="s">
        <v>223</v>
      </c>
      <c r="B66" s="317">
        <f>B67/C13</f>
        <v>116825.85</v>
      </c>
      <c r="C66" s="350"/>
      <c r="D66" s="352"/>
      <c r="E66" s="227"/>
      <c r="F66" s="228" t="s">
        <v>0</v>
      </c>
      <c r="G66" s="228"/>
      <c r="H66" s="224"/>
      <c r="I66" s="227"/>
      <c r="J66" s="227"/>
      <c r="K66" s="229" t="s">
        <v>223</v>
      </c>
      <c r="L66" s="715">
        <f>L67/12</f>
        <v>109982.32</v>
      </c>
      <c r="M66" s="716"/>
      <c r="N66" s="48"/>
      <c r="O66" s="48"/>
      <c r="P66" s="48"/>
    </row>
    <row r="67" spans="1:39" thickBot="1" x14ac:dyDescent="0.25">
      <c r="A67" s="230" t="s">
        <v>185</v>
      </c>
      <c r="B67" s="318">
        <v>1401910.2</v>
      </c>
      <c r="C67" s="352"/>
      <c r="D67" s="352"/>
      <c r="E67" s="227"/>
      <c r="F67" s="110"/>
      <c r="G67" s="110"/>
      <c r="H67" s="224"/>
      <c r="I67" s="227"/>
      <c r="J67" s="227"/>
      <c r="K67" s="231" t="s">
        <v>185</v>
      </c>
      <c r="L67" s="763">
        <f>'PROPOSTA INICIAL'!H33</f>
        <v>1319787.8400000001</v>
      </c>
      <c r="M67" s="764"/>
      <c r="N67" s="45" t="s">
        <v>196</v>
      </c>
      <c r="O67" s="45" t="s">
        <v>197</v>
      </c>
      <c r="P67" s="45" t="s">
        <v>198</v>
      </c>
    </row>
    <row r="68" spans="1:39" thickBot="1" x14ac:dyDescent="0.25">
      <c r="A68" s="110"/>
      <c r="B68" s="319"/>
      <c r="C68" s="353"/>
      <c r="D68" s="353"/>
      <c r="E68" s="232"/>
      <c r="F68" s="110"/>
      <c r="G68" s="110"/>
      <c r="H68" s="233"/>
      <c r="I68" s="233"/>
      <c r="J68" s="233"/>
      <c r="K68" s="233"/>
      <c r="L68" s="234" t="s">
        <v>203</v>
      </c>
      <c r="M68" s="235">
        <f>L67/B67</f>
        <v>0.94140000000000001</v>
      </c>
      <c r="N68" s="44">
        <f>N63</f>
        <v>7922.18</v>
      </c>
      <c r="O68" s="44">
        <f>(O69/2)*$O$60</f>
        <v>9716.74</v>
      </c>
      <c r="P68" s="70">
        <f>N68-O68</f>
        <v>-1794.56</v>
      </c>
    </row>
    <row r="69" spans="1:39" ht="15" customHeight="1" x14ac:dyDescent="0.2">
      <c r="A69" s="110"/>
      <c r="B69" s="320"/>
      <c r="C69" s="353"/>
      <c r="D69" s="353"/>
      <c r="E69" s="232"/>
      <c r="F69" s="110"/>
      <c r="G69" s="110"/>
      <c r="H69" s="767" t="s">
        <v>244</v>
      </c>
      <c r="I69" s="767"/>
      <c r="J69" s="767"/>
      <c r="K69" s="767"/>
      <c r="L69" s="767"/>
      <c r="M69" s="767"/>
      <c r="N69" s="44">
        <f>N64</f>
        <v>14327.52</v>
      </c>
      <c r="O69" s="44">
        <v>16201.63</v>
      </c>
      <c r="P69" s="70">
        <f>N69-O69</f>
        <v>-1874.11</v>
      </c>
    </row>
    <row r="70" spans="1:39" ht="15.75" customHeight="1" x14ac:dyDescent="0.2">
      <c r="A70" s="110"/>
      <c r="B70" s="320"/>
      <c r="C70" s="353"/>
      <c r="D70" s="353"/>
      <c r="E70" s="232"/>
      <c r="F70" s="110"/>
      <c r="G70" s="110"/>
      <c r="H70" s="767"/>
      <c r="I70" s="767"/>
      <c r="J70" s="767"/>
      <c r="K70" s="767"/>
      <c r="L70" s="767"/>
      <c r="M70" s="767"/>
      <c r="N70" s="44">
        <f>N65</f>
        <v>16095.02</v>
      </c>
      <c r="O70" s="44">
        <v>18025.95</v>
      </c>
      <c r="P70" s="70">
        <f>N70-O70</f>
        <v>-1930.93</v>
      </c>
    </row>
    <row r="71" spans="1:39" thickBot="1" x14ac:dyDescent="0.25">
      <c r="A71" s="110"/>
      <c r="B71" s="320"/>
      <c r="C71" s="353"/>
      <c r="D71" s="353"/>
      <c r="E71" s="232"/>
      <c r="F71" s="110"/>
      <c r="G71" s="110"/>
      <c r="H71" s="768"/>
      <c r="I71" s="768"/>
      <c r="J71" s="768"/>
      <c r="K71" s="768"/>
      <c r="L71" s="768"/>
      <c r="M71" s="768"/>
      <c r="N71" s="48"/>
      <c r="O71" s="48"/>
      <c r="P71" s="48"/>
    </row>
    <row r="72" spans="1:39" s="49" customFormat="1" ht="24.75" thickBot="1" x14ac:dyDescent="0.25">
      <c r="A72" s="236" t="s">
        <v>226</v>
      </c>
      <c r="B72" s="242"/>
      <c r="C72" s="242"/>
      <c r="D72" s="241"/>
      <c r="E72" s="237"/>
      <c r="F72" s="111"/>
      <c r="G72" s="111"/>
      <c r="H72" s="724" t="s">
        <v>60</v>
      </c>
      <c r="I72" s="725"/>
      <c r="J72" s="238" t="s">
        <v>308</v>
      </c>
      <c r="K72" s="238" t="s">
        <v>225</v>
      </c>
      <c r="L72" s="238" t="s">
        <v>307</v>
      </c>
      <c r="M72" s="239" t="s">
        <v>61</v>
      </c>
      <c r="N72" s="71" t="s">
        <v>196</v>
      </c>
      <c r="O72" s="71" t="s">
        <v>366</v>
      </c>
      <c r="P72" s="71" t="s">
        <v>198</v>
      </c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</row>
    <row r="73" spans="1:39" s="49" customFormat="1" ht="12.75" x14ac:dyDescent="0.2">
      <c r="A73" s="240" t="s">
        <v>58</v>
      </c>
      <c r="B73" s="309"/>
      <c r="C73" s="354">
        <v>0.05</v>
      </c>
      <c r="D73" s="241"/>
      <c r="E73" s="241"/>
      <c r="F73" s="242"/>
      <c r="G73" s="243"/>
      <c r="H73" s="244" t="s">
        <v>398</v>
      </c>
      <c r="I73" s="245"/>
      <c r="J73" s="246">
        <v>1</v>
      </c>
      <c r="K73" s="246">
        <v>1</v>
      </c>
      <c r="L73" s="246">
        <f>J73*K73</f>
        <v>1</v>
      </c>
      <c r="M73" s="247">
        <v>2264.96</v>
      </c>
      <c r="N73" s="44">
        <f>N68</f>
        <v>7922.18</v>
      </c>
      <c r="O73" s="44">
        <v>8263.73</v>
      </c>
      <c r="P73" s="70">
        <f>N73-O73</f>
        <v>-341.55</v>
      </c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</row>
    <row r="74" spans="1:39" s="49" customFormat="1" ht="12.75" x14ac:dyDescent="0.2">
      <c r="A74" s="248" t="s">
        <v>22</v>
      </c>
      <c r="B74" s="249"/>
      <c r="C74" s="250">
        <v>0.03</v>
      </c>
      <c r="D74" s="241"/>
      <c r="E74" s="241"/>
      <c r="F74" s="242"/>
      <c r="G74" s="243"/>
      <c r="H74" s="244" t="s">
        <v>235</v>
      </c>
      <c r="I74" s="251"/>
      <c r="J74" s="246">
        <v>6</v>
      </c>
      <c r="K74" s="246">
        <v>2</v>
      </c>
      <c r="L74" s="246">
        <f>J74*K74</f>
        <v>12</v>
      </c>
      <c r="M74" s="247">
        <v>1888.29</v>
      </c>
      <c r="N74" s="44">
        <f>N69</f>
        <v>14327.52</v>
      </c>
      <c r="O74" s="44">
        <v>15249.44</v>
      </c>
      <c r="P74" s="70">
        <f>N74-O74</f>
        <v>-921.92</v>
      </c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</row>
    <row r="75" spans="1:39" s="49" customFormat="1" ht="13.5" thickBot="1" x14ac:dyDescent="0.25">
      <c r="A75" s="252" t="s">
        <v>21</v>
      </c>
      <c r="B75" s="253"/>
      <c r="C75" s="254">
        <v>6.4999999999999997E-3</v>
      </c>
      <c r="D75" s="241"/>
      <c r="E75" s="241"/>
      <c r="F75" s="242"/>
      <c r="G75" s="243"/>
      <c r="H75" s="244" t="s">
        <v>236</v>
      </c>
      <c r="I75" s="251"/>
      <c r="J75" s="246">
        <v>1</v>
      </c>
      <c r="K75" s="246">
        <v>2</v>
      </c>
      <c r="L75" s="246">
        <f>J75*K75</f>
        <v>2</v>
      </c>
      <c r="M75" s="247">
        <v>1888.29</v>
      </c>
      <c r="N75" s="44">
        <f>N70</f>
        <v>16095.02</v>
      </c>
      <c r="O75" s="44">
        <v>17065.48</v>
      </c>
      <c r="P75" s="70">
        <f>N75-O75</f>
        <v>-970.46</v>
      </c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</row>
    <row r="76" spans="1:39" s="49" customFormat="1" ht="13.5" customHeight="1" thickBot="1" x14ac:dyDescent="0.25">
      <c r="A76" s="754" t="s">
        <v>59</v>
      </c>
      <c r="B76" s="755"/>
      <c r="C76" s="255">
        <f>SUM(C73:C75)</f>
        <v>8.6499999999999994E-2</v>
      </c>
      <c r="D76" s="241"/>
      <c r="E76" s="241"/>
      <c r="F76" s="242"/>
      <c r="G76" s="243"/>
      <c r="H76" s="726" t="s">
        <v>62</v>
      </c>
      <c r="I76" s="727"/>
      <c r="J76" s="256">
        <f>SUM(J73:J75)</f>
        <v>8</v>
      </c>
      <c r="K76" s="257" t="s">
        <v>84</v>
      </c>
      <c r="L76" s="256">
        <f>SUM(L73:L75)</f>
        <v>15</v>
      </c>
      <c r="M76" s="258" t="s">
        <v>84</v>
      </c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</row>
    <row r="77" spans="1:39" s="49" customFormat="1" ht="15.75" customHeight="1" x14ac:dyDescent="0.2">
      <c r="A77" s="243"/>
      <c r="B77" s="242"/>
      <c r="C77" s="259">
        <f>(100%-C76)</f>
        <v>0.91349999999999998</v>
      </c>
      <c r="D77" s="241"/>
      <c r="E77" s="241"/>
      <c r="F77" s="242"/>
      <c r="G77" s="243"/>
      <c r="H77" s="96" t="s">
        <v>306</v>
      </c>
      <c r="I77" s="260"/>
      <c r="J77" s="243"/>
      <c r="K77" s="243"/>
      <c r="L77" s="243"/>
      <c r="M77" s="243"/>
      <c r="N77" s="47"/>
      <c r="O77" s="47"/>
      <c r="P77" s="4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</row>
    <row r="78" spans="1:39" s="49" customFormat="1" ht="15.75" customHeight="1" x14ac:dyDescent="0.2">
      <c r="A78" s="242"/>
      <c r="B78" s="242"/>
      <c r="C78" s="242"/>
      <c r="D78" s="241"/>
      <c r="E78" s="241"/>
      <c r="F78" s="242"/>
      <c r="G78" s="243"/>
      <c r="H78" s="243"/>
      <c r="I78" s="94"/>
      <c r="J78" s="94"/>
      <c r="K78" s="94"/>
      <c r="L78" s="94"/>
      <c r="M78" s="243"/>
      <c r="N78" s="47"/>
      <c r="O78" s="47"/>
      <c r="P78" s="47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</row>
    <row r="79" spans="1:39" s="49" customFormat="1" ht="15.75" customHeight="1" thickBot="1" x14ac:dyDescent="0.25">
      <c r="A79" s="242"/>
      <c r="B79" s="242"/>
      <c r="C79" s="242"/>
      <c r="D79" s="241"/>
      <c r="E79" s="241"/>
      <c r="F79" s="242"/>
      <c r="G79" s="94"/>
      <c r="H79" s="261"/>
      <c r="I79" s="261"/>
      <c r="J79" s="261"/>
      <c r="K79" s="261"/>
      <c r="L79" s="261"/>
      <c r="M79" s="243"/>
      <c r="N79" s="47"/>
      <c r="O79" s="47"/>
      <c r="P79" s="47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</row>
    <row r="80" spans="1:39" s="49" customFormat="1" ht="15.75" customHeight="1" thickBot="1" x14ac:dyDescent="0.25">
      <c r="A80" s="262" t="s">
        <v>63</v>
      </c>
      <c r="B80" s="806" t="s">
        <v>64</v>
      </c>
      <c r="C80" s="807"/>
      <c r="D80" s="355"/>
      <c r="E80" s="263"/>
      <c r="F80" s="242"/>
      <c r="G80" s="243"/>
      <c r="H80" s="736" t="s">
        <v>65</v>
      </c>
      <c r="I80" s="736"/>
      <c r="J80" s="736"/>
      <c r="K80" s="736"/>
      <c r="L80" s="736"/>
      <c r="M80" s="736"/>
      <c r="N80" s="47"/>
      <c r="O80" s="47"/>
      <c r="P80" s="47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</row>
    <row r="81" spans="1:39" s="49" customFormat="1" ht="15.75" customHeight="1" x14ac:dyDescent="0.2">
      <c r="A81" s="264" t="s">
        <v>1</v>
      </c>
      <c r="B81" s="321" t="s">
        <v>14</v>
      </c>
      <c r="C81" s="356">
        <v>0.2</v>
      </c>
      <c r="D81" s="357"/>
      <c r="E81" s="265"/>
      <c r="F81" s="95"/>
      <c r="G81" s="243"/>
      <c r="H81" s="732" t="s">
        <v>66</v>
      </c>
      <c r="I81" s="733"/>
      <c r="J81" s="783" t="s">
        <v>67</v>
      </c>
      <c r="K81" s="784"/>
      <c r="L81" s="785"/>
      <c r="M81" s="266" t="s">
        <v>68</v>
      </c>
      <c r="N81" s="47"/>
      <c r="O81" s="47"/>
      <c r="P81" s="47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</row>
    <row r="82" spans="1:39" s="49" customFormat="1" ht="15.75" customHeight="1" thickBot="1" x14ac:dyDescent="0.25">
      <c r="A82" s="264" t="s">
        <v>2</v>
      </c>
      <c r="B82" s="321" t="s">
        <v>15</v>
      </c>
      <c r="C82" s="356">
        <v>1.4999999999999999E-2</v>
      </c>
      <c r="D82" s="357"/>
      <c r="E82" s="265"/>
      <c r="F82" s="95"/>
      <c r="G82" s="243"/>
      <c r="H82" s="781" t="s">
        <v>69</v>
      </c>
      <c r="I82" s="782"/>
      <c r="J82" s="788" t="s">
        <v>159</v>
      </c>
      <c r="K82" s="789"/>
      <c r="L82" s="790"/>
      <c r="M82" s="408" t="s">
        <v>311</v>
      </c>
      <c r="N82" s="47"/>
      <c r="O82" s="47"/>
      <c r="P82" s="47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</row>
    <row r="83" spans="1:39" s="49" customFormat="1" ht="15.75" customHeight="1" x14ac:dyDescent="0.2">
      <c r="A83" s="264" t="s">
        <v>4</v>
      </c>
      <c r="B83" s="321" t="s">
        <v>16</v>
      </c>
      <c r="C83" s="356">
        <v>0.01</v>
      </c>
      <c r="D83" s="357"/>
      <c r="E83" s="265"/>
      <c r="F83" s="95"/>
      <c r="G83" s="243"/>
      <c r="H83" s="407" t="s">
        <v>210</v>
      </c>
      <c r="I83" s="111"/>
      <c r="J83" s="111"/>
      <c r="K83" s="111"/>
      <c r="L83" s="111"/>
      <c r="M83" s="111"/>
      <c r="N83" s="47"/>
      <c r="O83" s="47"/>
      <c r="P83" s="47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</row>
    <row r="84" spans="1:39" ht="15.75" customHeight="1" x14ac:dyDescent="0.2">
      <c r="A84" s="264" t="s">
        <v>5</v>
      </c>
      <c r="B84" s="321" t="s">
        <v>17</v>
      </c>
      <c r="C84" s="356">
        <v>2E-3</v>
      </c>
      <c r="D84" s="357"/>
      <c r="E84" s="265"/>
      <c r="F84" s="95" t="s">
        <v>194</v>
      </c>
      <c r="G84" s="95"/>
      <c r="H84" s="261"/>
      <c r="I84" s="261"/>
      <c r="J84" s="261"/>
      <c r="K84" s="261"/>
      <c r="L84" s="261"/>
      <c r="M84" s="261"/>
    </row>
    <row r="85" spans="1:39" ht="15.75" customHeight="1" x14ac:dyDescent="0.2">
      <c r="A85" s="264" t="s">
        <v>6</v>
      </c>
      <c r="B85" s="321" t="s">
        <v>120</v>
      </c>
      <c r="C85" s="356">
        <v>2.5000000000000001E-2</v>
      </c>
      <c r="D85" s="357"/>
      <c r="E85" s="265"/>
      <c r="F85" s="242"/>
      <c r="G85" s="242"/>
      <c r="H85" s="267" t="s">
        <v>155</v>
      </c>
      <c r="I85" s="261"/>
      <c r="J85" s="261"/>
      <c r="K85" s="261"/>
      <c r="L85" s="261"/>
      <c r="M85" s="261"/>
    </row>
    <row r="86" spans="1:39" ht="15.75" customHeight="1" x14ac:dyDescent="0.2">
      <c r="A86" s="264" t="s">
        <v>7</v>
      </c>
      <c r="B86" s="321" t="s">
        <v>18</v>
      </c>
      <c r="C86" s="356">
        <v>0.08</v>
      </c>
      <c r="D86" s="357"/>
      <c r="E86" s="265"/>
      <c r="F86" s="242"/>
      <c r="G86" s="242"/>
      <c r="H86" s="261" t="s">
        <v>238</v>
      </c>
      <c r="I86" s="268"/>
      <c r="J86" s="268"/>
      <c r="K86" s="268"/>
      <c r="L86" s="268"/>
      <c r="M86" s="268"/>
    </row>
    <row r="87" spans="1:39" ht="15.75" customHeight="1" x14ac:dyDescent="0.2">
      <c r="A87" s="264" t="s">
        <v>8</v>
      </c>
      <c r="B87" s="321" t="s">
        <v>149</v>
      </c>
      <c r="C87" s="358">
        <v>2.1299999999999999E-2</v>
      </c>
      <c r="D87" s="359"/>
      <c r="E87" s="270" t="s">
        <v>328</v>
      </c>
      <c r="F87" s="271"/>
      <c r="G87" s="271"/>
      <c r="H87" s="261" t="s">
        <v>240</v>
      </c>
      <c r="I87" s="261"/>
      <c r="J87" s="261"/>
      <c r="K87" s="261"/>
      <c r="L87" s="261"/>
      <c r="M87" s="261"/>
    </row>
    <row r="88" spans="1:39" ht="15.75" customHeight="1" x14ac:dyDescent="0.2">
      <c r="A88" s="264" t="s">
        <v>9</v>
      </c>
      <c r="B88" s="321" t="s">
        <v>19</v>
      </c>
      <c r="C88" s="356">
        <v>6.0000000000000001E-3</v>
      </c>
      <c r="D88" s="359"/>
      <c r="E88" s="269"/>
      <c r="F88" s="111"/>
      <c r="G88" s="111"/>
      <c r="H88" s="731" t="s">
        <v>241</v>
      </c>
      <c r="I88" s="731"/>
      <c r="J88" s="731"/>
      <c r="K88" s="731"/>
      <c r="L88" s="731"/>
      <c r="M88" s="731"/>
    </row>
    <row r="89" spans="1:39" ht="15.75" customHeight="1" x14ac:dyDescent="0.2">
      <c r="A89" s="808" t="s">
        <v>62</v>
      </c>
      <c r="B89" s="809"/>
      <c r="C89" s="360">
        <f>SUM(C81:C88)</f>
        <v>0.35930000000000001</v>
      </c>
      <c r="D89" s="359"/>
      <c r="E89" s="269"/>
      <c r="F89" s="111"/>
      <c r="G89" s="111"/>
      <c r="H89" s="731"/>
      <c r="I89" s="731"/>
      <c r="J89" s="731"/>
      <c r="K89" s="731"/>
      <c r="L89" s="731"/>
      <c r="M89" s="731"/>
    </row>
    <row r="90" spans="1:39" ht="15.75" customHeight="1" thickBot="1" x14ac:dyDescent="0.25">
      <c r="A90" s="272" t="s">
        <v>70</v>
      </c>
      <c r="B90" s="810" t="s">
        <v>148</v>
      </c>
      <c r="C90" s="811"/>
      <c r="D90" s="359"/>
      <c r="E90" s="269"/>
      <c r="F90" s="111"/>
      <c r="G90" s="111"/>
      <c r="H90" s="731"/>
      <c r="I90" s="731"/>
      <c r="J90" s="731"/>
      <c r="K90" s="731"/>
      <c r="L90" s="731"/>
      <c r="M90" s="731"/>
    </row>
    <row r="91" spans="1:39" ht="15.75" customHeight="1" thickBot="1" x14ac:dyDescent="0.25">
      <c r="A91" s="273" t="s">
        <v>1</v>
      </c>
      <c r="B91" s="322" t="s">
        <v>121</v>
      </c>
      <c r="C91" s="361">
        <v>8.3299999999999999E-2</v>
      </c>
      <c r="D91" s="362" t="s">
        <v>239</v>
      </c>
      <c r="E91" s="274"/>
      <c r="F91" s="275"/>
      <c r="G91" s="275"/>
      <c r="H91" s="824" t="s">
        <v>400</v>
      </c>
      <c r="I91" s="825"/>
      <c r="J91" s="825"/>
      <c r="K91" s="825"/>
      <c r="L91" s="825"/>
      <c r="M91" s="826"/>
    </row>
    <row r="92" spans="1:39" ht="23.25" customHeight="1" thickBot="1" x14ac:dyDescent="0.25">
      <c r="A92" s="273" t="s">
        <v>2</v>
      </c>
      <c r="B92" s="322" t="s">
        <v>382</v>
      </c>
      <c r="C92" s="361">
        <v>2.7799999999999998E-2</v>
      </c>
      <c r="D92" s="362"/>
      <c r="E92" s="274"/>
      <c r="F92" s="275"/>
      <c r="G92" s="275"/>
      <c r="H92" s="724" t="s">
        <v>60</v>
      </c>
      <c r="I92" s="725"/>
      <c r="J92" s="238" t="s">
        <v>308</v>
      </c>
      <c r="K92" s="238" t="s">
        <v>225</v>
      </c>
      <c r="L92" s="238" t="s">
        <v>307</v>
      </c>
      <c r="M92" s="239" t="s">
        <v>61</v>
      </c>
    </row>
    <row r="93" spans="1:39" ht="15.75" customHeight="1" x14ac:dyDescent="0.2">
      <c r="A93" s="812" t="s">
        <v>71</v>
      </c>
      <c r="B93" s="813"/>
      <c r="C93" s="363">
        <f>SUM(C91:C92)</f>
        <v>0.1111</v>
      </c>
      <c r="D93" s="362"/>
      <c r="E93" s="274"/>
      <c r="F93" s="111"/>
      <c r="G93" s="111"/>
      <c r="H93" s="244" t="s">
        <v>398</v>
      </c>
      <c r="I93" s="245"/>
      <c r="J93" s="409">
        <v>1</v>
      </c>
      <c r="K93" s="409">
        <v>1</v>
      </c>
      <c r="L93" s="246">
        <f>J93*K93</f>
        <v>1</v>
      </c>
      <c r="M93" s="247">
        <v>2413.9899999999998</v>
      </c>
    </row>
    <row r="94" spans="1:39" ht="21.75" customHeight="1" x14ac:dyDescent="0.2">
      <c r="A94" s="273" t="s">
        <v>2</v>
      </c>
      <c r="B94" s="322" t="s">
        <v>150</v>
      </c>
      <c r="C94" s="364">
        <f>C89*C93</f>
        <v>3.9899999999999998E-2</v>
      </c>
      <c r="D94" s="362"/>
      <c r="E94" s="274"/>
      <c r="F94" s="276"/>
      <c r="G94" s="276"/>
      <c r="H94" s="244" t="s">
        <v>235</v>
      </c>
      <c r="I94" s="251"/>
      <c r="J94" s="246">
        <v>6</v>
      </c>
      <c r="K94" s="246">
        <v>2</v>
      </c>
      <c r="L94" s="246">
        <f>J94*K94</f>
        <v>12</v>
      </c>
      <c r="M94" s="247">
        <v>2012.54</v>
      </c>
    </row>
    <row r="95" spans="1:39" ht="15.75" customHeight="1" thickBot="1" x14ac:dyDescent="0.25">
      <c r="A95" s="737" t="s">
        <v>62</v>
      </c>
      <c r="B95" s="738"/>
      <c r="C95" s="363">
        <f>C93+C94</f>
        <v>0.151</v>
      </c>
      <c r="D95" s="362"/>
      <c r="E95" s="274"/>
      <c r="F95" s="276"/>
      <c r="G95" s="276"/>
      <c r="H95" s="244" t="s">
        <v>236</v>
      </c>
      <c r="I95" s="251"/>
      <c r="J95" s="246">
        <v>1</v>
      </c>
      <c r="K95" s="246">
        <v>2</v>
      </c>
      <c r="L95" s="246">
        <f>J95*K95</f>
        <v>2</v>
      </c>
      <c r="M95" s="247">
        <v>2012.54</v>
      </c>
    </row>
    <row r="96" spans="1:39" ht="15.75" customHeight="1" thickBot="1" x14ac:dyDescent="0.25">
      <c r="A96" s="277" t="s">
        <v>72</v>
      </c>
      <c r="B96" s="818" t="s">
        <v>73</v>
      </c>
      <c r="C96" s="819"/>
      <c r="D96" s="362"/>
      <c r="E96" s="274"/>
      <c r="F96" s="276"/>
      <c r="G96" s="276"/>
      <c r="H96" s="726" t="s">
        <v>62</v>
      </c>
      <c r="I96" s="727"/>
      <c r="J96" s="256">
        <f>SUM(J93:J95)</f>
        <v>8</v>
      </c>
      <c r="K96" s="257" t="s">
        <v>84</v>
      </c>
      <c r="L96" s="256">
        <f>SUM(L93:L95)</f>
        <v>15</v>
      </c>
      <c r="M96" s="258" t="s">
        <v>84</v>
      </c>
    </row>
    <row r="97" spans="1:16" ht="15.75" customHeight="1" x14ac:dyDescent="0.2">
      <c r="A97" s="273" t="s">
        <v>1</v>
      </c>
      <c r="B97" s="322" t="s">
        <v>26</v>
      </c>
      <c r="C97" s="365">
        <v>0</v>
      </c>
      <c r="D97" s="362" t="s">
        <v>325</v>
      </c>
      <c r="E97" s="274"/>
      <c r="F97" s="276"/>
      <c r="G97" s="111"/>
      <c r="H97" s="74"/>
      <c r="I97" s="260"/>
      <c r="J97" s="243"/>
      <c r="K97" s="243"/>
      <c r="L97" s="243"/>
      <c r="M97" s="243"/>
    </row>
    <row r="98" spans="1:16" ht="24.75" customHeight="1" thickBot="1" x14ac:dyDescent="0.25">
      <c r="A98" s="273" t="s">
        <v>2</v>
      </c>
      <c r="B98" s="322" t="s">
        <v>151</v>
      </c>
      <c r="C98" s="364">
        <f>C89*C97</f>
        <v>0</v>
      </c>
      <c r="D98" s="362"/>
      <c r="E98" s="274"/>
      <c r="F98" s="276"/>
      <c r="G98" s="111"/>
      <c r="H98" s="379"/>
      <c r="I98" s="379"/>
      <c r="J98" s="379"/>
      <c r="K98" s="379"/>
      <c r="L98" s="379"/>
      <c r="M98" s="379"/>
    </row>
    <row r="99" spans="1:16" ht="15.75" customHeight="1" thickBot="1" x14ac:dyDescent="0.25">
      <c r="A99" s="737" t="s">
        <v>62</v>
      </c>
      <c r="B99" s="738"/>
      <c r="C99" s="363">
        <f>SUM(C97:C98)</f>
        <v>0</v>
      </c>
      <c r="D99" s="362"/>
      <c r="E99" s="274"/>
      <c r="F99" s="276"/>
      <c r="G99" s="111"/>
      <c r="H99" s="824" t="s">
        <v>401</v>
      </c>
      <c r="I99" s="825"/>
      <c r="J99" s="825"/>
      <c r="K99" s="825"/>
      <c r="L99" s="825"/>
      <c r="M99" s="826"/>
    </row>
    <row r="100" spans="1:16" ht="25.5" customHeight="1" thickBot="1" x14ac:dyDescent="0.25">
      <c r="A100" s="277" t="s">
        <v>74</v>
      </c>
      <c r="B100" s="818" t="s">
        <v>75</v>
      </c>
      <c r="C100" s="819"/>
      <c r="D100" s="362"/>
      <c r="E100" s="274"/>
      <c r="F100" s="276"/>
      <c r="G100" s="111"/>
      <c r="H100" s="724" t="s">
        <v>60</v>
      </c>
      <c r="I100" s="725"/>
      <c r="J100" s="238" t="s">
        <v>308</v>
      </c>
      <c r="K100" s="238" t="s">
        <v>225</v>
      </c>
      <c r="L100" s="238" t="s">
        <v>307</v>
      </c>
      <c r="M100" s="239" t="s">
        <v>61</v>
      </c>
    </row>
    <row r="101" spans="1:16" ht="15.75" customHeight="1" x14ac:dyDescent="0.2">
      <c r="A101" s="278" t="s">
        <v>1</v>
      </c>
      <c r="B101" s="93" t="s">
        <v>76</v>
      </c>
      <c r="C101" s="366">
        <v>4.1999999999999997E-3</v>
      </c>
      <c r="D101" s="362"/>
      <c r="E101" s="270" t="s">
        <v>326</v>
      </c>
      <c r="F101" s="111"/>
      <c r="G101" s="111"/>
      <c r="H101" s="244" t="s">
        <v>398</v>
      </c>
      <c r="I101" s="245"/>
      <c r="J101" s="490">
        <v>2</v>
      </c>
      <c r="K101" s="490">
        <v>1</v>
      </c>
      <c r="L101" s="246">
        <f>J101*K101</f>
        <v>2</v>
      </c>
      <c r="M101" s="247">
        <v>2413.9899999999998</v>
      </c>
    </row>
    <row r="102" spans="1:16" ht="24" x14ac:dyDescent="0.2">
      <c r="A102" s="278" t="s">
        <v>2</v>
      </c>
      <c r="B102" s="93" t="s">
        <v>334</v>
      </c>
      <c r="C102" s="366">
        <f>C89*C101</f>
        <v>1.5E-3</v>
      </c>
      <c r="D102" s="362" t="s">
        <v>333</v>
      </c>
      <c r="E102" s="270"/>
      <c r="F102" s="276"/>
      <c r="G102" s="276"/>
      <c r="H102" s="244" t="s">
        <v>235</v>
      </c>
      <c r="I102" s="251"/>
      <c r="J102" s="246">
        <v>6</v>
      </c>
      <c r="K102" s="246">
        <v>2</v>
      </c>
      <c r="L102" s="246">
        <f>J102*K102</f>
        <v>12</v>
      </c>
      <c r="M102" s="247">
        <v>2012.54</v>
      </c>
    </row>
    <row r="103" spans="1:16" ht="24.75" customHeight="1" thickBot="1" x14ac:dyDescent="0.25">
      <c r="A103" s="278" t="s">
        <v>4</v>
      </c>
      <c r="B103" s="93" t="s">
        <v>335</v>
      </c>
      <c r="C103" s="367">
        <v>4.3499999999999997E-2</v>
      </c>
      <c r="D103" s="362" t="s">
        <v>385</v>
      </c>
      <c r="E103" s="270"/>
      <c r="F103" s="276"/>
      <c r="G103" s="276"/>
      <c r="H103" s="244" t="s">
        <v>236</v>
      </c>
      <c r="I103" s="251"/>
      <c r="J103" s="246">
        <v>1</v>
      </c>
      <c r="K103" s="246">
        <v>2</v>
      </c>
      <c r="L103" s="246">
        <f>J103*K103</f>
        <v>2</v>
      </c>
      <c r="M103" s="247">
        <v>2012.54</v>
      </c>
    </row>
    <row r="104" spans="1:16" ht="15.75" customHeight="1" thickBot="1" x14ac:dyDescent="0.25">
      <c r="A104" s="278" t="s">
        <v>5</v>
      </c>
      <c r="B104" s="93" t="s">
        <v>152</v>
      </c>
      <c r="C104" s="366">
        <v>1.9400000000000001E-2</v>
      </c>
      <c r="D104" s="362"/>
      <c r="E104" s="270"/>
      <c r="F104" s="276"/>
      <c r="G104" s="276"/>
      <c r="H104" s="726" t="s">
        <v>62</v>
      </c>
      <c r="I104" s="727"/>
      <c r="J104" s="256">
        <f>SUM(J101:J103)</f>
        <v>9</v>
      </c>
      <c r="K104" s="257" t="s">
        <v>84</v>
      </c>
      <c r="L104" s="491">
        <f>SUM(L101:L103)</f>
        <v>16</v>
      </c>
      <c r="M104" s="258" t="s">
        <v>84</v>
      </c>
    </row>
    <row r="105" spans="1:16" ht="24" customHeight="1" x14ac:dyDescent="0.2">
      <c r="A105" s="278" t="s">
        <v>6</v>
      </c>
      <c r="B105" s="93" t="s">
        <v>153</v>
      </c>
      <c r="C105" s="366">
        <f>C104*C89</f>
        <v>7.0000000000000001E-3</v>
      </c>
      <c r="D105" s="362"/>
      <c r="E105" s="280">
        <f>C103+C106</f>
        <v>0.05</v>
      </c>
      <c r="F105" s="276"/>
      <c r="G105" s="276"/>
      <c r="H105" s="74"/>
      <c r="I105" s="489"/>
      <c r="J105" s="243"/>
      <c r="K105" s="243"/>
      <c r="L105" s="243"/>
      <c r="M105" s="243"/>
    </row>
    <row r="106" spans="1:16" ht="28.5" customHeight="1" x14ac:dyDescent="0.2">
      <c r="A106" s="278" t="s">
        <v>7</v>
      </c>
      <c r="B106" s="93" t="s">
        <v>336</v>
      </c>
      <c r="C106" s="367">
        <v>6.4999999999999997E-3</v>
      </c>
      <c r="D106" s="362" t="s">
        <v>239</v>
      </c>
      <c r="E106" s="270"/>
      <c r="F106" s="276"/>
      <c r="G106" s="276"/>
      <c r="H106" s="279"/>
      <c r="I106" s="111"/>
      <c r="J106" s="111"/>
      <c r="K106" s="111"/>
      <c r="L106" s="111"/>
      <c r="M106" s="111"/>
    </row>
    <row r="107" spans="1:16" ht="15.75" customHeight="1" x14ac:dyDescent="0.2">
      <c r="A107" s="737" t="s">
        <v>62</v>
      </c>
      <c r="B107" s="738"/>
      <c r="C107" s="363">
        <f>SUM(C101:C106)</f>
        <v>8.2100000000000006E-2</v>
      </c>
      <c r="D107" s="362"/>
      <c r="E107" s="270"/>
      <c r="F107" s="276"/>
      <c r="G107" s="276"/>
      <c r="H107" s="279"/>
      <c r="I107" s="111"/>
      <c r="J107" s="111"/>
      <c r="K107" s="111"/>
      <c r="L107" s="111"/>
      <c r="M107" s="111"/>
    </row>
    <row r="108" spans="1:16" ht="15.75" customHeight="1" x14ac:dyDescent="0.2">
      <c r="A108" s="277" t="s">
        <v>77</v>
      </c>
      <c r="B108" s="816" t="s">
        <v>78</v>
      </c>
      <c r="C108" s="817"/>
      <c r="D108" s="362"/>
      <c r="E108" s="270"/>
      <c r="F108" s="276"/>
      <c r="G108" s="276"/>
      <c r="H108" s="279"/>
      <c r="I108" s="111"/>
      <c r="J108" s="111"/>
      <c r="K108" s="111"/>
      <c r="L108" s="111"/>
      <c r="M108" s="111"/>
      <c r="N108" s="1"/>
      <c r="O108" s="1"/>
      <c r="P108" s="1"/>
    </row>
    <row r="109" spans="1:16" ht="15.75" customHeight="1" x14ac:dyDescent="0.2">
      <c r="A109" s="278" t="s">
        <v>1</v>
      </c>
      <c r="B109" s="93" t="s">
        <v>383</v>
      </c>
      <c r="C109" s="368">
        <v>8.3299999999999999E-2</v>
      </c>
      <c r="D109" s="362" t="s">
        <v>239</v>
      </c>
      <c r="E109" s="270" t="s">
        <v>327</v>
      </c>
      <c r="F109" s="281"/>
      <c r="G109" s="281"/>
      <c r="H109" s="823" t="s">
        <v>393</v>
      </c>
      <c r="I109" s="823"/>
      <c r="J109" s="823"/>
      <c r="K109" s="823"/>
      <c r="L109" s="823"/>
      <c r="M109" s="823"/>
      <c r="N109" s="1"/>
      <c r="O109" s="1"/>
      <c r="P109" s="1"/>
    </row>
    <row r="110" spans="1:16" ht="15.75" customHeight="1" x14ac:dyDescent="0.2">
      <c r="A110" s="278" t="s">
        <v>2</v>
      </c>
      <c r="B110" s="93" t="s">
        <v>27</v>
      </c>
      <c r="C110" s="369">
        <v>1.3899999999999999E-2</v>
      </c>
      <c r="D110" s="370"/>
      <c r="E110" s="270" t="s">
        <v>329</v>
      </c>
      <c r="F110" s="111"/>
      <c r="G110" s="111"/>
      <c r="H110" s="823"/>
      <c r="I110" s="823"/>
      <c r="J110" s="823"/>
      <c r="K110" s="823"/>
      <c r="L110" s="823"/>
      <c r="M110" s="823"/>
      <c r="N110" s="1"/>
      <c r="O110" s="1"/>
      <c r="P110" s="1"/>
    </row>
    <row r="111" spans="1:16" ht="15.75" customHeight="1" x14ac:dyDescent="0.2">
      <c r="A111" s="278" t="s">
        <v>4</v>
      </c>
      <c r="B111" s="93" t="s">
        <v>79</v>
      </c>
      <c r="C111" s="369">
        <v>1.2999999999999999E-3</v>
      </c>
      <c r="D111" s="370"/>
      <c r="E111" s="270" t="s">
        <v>330</v>
      </c>
      <c r="F111" s="283"/>
      <c r="G111" s="283"/>
      <c r="H111" s="823"/>
      <c r="I111" s="823"/>
      <c r="J111" s="823"/>
      <c r="K111" s="823"/>
      <c r="L111" s="823"/>
      <c r="M111" s="823"/>
    </row>
    <row r="112" spans="1:16" ht="15.75" customHeight="1" x14ac:dyDescent="0.2">
      <c r="A112" s="278" t="s">
        <v>5</v>
      </c>
      <c r="B112" s="93" t="s">
        <v>28</v>
      </c>
      <c r="C112" s="369">
        <v>2.8E-3</v>
      </c>
      <c r="D112" s="371"/>
      <c r="E112" s="270" t="s">
        <v>330</v>
      </c>
      <c r="F112" s="117"/>
      <c r="G112" s="117"/>
      <c r="H112" s="823"/>
      <c r="I112" s="823"/>
      <c r="J112" s="823"/>
      <c r="K112" s="823"/>
      <c r="L112" s="823"/>
      <c r="M112" s="823"/>
    </row>
    <row r="113" spans="1:243" ht="15.75" customHeight="1" x14ac:dyDescent="0.2">
      <c r="A113" s="278" t="s">
        <v>6</v>
      </c>
      <c r="B113" s="93" t="s">
        <v>80</v>
      </c>
      <c r="C113" s="369">
        <v>3.3E-3</v>
      </c>
      <c r="D113" s="371"/>
      <c r="E113" s="270"/>
      <c r="F113" s="94"/>
      <c r="G113" s="94"/>
      <c r="H113" s="823" t="s">
        <v>394</v>
      </c>
      <c r="I113" s="823"/>
      <c r="J113" s="823"/>
      <c r="K113" s="823"/>
      <c r="L113" s="823"/>
      <c r="M113" s="823"/>
    </row>
    <row r="114" spans="1:243" ht="15.75" customHeight="1" x14ac:dyDescent="0.2">
      <c r="A114" s="284" t="s">
        <v>7</v>
      </c>
      <c r="B114" s="321" t="s">
        <v>81</v>
      </c>
      <c r="C114" s="372">
        <v>0</v>
      </c>
      <c r="D114" s="371"/>
      <c r="E114" s="282"/>
      <c r="F114" s="285"/>
      <c r="G114" s="285"/>
      <c r="H114" s="823"/>
      <c r="I114" s="823"/>
      <c r="J114" s="823"/>
      <c r="K114" s="823"/>
      <c r="L114" s="823"/>
      <c r="M114" s="823"/>
    </row>
    <row r="115" spans="1:243" ht="15.75" customHeight="1" x14ac:dyDescent="0.2">
      <c r="A115" s="734" t="s">
        <v>71</v>
      </c>
      <c r="B115" s="735"/>
      <c r="C115" s="373">
        <f>SUM(C109:C114)</f>
        <v>0.1046</v>
      </c>
      <c r="D115" s="371"/>
      <c r="E115" s="282"/>
      <c r="F115" s="111"/>
      <c r="G115" s="111"/>
      <c r="H115" s="823"/>
      <c r="I115" s="823"/>
      <c r="J115" s="823"/>
      <c r="K115" s="823"/>
      <c r="L115" s="823"/>
      <c r="M115" s="823"/>
    </row>
    <row r="116" spans="1:243" ht="33.75" customHeight="1" x14ac:dyDescent="0.2">
      <c r="A116" s="286" t="s">
        <v>8</v>
      </c>
      <c r="B116" s="323" t="s">
        <v>154</v>
      </c>
      <c r="C116" s="374">
        <f>C115*C89</f>
        <v>3.7600000000000001E-2</v>
      </c>
      <c r="D116" s="371"/>
      <c r="E116" s="282"/>
      <c r="F116" s="117"/>
      <c r="G116" s="117"/>
      <c r="H116" s="279" t="s">
        <v>375</v>
      </c>
      <c r="I116" s="111"/>
      <c r="J116" s="111"/>
      <c r="K116" s="111"/>
      <c r="L116" s="111"/>
      <c r="M116" s="11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50"/>
      <c r="DM116" s="50"/>
      <c r="DN116" s="50"/>
      <c r="DO116" s="50"/>
      <c r="DP116" s="50"/>
      <c r="DQ116" s="50"/>
      <c r="DR116" s="50"/>
      <c r="DS116" s="50"/>
      <c r="DT116" s="50"/>
      <c r="DU116" s="50"/>
      <c r="DV116" s="50"/>
      <c r="DW116" s="50"/>
      <c r="DX116" s="50"/>
      <c r="DY116" s="50"/>
      <c r="DZ116" s="50"/>
      <c r="EA116" s="50"/>
      <c r="EB116" s="50"/>
      <c r="EC116" s="50"/>
      <c r="ED116" s="50"/>
      <c r="EE116" s="50"/>
      <c r="EF116" s="50"/>
      <c r="EG116" s="50"/>
      <c r="EH116" s="50"/>
      <c r="EI116" s="50"/>
      <c r="EJ116" s="50"/>
      <c r="EK116" s="50"/>
      <c r="EL116" s="50"/>
      <c r="EM116" s="50"/>
      <c r="EN116" s="50"/>
      <c r="EO116" s="50"/>
      <c r="EP116" s="50"/>
      <c r="EQ116" s="50"/>
      <c r="ER116" s="50"/>
      <c r="ES116" s="50"/>
      <c r="ET116" s="50"/>
      <c r="EU116" s="50"/>
      <c r="EV116" s="50"/>
      <c r="EW116" s="50"/>
      <c r="EX116" s="50"/>
      <c r="EY116" s="50"/>
      <c r="EZ116" s="50"/>
      <c r="FA116" s="50"/>
      <c r="FB116" s="50"/>
      <c r="FC116" s="50"/>
      <c r="FD116" s="50"/>
      <c r="FE116" s="50"/>
      <c r="FF116" s="50"/>
      <c r="FG116" s="50"/>
      <c r="FH116" s="50"/>
      <c r="FI116" s="50"/>
      <c r="FJ116" s="50"/>
      <c r="FK116" s="50"/>
      <c r="FL116" s="50"/>
      <c r="FM116" s="50"/>
      <c r="FN116" s="50"/>
      <c r="FO116" s="50"/>
      <c r="FP116" s="50"/>
      <c r="FQ116" s="50"/>
      <c r="FR116" s="50"/>
      <c r="FS116" s="50"/>
      <c r="FT116" s="50"/>
      <c r="FU116" s="50"/>
      <c r="FV116" s="50"/>
      <c r="FW116" s="50"/>
      <c r="FX116" s="50"/>
      <c r="FY116" s="50"/>
      <c r="FZ116" s="50"/>
      <c r="GA116" s="50"/>
      <c r="GB116" s="50"/>
      <c r="GC116" s="50"/>
      <c r="GD116" s="50"/>
      <c r="GE116" s="50"/>
      <c r="GF116" s="50"/>
      <c r="GG116" s="50"/>
      <c r="GH116" s="50"/>
      <c r="GI116" s="50"/>
      <c r="GJ116" s="50"/>
      <c r="GK116" s="50"/>
      <c r="GL116" s="50"/>
      <c r="GM116" s="50"/>
      <c r="GN116" s="50"/>
      <c r="GO116" s="50"/>
      <c r="GP116" s="50"/>
      <c r="GQ116" s="50"/>
      <c r="GR116" s="50"/>
      <c r="GS116" s="50"/>
      <c r="GT116" s="50"/>
      <c r="GU116" s="50"/>
      <c r="GV116" s="50"/>
      <c r="GW116" s="50"/>
      <c r="GX116" s="50"/>
      <c r="GY116" s="50"/>
      <c r="GZ116" s="50"/>
      <c r="HA116" s="50"/>
      <c r="HB116" s="50"/>
      <c r="HC116" s="50"/>
      <c r="HD116" s="50"/>
      <c r="HE116" s="50"/>
      <c r="HF116" s="50"/>
      <c r="HG116" s="50"/>
      <c r="HH116" s="50"/>
      <c r="HI116" s="50"/>
      <c r="HJ116" s="50"/>
      <c r="HK116" s="50"/>
      <c r="HL116" s="50"/>
      <c r="HM116" s="50"/>
      <c r="HN116" s="50"/>
      <c r="HO116" s="50"/>
      <c r="HP116" s="50"/>
      <c r="HQ116" s="50"/>
      <c r="HR116" s="50"/>
      <c r="HS116" s="50"/>
      <c r="HT116" s="50"/>
      <c r="HU116" s="50"/>
      <c r="HV116" s="50"/>
      <c r="HW116" s="50"/>
      <c r="HX116" s="50"/>
      <c r="HY116" s="50"/>
      <c r="HZ116" s="50"/>
      <c r="IA116" s="50"/>
      <c r="IB116" s="50"/>
      <c r="IC116" s="50"/>
      <c r="ID116" s="50"/>
      <c r="IE116" s="50"/>
      <c r="IF116" s="50"/>
      <c r="IG116" s="50"/>
      <c r="IH116" s="50"/>
      <c r="II116" s="50"/>
    </row>
    <row r="117" spans="1:243" ht="15.75" customHeight="1" x14ac:dyDescent="0.2">
      <c r="A117" s="814" t="s">
        <v>62</v>
      </c>
      <c r="B117" s="815"/>
      <c r="C117" s="375">
        <f>C115+C116</f>
        <v>0.14219999999999999</v>
      </c>
      <c r="D117" s="371"/>
      <c r="E117" s="282"/>
      <c r="F117" s="117"/>
      <c r="G117" s="117"/>
      <c r="H117" s="279" t="s">
        <v>234</v>
      </c>
      <c r="I117" s="111"/>
      <c r="J117" s="111"/>
      <c r="K117" s="111"/>
      <c r="L117" s="111"/>
      <c r="M117" s="11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  <c r="DO117" s="50"/>
      <c r="DP117" s="50"/>
      <c r="DQ117" s="50"/>
      <c r="DR117" s="50"/>
      <c r="DS117" s="50"/>
      <c r="DT117" s="50"/>
      <c r="DU117" s="50"/>
      <c r="DV117" s="50"/>
      <c r="DW117" s="50"/>
      <c r="DX117" s="50"/>
      <c r="DY117" s="50"/>
      <c r="DZ117" s="50"/>
      <c r="EA117" s="50"/>
      <c r="EB117" s="50"/>
      <c r="EC117" s="50"/>
      <c r="ED117" s="50"/>
      <c r="EE117" s="50"/>
      <c r="EF117" s="50"/>
      <c r="EG117" s="50"/>
      <c r="EH117" s="50"/>
      <c r="EI117" s="50"/>
      <c r="EJ117" s="50"/>
      <c r="EK117" s="50"/>
      <c r="EL117" s="50"/>
      <c r="EM117" s="50"/>
      <c r="EN117" s="50"/>
      <c r="EO117" s="50"/>
      <c r="EP117" s="50"/>
      <c r="EQ117" s="50"/>
      <c r="ER117" s="50"/>
      <c r="ES117" s="50"/>
      <c r="ET117" s="50"/>
      <c r="EU117" s="50"/>
      <c r="EV117" s="50"/>
      <c r="EW117" s="50"/>
      <c r="EX117" s="50"/>
      <c r="EY117" s="50"/>
      <c r="EZ117" s="50"/>
      <c r="FA117" s="50"/>
      <c r="FB117" s="50"/>
      <c r="FC117" s="50"/>
      <c r="FD117" s="50"/>
      <c r="FE117" s="50"/>
      <c r="FF117" s="50"/>
      <c r="FG117" s="50"/>
      <c r="FH117" s="50"/>
      <c r="FI117" s="50"/>
      <c r="FJ117" s="50"/>
      <c r="FK117" s="50"/>
      <c r="FL117" s="50"/>
      <c r="FM117" s="50"/>
      <c r="FN117" s="50"/>
      <c r="FO117" s="50"/>
      <c r="FP117" s="50"/>
      <c r="FQ117" s="50"/>
      <c r="FR117" s="50"/>
      <c r="FS117" s="50"/>
      <c r="FT117" s="50"/>
      <c r="FU117" s="50"/>
      <c r="FV117" s="50"/>
      <c r="FW117" s="50"/>
      <c r="FX117" s="50"/>
      <c r="FY117" s="50"/>
      <c r="FZ117" s="50"/>
      <c r="GA117" s="50"/>
      <c r="GB117" s="50"/>
      <c r="GC117" s="50"/>
      <c r="GD117" s="50"/>
      <c r="GE117" s="50"/>
      <c r="GF117" s="50"/>
      <c r="GG117" s="50"/>
      <c r="GH117" s="50"/>
      <c r="GI117" s="50"/>
      <c r="GJ117" s="50"/>
      <c r="GK117" s="50"/>
      <c r="GL117" s="50"/>
      <c r="GM117" s="50"/>
      <c r="GN117" s="50"/>
      <c r="GO117" s="50"/>
      <c r="GP117" s="50"/>
      <c r="GQ117" s="50"/>
      <c r="GR117" s="50"/>
      <c r="GS117" s="50"/>
      <c r="GT117" s="50"/>
      <c r="GU117" s="50"/>
      <c r="GV117" s="50"/>
      <c r="GW117" s="50"/>
      <c r="GX117" s="50"/>
      <c r="GY117" s="50"/>
      <c r="GZ117" s="50"/>
      <c r="HA117" s="50"/>
      <c r="HB117" s="50"/>
      <c r="HC117" s="50"/>
      <c r="HD117" s="50"/>
      <c r="HE117" s="50"/>
      <c r="HF117" s="50"/>
      <c r="HG117" s="50"/>
      <c r="HH117" s="50"/>
      <c r="HI117" s="50"/>
      <c r="HJ117" s="50"/>
      <c r="HK117" s="50"/>
      <c r="HL117" s="50"/>
      <c r="HM117" s="50"/>
      <c r="HN117" s="50"/>
      <c r="HO117" s="50"/>
      <c r="HP117" s="50"/>
      <c r="HQ117" s="50"/>
      <c r="HR117" s="50"/>
      <c r="HS117" s="50"/>
      <c r="HT117" s="50"/>
      <c r="HU117" s="50"/>
      <c r="HV117" s="50"/>
      <c r="HW117" s="50"/>
      <c r="HX117" s="50"/>
      <c r="HY117" s="50"/>
      <c r="HZ117" s="50"/>
      <c r="IA117" s="50"/>
      <c r="IB117" s="50"/>
      <c r="IC117" s="50"/>
      <c r="ID117" s="50"/>
      <c r="IE117" s="50"/>
      <c r="IF117" s="50"/>
      <c r="IG117" s="50"/>
      <c r="IH117" s="50"/>
      <c r="II117" s="50"/>
    </row>
    <row r="118" spans="1:243" ht="15.75" customHeight="1" thickBot="1" x14ac:dyDescent="0.25">
      <c r="A118" s="804" t="s">
        <v>82</v>
      </c>
      <c r="B118" s="805"/>
      <c r="C118" s="376">
        <f>TRUNC(C89+C95+C99+C107+C117,4)</f>
        <v>0.73460000000000003</v>
      </c>
      <c r="D118" s="377" t="s">
        <v>293</v>
      </c>
      <c r="E118" s="287"/>
      <c r="F118" s="288"/>
      <c r="G118" s="288"/>
      <c r="H118" s="279" t="s">
        <v>243</v>
      </c>
      <c r="I118" s="111"/>
      <c r="J118" s="111"/>
      <c r="K118" s="111"/>
      <c r="L118" s="111"/>
      <c r="M118" s="11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  <c r="DQ118" s="50"/>
      <c r="DR118" s="50"/>
      <c r="DS118" s="50"/>
      <c r="DT118" s="50"/>
      <c r="DU118" s="50"/>
      <c r="DV118" s="50"/>
      <c r="DW118" s="50"/>
      <c r="DX118" s="50"/>
      <c r="DY118" s="50"/>
      <c r="DZ118" s="50"/>
      <c r="EA118" s="50"/>
      <c r="EB118" s="50"/>
      <c r="EC118" s="50"/>
      <c r="ED118" s="50"/>
      <c r="EE118" s="50"/>
      <c r="EF118" s="50"/>
      <c r="EG118" s="50"/>
      <c r="EH118" s="50"/>
      <c r="EI118" s="50"/>
      <c r="EJ118" s="50"/>
      <c r="EK118" s="50"/>
      <c r="EL118" s="50"/>
      <c r="EM118" s="50"/>
      <c r="EN118" s="50"/>
      <c r="EO118" s="50"/>
      <c r="EP118" s="50"/>
      <c r="EQ118" s="50"/>
      <c r="ER118" s="50"/>
      <c r="ES118" s="50"/>
      <c r="ET118" s="50"/>
      <c r="EU118" s="50"/>
      <c r="EV118" s="50"/>
      <c r="EW118" s="50"/>
      <c r="EX118" s="50"/>
      <c r="EY118" s="50"/>
      <c r="EZ118" s="50"/>
      <c r="FA118" s="50"/>
      <c r="FB118" s="50"/>
      <c r="FC118" s="50"/>
      <c r="FD118" s="50"/>
      <c r="FE118" s="50"/>
      <c r="FF118" s="50"/>
      <c r="FG118" s="50"/>
      <c r="FH118" s="50"/>
      <c r="FI118" s="50"/>
      <c r="FJ118" s="50"/>
      <c r="FK118" s="50"/>
      <c r="FL118" s="50"/>
      <c r="FM118" s="50"/>
      <c r="FN118" s="50"/>
      <c r="FO118" s="50"/>
      <c r="FP118" s="50"/>
      <c r="FQ118" s="50"/>
      <c r="FR118" s="50"/>
      <c r="FS118" s="50"/>
      <c r="FT118" s="50"/>
      <c r="FU118" s="50"/>
      <c r="FV118" s="50"/>
      <c r="FW118" s="50"/>
      <c r="FX118" s="50"/>
      <c r="FY118" s="50"/>
      <c r="FZ118" s="50"/>
      <c r="GA118" s="50"/>
      <c r="GB118" s="50"/>
      <c r="GC118" s="50"/>
      <c r="GD118" s="50"/>
      <c r="GE118" s="50"/>
      <c r="GF118" s="50"/>
      <c r="GG118" s="50"/>
      <c r="GH118" s="50"/>
      <c r="GI118" s="50"/>
      <c r="GJ118" s="50"/>
      <c r="GK118" s="50"/>
      <c r="GL118" s="50"/>
      <c r="GM118" s="50"/>
      <c r="GN118" s="50"/>
      <c r="GO118" s="50"/>
      <c r="GP118" s="50"/>
      <c r="GQ118" s="50"/>
      <c r="GR118" s="50"/>
      <c r="GS118" s="50"/>
      <c r="GT118" s="50"/>
      <c r="GU118" s="50"/>
      <c r="GV118" s="50"/>
      <c r="GW118" s="50"/>
      <c r="GX118" s="50"/>
      <c r="GY118" s="50"/>
      <c r="GZ118" s="50"/>
      <c r="HA118" s="50"/>
      <c r="HB118" s="50"/>
      <c r="HC118" s="50"/>
      <c r="HD118" s="50"/>
      <c r="HE118" s="50"/>
      <c r="HF118" s="50"/>
      <c r="HG118" s="50"/>
      <c r="HH118" s="50"/>
      <c r="HI118" s="50"/>
      <c r="HJ118" s="50"/>
      <c r="HK118" s="50"/>
      <c r="HL118" s="50"/>
      <c r="HM118" s="50"/>
      <c r="HN118" s="50"/>
      <c r="HO118" s="50"/>
      <c r="HP118" s="50"/>
      <c r="HQ118" s="50"/>
      <c r="HR118" s="50"/>
      <c r="HS118" s="50"/>
      <c r="HT118" s="50"/>
      <c r="HU118" s="50"/>
      <c r="HV118" s="50"/>
      <c r="HW118" s="50"/>
      <c r="HX118" s="50"/>
      <c r="HY118" s="50"/>
      <c r="HZ118" s="50"/>
      <c r="IA118" s="50"/>
      <c r="IB118" s="50"/>
      <c r="IC118" s="50"/>
      <c r="ID118" s="50"/>
      <c r="IE118" s="50"/>
      <c r="IF118" s="50"/>
      <c r="IG118" s="50"/>
      <c r="IH118" s="50"/>
      <c r="II118" s="50"/>
    </row>
    <row r="119" spans="1:243" ht="15.75" customHeight="1" x14ac:dyDescent="0.2">
      <c r="A119" s="707" t="s">
        <v>324</v>
      </c>
      <c r="B119" s="707"/>
      <c r="C119" s="707"/>
      <c r="D119" s="242"/>
      <c r="E119" s="94"/>
      <c r="F119" s="94"/>
      <c r="G119" s="94"/>
      <c r="H119" s="279" t="s">
        <v>371</v>
      </c>
      <c r="I119" s="111"/>
      <c r="J119" s="111"/>
      <c r="K119" s="111"/>
      <c r="L119" s="111"/>
      <c r="M119" s="11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50"/>
      <c r="DE119" s="50"/>
      <c r="DF119" s="50"/>
      <c r="DG119" s="50"/>
      <c r="DH119" s="50"/>
      <c r="DI119" s="50"/>
      <c r="DJ119" s="50"/>
      <c r="DK119" s="50"/>
      <c r="DL119" s="50"/>
      <c r="DM119" s="50"/>
      <c r="DN119" s="50"/>
      <c r="DO119" s="50"/>
      <c r="DP119" s="50"/>
      <c r="DQ119" s="50"/>
      <c r="DR119" s="50"/>
      <c r="DS119" s="50"/>
      <c r="DT119" s="50"/>
      <c r="DU119" s="50"/>
      <c r="DV119" s="50"/>
      <c r="DW119" s="50"/>
      <c r="DX119" s="50"/>
      <c r="DY119" s="50"/>
      <c r="DZ119" s="50"/>
      <c r="EA119" s="50"/>
      <c r="EB119" s="50"/>
      <c r="EC119" s="50"/>
      <c r="ED119" s="50"/>
      <c r="EE119" s="50"/>
      <c r="EF119" s="50"/>
      <c r="EG119" s="50"/>
      <c r="EH119" s="50"/>
      <c r="EI119" s="50"/>
      <c r="EJ119" s="50"/>
      <c r="EK119" s="50"/>
      <c r="EL119" s="50"/>
      <c r="EM119" s="50"/>
      <c r="EN119" s="50"/>
      <c r="EO119" s="50"/>
      <c r="EP119" s="50"/>
      <c r="EQ119" s="50"/>
      <c r="ER119" s="50"/>
      <c r="ES119" s="50"/>
      <c r="ET119" s="50"/>
      <c r="EU119" s="50"/>
      <c r="EV119" s="50"/>
      <c r="EW119" s="50"/>
      <c r="EX119" s="50"/>
      <c r="EY119" s="50"/>
      <c r="EZ119" s="50"/>
      <c r="FA119" s="50"/>
      <c r="FB119" s="50"/>
      <c r="FC119" s="50"/>
      <c r="FD119" s="50"/>
      <c r="FE119" s="50"/>
      <c r="FF119" s="50"/>
      <c r="FG119" s="50"/>
      <c r="FH119" s="50"/>
      <c r="FI119" s="50"/>
      <c r="FJ119" s="50"/>
      <c r="FK119" s="50"/>
      <c r="FL119" s="50"/>
      <c r="FM119" s="50"/>
      <c r="FN119" s="50"/>
      <c r="FO119" s="50"/>
      <c r="FP119" s="50"/>
      <c r="FQ119" s="50"/>
      <c r="FR119" s="50"/>
      <c r="FS119" s="50"/>
      <c r="FT119" s="50"/>
      <c r="FU119" s="50"/>
      <c r="FV119" s="50"/>
      <c r="FW119" s="50"/>
      <c r="FX119" s="50"/>
      <c r="FY119" s="50"/>
      <c r="FZ119" s="50"/>
      <c r="GA119" s="50"/>
      <c r="GB119" s="50"/>
      <c r="GC119" s="50"/>
      <c r="GD119" s="50"/>
      <c r="GE119" s="50"/>
      <c r="GF119" s="50"/>
      <c r="GG119" s="50"/>
      <c r="GH119" s="50"/>
      <c r="GI119" s="50"/>
      <c r="GJ119" s="50"/>
      <c r="GK119" s="50"/>
      <c r="GL119" s="50"/>
      <c r="GM119" s="50"/>
      <c r="GN119" s="50"/>
      <c r="GO119" s="50"/>
      <c r="GP119" s="50"/>
      <c r="GQ119" s="50"/>
      <c r="GR119" s="50"/>
      <c r="GS119" s="50"/>
      <c r="GT119" s="50"/>
      <c r="GU119" s="50"/>
      <c r="GV119" s="50"/>
      <c r="GW119" s="50"/>
      <c r="GX119" s="50"/>
      <c r="GY119" s="50"/>
      <c r="GZ119" s="50"/>
      <c r="HA119" s="50"/>
      <c r="HB119" s="50"/>
      <c r="HC119" s="50"/>
      <c r="HD119" s="50"/>
      <c r="HE119" s="50"/>
      <c r="HF119" s="50"/>
      <c r="HG119" s="50"/>
      <c r="HH119" s="50"/>
      <c r="HI119" s="50"/>
      <c r="HJ119" s="50"/>
      <c r="HK119" s="50"/>
      <c r="HL119" s="50"/>
      <c r="HM119" s="50"/>
      <c r="HN119" s="50"/>
      <c r="HO119" s="50"/>
      <c r="HP119" s="50"/>
      <c r="HQ119" s="50"/>
      <c r="HR119" s="50"/>
      <c r="HS119" s="50"/>
      <c r="HT119" s="50"/>
      <c r="HU119" s="50"/>
      <c r="HV119" s="50"/>
      <c r="HW119" s="50"/>
      <c r="HX119" s="50"/>
      <c r="HY119" s="50"/>
      <c r="HZ119" s="50"/>
      <c r="IA119" s="50"/>
      <c r="IB119" s="50"/>
      <c r="IC119" s="50"/>
      <c r="ID119" s="50"/>
      <c r="IE119" s="50"/>
      <c r="IF119" s="50"/>
      <c r="IG119" s="50"/>
      <c r="IH119" s="50"/>
      <c r="II119" s="50"/>
    </row>
    <row r="120" spans="1:243" ht="24" x14ac:dyDescent="0.2">
      <c r="A120" s="708"/>
      <c r="B120" s="708"/>
      <c r="C120" s="708"/>
      <c r="D120" s="378" t="s">
        <v>386</v>
      </c>
      <c r="E120" s="94"/>
      <c r="F120" s="94"/>
      <c r="G120" s="94"/>
      <c r="H120" s="279" t="s">
        <v>376</v>
      </c>
      <c r="I120" s="111"/>
      <c r="J120" s="111"/>
      <c r="K120" s="111"/>
      <c r="L120" s="111"/>
      <c r="M120" s="111"/>
    </row>
    <row r="121" spans="1:243" ht="15" x14ac:dyDescent="0.2">
      <c r="A121" s="111"/>
      <c r="B121" s="315"/>
      <c r="C121" s="315"/>
      <c r="D121" s="315"/>
      <c r="E121" s="111"/>
      <c r="F121" s="111"/>
      <c r="G121" s="111"/>
      <c r="H121" s="279" t="s">
        <v>377</v>
      </c>
      <c r="I121" s="111"/>
      <c r="J121" s="111"/>
      <c r="K121" s="111"/>
      <c r="L121" s="111"/>
      <c r="M121" s="111"/>
    </row>
  </sheetData>
  <mergeCells count="74">
    <mergeCell ref="A27:C27"/>
    <mergeCell ref="F1:I1"/>
    <mergeCell ref="H109:M112"/>
    <mergeCell ref="H113:M115"/>
    <mergeCell ref="H92:I92"/>
    <mergeCell ref="H96:I96"/>
    <mergeCell ref="H100:I100"/>
    <mergeCell ref="H104:I104"/>
    <mergeCell ref="H91:M91"/>
    <mergeCell ref="H99:M99"/>
    <mergeCell ref="F33:F34"/>
    <mergeCell ref="E33:E34"/>
    <mergeCell ref="A43:F43"/>
    <mergeCell ref="J40:J41"/>
    <mergeCell ref="A55:C55"/>
    <mergeCell ref="G46:M48"/>
    <mergeCell ref="A118:B118"/>
    <mergeCell ref="B80:C80"/>
    <mergeCell ref="A89:B89"/>
    <mergeCell ref="B90:C90"/>
    <mergeCell ref="A93:B93"/>
    <mergeCell ref="A117:B117"/>
    <mergeCell ref="B108:C108"/>
    <mergeCell ref="B96:C96"/>
    <mergeCell ref="A95:B95"/>
    <mergeCell ref="B100:C100"/>
    <mergeCell ref="H82:I82"/>
    <mergeCell ref="J81:L81"/>
    <mergeCell ref="F37:F38"/>
    <mergeCell ref="A99:B99"/>
    <mergeCell ref="J82:L82"/>
    <mergeCell ref="G44:M45"/>
    <mergeCell ref="M40:M41"/>
    <mergeCell ref="A46:E48"/>
    <mergeCell ref="F46:F48"/>
    <mergeCell ref="A53:C53"/>
    <mergeCell ref="A54:C54"/>
    <mergeCell ref="C9:D9"/>
    <mergeCell ref="C3:D3"/>
    <mergeCell ref="C10:D10"/>
    <mergeCell ref="C13:D13"/>
    <mergeCell ref="A76:B76"/>
    <mergeCell ref="C11:D11"/>
    <mergeCell ref="C12:D12"/>
    <mergeCell ref="A19:M19"/>
    <mergeCell ref="L67:M67"/>
    <mergeCell ref="C8:D8"/>
    <mergeCell ref="H69:M71"/>
    <mergeCell ref="A36:E36"/>
    <mergeCell ref="L29:M29"/>
    <mergeCell ref="A65:B65"/>
    <mergeCell ref="A44:E45"/>
    <mergeCell ref="F44:F45"/>
    <mergeCell ref="L1:M1"/>
    <mergeCell ref="C4:D4"/>
    <mergeCell ref="C5:D5"/>
    <mergeCell ref="C6:D6"/>
    <mergeCell ref="C7:D7"/>
    <mergeCell ref="A119:C120"/>
    <mergeCell ref="A16:M16"/>
    <mergeCell ref="K65:M65"/>
    <mergeCell ref="L66:M66"/>
    <mergeCell ref="I64:K64"/>
    <mergeCell ref="L64:M64"/>
    <mergeCell ref="D27:D28"/>
    <mergeCell ref="A17:M17"/>
    <mergeCell ref="H72:I72"/>
    <mergeCell ref="H76:I76"/>
    <mergeCell ref="A18:M18"/>
    <mergeCell ref="H88:M90"/>
    <mergeCell ref="H81:I81"/>
    <mergeCell ref="A115:B115"/>
    <mergeCell ref="H80:M80"/>
    <mergeCell ref="A107:B107"/>
  </mergeCells>
  <printOptions horizontalCentered="1"/>
  <pageMargins left="0.39370078740157483" right="0.27559055118110237" top="0.47244094488188981" bottom="0.19685039370078741" header="0.27559055118110237" footer="0.19685039370078741"/>
  <pageSetup paperSize="9" scale="33" fitToHeight="0" orientation="portrait" r:id="rId1"/>
  <headerFooter alignWithMargins="0"/>
  <ignoredErrors>
    <ignoredError sqref="I6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theme="8" tint="0.79998168889431442"/>
    <pageSetUpPr fitToPage="1"/>
  </sheetPr>
  <dimension ref="A1:N75"/>
  <sheetViews>
    <sheetView view="pageBreakPreview" topLeftCell="A10" zoomScale="110" zoomScaleNormal="100" zoomScaleSheetLayoutView="110" workbookViewId="0">
      <selection activeCell="A16" sqref="A16:H20"/>
    </sheetView>
  </sheetViews>
  <sheetFormatPr defaultRowHeight="12.75" x14ac:dyDescent="0.2"/>
  <cols>
    <col min="1" max="1" width="9.5703125" style="406" customWidth="1"/>
    <col min="2" max="2" width="37.140625" style="406" customWidth="1"/>
    <col min="3" max="3" width="34.28515625" style="406" customWidth="1"/>
    <col min="4" max="4" width="18.28515625" style="406" customWidth="1"/>
    <col min="5" max="5" width="16.7109375" style="406" customWidth="1"/>
    <col min="6" max="6" width="21" style="406" customWidth="1"/>
    <col min="7" max="7" width="20" style="406" customWidth="1"/>
    <col min="8" max="8" width="21.85546875" style="406" customWidth="1"/>
    <col min="9" max="9" width="10" style="2" bestFit="1" customWidth="1"/>
    <col min="10" max="10" width="13.7109375" style="2" bestFit="1" customWidth="1"/>
    <col min="11" max="12" width="9.140625" style="2"/>
    <col min="13" max="13" width="12.28515625" style="2" bestFit="1" customWidth="1"/>
    <col min="14" max="16384" width="9.140625" style="2"/>
  </cols>
  <sheetData>
    <row r="1" spans="1:14" x14ac:dyDescent="0.2">
      <c r="A1" s="380" t="str">
        <f>DADOS!A1</f>
        <v>PROPOSTA DE PREÇOS Nº 011/2017</v>
      </c>
      <c r="B1" s="381"/>
      <c r="C1" s="381"/>
      <c r="D1" s="381"/>
      <c r="E1" s="381"/>
      <c r="F1" s="381"/>
      <c r="G1" s="381"/>
      <c r="H1" s="381"/>
      <c r="N1" s="3"/>
    </row>
    <row r="2" spans="1:14" ht="24" customHeight="1" x14ac:dyDescent="0.2">
      <c r="A2" s="381"/>
      <c r="B2" s="381"/>
      <c r="C2" s="381"/>
      <c r="D2" s="381"/>
      <c r="E2" s="381"/>
      <c r="F2" s="381"/>
      <c r="G2" s="381"/>
      <c r="H2" s="381"/>
    </row>
    <row r="3" spans="1:14" s="4" customFormat="1" x14ac:dyDescent="0.2">
      <c r="A3" s="381" t="s">
        <v>200</v>
      </c>
      <c r="B3" s="381"/>
      <c r="C3" s="381"/>
      <c r="D3" s="381"/>
      <c r="E3" s="381"/>
      <c r="F3" s="381"/>
      <c r="G3" s="381"/>
      <c r="H3" s="381"/>
    </row>
    <row r="4" spans="1:14" s="4" customFormat="1" x14ac:dyDescent="0.2">
      <c r="A4" s="382" t="str">
        <f>DADOS!A16</f>
        <v>MINISTÉRIO DE MINAS E ENERGIA - MME</v>
      </c>
      <c r="B4" s="381"/>
      <c r="C4" s="381"/>
      <c r="D4" s="381"/>
      <c r="E4" s="381"/>
      <c r="F4" s="381"/>
      <c r="G4" s="381"/>
      <c r="H4" s="381"/>
    </row>
    <row r="5" spans="1:14" s="4" customFormat="1" x14ac:dyDescent="0.2">
      <c r="A5" s="383" t="s">
        <v>228</v>
      </c>
      <c r="B5" s="381"/>
      <c r="C5" s="381"/>
      <c r="D5" s="381"/>
      <c r="E5" s="381"/>
      <c r="F5" s="381"/>
      <c r="G5" s="381"/>
      <c r="H5" s="381"/>
    </row>
    <row r="6" spans="1:14" s="4" customFormat="1" x14ac:dyDescent="0.2">
      <c r="A6" s="383" t="s">
        <v>229</v>
      </c>
      <c r="B6" s="381"/>
      <c r="C6" s="381"/>
      <c r="D6" s="381"/>
      <c r="E6" s="381"/>
      <c r="F6" s="381"/>
      <c r="G6" s="381"/>
      <c r="H6" s="381"/>
    </row>
    <row r="7" spans="1:14" s="4" customFormat="1" x14ac:dyDescent="0.2">
      <c r="A7" s="383" t="s">
        <v>230</v>
      </c>
      <c r="B7" s="381"/>
      <c r="C7" s="381"/>
      <c r="D7" s="381"/>
      <c r="E7" s="381"/>
      <c r="F7" s="381"/>
      <c r="G7" s="381"/>
      <c r="H7" s="381"/>
    </row>
    <row r="8" spans="1:14" s="4" customFormat="1" x14ac:dyDescent="0.2">
      <c r="A8" s="383" t="s">
        <v>231</v>
      </c>
      <c r="B8" s="381"/>
      <c r="C8" s="381"/>
      <c r="D8" s="381"/>
      <c r="E8" s="381"/>
      <c r="F8" s="381"/>
      <c r="G8" s="381"/>
      <c r="H8" s="381"/>
    </row>
    <row r="9" spans="1:14" x14ac:dyDescent="0.2">
      <c r="A9" s="384" t="s">
        <v>83</v>
      </c>
      <c r="B9" s="381"/>
      <c r="C9" s="381"/>
      <c r="D9" s="381"/>
      <c r="E9" s="381"/>
      <c r="F9" s="381"/>
      <c r="G9" s="381"/>
      <c r="H9" s="381"/>
    </row>
    <row r="10" spans="1:14" ht="18.75" customHeight="1" x14ac:dyDescent="0.2">
      <c r="A10" s="381"/>
      <c r="B10" s="381"/>
      <c r="C10" s="381"/>
      <c r="D10" s="381"/>
      <c r="E10" s="381"/>
      <c r="F10" s="381"/>
      <c r="G10" s="381"/>
      <c r="H10" s="381"/>
    </row>
    <row r="11" spans="1:14" x14ac:dyDescent="0.2">
      <c r="A11" s="380" t="s">
        <v>180</v>
      </c>
      <c r="B11" s="382" t="str">
        <f>DADOS!A18</f>
        <v>PREGÃO ELETRÔNICO Nº 001/2017 - MME</v>
      </c>
      <c r="C11" s="380"/>
      <c r="D11" s="380"/>
      <c r="E11" s="380"/>
      <c r="F11" s="380"/>
      <c r="G11" s="380"/>
      <c r="H11" s="381"/>
    </row>
    <row r="12" spans="1:14" x14ac:dyDescent="0.2">
      <c r="A12" s="380" t="s">
        <v>232</v>
      </c>
      <c r="B12" s="382"/>
      <c r="C12" s="380"/>
      <c r="D12" s="380"/>
      <c r="E12" s="380"/>
      <c r="F12" s="380"/>
      <c r="G12" s="380"/>
      <c r="H12" s="381"/>
    </row>
    <row r="13" spans="1:14" ht="30" customHeight="1" x14ac:dyDescent="0.2">
      <c r="A13" s="381"/>
      <c r="B13" s="381"/>
      <c r="C13" s="381"/>
      <c r="D13" s="381"/>
      <c r="E13" s="381"/>
      <c r="F13" s="381"/>
      <c r="G13" s="381"/>
      <c r="H13" s="381"/>
    </row>
    <row r="14" spans="1:14" x14ac:dyDescent="0.2">
      <c r="A14" s="381"/>
      <c r="B14" s="383" t="s">
        <v>331</v>
      </c>
      <c r="C14" s="381"/>
      <c r="D14" s="381"/>
      <c r="E14" s="381"/>
      <c r="F14" s="381"/>
      <c r="G14" s="381"/>
      <c r="H14" s="381"/>
    </row>
    <row r="15" spans="1:14" s="5" customFormat="1" ht="8.25" customHeight="1" x14ac:dyDescent="0.2">
      <c r="A15" s="381"/>
      <c r="B15" s="381"/>
      <c r="C15" s="381"/>
      <c r="D15" s="381"/>
      <c r="E15" s="381"/>
      <c r="F15" s="381"/>
      <c r="G15" s="381"/>
      <c r="H15" s="381"/>
    </row>
    <row r="16" spans="1:14" s="5" customFormat="1" x14ac:dyDescent="0.2">
      <c r="A16" s="837" t="s">
        <v>399</v>
      </c>
      <c r="B16" s="837"/>
      <c r="C16" s="837"/>
      <c r="D16" s="837"/>
      <c r="E16" s="837"/>
      <c r="F16" s="837"/>
      <c r="G16" s="837"/>
      <c r="H16" s="837"/>
    </row>
    <row r="17" spans="1:13" s="5" customFormat="1" ht="16.5" customHeight="1" x14ac:dyDescent="0.2">
      <c r="A17" s="837"/>
      <c r="B17" s="837"/>
      <c r="C17" s="837"/>
      <c r="D17" s="837"/>
      <c r="E17" s="837"/>
      <c r="F17" s="837"/>
      <c r="G17" s="837"/>
      <c r="H17" s="837"/>
    </row>
    <row r="18" spans="1:13" s="5" customFormat="1" ht="15" customHeight="1" x14ac:dyDescent="0.2">
      <c r="A18" s="837"/>
      <c r="B18" s="837"/>
      <c r="C18" s="837"/>
      <c r="D18" s="837"/>
      <c r="E18" s="837"/>
      <c r="F18" s="837"/>
      <c r="G18" s="837"/>
      <c r="H18" s="837"/>
    </row>
    <row r="19" spans="1:13" s="5" customFormat="1" x14ac:dyDescent="0.2">
      <c r="A19" s="837"/>
      <c r="B19" s="837"/>
      <c r="C19" s="837"/>
      <c r="D19" s="837"/>
      <c r="E19" s="837"/>
      <c r="F19" s="837"/>
      <c r="G19" s="837"/>
      <c r="H19" s="837"/>
    </row>
    <row r="20" spans="1:13" s="5" customFormat="1" x14ac:dyDescent="0.2">
      <c r="A20" s="837"/>
      <c r="B20" s="837"/>
      <c r="C20" s="837"/>
      <c r="D20" s="837"/>
      <c r="E20" s="837"/>
      <c r="F20" s="837"/>
      <c r="G20" s="837"/>
      <c r="H20" s="837"/>
    </row>
    <row r="21" spans="1:13" s="5" customFormat="1" ht="12.75" customHeight="1" x14ac:dyDescent="0.2">
      <c r="A21" s="385"/>
      <c r="B21" s="385"/>
      <c r="C21" s="385"/>
      <c r="D21" s="385"/>
      <c r="E21" s="385"/>
      <c r="F21" s="385"/>
      <c r="G21" s="385"/>
      <c r="H21" s="385"/>
    </row>
    <row r="22" spans="1:13" s="5" customFormat="1" x14ac:dyDescent="0.2">
      <c r="A22" s="383" t="s">
        <v>368</v>
      </c>
      <c r="B22" s="385"/>
      <c r="C22" s="385"/>
      <c r="D22" s="385"/>
      <c r="E22" s="385"/>
      <c r="F22" s="385"/>
      <c r="G22" s="385"/>
      <c r="H22" s="385"/>
    </row>
    <row r="23" spans="1:13" s="5" customFormat="1" ht="5.25" customHeight="1" x14ac:dyDescent="0.2">
      <c r="A23" s="385"/>
      <c r="B23" s="385"/>
      <c r="C23" s="385"/>
      <c r="D23" s="385"/>
      <c r="E23" s="385"/>
      <c r="F23" s="385"/>
      <c r="G23" s="385"/>
      <c r="H23" s="385"/>
    </row>
    <row r="24" spans="1:13" s="6" customFormat="1" ht="25.5" x14ac:dyDescent="0.2">
      <c r="A24" s="846" t="s">
        <v>94</v>
      </c>
      <c r="B24" s="846" t="s">
        <v>169</v>
      </c>
      <c r="C24" s="847"/>
      <c r="D24" s="386" t="s">
        <v>95</v>
      </c>
      <c r="E24" s="844" t="s">
        <v>202</v>
      </c>
      <c r="F24" s="386" t="s">
        <v>193</v>
      </c>
      <c r="G24" s="386" t="s">
        <v>184</v>
      </c>
      <c r="H24" s="386" t="s">
        <v>204</v>
      </c>
      <c r="M24" s="7"/>
    </row>
    <row r="25" spans="1:13" s="6" customFormat="1" ht="18.75" customHeight="1" x14ac:dyDescent="0.2">
      <c r="A25" s="848"/>
      <c r="B25" s="853" t="s">
        <v>166</v>
      </c>
      <c r="C25" s="853"/>
      <c r="D25" s="387" t="s">
        <v>167</v>
      </c>
      <c r="E25" s="845"/>
      <c r="F25" s="387" t="s">
        <v>178</v>
      </c>
      <c r="G25" s="388" t="s">
        <v>168</v>
      </c>
      <c r="H25" s="387" t="s">
        <v>205</v>
      </c>
      <c r="M25" s="7"/>
    </row>
    <row r="26" spans="1:13" s="8" customFormat="1" ht="38.25" customHeight="1" x14ac:dyDescent="0.2">
      <c r="A26" s="389">
        <v>1</v>
      </c>
      <c r="B26" s="838" t="str">
        <f>DADOS!H73</f>
        <v>Supervisor Diurno Desarmado - 44hs semanais envolvendo 1 (um) funcionário</v>
      </c>
      <c r="C26" s="839"/>
      <c r="D26" s="390">
        <f>DADOS!J73</f>
        <v>1</v>
      </c>
      <c r="E26" s="390">
        <f>DADOS!L73</f>
        <v>1</v>
      </c>
      <c r="F26" s="391">
        <f>RESUMO!F8</f>
        <v>7922.18</v>
      </c>
      <c r="G26" s="391">
        <f>F26*D26</f>
        <v>7922.18</v>
      </c>
      <c r="H26" s="392">
        <f>G26*12</f>
        <v>95066.16</v>
      </c>
      <c r="I26" s="14"/>
      <c r="J26" s="9"/>
    </row>
    <row r="27" spans="1:13" s="8" customFormat="1" ht="38.25" customHeight="1" x14ac:dyDescent="0.2">
      <c r="A27" s="389">
        <v>2</v>
      </c>
      <c r="B27" s="838" t="str">
        <f>DADOS!H74</f>
        <v>Vigilante Diurno Desarmado - 12 horas de segunda-feira a domingo, envolvendo 2 (dois) vigilantes em turnos de 12x36hs</v>
      </c>
      <c r="C27" s="839"/>
      <c r="D27" s="390">
        <f>DADOS!J74</f>
        <v>6</v>
      </c>
      <c r="E27" s="390">
        <f>DADOS!L74</f>
        <v>12</v>
      </c>
      <c r="F27" s="391">
        <f>RESUMO!F9</f>
        <v>14327.52</v>
      </c>
      <c r="G27" s="391">
        <f>F27*D27</f>
        <v>85965.119999999995</v>
      </c>
      <c r="H27" s="392">
        <f>G27*12</f>
        <v>1031581.44</v>
      </c>
      <c r="I27" s="14"/>
      <c r="J27" s="9"/>
    </row>
    <row r="28" spans="1:13" s="8" customFormat="1" ht="38.25" customHeight="1" x14ac:dyDescent="0.2">
      <c r="A28" s="389">
        <v>3</v>
      </c>
      <c r="B28" s="838" t="str">
        <f>DADOS!H75</f>
        <v>Vigilante Noturno Desarmado - 12 horas de segunda-feira a domingo, envolvendo 2 (dois) vigilantes em turnos de 12x36hs</v>
      </c>
      <c r="C28" s="839"/>
      <c r="D28" s="390">
        <f>DADOS!J75</f>
        <v>1</v>
      </c>
      <c r="E28" s="390">
        <f>DADOS!L75</f>
        <v>2</v>
      </c>
      <c r="F28" s="391">
        <f>RESUMO!F10</f>
        <v>16095.02</v>
      </c>
      <c r="G28" s="391">
        <f>F28*D28</f>
        <v>16095.02</v>
      </c>
      <c r="H28" s="392">
        <f>G28*12</f>
        <v>193140.24</v>
      </c>
      <c r="I28" s="14"/>
      <c r="J28" s="9"/>
    </row>
    <row r="29" spans="1:13" s="8" customFormat="1" ht="25.5" customHeight="1" x14ac:dyDescent="0.2">
      <c r="A29" s="854" t="s">
        <v>62</v>
      </c>
      <c r="B29" s="854"/>
      <c r="C29" s="854"/>
      <c r="D29" s="393">
        <f>SUM(D26:D28)</f>
        <v>8</v>
      </c>
      <c r="E29" s="393">
        <f>SUM(E26:E28)</f>
        <v>15</v>
      </c>
      <c r="F29" s="394" t="s">
        <v>186</v>
      </c>
      <c r="G29" s="395">
        <f>SUM(G26:G28)</f>
        <v>109982.32</v>
      </c>
      <c r="H29" s="396">
        <f>SUM(H26:H28)</f>
        <v>1319787.8400000001</v>
      </c>
      <c r="I29" s="14"/>
      <c r="J29" s="9"/>
    </row>
    <row r="30" spans="1:13" s="8" customFormat="1" ht="6.75" customHeight="1" x14ac:dyDescent="0.2">
      <c r="A30" s="841"/>
      <c r="B30" s="842"/>
      <c r="C30" s="842"/>
      <c r="D30" s="842"/>
      <c r="E30" s="842"/>
      <c r="F30" s="842"/>
      <c r="G30" s="842"/>
      <c r="H30" s="843"/>
      <c r="I30" s="14"/>
      <c r="J30" s="9"/>
    </row>
    <row r="31" spans="1:13" s="10" customFormat="1" ht="24" customHeight="1" x14ac:dyDescent="0.2">
      <c r="A31" s="855" t="s">
        <v>170</v>
      </c>
      <c r="B31" s="856"/>
      <c r="C31" s="856"/>
      <c r="D31" s="856"/>
      <c r="E31" s="856"/>
      <c r="F31" s="856"/>
      <c r="G31" s="857"/>
      <c r="H31" s="396">
        <f>G29</f>
        <v>109982.32</v>
      </c>
    </row>
    <row r="32" spans="1:13" s="10" customFormat="1" ht="24" customHeight="1" x14ac:dyDescent="0.2">
      <c r="A32" s="840" t="e">
        <f ca="1">PassaExtenso(H31)</f>
        <v>#NAME?</v>
      </c>
      <c r="B32" s="840"/>
      <c r="C32" s="840"/>
      <c r="D32" s="840"/>
      <c r="E32" s="840"/>
      <c r="F32" s="840"/>
      <c r="G32" s="840"/>
      <c r="H32" s="840"/>
    </row>
    <row r="33" spans="1:8" s="10" customFormat="1" ht="24" customHeight="1" x14ac:dyDescent="0.2">
      <c r="A33" s="855" t="s">
        <v>206</v>
      </c>
      <c r="B33" s="856"/>
      <c r="C33" s="856"/>
      <c r="D33" s="856"/>
      <c r="E33" s="856"/>
      <c r="F33" s="856"/>
      <c r="G33" s="857"/>
      <c r="H33" s="396">
        <f>H29</f>
        <v>1319787.8400000001</v>
      </c>
    </row>
    <row r="34" spans="1:8" s="10" customFormat="1" ht="24" customHeight="1" x14ac:dyDescent="0.2">
      <c r="A34" s="840" t="e">
        <f ca="1">PassaExtenso(H33)</f>
        <v>#NAME?</v>
      </c>
      <c r="B34" s="840"/>
      <c r="C34" s="840"/>
      <c r="D34" s="840"/>
      <c r="E34" s="840"/>
      <c r="F34" s="840"/>
      <c r="G34" s="840"/>
      <c r="H34" s="840"/>
    </row>
    <row r="35" spans="1:8" s="16" customFormat="1" x14ac:dyDescent="0.2">
      <c r="A35" s="397"/>
      <c r="B35" s="398"/>
      <c r="C35" s="398"/>
      <c r="D35" s="398"/>
      <c r="E35" s="398"/>
      <c r="F35" s="398"/>
      <c r="G35" s="398"/>
      <c r="H35" s="398"/>
    </row>
    <row r="36" spans="1:8" ht="18" customHeight="1" x14ac:dyDescent="0.2">
      <c r="A36" s="381" t="s">
        <v>85</v>
      </c>
      <c r="B36" s="381"/>
      <c r="C36" s="850" t="s">
        <v>369</v>
      </c>
      <c r="D36" s="850"/>
      <c r="E36" s="850"/>
      <c r="F36" s="850"/>
      <c r="G36" s="850"/>
      <c r="H36" s="850"/>
    </row>
    <row r="37" spans="1:8" ht="18" customHeight="1" x14ac:dyDescent="0.2">
      <c r="A37" s="381"/>
      <c r="B37" s="381"/>
      <c r="C37" s="850"/>
      <c r="D37" s="850"/>
      <c r="E37" s="850"/>
      <c r="F37" s="850"/>
      <c r="G37" s="850"/>
      <c r="H37" s="850"/>
    </row>
    <row r="38" spans="1:8" ht="9.75" customHeight="1" x14ac:dyDescent="0.2">
      <c r="A38" s="400"/>
      <c r="B38" s="381"/>
      <c r="C38" s="381"/>
      <c r="D38" s="385"/>
      <c r="E38" s="385"/>
      <c r="F38" s="385"/>
      <c r="G38" s="385"/>
      <c r="H38" s="385"/>
    </row>
    <row r="39" spans="1:8" ht="18" customHeight="1" x14ac:dyDescent="0.2">
      <c r="A39" s="381"/>
      <c r="B39" s="381"/>
      <c r="C39" s="850" t="s">
        <v>370</v>
      </c>
      <c r="D39" s="850"/>
      <c r="E39" s="850"/>
      <c r="F39" s="850"/>
      <c r="G39" s="850"/>
      <c r="H39" s="850"/>
    </row>
    <row r="40" spans="1:8" ht="18" customHeight="1" x14ac:dyDescent="0.2">
      <c r="A40" s="381"/>
      <c r="B40" s="381"/>
      <c r="C40" s="850"/>
      <c r="D40" s="850"/>
      <c r="E40" s="850"/>
      <c r="F40" s="850"/>
      <c r="G40" s="850"/>
      <c r="H40" s="850"/>
    </row>
    <row r="41" spans="1:8" x14ac:dyDescent="0.2">
      <c r="A41" s="381"/>
      <c r="B41" s="381"/>
      <c r="C41" s="850"/>
      <c r="D41" s="850"/>
      <c r="E41" s="850"/>
      <c r="F41" s="850"/>
      <c r="G41" s="850"/>
      <c r="H41" s="850"/>
    </row>
    <row r="42" spans="1:8" x14ac:dyDescent="0.2">
      <c r="A42" s="381"/>
      <c r="B42" s="381"/>
      <c r="C42" s="850"/>
      <c r="D42" s="850"/>
      <c r="E42" s="850"/>
      <c r="F42" s="850"/>
      <c r="G42" s="850"/>
      <c r="H42" s="850"/>
    </row>
    <row r="43" spans="1:8" ht="9.75" customHeight="1" x14ac:dyDescent="0.2">
      <c r="A43" s="381"/>
      <c r="B43" s="381"/>
      <c r="C43" s="385"/>
      <c r="D43" s="385"/>
      <c r="E43" s="385"/>
      <c r="F43" s="385"/>
      <c r="G43" s="385"/>
      <c r="H43" s="385"/>
    </row>
    <row r="44" spans="1:8" x14ac:dyDescent="0.2">
      <c r="A44" s="381" t="s">
        <v>86</v>
      </c>
      <c r="B44" s="381"/>
      <c r="C44" s="383" t="s">
        <v>174</v>
      </c>
      <c r="D44" s="381"/>
      <c r="E44" s="381"/>
      <c r="F44" s="381"/>
      <c r="G44" s="381"/>
      <c r="H44" s="381"/>
    </row>
    <row r="45" spans="1:8" ht="9.75" customHeight="1" x14ac:dyDescent="0.2">
      <c r="A45" s="381"/>
      <c r="B45" s="381"/>
      <c r="C45" s="381"/>
      <c r="D45" s="385"/>
      <c r="E45" s="385"/>
      <c r="F45" s="385"/>
      <c r="G45" s="385"/>
      <c r="H45" s="385"/>
    </row>
    <row r="46" spans="1:8" ht="18" customHeight="1" x14ac:dyDescent="0.2">
      <c r="A46" s="381" t="s">
        <v>87</v>
      </c>
      <c r="B46" s="381"/>
      <c r="C46" s="850" t="s">
        <v>160</v>
      </c>
      <c r="D46" s="850"/>
      <c r="E46" s="850"/>
      <c r="F46" s="850"/>
      <c r="G46" s="850"/>
      <c r="H46" s="850"/>
    </row>
    <row r="47" spans="1:8" x14ac:dyDescent="0.2">
      <c r="A47" s="381"/>
      <c r="B47" s="381"/>
      <c r="C47" s="850"/>
      <c r="D47" s="850"/>
      <c r="E47" s="850"/>
      <c r="F47" s="850"/>
      <c r="G47" s="850"/>
      <c r="H47" s="850"/>
    </row>
    <row r="48" spans="1:8" x14ac:dyDescent="0.2">
      <c r="A48" s="381"/>
      <c r="B48" s="381"/>
      <c r="C48" s="850"/>
      <c r="D48" s="850"/>
      <c r="E48" s="850"/>
      <c r="F48" s="850"/>
      <c r="G48" s="850"/>
      <c r="H48" s="850"/>
    </row>
    <row r="49" spans="1:8" x14ac:dyDescent="0.2">
      <c r="A49" s="381"/>
      <c r="B49" s="381"/>
      <c r="C49" s="850"/>
      <c r="D49" s="850"/>
      <c r="E49" s="850"/>
      <c r="F49" s="850"/>
      <c r="G49" s="850"/>
      <c r="H49" s="850"/>
    </row>
    <row r="50" spans="1:8" s="11" customFormat="1" x14ac:dyDescent="0.2">
      <c r="A50" s="385"/>
      <c r="B50" s="385"/>
      <c r="C50" s="850"/>
      <c r="D50" s="850"/>
      <c r="E50" s="850"/>
      <c r="F50" s="850"/>
      <c r="G50" s="850"/>
      <c r="H50" s="850"/>
    </row>
    <row r="51" spans="1:8" s="11" customFormat="1" ht="9.75" customHeight="1" x14ac:dyDescent="0.2">
      <c r="A51" s="385"/>
      <c r="B51" s="385"/>
      <c r="C51" s="385"/>
      <c r="D51" s="385"/>
      <c r="E51" s="385"/>
      <c r="F51" s="385"/>
      <c r="G51" s="385"/>
      <c r="H51" s="385"/>
    </row>
    <row r="52" spans="1:8" s="11" customFormat="1" ht="36.75" customHeight="1" x14ac:dyDescent="0.2">
      <c r="A52" s="385"/>
      <c r="B52" s="385"/>
      <c r="C52" s="852" t="s">
        <v>233</v>
      </c>
      <c r="D52" s="852"/>
      <c r="E52" s="852"/>
      <c r="F52" s="852"/>
      <c r="G52" s="852"/>
      <c r="H52" s="852"/>
    </row>
    <row r="53" spans="1:8" s="11" customFormat="1" ht="9.75" customHeight="1" x14ac:dyDescent="0.2">
      <c r="A53" s="385"/>
      <c r="B53" s="385"/>
      <c r="C53" s="385"/>
      <c r="D53" s="385"/>
      <c r="E53" s="385"/>
      <c r="F53" s="385"/>
      <c r="G53" s="385"/>
      <c r="H53" s="385"/>
    </row>
    <row r="54" spans="1:8" x14ac:dyDescent="0.2">
      <c r="A54" s="381" t="s">
        <v>88</v>
      </c>
      <c r="B54" s="381"/>
      <c r="C54" s="381" t="s">
        <v>171</v>
      </c>
      <c r="D54" s="381"/>
      <c r="E54" s="381"/>
      <c r="F54" s="381"/>
      <c r="G54" s="381"/>
      <c r="H54" s="381"/>
    </row>
    <row r="55" spans="1:8" x14ac:dyDescent="0.2">
      <c r="A55" s="381"/>
      <c r="B55" s="381"/>
      <c r="C55" s="381" t="s">
        <v>100</v>
      </c>
      <c r="D55" s="381"/>
      <c r="E55" s="381"/>
      <c r="F55" s="381"/>
      <c r="G55" s="381"/>
      <c r="H55" s="401"/>
    </row>
    <row r="56" spans="1:8" x14ac:dyDescent="0.2">
      <c r="A56" s="381"/>
      <c r="B56" s="381"/>
      <c r="C56" s="381" t="s">
        <v>126</v>
      </c>
      <c r="D56" s="383"/>
      <c r="E56" s="383"/>
      <c r="F56" s="383"/>
      <c r="G56" s="381"/>
      <c r="H56" s="401"/>
    </row>
    <row r="57" spans="1:8" x14ac:dyDescent="0.2">
      <c r="A57" s="381"/>
      <c r="B57" s="381"/>
      <c r="C57" s="381" t="s">
        <v>128</v>
      </c>
      <c r="D57" s="381"/>
      <c r="E57" s="381"/>
      <c r="F57" s="381"/>
      <c r="G57" s="381"/>
      <c r="H57" s="401"/>
    </row>
    <row r="58" spans="1:8" x14ac:dyDescent="0.2">
      <c r="A58" s="381"/>
      <c r="B58" s="381"/>
      <c r="C58" s="381" t="s">
        <v>130</v>
      </c>
      <c r="D58" s="381"/>
      <c r="E58" s="402"/>
      <c r="F58" s="401"/>
      <c r="G58" s="381"/>
      <c r="H58" s="401"/>
    </row>
    <row r="59" spans="1:8" x14ac:dyDescent="0.2">
      <c r="A59" s="381"/>
      <c r="B59" s="381"/>
      <c r="C59" s="381" t="s">
        <v>172</v>
      </c>
      <c r="D59" s="400"/>
      <c r="E59" s="403"/>
      <c r="F59" s="403"/>
      <c r="G59" s="381"/>
      <c r="H59" s="401"/>
    </row>
    <row r="60" spans="1:8" x14ac:dyDescent="0.2">
      <c r="A60" s="381"/>
      <c r="B60" s="381"/>
      <c r="C60" s="381" t="s">
        <v>129</v>
      </c>
      <c r="D60" s="381"/>
      <c r="E60" s="403"/>
      <c r="F60" s="403"/>
      <c r="G60" s="381"/>
      <c r="H60" s="401"/>
    </row>
    <row r="61" spans="1:8" x14ac:dyDescent="0.2">
      <c r="A61" s="381"/>
      <c r="B61" s="381"/>
      <c r="C61" s="381" t="s">
        <v>173</v>
      </c>
      <c r="D61" s="381"/>
      <c r="E61" s="403"/>
      <c r="F61" s="403"/>
      <c r="G61" s="381"/>
      <c r="H61" s="401"/>
    </row>
    <row r="62" spans="1:8" ht="9.75" customHeight="1" x14ac:dyDescent="0.2">
      <c r="A62" s="381"/>
      <c r="B62" s="381"/>
      <c r="C62" s="381"/>
      <c r="D62" s="381"/>
      <c r="E62" s="403"/>
      <c r="F62" s="403"/>
      <c r="G62" s="381"/>
      <c r="H62" s="401"/>
    </row>
    <row r="63" spans="1:8" x14ac:dyDescent="0.2">
      <c r="A63" s="381" t="s">
        <v>90</v>
      </c>
      <c r="B63" s="381"/>
      <c r="C63" s="381" t="s">
        <v>373</v>
      </c>
      <c r="D63" s="381"/>
      <c r="E63" s="381"/>
      <c r="F63" s="381"/>
      <c r="G63" s="381"/>
      <c r="H63" s="381"/>
    </row>
    <row r="64" spans="1:8" x14ac:dyDescent="0.2">
      <c r="A64" s="381"/>
      <c r="B64" s="381"/>
      <c r="C64" s="381" t="s">
        <v>374</v>
      </c>
      <c r="D64" s="381"/>
      <c r="E64" s="381"/>
      <c r="F64" s="381"/>
      <c r="G64" s="381"/>
      <c r="H64" s="381"/>
    </row>
    <row r="65" spans="1:9" x14ac:dyDescent="0.2">
      <c r="A65" s="381"/>
      <c r="B65" s="381"/>
      <c r="C65" s="381" t="s">
        <v>372</v>
      </c>
      <c r="D65" s="383"/>
      <c r="E65" s="383"/>
      <c r="F65" s="381"/>
      <c r="G65" s="381"/>
      <c r="H65" s="381"/>
    </row>
    <row r="66" spans="1:9" ht="9.75" customHeight="1" x14ac:dyDescent="0.2">
      <c r="A66" s="381"/>
      <c r="B66" s="381"/>
      <c r="C66" s="403"/>
      <c r="D66" s="381"/>
      <c r="E66" s="381"/>
      <c r="F66" s="403"/>
      <c r="G66" s="381"/>
      <c r="H66" s="381"/>
    </row>
    <row r="67" spans="1:9" ht="18" customHeight="1" x14ac:dyDescent="0.2">
      <c r="A67" s="381" t="s">
        <v>91</v>
      </c>
      <c r="B67" s="381"/>
      <c r="C67" s="381" t="s">
        <v>127</v>
      </c>
      <c r="D67" s="381"/>
      <c r="E67" s="381"/>
      <c r="F67" s="381"/>
      <c r="G67" s="381"/>
      <c r="H67" s="381"/>
    </row>
    <row r="68" spans="1:9" x14ac:dyDescent="0.2">
      <c r="A68" s="381"/>
      <c r="B68" s="381"/>
      <c r="C68" s="381"/>
      <c r="D68" s="381"/>
      <c r="E68" s="381"/>
      <c r="F68" s="381"/>
      <c r="G68" s="381"/>
      <c r="H68" s="381"/>
    </row>
    <row r="69" spans="1:9" x14ac:dyDescent="0.2">
      <c r="A69" s="381"/>
      <c r="B69" s="381"/>
      <c r="C69" s="399"/>
      <c r="D69" s="399"/>
      <c r="E69" s="399"/>
      <c r="F69" s="399"/>
      <c r="G69" s="399"/>
      <c r="H69" s="399"/>
    </row>
    <row r="70" spans="1:9" x14ac:dyDescent="0.2">
      <c r="A70" s="381"/>
      <c r="B70" s="380"/>
      <c r="C70" s="404" t="s">
        <v>115</v>
      </c>
      <c r="D70" s="851">
        <f>DADOS!E4</f>
        <v>42809</v>
      </c>
      <c r="E70" s="851"/>
      <c r="F70" s="851"/>
      <c r="G70" s="399"/>
      <c r="H70" s="399"/>
    </row>
    <row r="71" spans="1:9" x14ac:dyDescent="0.2">
      <c r="A71" s="381"/>
      <c r="B71" s="381"/>
      <c r="C71" s="399"/>
      <c r="D71" s="405"/>
      <c r="E71" s="405"/>
      <c r="F71" s="399"/>
      <c r="G71" s="399"/>
      <c r="H71" s="399"/>
    </row>
    <row r="72" spans="1:9" x14ac:dyDescent="0.2">
      <c r="A72" s="381"/>
      <c r="B72" s="381"/>
      <c r="C72" s="381"/>
      <c r="D72" s="381"/>
      <c r="E72" s="381"/>
      <c r="F72" s="381"/>
      <c r="G72" s="381"/>
      <c r="H72" s="381"/>
    </row>
    <row r="73" spans="1:9" x14ac:dyDescent="0.2">
      <c r="A73" s="849" t="s">
        <v>89</v>
      </c>
      <c r="B73" s="849"/>
      <c r="C73" s="849"/>
      <c r="D73" s="849"/>
      <c r="E73" s="849"/>
      <c r="F73" s="849"/>
      <c r="G73" s="849"/>
      <c r="H73" s="849"/>
    </row>
    <row r="74" spans="1:9" x14ac:dyDescent="0.2">
      <c r="A74" s="849" t="s">
        <v>92</v>
      </c>
      <c r="B74" s="849"/>
      <c r="C74" s="849"/>
      <c r="D74" s="849"/>
      <c r="E74" s="849"/>
      <c r="F74" s="849"/>
      <c r="G74" s="849"/>
      <c r="H74" s="849"/>
      <c r="I74" s="17"/>
    </row>
    <row r="75" spans="1:9" x14ac:dyDescent="0.2">
      <c r="A75" s="849" t="s">
        <v>93</v>
      </c>
      <c r="B75" s="849"/>
      <c r="C75" s="849"/>
      <c r="D75" s="849"/>
      <c r="E75" s="849"/>
      <c r="F75" s="849"/>
      <c r="G75" s="849"/>
      <c r="H75" s="849"/>
    </row>
  </sheetData>
  <mergeCells count="22">
    <mergeCell ref="C36:H37"/>
    <mergeCell ref="C52:H52"/>
    <mergeCell ref="A32:H32"/>
    <mergeCell ref="B25:C25"/>
    <mergeCell ref="A29:C29"/>
    <mergeCell ref="A33:G33"/>
    <mergeCell ref="A31:G31"/>
    <mergeCell ref="A75:H75"/>
    <mergeCell ref="A74:H74"/>
    <mergeCell ref="A73:H73"/>
    <mergeCell ref="C46:H50"/>
    <mergeCell ref="C39:H42"/>
    <mergeCell ref="D70:F70"/>
    <mergeCell ref="A16:H20"/>
    <mergeCell ref="B26:C26"/>
    <mergeCell ref="B27:C27"/>
    <mergeCell ref="A34:H34"/>
    <mergeCell ref="A30:H30"/>
    <mergeCell ref="E24:E25"/>
    <mergeCell ref="B28:C28"/>
    <mergeCell ref="B24:C24"/>
    <mergeCell ref="A24:A25"/>
  </mergeCells>
  <printOptions horizontalCentered="1"/>
  <pageMargins left="0.51181102362204722" right="0.43307086614173229" top="1.26" bottom="0.15748031496062992" header="0.27559055118110237" footer="0.27559055118110237"/>
  <pageSetup paperSize="9" scale="5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5">
    <tabColor theme="8" tint="0.79998168889431442"/>
  </sheetPr>
  <dimension ref="A1:O150"/>
  <sheetViews>
    <sheetView view="pageBreakPreview" topLeftCell="A7" zoomScale="70" zoomScaleNormal="100" zoomScaleSheetLayoutView="70" workbookViewId="0">
      <pane xSplit="9" ySplit="3" topLeftCell="J10" activePane="bottomRight" state="frozen"/>
      <selection activeCell="A7" sqref="A7"/>
      <selection pane="topRight" activeCell="J7" sqref="J7"/>
      <selection pane="bottomLeft" activeCell="A10" sqref="A10"/>
      <selection pane="bottomRight" activeCell="O7" sqref="N1:O1048576"/>
    </sheetView>
  </sheetViews>
  <sheetFormatPr defaultRowHeight="14.25" x14ac:dyDescent="0.2"/>
  <cols>
    <col min="1" max="1" width="5.7109375" style="22" customWidth="1"/>
    <col min="2" max="2" width="33" style="22" customWidth="1"/>
    <col min="3" max="3" width="16.85546875" style="22" customWidth="1"/>
    <col min="4" max="4" width="14.140625" style="22" customWidth="1"/>
    <col min="5" max="5" width="17.140625" style="22" customWidth="1"/>
    <col min="6" max="6" width="14.42578125" style="22" hidden="1" customWidth="1"/>
    <col min="7" max="7" width="17.140625" style="23" hidden="1" customWidth="1"/>
    <col min="8" max="8" width="14.42578125" style="23" hidden="1" customWidth="1"/>
    <col min="9" max="9" width="16.85546875" style="23" hidden="1" customWidth="1"/>
    <col min="10" max="10" width="13.5703125" style="22" customWidth="1"/>
    <col min="11" max="11" width="18" style="23" customWidth="1"/>
    <col min="12" max="12" width="13.5703125" style="22" customWidth="1"/>
    <col min="13" max="13" width="18" style="23" customWidth="1"/>
    <col min="14" max="14" width="13.5703125" style="56" customWidth="1"/>
    <col min="15" max="15" width="18" style="56" bestFit="1" customWidth="1"/>
    <col min="16" max="16384" width="9.140625" style="56"/>
  </cols>
  <sheetData>
    <row r="1" spans="1:15" ht="11.25" customHeight="1" x14ac:dyDescent="0.2">
      <c r="A1" s="413" t="s">
        <v>89</v>
      </c>
      <c r="C1" s="19"/>
      <c r="D1" s="19"/>
      <c r="E1" s="19"/>
      <c r="F1" s="19"/>
      <c r="G1" s="20"/>
      <c r="H1" s="20"/>
      <c r="I1" s="20"/>
      <c r="J1" s="19"/>
      <c r="K1" s="20"/>
      <c r="L1" s="19"/>
      <c r="M1" s="20"/>
    </row>
    <row r="2" spans="1:15" ht="11.25" customHeight="1" x14ac:dyDescent="0.2">
      <c r="A2" s="412" t="s">
        <v>100</v>
      </c>
      <c r="B2" s="19"/>
      <c r="C2" s="19"/>
      <c r="D2" s="19"/>
      <c r="E2" s="19"/>
      <c r="F2" s="19"/>
      <c r="G2" s="20"/>
      <c r="H2" s="20"/>
      <c r="I2" s="20"/>
      <c r="J2" s="19"/>
      <c r="K2" s="20"/>
      <c r="L2" s="19"/>
      <c r="M2" s="20"/>
    </row>
    <row r="3" spans="1:15" x14ac:dyDescent="0.2">
      <c r="A3" s="21"/>
    </row>
    <row r="4" spans="1:15" s="57" customFormat="1" x14ac:dyDescent="0.2">
      <c r="A4" s="868" t="s">
        <v>358</v>
      </c>
      <c r="B4" s="868"/>
      <c r="C4" s="868"/>
      <c r="D4" s="868"/>
      <c r="E4" s="868"/>
      <c r="F4" s="868"/>
      <c r="G4" s="868"/>
      <c r="H4" s="523"/>
      <c r="I4" s="523"/>
      <c r="J4" s="107"/>
      <c r="K4" s="107"/>
      <c r="L4" s="108"/>
      <c r="M4" s="108"/>
    </row>
    <row r="5" spans="1:15" s="57" customFormat="1" ht="15.75" customHeight="1" x14ac:dyDescent="0.2">
      <c r="A5" s="868" t="str">
        <f>DADOS!A19</f>
        <v>PLANILHA DE CUSTOS E FORMAÇÃO DE PREÇOS - MME</v>
      </c>
      <c r="B5" s="868"/>
      <c r="C5" s="868"/>
      <c r="D5" s="868"/>
      <c r="E5" s="868"/>
      <c r="F5" s="868"/>
      <c r="G5" s="868"/>
      <c r="H5" s="523"/>
      <c r="I5" s="523"/>
      <c r="J5" s="107"/>
      <c r="K5" s="107"/>
      <c r="L5" s="108"/>
      <c r="M5" s="108"/>
    </row>
    <row r="6" spans="1:15" s="57" customForma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5" s="57" customFormat="1" ht="15.75" customHeight="1" x14ac:dyDescent="0.2">
      <c r="A7" s="37" t="str">
        <f>DADOS!A3&amp;  " " &amp;DADOS!C3</f>
        <v>Processo nº 48000.001766/2016-11</v>
      </c>
      <c r="B7" s="37"/>
      <c r="C7" s="65"/>
      <c r="D7" s="65"/>
      <c r="E7" s="30"/>
      <c r="F7" s="26"/>
      <c r="G7" s="27"/>
      <c r="H7" s="27"/>
      <c r="I7" s="27"/>
      <c r="J7" s="26"/>
      <c r="K7" s="27"/>
      <c r="L7" s="26"/>
      <c r="M7" s="27"/>
    </row>
    <row r="8" spans="1:15" s="57" customFormat="1" ht="15.75" customHeight="1" x14ac:dyDescent="0.2">
      <c r="A8" s="37" t="str">
        <f>DADOS!B8 &amp; " " &amp; DADOS!C8</f>
        <v>Pregão Eletrônico nº 001/2017</v>
      </c>
      <c r="B8" s="37"/>
      <c r="C8" s="64"/>
      <c r="D8" s="64"/>
      <c r="E8" s="30"/>
      <c r="F8" s="26"/>
      <c r="G8" s="27"/>
      <c r="H8" s="27"/>
      <c r="I8" s="27"/>
      <c r="J8" s="26"/>
      <c r="K8" s="27"/>
      <c r="L8" s="26"/>
      <c r="M8" s="27"/>
    </row>
    <row r="9" spans="1:15" s="57" customFormat="1" ht="15.75" customHeight="1" x14ac:dyDescent="0.2">
      <c r="A9" s="28" t="s">
        <v>301</v>
      </c>
      <c r="B9" s="51"/>
      <c r="C9" s="51"/>
      <c r="D9" s="29"/>
      <c r="E9" s="30"/>
      <c r="F9" s="31"/>
      <c r="G9" s="32"/>
      <c r="H9" s="32"/>
      <c r="I9" s="32"/>
      <c r="J9" s="915" t="s">
        <v>427</v>
      </c>
      <c r="K9" s="915"/>
      <c r="L9" s="915"/>
      <c r="M9" s="915"/>
      <c r="N9" s="916" t="s">
        <v>428</v>
      </c>
      <c r="O9" s="917"/>
    </row>
    <row r="10" spans="1:15" s="57" customFormat="1" ht="88.5" customHeight="1" thickBot="1" x14ac:dyDescent="0.25">
      <c r="A10" s="33"/>
      <c r="B10" s="33"/>
      <c r="C10" s="33"/>
      <c r="D10" s="25"/>
      <c r="E10" s="30"/>
      <c r="F10" s="31"/>
      <c r="G10" s="32"/>
      <c r="H10" s="32"/>
      <c r="I10" s="32"/>
      <c r="J10" s="858" t="s">
        <v>418</v>
      </c>
      <c r="K10" s="858"/>
      <c r="L10" s="858" t="s">
        <v>429</v>
      </c>
      <c r="M10" s="858"/>
      <c r="N10" s="858" t="s">
        <v>432</v>
      </c>
      <c r="O10" s="858"/>
    </row>
    <row r="11" spans="1:15" s="57" customFormat="1" ht="42" customHeight="1" thickBot="1" x14ac:dyDescent="0.25">
      <c r="A11" s="870" t="s">
        <v>138</v>
      </c>
      <c r="B11" s="875"/>
      <c r="C11" s="875"/>
      <c r="D11" s="875"/>
      <c r="E11" s="865"/>
      <c r="F11" s="876" t="s">
        <v>416</v>
      </c>
      <c r="G11" s="877"/>
      <c r="H11" s="906" t="s">
        <v>414</v>
      </c>
      <c r="I11" s="907"/>
      <c r="J11" s="919" t="s">
        <v>402</v>
      </c>
      <c r="K11" s="861"/>
      <c r="L11" s="861" t="s">
        <v>403</v>
      </c>
      <c r="M11" s="861"/>
      <c r="N11" s="861" t="s">
        <v>403</v>
      </c>
      <c r="O11" s="861"/>
    </row>
    <row r="12" spans="1:15" s="57" customFormat="1" ht="15.75" customHeight="1" x14ac:dyDescent="0.2">
      <c r="A12" s="414" t="s">
        <v>1</v>
      </c>
      <c r="B12" s="415" t="s">
        <v>134</v>
      </c>
      <c r="C12" s="415"/>
      <c r="D12" s="416"/>
      <c r="E12" s="417"/>
      <c r="F12" s="860">
        <f>DADOS!C4</f>
        <v>42788</v>
      </c>
      <c r="G12" s="912"/>
      <c r="H12" s="908">
        <v>43158</v>
      </c>
      <c r="I12" s="909"/>
      <c r="J12" s="863"/>
      <c r="K12" s="862"/>
      <c r="L12" s="860"/>
      <c r="M12" s="862"/>
      <c r="N12" s="860"/>
      <c r="O12" s="862"/>
    </row>
    <row r="13" spans="1:15" s="57" customFormat="1" ht="15.75" customHeight="1" x14ac:dyDescent="0.2">
      <c r="A13" s="414" t="s">
        <v>2</v>
      </c>
      <c r="B13" s="416" t="s">
        <v>3</v>
      </c>
      <c r="C13" s="416"/>
      <c r="D13" s="416"/>
      <c r="E13" s="418"/>
      <c r="F13" s="860" t="str">
        <f>DADOS!C5</f>
        <v>Brasília - DF</v>
      </c>
      <c r="G13" s="912"/>
      <c r="H13" s="904" t="s">
        <v>44</v>
      </c>
      <c r="I13" s="910"/>
      <c r="J13" s="863" t="str">
        <f>DADOS!C5</f>
        <v>Brasília - DF</v>
      </c>
      <c r="K13" s="862"/>
      <c r="L13" s="863">
        <f>DADOS!E5</f>
        <v>0</v>
      </c>
      <c r="M13" s="862"/>
      <c r="N13" s="863">
        <f>DADOS!I5</f>
        <v>0</v>
      </c>
      <c r="O13" s="862"/>
    </row>
    <row r="14" spans="1:15" s="57" customFormat="1" ht="15" customHeight="1" x14ac:dyDescent="0.2">
      <c r="A14" s="885" t="s">
        <v>4</v>
      </c>
      <c r="B14" s="886" t="s">
        <v>133</v>
      </c>
      <c r="C14" s="886"/>
      <c r="D14" s="886"/>
      <c r="E14" s="886"/>
      <c r="F14" s="862" t="str">
        <f>DADOS!H82</f>
        <v>SINDESV/SINDESP-DF</v>
      </c>
      <c r="G14" s="912"/>
      <c r="H14" s="911" t="s">
        <v>69</v>
      </c>
      <c r="I14" s="910"/>
      <c r="J14" s="920" t="s">
        <v>69</v>
      </c>
      <c r="K14" s="862"/>
      <c r="L14" s="862" t="s">
        <v>69</v>
      </c>
      <c r="M14" s="862"/>
      <c r="N14" s="862" t="s">
        <v>69</v>
      </c>
      <c r="O14" s="862"/>
    </row>
    <row r="15" spans="1:15" s="57" customFormat="1" ht="15" customHeight="1" x14ac:dyDescent="0.2">
      <c r="A15" s="885"/>
      <c r="B15" s="886"/>
      <c r="C15" s="886"/>
      <c r="D15" s="886"/>
      <c r="E15" s="886"/>
      <c r="F15" s="862" t="str">
        <f>DADOS!C11</f>
        <v>2016/2016</v>
      </c>
      <c r="G15" s="912"/>
      <c r="H15" s="911" t="s">
        <v>156</v>
      </c>
      <c r="I15" s="910"/>
      <c r="J15" s="921" t="s">
        <v>397</v>
      </c>
      <c r="K15" s="864"/>
      <c r="L15" s="864" t="s">
        <v>397</v>
      </c>
      <c r="M15" s="864"/>
      <c r="N15" s="918" t="s">
        <v>397</v>
      </c>
      <c r="O15" s="918"/>
    </row>
    <row r="16" spans="1:15" s="57" customFormat="1" ht="15" customHeight="1" x14ac:dyDescent="0.2">
      <c r="A16" s="414" t="s">
        <v>5</v>
      </c>
      <c r="B16" s="415" t="s">
        <v>135</v>
      </c>
      <c r="C16" s="415"/>
      <c r="D16" s="416"/>
      <c r="E16" s="418"/>
      <c r="F16" s="862">
        <f>DADOS!C13</f>
        <v>12</v>
      </c>
      <c r="G16" s="912"/>
      <c r="H16" s="911">
        <v>12</v>
      </c>
      <c r="I16" s="910"/>
      <c r="J16" s="920">
        <f>DADOS!C13</f>
        <v>12</v>
      </c>
      <c r="K16" s="862"/>
      <c r="L16" s="862">
        <f>DADOS!E13</f>
        <v>0</v>
      </c>
      <c r="M16" s="862"/>
      <c r="N16" s="862">
        <f>DADOS!I13</f>
        <v>0</v>
      </c>
      <c r="O16" s="862"/>
    </row>
    <row r="17" spans="1:15" s="57" customFormat="1" ht="16.5" customHeight="1" x14ac:dyDescent="0.2">
      <c r="A17" s="866" t="s">
        <v>117</v>
      </c>
      <c r="B17" s="866"/>
      <c r="C17" s="866"/>
      <c r="D17" s="866"/>
      <c r="E17" s="866"/>
      <c r="F17" s="866"/>
      <c r="G17" s="870"/>
      <c r="H17" s="567"/>
      <c r="I17" s="568"/>
      <c r="J17" s="544"/>
      <c r="K17" s="422"/>
      <c r="L17" s="422"/>
      <c r="M17" s="422"/>
      <c r="N17" s="652"/>
      <c r="O17" s="652"/>
    </row>
    <row r="18" spans="1:15" s="57" customFormat="1" ht="34.5" customHeight="1" x14ac:dyDescent="0.2">
      <c r="A18" s="423">
        <v>1</v>
      </c>
      <c r="B18" s="871" t="s">
        <v>101</v>
      </c>
      <c r="C18" s="871"/>
      <c r="D18" s="871"/>
      <c r="E18" s="424" t="s">
        <v>132</v>
      </c>
      <c r="F18" s="424" t="s">
        <v>95</v>
      </c>
      <c r="G18" s="525" t="s">
        <v>137</v>
      </c>
      <c r="H18" s="569" t="s">
        <v>95</v>
      </c>
      <c r="I18" s="570" t="s">
        <v>137</v>
      </c>
      <c r="J18" s="545" t="s">
        <v>95</v>
      </c>
      <c r="K18" s="424" t="s">
        <v>137</v>
      </c>
      <c r="L18" s="424" t="s">
        <v>95</v>
      </c>
      <c r="M18" s="424" t="s">
        <v>137</v>
      </c>
      <c r="N18" s="656" t="s">
        <v>95</v>
      </c>
      <c r="O18" s="656" t="s">
        <v>137</v>
      </c>
    </row>
    <row r="19" spans="1:15" s="57" customFormat="1" ht="29.25" customHeight="1" x14ac:dyDescent="0.2">
      <c r="A19" s="423" t="s">
        <v>136</v>
      </c>
      <c r="B19" s="871" t="s">
        <v>310</v>
      </c>
      <c r="C19" s="871"/>
      <c r="D19" s="871"/>
      <c r="E19" s="424" t="str">
        <f>DADOS!C12</f>
        <v>Posto de Serviço</v>
      </c>
      <c r="F19" s="425">
        <f>DADOS!J73</f>
        <v>1</v>
      </c>
      <c r="G19" s="526">
        <f>DADOS!L73</f>
        <v>1</v>
      </c>
      <c r="H19" s="646">
        <v>2</v>
      </c>
      <c r="I19" s="647">
        <v>2</v>
      </c>
      <c r="J19" s="546">
        <f>DADOS!L73</f>
        <v>1</v>
      </c>
      <c r="K19" s="425">
        <f>DADOS!L73</f>
        <v>1</v>
      </c>
      <c r="L19" s="473">
        <v>2</v>
      </c>
      <c r="M19" s="473">
        <v>2</v>
      </c>
      <c r="N19" s="473">
        <v>2</v>
      </c>
      <c r="O19" s="473">
        <v>2</v>
      </c>
    </row>
    <row r="20" spans="1:15" s="57" customFormat="1" ht="14.25" customHeight="1" x14ac:dyDescent="0.2">
      <c r="A20" s="414"/>
      <c r="B20" s="414"/>
      <c r="C20" s="414"/>
      <c r="D20" s="414"/>
      <c r="E20" s="414"/>
      <c r="F20" s="664">
        <v>1</v>
      </c>
      <c r="G20" s="527"/>
      <c r="H20" s="571"/>
      <c r="I20" s="572"/>
      <c r="J20" s="547">
        <v>1</v>
      </c>
      <c r="K20" s="427"/>
      <c r="L20" s="426">
        <v>1</v>
      </c>
      <c r="M20" s="427"/>
      <c r="N20" s="426">
        <v>1</v>
      </c>
      <c r="O20" s="427"/>
    </row>
    <row r="21" spans="1:15" s="57" customFormat="1" ht="14.25" customHeight="1" x14ac:dyDescent="0.2">
      <c r="A21" s="895" t="s">
        <v>309</v>
      </c>
      <c r="B21" s="896"/>
      <c r="C21" s="896"/>
      <c r="D21" s="896"/>
      <c r="E21" s="896"/>
      <c r="F21" s="896"/>
      <c r="G21" s="896"/>
      <c r="H21" s="573"/>
      <c r="I21" s="574"/>
      <c r="J21" s="548"/>
      <c r="K21" s="471"/>
      <c r="L21" s="428"/>
      <c r="M21" s="428"/>
      <c r="N21" s="651"/>
      <c r="O21" s="651"/>
    </row>
    <row r="22" spans="1:15" s="57" customFormat="1" ht="14.25" customHeight="1" x14ac:dyDescent="0.2">
      <c r="A22" s="866" t="s">
        <v>118</v>
      </c>
      <c r="B22" s="866"/>
      <c r="C22" s="866"/>
      <c r="D22" s="866"/>
      <c r="E22" s="866"/>
      <c r="F22" s="866"/>
      <c r="G22" s="870"/>
      <c r="H22" s="567"/>
      <c r="I22" s="568"/>
      <c r="J22" s="524"/>
      <c r="K22" s="429"/>
      <c r="L22" s="429"/>
      <c r="M22" s="429"/>
      <c r="N22" s="650"/>
      <c r="O22" s="650"/>
    </row>
    <row r="23" spans="1:15" s="57" customFormat="1" ht="15" customHeight="1" x14ac:dyDescent="0.2">
      <c r="A23" s="866" t="s">
        <v>182</v>
      </c>
      <c r="B23" s="866"/>
      <c r="C23" s="866"/>
      <c r="D23" s="866"/>
      <c r="E23" s="866"/>
      <c r="F23" s="866"/>
      <c r="G23" s="870"/>
      <c r="H23" s="567"/>
      <c r="I23" s="568"/>
      <c r="J23" s="524"/>
      <c r="K23" s="429"/>
      <c r="L23" s="429"/>
      <c r="M23" s="429"/>
      <c r="N23" s="650"/>
      <c r="O23" s="650"/>
    </row>
    <row r="24" spans="1:15" s="57" customFormat="1" ht="33" customHeight="1" x14ac:dyDescent="0.2">
      <c r="A24" s="414">
        <v>1</v>
      </c>
      <c r="B24" s="872" t="s">
        <v>101</v>
      </c>
      <c r="C24" s="872"/>
      <c r="D24" s="872"/>
      <c r="E24" s="872"/>
      <c r="F24" s="866" t="str">
        <f>B19</f>
        <v>Supervisor Diurno Desarmado - 44 h./semana</v>
      </c>
      <c r="G24" s="870"/>
      <c r="H24" s="898" t="s">
        <v>310</v>
      </c>
      <c r="I24" s="899"/>
      <c r="J24" s="865" t="s">
        <v>310</v>
      </c>
      <c r="K24" s="866"/>
      <c r="L24" s="865" t="s">
        <v>310</v>
      </c>
      <c r="M24" s="866"/>
      <c r="N24" s="865" t="s">
        <v>310</v>
      </c>
      <c r="O24" s="866"/>
    </row>
    <row r="25" spans="1:15" s="57" customFormat="1" ht="16.5" customHeight="1" x14ac:dyDescent="0.2">
      <c r="A25" s="414">
        <v>2</v>
      </c>
      <c r="B25" s="872" t="s">
        <v>102</v>
      </c>
      <c r="C25" s="872"/>
      <c r="D25" s="872"/>
      <c r="E25" s="872"/>
      <c r="F25" s="873">
        <f>DADOS!M73</f>
        <v>2264.96</v>
      </c>
      <c r="G25" s="874"/>
      <c r="H25" s="900">
        <v>2264.96</v>
      </c>
      <c r="I25" s="901"/>
      <c r="J25" s="914">
        <f>DADOS!M93</f>
        <v>2413.9899999999998</v>
      </c>
      <c r="K25" s="867"/>
      <c r="L25" s="867">
        <v>2413.9899999999998</v>
      </c>
      <c r="M25" s="867"/>
      <c r="N25" s="913">
        <v>2463.9499999999998</v>
      </c>
      <c r="O25" s="913"/>
    </row>
    <row r="26" spans="1:15" s="57" customFormat="1" ht="44.25" customHeight="1" x14ac:dyDescent="0.2">
      <c r="A26" s="414">
        <v>3</v>
      </c>
      <c r="B26" s="872" t="s">
        <v>10</v>
      </c>
      <c r="C26" s="872"/>
      <c r="D26" s="872"/>
      <c r="E26" s="872"/>
      <c r="F26" s="859" t="str">
        <f>DADOS!H73</f>
        <v>Supervisor Diurno Desarmado - 44hs semanais envolvendo 1 (um) funcionário</v>
      </c>
      <c r="G26" s="878"/>
      <c r="H26" s="902" t="s">
        <v>415</v>
      </c>
      <c r="I26" s="903"/>
      <c r="J26" s="897" t="str">
        <f>DADOS!H73</f>
        <v>Supervisor Diurno Desarmado - 44hs semanais envolvendo 1 (um) funcionário</v>
      </c>
      <c r="K26" s="859"/>
      <c r="L26" s="859"/>
      <c r="M26" s="859"/>
      <c r="N26" s="859"/>
      <c r="O26" s="859"/>
    </row>
    <row r="27" spans="1:15" s="57" customFormat="1" ht="16.5" customHeight="1" x14ac:dyDescent="0.2">
      <c r="A27" s="414">
        <v>4</v>
      </c>
      <c r="B27" s="872" t="s">
        <v>11</v>
      </c>
      <c r="C27" s="872"/>
      <c r="D27" s="872"/>
      <c r="E27" s="872"/>
      <c r="F27" s="860" t="str">
        <f>DADOS!M82</f>
        <v>1º de Janeiro</v>
      </c>
      <c r="G27" s="879"/>
      <c r="H27" s="904" t="s">
        <v>311</v>
      </c>
      <c r="I27" s="905"/>
      <c r="J27" s="863" t="str">
        <f>DADOS!M82</f>
        <v>1º de Janeiro</v>
      </c>
      <c r="K27" s="860"/>
      <c r="L27" s="860" t="str">
        <f>DADOS!M82</f>
        <v>1º de Janeiro</v>
      </c>
      <c r="M27" s="860"/>
      <c r="N27" s="860" t="s">
        <v>311</v>
      </c>
      <c r="O27" s="860"/>
    </row>
    <row r="28" spans="1:15" s="57" customFormat="1" x14ac:dyDescent="0.2">
      <c r="A28" s="421"/>
      <c r="B28" s="421"/>
      <c r="C28" s="421"/>
      <c r="D28" s="421"/>
      <c r="E28" s="421"/>
      <c r="F28" s="421"/>
      <c r="G28" s="472"/>
      <c r="H28" s="575"/>
      <c r="I28" s="576"/>
      <c r="J28" s="549"/>
      <c r="K28" s="414"/>
      <c r="L28" s="421"/>
      <c r="M28" s="414"/>
      <c r="N28" s="421"/>
      <c r="O28" s="653"/>
    </row>
    <row r="29" spans="1:15" s="58" customFormat="1" x14ac:dyDescent="0.2">
      <c r="A29" s="866" t="s">
        <v>36</v>
      </c>
      <c r="B29" s="866"/>
      <c r="C29" s="866"/>
      <c r="D29" s="866"/>
      <c r="E29" s="866"/>
      <c r="F29" s="866"/>
      <c r="G29" s="870"/>
      <c r="H29" s="567"/>
      <c r="I29" s="568"/>
      <c r="J29" s="524"/>
      <c r="K29" s="429"/>
      <c r="L29" s="429"/>
      <c r="M29" s="429"/>
      <c r="N29" s="650"/>
      <c r="O29" s="650"/>
    </row>
    <row r="30" spans="1:15" s="57" customFormat="1" ht="18" customHeight="1" x14ac:dyDescent="0.2">
      <c r="A30" s="428">
        <v>1</v>
      </c>
      <c r="B30" s="880" t="s">
        <v>104</v>
      </c>
      <c r="C30" s="880"/>
      <c r="D30" s="880"/>
      <c r="E30" s="880"/>
      <c r="F30" s="428" t="s">
        <v>13</v>
      </c>
      <c r="G30" s="521" t="s">
        <v>141</v>
      </c>
      <c r="H30" s="573" t="s">
        <v>13</v>
      </c>
      <c r="I30" s="577" t="s">
        <v>141</v>
      </c>
      <c r="J30" s="522" t="s">
        <v>13</v>
      </c>
      <c r="K30" s="428" t="s">
        <v>141</v>
      </c>
      <c r="L30" s="428" t="s">
        <v>13</v>
      </c>
      <c r="M30" s="428" t="s">
        <v>141</v>
      </c>
      <c r="N30" s="651" t="s">
        <v>13</v>
      </c>
      <c r="O30" s="651" t="s">
        <v>141</v>
      </c>
    </row>
    <row r="31" spans="1:15" s="57" customFormat="1" x14ac:dyDescent="0.2">
      <c r="A31" s="430" t="s">
        <v>1</v>
      </c>
      <c r="B31" s="415" t="s">
        <v>181</v>
      </c>
      <c r="C31" s="415"/>
      <c r="D31" s="415"/>
      <c r="E31" s="415"/>
      <c r="F31" s="431"/>
      <c r="G31" s="528">
        <f>$F$25*F20</f>
        <v>2264.96</v>
      </c>
      <c r="H31" s="578"/>
      <c r="I31" s="579">
        <f>$H$25</f>
        <v>2264.96</v>
      </c>
      <c r="J31" s="550"/>
      <c r="K31" s="432">
        <f>$J$25*J20</f>
        <v>2413.9899999999998</v>
      </c>
      <c r="L31" s="431"/>
      <c r="M31" s="432">
        <f>$L$25*L20</f>
        <v>2413.9899999999998</v>
      </c>
      <c r="N31" s="431"/>
      <c r="O31" s="432">
        <f>N25</f>
        <v>2463.9499999999998</v>
      </c>
    </row>
    <row r="32" spans="1:15" s="57" customFormat="1" x14ac:dyDescent="0.2">
      <c r="A32" s="430" t="s">
        <v>2</v>
      </c>
      <c r="B32" s="415" t="str">
        <f>DADOS!A26</f>
        <v>Adicional Motorizado - Cláusula 3ª, alínea "f" da CCT</v>
      </c>
      <c r="C32" s="415"/>
      <c r="D32" s="415"/>
      <c r="E32" s="415"/>
      <c r="F32" s="431">
        <f>DADOS!D26</f>
        <v>0.1</v>
      </c>
      <c r="G32" s="529"/>
      <c r="H32" s="578">
        <f>DADOS!F26</f>
        <v>0</v>
      </c>
      <c r="I32" s="580"/>
      <c r="J32" s="550">
        <f>DADOS!F26</f>
        <v>0</v>
      </c>
      <c r="K32" s="433"/>
      <c r="L32" s="431">
        <f>DADOS!H26</f>
        <v>0</v>
      </c>
      <c r="M32" s="433"/>
      <c r="N32" s="431">
        <f>DADOS!L26</f>
        <v>0</v>
      </c>
      <c r="O32" s="433"/>
    </row>
    <row r="33" spans="1:15" s="57" customFormat="1" ht="31.5" customHeight="1" x14ac:dyDescent="0.2">
      <c r="A33" s="430" t="s">
        <v>2</v>
      </c>
      <c r="B33" s="869" t="str">
        <f>DADOS!A25</f>
        <v>Adicional de Periculosidade/Risco de Vida - (Lei nº 12.740/2012 e Cláusula 3ª § 4º da CCT/2016)</v>
      </c>
      <c r="C33" s="869"/>
      <c r="D33" s="869"/>
      <c r="E33" s="869"/>
      <c r="F33" s="431">
        <f>DADOS!D25</f>
        <v>0.3</v>
      </c>
      <c r="G33" s="530">
        <f>(G31+G32)*F33</f>
        <v>679.49</v>
      </c>
      <c r="H33" s="578">
        <v>0.3</v>
      </c>
      <c r="I33" s="581">
        <f>(I31+I32)*H33</f>
        <v>679.49</v>
      </c>
      <c r="J33" s="550">
        <f>DADOS!D25</f>
        <v>0.3</v>
      </c>
      <c r="K33" s="435">
        <f>(K31+K32)*J33</f>
        <v>724.2</v>
      </c>
      <c r="L33" s="431">
        <f>DADOS!D25</f>
        <v>0.3</v>
      </c>
      <c r="M33" s="435">
        <f>(M31+M32)*L33</f>
        <v>724.2</v>
      </c>
      <c r="N33" s="431">
        <v>0.3</v>
      </c>
      <c r="O33" s="435">
        <f>(O31+O32)*N33</f>
        <v>739.19</v>
      </c>
    </row>
    <row r="34" spans="1:15" s="57" customFormat="1" x14ac:dyDescent="0.2">
      <c r="A34" s="430" t="s">
        <v>4</v>
      </c>
      <c r="B34" s="416" t="s">
        <v>312</v>
      </c>
      <c r="C34" s="416"/>
      <c r="D34" s="416"/>
      <c r="E34" s="416"/>
      <c r="F34" s="431"/>
      <c r="G34" s="530"/>
      <c r="H34" s="582"/>
      <c r="I34" s="581"/>
      <c r="J34" s="550"/>
      <c r="K34" s="435"/>
      <c r="L34" s="431"/>
      <c r="M34" s="435"/>
      <c r="N34" s="431"/>
      <c r="O34" s="435"/>
    </row>
    <row r="35" spans="1:15" s="57" customFormat="1" x14ac:dyDescent="0.2">
      <c r="A35" s="430" t="s">
        <v>5</v>
      </c>
      <c r="B35" s="415" t="str">
        <f>DADOS!A24</f>
        <v>Adicional Noturno - Cláusula 49ª da CCT/2016</v>
      </c>
      <c r="C35" s="415"/>
      <c r="D35" s="415"/>
      <c r="E35" s="415"/>
      <c r="F35" s="436">
        <f>DADOS!D24</f>
        <v>0.2</v>
      </c>
      <c r="G35" s="530"/>
      <c r="H35" s="582"/>
      <c r="I35" s="581"/>
      <c r="J35" s="551">
        <f>DADOS!F24</f>
        <v>0</v>
      </c>
      <c r="K35" s="435"/>
      <c r="L35" s="436">
        <f>DADOS!H24</f>
        <v>0</v>
      </c>
      <c r="M35" s="435"/>
      <c r="N35" s="436">
        <f>DADOS!L24</f>
        <v>20.5</v>
      </c>
      <c r="O35" s="435"/>
    </row>
    <row r="36" spans="1:15" s="57" customFormat="1" x14ac:dyDescent="0.2">
      <c r="A36" s="430" t="s">
        <v>6</v>
      </c>
      <c r="B36" s="415" t="s">
        <v>24</v>
      </c>
      <c r="C36" s="415"/>
      <c r="D36" s="415"/>
      <c r="E36" s="415"/>
      <c r="F36" s="431"/>
      <c r="G36" s="530"/>
      <c r="H36" s="582"/>
      <c r="I36" s="581"/>
      <c r="J36" s="550"/>
      <c r="K36" s="435"/>
      <c r="L36" s="431"/>
      <c r="M36" s="435"/>
      <c r="N36" s="431"/>
      <c r="O36" s="435"/>
    </row>
    <row r="37" spans="1:15" s="57" customFormat="1" x14ac:dyDescent="0.2">
      <c r="A37" s="430" t="s">
        <v>7</v>
      </c>
      <c r="B37" s="415" t="s">
        <v>105</v>
      </c>
      <c r="C37" s="415"/>
      <c r="D37" s="415"/>
      <c r="E37" s="415"/>
      <c r="F37" s="431"/>
      <c r="G37" s="530"/>
      <c r="H37" s="582"/>
      <c r="I37" s="581"/>
      <c r="J37" s="550"/>
      <c r="K37" s="435"/>
      <c r="L37" s="431"/>
      <c r="M37" s="435"/>
      <c r="N37" s="431"/>
      <c r="O37" s="435"/>
    </row>
    <row r="38" spans="1:15" s="57" customFormat="1" ht="28.5" customHeight="1" x14ac:dyDescent="0.2">
      <c r="A38" s="430" t="s">
        <v>8</v>
      </c>
      <c r="B38" s="869" t="str">
        <f>DADOS!A27</f>
        <v>Intervalo Intrajornada - {[(Salário Base + Adicionais) ÷ 220] x 1,50 (hora extra acrescida de 50%) x 20,5 dias) - NÃO SE APLICA</v>
      </c>
      <c r="C38" s="869"/>
      <c r="D38" s="869"/>
      <c r="E38" s="869"/>
      <c r="F38" s="437">
        <f>DADOS!D27</f>
        <v>1.5</v>
      </c>
      <c r="G38" s="530"/>
      <c r="H38" s="582"/>
      <c r="I38" s="581"/>
      <c r="J38" s="552">
        <f>DADOS!F27</f>
        <v>0</v>
      </c>
      <c r="K38" s="435"/>
      <c r="L38" s="437">
        <f>DADOS!H27</f>
        <v>0</v>
      </c>
      <c r="M38" s="435"/>
      <c r="N38" s="437">
        <f>DADOS!L27</f>
        <v>0</v>
      </c>
      <c r="O38" s="435"/>
    </row>
    <row r="39" spans="1:15" s="57" customFormat="1" ht="48" customHeight="1" x14ac:dyDescent="0.2">
      <c r="A39" s="430" t="s">
        <v>9</v>
      </c>
      <c r="B39" s="869" t="s">
        <v>361</v>
      </c>
      <c r="C39" s="869"/>
      <c r="D39" s="869"/>
      <c r="E39" s="869"/>
      <c r="F39" s="431"/>
      <c r="G39" s="530"/>
      <c r="H39" s="582"/>
      <c r="I39" s="581"/>
      <c r="J39" s="550"/>
      <c r="K39" s="435"/>
      <c r="L39" s="431"/>
      <c r="M39" s="435"/>
      <c r="N39" s="431"/>
      <c r="O39" s="435"/>
    </row>
    <row r="40" spans="1:15" s="57" customFormat="1" ht="18.75" customHeight="1" x14ac:dyDescent="0.2">
      <c r="A40" s="438"/>
      <c r="B40" s="883" t="s">
        <v>139</v>
      </c>
      <c r="C40" s="883"/>
      <c r="D40" s="883"/>
      <c r="E40" s="883"/>
      <c r="F40" s="883"/>
      <c r="G40" s="531">
        <f>SUM(G31:G39)</f>
        <v>2944.45</v>
      </c>
      <c r="H40" s="583"/>
      <c r="I40" s="584">
        <f>SUM(I31:I39)</f>
        <v>2944.45</v>
      </c>
      <c r="J40" s="553"/>
      <c r="K40" s="439">
        <f>SUM(K31:K39)</f>
        <v>3138.19</v>
      </c>
      <c r="L40" s="439"/>
      <c r="M40" s="439">
        <f>SUM(M31:M39)</f>
        <v>3138.19</v>
      </c>
      <c r="N40" s="439"/>
      <c r="O40" s="439">
        <f>SUM(O31:O39)</f>
        <v>3203.14</v>
      </c>
    </row>
    <row r="41" spans="1:15" s="60" customFormat="1" x14ac:dyDescent="0.2">
      <c r="A41" s="414"/>
      <c r="B41" s="416"/>
      <c r="C41" s="416"/>
      <c r="D41" s="416"/>
      <c r="E41" s="416"/>
      <c r="F41" s="440"/>
      <c r="G41" s="532"/>
      <c r="H41" s="585"/>
      <c r="I41" s="586"/>
      <c r="J41" s="554"/>
      <c r="K41" s="441"/>
      <c r="L41" s="440"/>
      <c r="M41" s="441"/>
      <c r="N41" s="440"/>
      <c r="O41" s="441"/>
    </row>
    <row r="42" spans="1:15" s="57" customFormat="1" ht="15" customHeight="1" x14ac:dyDescent="0.2">
      <c r="A42" s="866" t="s">
        <v>37</v>
      </c>
      <c r="B42" s="866"/>
      <c r="C42" s="866"/>
      <c r="D42" s="866"/>
      <c r="E42" s="866"/>
      <c r="F42" s="866"/>
      <c r="G42" s="870"/>
      <c r="H42" s="567"/>
      <c r="I42" s="568"/>
      <c r="J42" s="524"/>
      <c r="K42" s="429"/>
      <c r="L42" s="429"/>
      <c r="M42" s="429"/>
      <c r="N42" s="650"/>
      <c r="O42" s="650"/>
    </row>
    <row r="43" spans="1:15" s="57" customFormat="1" ht="18" customHeight="1" x14ac:dyDescent="0.2">
      <c r="A43" s="429">
        <v>2</v>
      </c>
      <c r="B43" s="884" t="s">
        <v>25</v>
      </c>
      <c r="C43" s="884"/>
      <c r="D43" s="884"/>
      <c r="E43" s="884"/>
      <c r="F43" s="428" t="s">
        <v>13</v>
      </c>
      <c r="G43" s="521" t="s">
        <v>141</v>
      </c>
      <c r="H43" s="573" t="s">
        <v>13</v>
      </c>
      <c r="I43" s="577"/>
      <c r="J43" s="522" t="s">
        <v>13</v>
      </c>
      <c r="K43" s="428" t="s">
        <v>141</v>
      </c>
      <c r="L43" s="428" t="s">
        <v>13</v>
      </c>
      <c r="M43" s="428" t="s">
        <v>141</v>
      </c>
      <c r="N43" s="651" t="s">
        <v>13</v>
      </c>
      <c r="O43" s="651" t="s">
        <v>141</v>
      </c>
    </row>
    <row r="44" spans="1:15" s="57" customFormat="1" x14ac:dyDescent="0.2">
      <c r="A44" s="885" t="s">
        <v>1</v>
      </c>
      <c r="B44" s="886" t="str">
        <f>DADOS!A33</f>
        <v>Transporte [(R$ 5,00) x 2] x 20,5 dias - Cláusula 13ª da CCT/2016</v>
      </c>
      <c r="C44" s="886"/>
      <c r="D44" s="886"/>
      <c r="E44" s="886"/>
      <c r="F44" s="442">
        <f>DADOS!F33</f>
        <v>10</v>
      </c>
      <c r="G44" s="533">
        <f>(F44*DADOS!L24*$F$20)</f>
        <v>205</v>
      </c>
      <c r="H44" s="587"/>
      <c r="I44" s="588">
        <f>5*2*20.5</f>
        <v>205</v>
      </c>
      <c r="J44" s="555">
        <f>DADOS!H33</f>
        <v>0</v>
      </c>
      <c r="K44" s="443">
        <f>(F44*DADOS!L24*$F$20)</f>
        <v>205</v>
      </c>
      <c r="L44" s="442">
        <f>DADOS!J33</f>
        <v>0</v>
      </c>
      <c r="M44" s="443">
        <f>(F44*DADOS!L24*$F$20)</f>
        <v>205</v>
      </c>
      <c r="N44" s="442">
        <f>DADOS!N33</f>
        <v>0</v>
      </c>
      <c r="O44" s="443">
        <f>(5*2*20.5)</f>
        <v>205</v>
      </c>
    </row>
    <row r="45" spans="1:15" s="57" customFormat="1" x14ac:dyDescent="0.2">
      <c r="A45" s="885"/>
      <c r="B45" s="886" t="s">
        <v>106</v>
      </c>
      <c r="C45" s="886"/>
      <c r="D45" s="886"/>
      <c r="E45" s="886"/>
      <c r="F45" s="444">
        <f>DADOS!F35</f>
        <v>0.06</v>
      </c>
      <c r="G45" s="534">
        <f>-MIN(G44,(F45*G31))</f>
        <v>-135.9</v>
      </c>
      <c r="H45" s="589">
        <v>0.06</v>
      </c>
      <c r="I45" s="590">
        <f>-MIN(I44,(H45*I31))</f>
        <v>-135.9</v>
      </c>
      <c r="J45" s="556">
        <f>DADOS!F35</f>
        <v>0.06</v>
      </c>
      <c r="K45" s="445">
        <f>-MIN(K44,(J45*K31))</f>
        <v>-144.84</v>
      </c>
      <c r="L45" s="444">
        <f>DADOS!F35</f>
        <v>0.06</v>
      </c>
      <c r="M45" s="445">
        <f>-MIN(M44,(L45*M31))</f>
        <v>-144.84</v>
      </c>
      <c r="N45" s="444">
        <v>0.06</v>
      </c>
      <c r="O45" s="445">
        <f>-MIN(O44,(N45*O31))</f>
        <v>-147.84</v>
      </c>
    </row>
    <row r="46" spans="1:15" s="57" customFormat="1" ht="29.25" customHeight="1" x14ac:dyDescent="0.2">
      <c r="A46" s="887" t="s">
        <v>2</v>
      </c>
      <c r="B46" s="869" t="str">
        <f>DADOS!A37</f>
        <v xml:space="preserve">Auxílio alimentação (Tiquete refeição de R$ 32,00 x 20,5 dias efetivamente trabalhados) - Cláusula 12ª da CCT/2016 </v>
      </c>
      <c r="C46" s="869"/>
      <c r="D46" s="869"/>
      <c r="E46" s="869"/>
      <c r="F46" s="442">
        <f>DADOS!F37</f>
        <v>32</v>
      </c>
      <c r="G46" s="533">
        <f>(F46*DADOS!L24)*$F$20</f>
        <v>656</v>
      </c>
      <c r="H46" s="587"/>
      <c r="I46" s="588">
        <f>32*20.5</f>
        <v>656</v>
      </c>
      <c r="J46" s="555">
        <f>DADOS!H37</f>
        <v>0</v>
      </c>
      <c r="K46" s="446">
        <f>34.11*20.5</f>
        <v>699.26</v>
      </c>
      <c r="L46" s="442">
        <f>DADOS!J37</f>
        <v>0</v>
      </c>
      <c r="M46" s="446">
        <f>34.11*20.5</f>
        <v>699.26</v>
      </c>
      <c r="N46" s="442">
        <f>DADOS!N37</f>
        <v>0</v>
      </c>
      <c r="O46" s="645">
        <f>34.84*20.5</f>
        <v>714.22</v>
      </c>
    </row>
    <row r="47" spans="1:15" s="682" customFormat="1" ht="29.25" customHeight="1" x14ac:dyDescent="0.2">
      <c r="A47" s="888"/>
      <c r="B47" s="889" t="s">
        <v>430</v>
      </c>
      <c r="C47" s="890"/>
      <c r="D47" s="890"/>
      <c r="E47" s="891"/>
      <c r="F47" s="674"/>
      <c r="G47" s="675"/>
      <c r="H47" s="676"/>
      <c r="I47" s="677"/>
      <c r="J47" s="678"/>
      <c r="K47" s="679"/>
      <c r="L47" s="674"/>
      <c r="M47" s="680"/>
      <c r="N47" s="674"/>
      <c r="O47" s="681">
        <f>-20.5*0.03</f>
        <v>-0.62</v>
      </c>
    </row>
    <row r="48" spans="1:15" s="57" customFormat="1" ht="28.5" customHeight="1" x14ac:dyDescent="0.2">
      <c r="A48" s="414" t="s">
        <v>4</v>
      </c>
      <c r="B48" s="882" t="str">
        <f>DADOS!A46</f>
        <v>Auxílio Saúde - Cláusula 14ª da CCT/2016 - NÃO SE APLICA CONFORME PARECER Nº 15/2014/CPLC/ DEPCONSU/PGF/AGU</v>
      </c>
      <c r="C48" s="882"/>
      <c r="D48" s="882"/>
      <c r="E48" s="882"/>
      <c r="F48" s="442">
        <f>DADOS!F46</f>
        <v>0</v>
      </c>
      <c r="G48" s="534">
        <f t="shared" ref="G48:G53" si="0">F48*$F$20</f>
        <v>0</v>
      </c>
      <c r="H48" s="587"/>
      <c r="I48" s="590">
        <f>H48*$F$20</f>
        <v>0</v>
      </c>
      <c r="J48" s="555">
        <f>DADOS!H46</f>
        <v>0</v>
      </c>
      <c r="K48" s="612"/>
      <c r="L48" s="442">
        <f>DADOS!J46</f>
        <v>0</v>
      </c>
      <c r="M48" s="445">
        <f>L48*$F$20</f>
        <v>0</v>
      </c>
      <c r="N48" s="442">
        <f>DADOS!N46</f>
        <v>0</v>
      </c>
      <c r="O48" s="445">
        <f>N48*$F$20</f>
        <v>0</v>
      </c>
    </row>
    <row r="49" spans="1:15" s="57" customFormat="1" ht="45.75" customHeight="1" x14ac:dyDescent="0.2">
      <c r="A49" s="414" t="s">
        <v>5</v>
      </c>
      <c r="B49" s="882" t="str">
        <f>DADOS!A44</f>
        <v>Fundo Social e Odontológico - Cláusula 18ª da CCT/2016 - NÃO SE APLICA CONFORME PARECER Nº 15/2014/CPLC/ DEPCONSU/PGF/AGU, por entender que integra ao Auxílio Saúde</v>
      </c>
      <c r="C49" s="882"/>
      <c r="D49" s="882"/>
      <c r="E49" s="882"/>
      <c r="F49" s="442">
        <f>DADOS!F44</f>
        <v>0</v>
      </c>
      <c r="G49" s="534">
        <f t="shared" si="0"/>
        <v>0</v>
      </c>
      <c r="H49" s="587"/>
      <c r="I49" s="590">
        <f>H49*$F$20</f>
        <v>0</v>
      </c>
      <c r="J49" s="555">
        <f>DADOS!H44</f>
        <v>0</v>
      </c>
      <c r="K49" s="445">
        <f>J49*$F$20</f>
        <v>0</v>
      </c>
      <c r="L49" s="442">
        <f>DADOS!J44</f>
        <v>0</v>
      </c>
      <c r="M49" s="445">
        <f>L49*$F$20</f>
        <v>0</v>
      </c>
      <c r="N49" s="442">
        <f>DADOS!N44</f>
        <v>0</v>
      </c>
      <c r="O49" s="445">
        <f>N49*$F$20</f>
        <v>0</v>
      </c>
    </row>
    <row r="50" spans="1:15" s="57" customFormat="1" x14ac:dyDescent="0.2">
      <c r="A50" s="414" t="s">
        <v>6</v>
      </c>
      <c r="B50" s="894" t="str">
        <f>DADOS!A39</f>
        <v>Fundo Ind. Aposent. Ou Doença - Cláusula 15ª da CCT/2016</v>
      </c>
      <c r="C50" s="894"/>
      <c r="D50" s="894"/>
      <c r="E50" s="894"/>
      <c r="F50" s="459">
        <f>DADOS!F39</f>
        <v>14</v>
      </c>
      <c r="G50" s="534">
        <f t="shared" si="0"/>
        <v>14</v>
      </c>
      <c r="H50" s="587"/>
      <c r="I50" s="590">
        <v>14</v>
      </c>
      <c r="J50" s="555">
        <f>DADOS!H39</f>
        <v>0</v>
      </c>
      <c r="K50" s="445">
        <f>F50*$F$20</f>
        <v>14</v>
      </c>
      <c r="L50" s="442">
        <f>DADOS!J39</f>
        <v>0</v>
      </c>
      <c r="M50" s="445">
        <f>F50*$F$20</f>
        <v>14</v>
      </c>
      <c r="N50" s="442">
        <f>DADOS!N39</f>
        <v>0</v>
      </c>
      <c r="O50" s="445">
        <v>14</v>
      </c>
    </row>
    <row r="51" spans="1:15" s="57" customFormat="1" x14ac:dyDescent="0.2">
      <c r="A51" s="414" t="s">
        <v>7</v>
      </c>
      <c r="B51" s="894" t="str">
        <f>DADOS!A40</f>
        <v>Seguro de vida, inclusive invalidez - Cláusula 16ª da CCT/2016</v>
      </c>
      <c r="C51" s="894"/>
      <c r="D51" s="894"/>
      <c r="E51" s="894"/>
      <c r="F51" s="442">
        <f>DADOS!L41</f>
        <v>12.22</v>
      </c>
      <c r="G51" s="534">
        <f t="shared" si="0"/>
        <v>12.22</v>
      </c>
      <c r="H51" s="587"/>
      <c r="I51" s="590">
        <v>12.22</v>
      </c>
      <c r="J51" s="555">
        <f>DADOS!N41</f>
        <v>0</v>
      </c>
      <c r="K51" s="445">
        <f>F51*$F$20</f>
        <v>12.22</v>
      </c>
      <c r="L51" s="442">
        <f>DADOS!P41</f>
        <v>0</v>
      </c>
      <c r="M51" s="445">
        <f>F51*$F$20</f>
        <v>12.22</v>
      </c>
      <c r="N51" s="442">
        <f>DADOS!T41</f>
        <v>0</v>
      </c>
      <c r="O51" s="670">
        <v>12.47</v>
      </c>
    </row>
    <row r="52" spans="1:15" s="57" customFormat="1" ht="30" customHeight="1" x14ac:dyDescent="0.2">
      <c r="A52" s="414" t="s">
        <v>8</v>
      </c>
      <c r="B52" s="882" t="str">
        <f>DADOS!A41</f>
        <v>Auxílio Funeral (Despesas de sepultamento - R$ 3.560,00 - Cláusula 16ª alínea "d" da CCT/2016</v>
      </c>
      <c r="C52" s="882"/>
      <c r="D52" s="882"/>
      <c r="E52" s="882"/>
      <c r="F52" s="442">
        <f>DADOS!F41</f>
        <v>1.8</v>
      </c>
      <c r="G52" s="534">
        <f t="shared" si="0"/>
        <v>1.8</v>
      </c>
      <c r="H52" s="587"/>
      <c r="I52" s="590">
        <v>1.8</v>
      </c>
      <c r="J52" s="555">
        <f>DADOS!H41</f>
        <v>0</v>
      </c>
      <c r="K52" s="445">
        <f>F52*$F$20</f>
        <v>1.8</v>
      </c>
      <c r="L52" s="442">
        <f>DADOS!J41</f>
        <v>0</v>
      </c>
      <c r="M52" s="445">
        <f>F52*$F$20</f>
        <v>1.8</v>
      </c>
      <c r="N52" s="442">
        <f>DADOS!N41</f>
        <v>0</v>
      </c>
      <c r="O52" s="445">
        <v>1.8</v>
      </c>
    </row>
    <row r="53" spans="1:15" s="57" customFormat="1" x14ac:dyDescent="0.2">
      <c r="A53" s="414" t="s">
        <v>9</v>
      </c>
      <c r="B53" s="447" t="str">
        <f>DADOS!A42</f>
        <v>Treinamento/Capacitação/Reciclagem - Cláusula 28ª da CCT/2016</v>
      </c>
      <c r="C53" s="447"/>
      <c r="D53" s="418"/>
      <c r="E53" s="421"/>
      <c r="F53" s="442">
        <f>DADOS!F42</f>
        <v>12.08</v>
      </c>
      <c r="G53" s="534">
        <f t="shared" si="0"/>
        <v>12.08</v>
      </c>
      <c r="H53" s="587"/>
      <c r="I53" s="590">
        <v>12.08</v>
      </c>
      <c r="J53" s="555">
        <f>DADOS!H42</f>
        <v>0</v>
      </c>
      <c r="K53" s="445">
        <f>F53*$F$20</f>
        <v>12.08</v>
      </c>
      <c r="L53" s="442">
        <f>DADOS!J42</f>
        <v>0</v>
      </c>
      <c r="M53" s="445">
        <f>F53*$F$20</f>
        <v>12.08</v>
      </c>
      <c r="N53" s="442">
        <f>DADOS!N42</f>
        <v>0</v>
      </c>
      <c r="O53" s="445">
        <v>12.08</v>
      </c>
    </row>
    <row r="54" spans="1:15" s="57" customFormat="1" x14ac:dyDescent="0.2">
      <c r="A54" s="414" t="s">
        <v>145</v>
      </c>
      <c r="B54" s="447" t="s">
        <v>81</v>
      </c>
      <c r="C54" s="447"/>
      <c r="D54" s="418"/>
      <c r="E54" s="421"/>
      <c r="F54" s="440"/>
      <c r="G54" s="532"/>
      <c r="H54" s="591"/>
      <c r="I54" s="586"/>
      <c r="J54" s="554"/>
      <c r="K54" s="441"/>
      <c r="L54" s="440"/>
      <c r="M54" s="441"/>
      <c r="N54" s="440"/>
      <c r="O54" s="441"/>
    </row>
    <row r="55" spans="1:15" s="57" customFormat="1" ht="18" customHeight="1" x14ac:dyDescent="0.2">
      <c r="A55" s="438"/>
      <c r="B55" s="883" t="s">
        <v>140</v>
      </c>
      <c r="C55" s="883"/>
      <c r="D55" s="883"/>
      <c r="E55" s="883"/>
      <c r="F55" s="883"/>
      <c r="G55" s="535">
        <f>SUM(G44:G54)</f>
        <v>765.2</v>
      </c>
      <c r="H55" s="592"/>
      <c r="I55" s="593">
        <f>SUM(I44:I54)</f>
        <v>765.2</v>
      </c>
      <c r="J55" s="557"/>
      <c r="K55" s="448">
        <f>SUM(K44:K54)</f>
        <v>799.52</v>
      </c>
      <c r="L55" s="448"/>
      <c r="M55" s="448">
        <f>SUM(M44:M54)</f>
        <v>799.52</v>
      </c>
      <c r="N55" s="448"/>
      <c r="O55" s="448">
        <f>SUM(O44:O54)</f>
        <v>811.11</v>
      </c>
    </row>
    <row r="56" spans="1:15" s="60" customFormat="1" x14ac:dyDescent="0.2">
      <c r="A56" s="414"/>
      <c r="B56" s="421"/>
      <c r="C56" s="421"/>
      <c r="D56" s="421"/>
      <c r="E56" s="421"/>
      <c r="F56" s="440"/>
      <c r="G56" s="532"/>
      <c r="H56" s="585"/>
      <c r="I56" s="586"/>
      <c r="J56" s="554"/>
      <c r="K56" s="441"/>
      <c r="L56" s="440"/>
      <c r="M56" s="441"/>
      <c r="N56" s="440"/>
      <c r="O56" s="441"/>
    </row>
    <row r="57" spans="1:15" s="57" customFormat="1" x14ac:dyDescent="0.2">
      <c r="A57" s="866" t="s">
        <v>38</v>
      </c>
      <c r="B57" s="866"/>
      <c r="C57" s="866"/>
      <c r="D57" s="866"/>
      <c r="E57" s="866"/>
      <c r="F57" s="866"/>
      <c r="G57" s="870"/>
      <c r="H57" s="567"/>
      <c r="I57" s="568"/>
      <c r="J57" s="524"/>
      <c r="K57" s="429"/>
      <c r="L57" s="429"/>
      <c r="M57" s="429"/>
      <c r="N57" s="650"/>
      <c r="O57" s="650"/>
    </row>
    <row r="58" spans="1:15" s="57" customFormat="1" ht="18" customHeight="1" x14ac:dyDescent="0.2">
      <c r="A58" s="428">
        <v>3</v>
      </c>
      <c r="B58" s="881" t="s">
        <v>107</v>
      </c>
      <c r="C58" s="881"/>
      <c r="D58" s="881"/>
      <c r="E58" s="881"/>
      <c r="F58" s="428" t="s">
        <v>13</v>
      </c>
      <c r="G58" s="521" t="s">
        <v>141</v>
      </c>
      <c r="H58" s="573"/>
      <c r="I58" s="577"/>
      <c r="J58" s="522" t="s">
        <v>13</v>
      </c>
      <c r="K58" s="428" t="s">
        <v>141</v>
      </c>
      <c r="L58" s="428" t="s">
        <v>13</v>
      </c>
      <c r="M58" s="428" t="s">
        <v>141</v>
      </c>
      <c r="N58" s="651" t="s">
        <v>13</v>
      </c>
      <c r="O58" s="651" t="s">
        <v>141</v>
      </c>
    </row>
    <row r="59" spans="1:15" s="57" customFormat="1" ht="15.75" customHeight="1" x14ac:dyDescent="0.2">
      <c r="A59" s="430" t="s">
        <v>1</v>
      </c>
      <c r="B59" s="449" t="str">
        <f>DADOS!A53</f>
        <v>Uniformes</v>
      </c>
      <c r="C59" s="449"/>
      <c r="D59" s="449"/>
      <c r="E59" s="449"/>
      <c r="F59" s="431"/>
      <c r="G59" s="533">
        <f>DADOS!F53*$F$20</f>
        <v>240.13</v>
      </c>
      <c r="H59" s="594"/>
      <c r="I59" s="588">
        <f>UNIFORMES!G37</f>
        <v>240.13</v>
      </c>
      <c r="J59" s="550"/>
      <c r="K59" s="443">
        <f>DADOS!F53*$F$20</f>
        <v>240.13</v>
      </c>
      <c r="L59" s="431"/>
      <c r="M59" s="443">
        <f>UNIFORMES!G22</f>
        <v>240.13</v>
      </c>
      <c r="N59" s="431"/>
      <c r="O59" s="443">
        <f>M59</f>
        <v>240.13</v>
      </c>
    </row>
    <row r="60" spans="1:15" s="57" customFormat="1" ht="15.75" customHeight="1" x14ac:dyDescent="0.2">
      <c r="A60" s="430" t="s">
        <v>2</v>
      </c>
      <c r="B60" s="449" t="str">
        <f>DADOS!A54</f>
        <v>Materiais de Consumo Mensal</v>
      </c>
      <c r="C60" s="449"/>
      <c r="D60" s="449"/>
      <c r="E60" s="449"/>
      <c r="F60" s="431"/>
      <c r="G60" s="533">
        <f>DADOS!F54*$F$20</f>
        <v>8.5299999999999994</v>
      </c>
      <c r="H60" s="594"/>
      <c r="I60" s="588">
        <f>'MAT e EQUIPS'!H19</f>
        <v>8.5299999999999994</v>
      </c>
      <c r="J60" s="550"/>
      <c r="K60" s="443">
        <f>DADOS!F54*$F$20</f>
        <v>8.5299999999999994</v>
      </c>
      <c r="L60" s="431"/>
      <c r="M60" s="446">
        <f>'MAT e EQUIPS'!H45</f>
        <v>7.99</v>
      </c>
      <c r="N60" s="431"/>
      <c r="O60" s="645">
        <f>M60</f>
        <v>7.99</v>
      </c>
    </row>
    <row r="61" spans="1:15" s="57" customFormat="1" ht="15.75" customHeight="1" x14ac:dyDescent="0.2">
      <c r="A61" s="430" t="s">
        <v>4</v>
      </c>
      <c r="B61" s="415" t="str">
        <f>DADOS!A55</f>
        <v>Equipamentos para desenvolvimento das atividades</v>
      </c>
      <c r="C61" s="449"/>
      <c r="D61" s="449"/>
      <c r="E61" s="449"/>
      <c r="F61" s="431"/>
      <c r="G61" s="533">
        <f>DADOS!F55*$F$20</f>
        <v>27.13</v>
      </c>
      <c r="H61" s="594"/>
      <c r="I61" s="588">
        <f>'MAT e EQUIPS'!H30</f>
        <v>27.13</v>
      </c>
      <c r="J61" s="550"/>
      <c r="K61" s="443">
        <f>DADOS!F55*$F$20</f>
        <v>27.13</v>
      </c>
      <c r="L61" s="431"/>
      <c r="M61" s="446">
        <f>'MAT e EQUIPS'!H56</f>
        <v>25.43</v>
      </c>
      <c r="N61" s="431"/>
      <c r="O61" s="645">
        <f>M61</f>
        <v>25.43</v>
      </c>
    </row>
    <row r="62" spans="1:15" s="57" customFormat="1" ht="18" customHeight="1" x14ac:dyDescent="0.2">
      <c r="A62" s="438"/>
      <c r="B62" s="883" t="s">
        <v>142</v>
      </c>
      <c r="C62" s="883"/>
      <c r="D62" s="883"/>
      <c r="E62" s="883"/>
      <c r="F62" s="883"/>
      <c r="G62" s="536">
        <f>SUM(G59:G61)</f>
        <v>275.79000000000002</v>
      </c>
      <c r="H62" s="595"/>
      <c r="I62" s="596">
        <f>SUM(I59:I61)</f>
        <v>275.79000000000002</v>
      </c>
      <c r="J62" s="558"/>
      <c r="K62" s="450">
        <f>SUM(K59:K61)</f>
        <v>275.79000000000002</v>
      </c>
      <c r="L62" s="450"/>
      <c r="M62" s="450">
        <f>SUM(M59:M61)</f>
        <v>273.55</v>
      </c>
      <c r="N62" s="450"/>
      <c r="O62" s="450">
        <f>SUM(O59:O61)</f>
        <v>273.55</v>
      </c>
    </row>
    <row r="63" spans="1:15" s="60" customFormat="1" x14ac:dyDescent="0.2">
      <c r="A63" s="414"/>
      <c r="B63" s="421"/>
      <c r="C63" s="421"/>
      <c r="D63" s="421"/>
      <c r="E63" s="421"/>
      <c r="F63" s="440"/>
      <c r="G63" s="532"/>
      <c r="H63" s="585"/>
      <c r="I63" s="586"/>
      <c r="J63" s="554"/>
      <c r="K63" s="441"/>
      <c r="L63" s="440"/>
      <c r="M63" s="441"/>
      <c r="N63" s="440"/>
      <c r="O63" s="441"/>
    </row>
    <row r="64" spans="1:15" s="26" customFormat="1" x14ac:dyDescent="0.2">
      <c r="A64" s="881" t="s">
        <v>39</v>
      </c>
      <c r="B64" s="881"/>
      <c r="C64" s="881"/>
      <c r="D64" s="881"/>
      <c r="E64" s="881"/>
      <c r="F64" s="881"/>
      <c r="G64" s="895"/>
      <c r="H64" s="573"/>
      <c r="I64" s="577"/>
      <c r="J64" s="522"/>
      <c r="K64" s="428"/>
      <c r="L64" s="428"/>
      <c r="M64" s="428"/>
      <c r="N64" s="651"/>
      <c r="O64" s="651"/>
    </row>
    <row r="65" spans="1:15" s="26" customFormat="1" x14ac:dyDescent="0.2">
      <c r="A65" s="880" t="s">
        <v>124</v>
      </c>
      <c r="B65" s="880"/>
      <c r="C65" s="880"/>
      <c r="D65" s="880"/>
      <c r="E65" s="880"/>
      <c r="F65" s="880"/>
      <c r="G65" s="893"/>
      <c r="H65" s="597"/>
      <c r="I65" s="598"/>
      <c r="J65" s="559"/>
      <c r="K65" s="451"/>
      <c r="L65" s="451"/>
      <c r="M65" s="451"/>
      <c r="N65" s="654"/>
      <c r="O65" s="654"/>
    </row>
    <row r="66" spans="1:15" s="61" customFormat="1" ht="18" customHeight="1" x14ac:dyDescent="0.2">
      <c r="A66" s="429" t="s">
        <v>63</v>
      </c>
      <c r="B66" s="884" t="s">
        <v>122</v>
      </c>
      <c r="C66" s="884"/>
      <c r="D66" s="884"/>
      <c r="E66" s="884"/>
      <c r="F66" s="429" t="s">
        <v>12</v>
      </c>
      <c r="G66" s="537" t="s">
        <v>103</v>
      </c>
      <c r="H66" s="567"/>
      <c r="I66" s="568"/>
      <c r="J66" s="524" t="s">
        <v>12</v>
      </c>
      <c r="K66" s="429" t="s">
        <v>103</v>
      </c>
      <c r="L66" s="429" t="s">
        <v>12</v>
      </c>
      <c r="M66" s="429" t="s">
        <v>103</v>
      </c>
      <c r="N66" s="650" t="s">
        <v>12</v>
      </c>
      <c r="O66" s="650" t="s">
        <v>103</v>
      </c>
    </row>
    <row r="67" spans="1:15" s="57" customFormat="1" ht="14.25" customHeight="1" x14ac:dyDescent="0.2">
      <c r="A67" s="414" t="s">
        <v>1</v>
      </c>
      <c r="B67" s="452" t="str">
        <f>DADOS!B81</f>
        <v>INSS</v>
      </c>
      <c r="C67" s="452"/>
      <c r="D67" s="421"/>
      <c r="E67" s="421"/>
      <c r="F67" s="453">
        <f>DADOS!C81</f>
        <v>0.2</v>
      </c>
      <c r="G67" s="532">
        <f>F67*$G$40</f>
        <v>588.89</v>
      </c>
      <c r="H67" s="599">
        <v>0.2</v>
      </c>
      <c r="I67" s="586">
        <f>H67*$G$40</f>
        <v>588.89</v>
      </c>
      <c r="J67" s="560">
        <f>DADOS!C81</f>
        <v>0.2</v>
      </c>
      <c r="K67" s="441">
        <f>F67*$K$40</f>
        <v>627.64</v>
      </c>
      <c r="L67" s="453">
        <f>DADOS!C81</f>
        <v>0.2</v>
      </c>
      <c r="M67" s="441">
        <f>J67*$M$40</f>
        <v>627.64</v>
      </c>
      <c r="N67" s="453">
        <v>0.2</v>
      </c>
      <c r="O67" s="441">
        <f>N67*$O$40</f>
        <v>640.63</v>
      </c>
    </row>
    <row r="68" spans="1:15" s="57" customFormat="1" ht="14.25" customHeight="1" x14ac:dyDescent="0.2">
      <c r="A68" s="414" t="s">
        <v>2</v>
      </c>
      <c r="B68" s="452" t="str">
        <f>DADOS!B82</f>
        <v>SESI ou SESC</v>
      </c>
      <c r="C68" s="452"/>
      <c r="D68" s="421"/>
      <c r="E68" s="421"/>
      <c r="F68" s="453">
        <f>DADOS!C82</f>
        <v>1.4999999999999999E-2</v>
      </c>
      <c r="G68" s="532">
        <f t="shared" ref="G68:I74" si="1">F68*$G$40</f>
        <v>44.17</v>
      </c>
      <c r="H68" s="599">
        <v>1.4999999999999999E-2</v>
      </c>
      <c r="I68" s="586">
        <f t="shared" si="1"/>
        <v>44.17</v>
      </c>
      <c r="J68" s="560">
        <f>DADOS!C82</f>
        <v>1.4999999999999999E-2</v>
      </c>
      <c r="K68" s="441">
        <f t="shared" ref="K68:K74" si="2">F68*$K$40</f>
        <v>47.07</v>
      </c>
      <c r="L68" s="453">
        <f>DADOS!C82</f>
        <v>1.4999999999999999E-2</v>
      </c>
      <c r="M68" s="441">
        <f t="shared" ref="M68:M74" si="3">J68*$M$40</f>
        <v>47.07</v>
      </c>
      <c r="N68" s="453">
        <v>1.4999999999999999E-2</v>
      </c>
      <c r="O68" s="441">
        <f t="shared" ref="O68:O73" si="4">N68*$O$40</f>
        <v>48.05</v>
      </c>
    </row>
    <row r="69" spans="1:15" s="57" customFormat="1" ht="14.25" customHeight="1" x14ac:dyDescent="0.2">
      <c r="A69" s="414" t="s">
        <v>4</v>
      </c>
      <c r="B69" s="452" t="str">
        <f>DADOS!B83</f>
        <v>SENAI ou SENAC</v>
      </c>
      <c r="C69" s="452"/>
      <c r="D69" s="421"/>
      <c r="E69" s="421"/>
      <c r="F69" s="453">
        <f>DADOS!C83</f>
        <v>0.01</v>
      </c>
      <c r="G69" s="532">
        <f t="shared" si="1"/>
        <v>29.44</v>
      </c>
      <c r="H69" s="599">
        <v>0.01</v>
      </c>
      <c r="I69" s="586">
        <f t="shared" si="1"/>
        <v>29.44</v>
      </c>
      <c r="J69" s="560">
        <f>DADOS!C83</f>
        <v>0.01</v>
      </c>
      <c r="K69" s="441">
        <f t="shared" si="2"/>
        <v>31.38</v>
      </c>
      <c r="L69" s="453">
        <f>DADOS!C83</f>
        <v>0.01</v>
      </c>
      <c r="M69" s="441">
        <f t="shared" si="3"/>
        <v>31.38</v>
      </c>
      <c r="N69" s="453">
        <v>0.01</v>
      </c>
      <c r="O69" s="441">
        <f t="shared" si="4"/>
        <v>32.03</v>
      </c>
    </row>
    <row r="70" spans="1:15" s="57" customFormat="1" ht="14.25" customHeight="1" x14ac:dyDescent="0.2">
      <c r="A70" s="414" t="s">
        <v>5</v>
      </c>
      <c r="B70" s="452" t="str">
        <f>DADOS!B84</f>
        <v>INCRA</v>
      </c>
      <c r="C70" s="452"/>
      <c r="D70" s="421"/>
      <c r="E70" s="421"/>
      <c r="F70" s="453">
        <f>DADOS!C84</f>
        <v>2E-3</v>
      </c>
      <c r="G70" s="532">
        <f t="shared" si="1"/>
        <v>5.89</v>
      </c>
      <c r="H70" s="599">
        <v>2E-3</v>
      </c>
      <c r="I70" s="586">
        <f t="shared" si="1"/>
        <v>5.89</v>
      </c>
      <c r="J70" s="560">
        <f>DADOS!C84</f>
        <v>2E-3</v>
      </c>
      <c r="K70" s="441">
        <f t="shared" si="2"/>
        <v>6.28</v>
      </c>
      <c r="L70" s="453">
        <f>DADOS!C84</f>
        <v>2E-3</v>
      </c>
      <c r="M70" s="441">
        <f t="shared" si="3"/>
        <v>6.28</v>
      </c>
      <c r="N70" s="453">
        <v>2E-3</v>
      </c>
      <c r="O70" s="441">
        <f t="shared" si="4"/>
        <v>6.41</v>
      </c>
    </row>
    <row r="71" spans="1:15" s="57" customFormat="1" ht="14.25" customHeight="1" x14ac:dyDescent="0.2">
      <c r="A71" s="414" t="s">
        <v>6</v>
      </c>
      <c r="B71" s="452" t="str">
        <f>DADOS!B85</f>
        <v xml:space="preserve">Salário Educação </v>
      </c>
      <c r="C71" s="452"/>
      <c r="D71" s="421"/>
      <c r="E71" s="421"/>
      <c r="F71" s="453">
        <f>DADOS!C85</f>
        <v>2.5000000000000001E-2</v>
      </c>
      <c r="G71" s="532">
        <f t="shared" si="1"/>
        <v>73.61</v>
      </c>
      <c r="H71" s="599">
        <v>2.5000000000000001E-2</v>
      </c>
      <c r="I71" s="586">
        <f t="shared" si="1"/>
        <v>73.61</v>
      </c>
      <c r="J71" s="560">
        <f>DADOS!C85</f>
        <v>2.5000000000000001E-2</v>
      </c>
      <c r="K71" s="441">
        <f t="shared" si="2"/>
        <v>78.45</v>
      </c>
      <c r="L71" s="453">
        <f>DADOS!C85</f>
        <v>2.5000000000000001E-2</v>
      </c>
      <c r="M71" s="441">
        <f t="shared" si="3"/>
        <v>78.45</v>
      </c>
      <c r="N71" s="453">
        <v>2.5000000000000001E-2</v>
      </c>
      <c r="O71" s="441">
        <f t="shared" si="4"/>
        <v>80.08</v>
      </c>
    </row>
    <row r="72" spans="1:15" s="57" customFormat="1" ht="14.25" customHeight="1" x14ac:dyDescent="0.2">
      <c r="A72" s="414" t="s">
        <v>7</v>
      </c>
      <c r="B72" s="452" t="str">
        <f>DADOS!B86</f>
        <v>FGTS</v>
      </c>
      <c r="C72" s="452"/>
      <c r="D72" s="421"/>
      <c r="E72" s="421"/>
      <c r="F72" s="453">
        <f>DADOS!C86</f>
        <v>0.08</v>
      </c>
      <c r="G72" s="532">
        <f t="shared" si="1"/>
        <v>235.56</v>
      </c>
      <c r="H72" s="599">
        <v>0.08</v>
      </c>
      <c r="I72" s="586">
        <f t="shared" si="1"/>
        <v>235.56</v>
      </c>
      <c r="J72" s="560">
        <f>DADOS!C86</f>
        <v>0.08</v>
      </c>
      <c r="K72" s="441">
        <f t="shared" si="2"/>
        <v>251.06</v>
      </c>
      <c r="L72" s="453">
        <f>DADOS!C86</f>
        <v>0.08</v>
      </c>
      <c r="M72" s="441">
        <f t="shared" si="3"/>
        <v>251.06</v>
      </c>
      <c r="N72" s="453">
        <v>0.08</v>
      </c>
      <c r="O72" s="441">
        <f t="shared" si="4"/>
        <v>256.25</v>
      </c>
    </row>
    <row r="73" spans="1:15" s="57" customFormat="1" ht="14.25" customHeight="1" x14ac:dyDescent="0.2">
      <c r="A73" s="414" t="s">
        <v>8</v>
      </c>
      <c r="B73" s="452" t="str">
        <f>DADOS!B87</f>
        <v>Seguro Acidente do Trabalho - RAT x FAP</v>
      </c>
      <c r="C73" s="452"/>
      <c r="D73" s="421"/>
      <c r="E73" s="421"/>
      <c r="F73" s="453">
        <f>DADOS!C87</f>
        <v>2.1299999999999999E-2</v>
      </c>
      <c r="G73" s="532">
        <f t="shared" si="1"/>
        <v>62.72</v>
      </c>
      <c r="H73" s="599">
        <v>2.1299999999999999E-2</v>
      </c>
      <c r="I73" s="586">
        <f t="shared" si="1"/>
        <v>62.72</v>
      </c>
      <c r="J73" s="560">
        <f>DADOS!C87</f>
        <v>2.1299999999999999E-2</v>
      </c>
      <c r="K73" s="441">
        <f t="shared" si="2"/>
        <v>66.84</v>
      </c>
      <c r="L73" s="453">
        <f>DADOS!C87</f>
        <v>2.1299999999999999E-2</v>
      </c>
      <c r="M73" s="441">
        <f t="shared" si="3"/>
        <v>66.84</v>
      </c>
      <c r="N73" s="671">
        <v>2.4299999999999999E-2</v>
      </c>
      <c r="O73" s="441">
        <f t="shared" si="4"/>
        <v>77.84</v>
      </c>
    </row>
    <row r="74" spans="1:15" s="57" customFormat="1" ht="14.25" customHeight="1" x14ac:dyDescent="0.2">
      <c r="A74" s="414" t="s">
        <v>9</v>
      </c>
      <c r="B74" s="452" t="str">
        <f>DADOS!B88</f>
        <v>SEBRAE</v>
      </c>
      <c r="C74" s="452"/>
      <c r="D74" s="421"/>
      <c r="E74" s="421"/>
      <c r="F74" s="453">
        <f>DADOS!C88</f>
        <v>6.0000000000000001E-3</v>
      </c>
      <c r="G74" s="532">
        <f t="shared" si="1"/>
        <v>17.670000000000002</v>
      </c>
      <c r="H74" s="599">
        <v>6.0000000000000001E-3</v>
      </c>
      <c r="I74" s="586">
        <f t="shared" si="1"/>
        <v>17.670000000000002</v>
      </c>
      <c r="J74" s="560">
        <f>DADOS!C88</f>
        <v>6.0000000000000001E-3</v>
      </c>
      <c r="K74" s="441">
        <f t="shared" si="2"/>
        <v>18.829999999999998</v>
      </c>
      <c r="L74" s="453">
        <f>DADOS!C88</f>
        <v>6.0000000000000001E-3</v>
      </c>
      <c r="M74" s="441">
        <f t="shared" si="3"/>
        <v>18.829999999999998</v>
      </c>
      <c r="N74" s="453">
        <v>6.0000000000000001E-3</v>
      </c>
      <c r="O74" s="441">
        <f>N74*$O$40</f>
        <v>19.22</v>
      </c>
    </row>
    <row r="75" spans="1:15" s="60" customFormat="1" ht="18" customHeight="1" x14ac:dyDescent="0.2">
      <c r="A75" s="892" t="s">
        <v>62</v>
      </c>
      <c r="B75" s="892"/>
      <c r="C75" s="892"/>
      <c r="D75" s="892"/>
      <c r="E75" s="892"/>
      <c r="F75" s="454">
        <f t="shared" ref="F75:M75" si="5">SUM(F67:F74)</f>
        <v>0.35930000000000001</v>
      </c>
      <c r="G75" s="536">
        <f t="shared" si="5"/>
        <v>1057.95</v>
      </c>
      <c r="H75" s="595"/>
      <c r="I75" s="596">
        <f>SUM(I67:I74)</f>
        <v>1057.95</v>
      </c>
      <c r="J75" s="561">
        <f t="shared" si="5"/>
        <v>0.35930000000000001</v>
      </c>
      <c r="K75" s="450">
        <f t="shared" si="5"/>
        <v>1127.55</v>
      </c>
      <c r="L75" s="454">
        <f>SUM(L67:L74)</f>
        <v>0.35930000000000001</v>
      </c>
      <c r="M75" s="450">
        <f t="shared" si="5"/>
        <v>1127.55</v>
      </c>
      <c r="N75" s="454">
        <f>SUM(N67:N74)</f>
        <v>0.36230000000000001</v>
      </c>
      <c r="O75" s="450">
        <f t="shared" ref="O75" si="6">SUM(O67:O74)</f>
        <v>1160.51</v>
      </c>
    </row>
    <row r="76" spans="1:15" s="26" customFormat="1" ht="18" customHeight="1" x14ac:dyDescent="0.2">
      <c r="A76" s="455"/>
      <c r="B76" s="455"/>
      <c r="C76" s="455"/>
      <c r="D76" s="455"/>
      <c r="E76" s="455"/>
      <c r="F76" s="440"/>
      <c r="G76" s="534"/>
      <c r="H76" s="600"/>
      <c r="I76" s="590"/>
      <c r="J76" s="554"/>
      <c r="K76" s="445"/>
      <c r="L76" s="440"/>
      <c r="M76" s="445"/>
      <c r="N76" s="440"/>
      <c r="O76" s="445"/>
    </row>
    <row r="77" spans="1:15" s="57" customFormat="1" x14ac:dyDescent="0.2">
      <c r="A77" s="880" t="s">
        <v>119</v>
      </c>
      <c r="B77" s="880"/>
      <c r="C77" s="880"/>
      <c r="D77" s="880"/>
      <c r="E77" s="880"/>
      <c r="F77" s="880"/>
      <c r="G77" s="893"/>
      <c r="H77" s="597"/>
      <c r="I77" s="598"/>
      <c r="J77" s="559"/>
      <c r="K77" s="451"/>
      <c r="L77" s="451"/>
      <c r="M77" s="451"/>
      <c r="N77" s="654"/>
      <c r="O77" s="654"/>
    </row>
    <row r="78" spans="1:15" s="61" customFormat="1" ht="18" customHeight="1" x14ac:dyDescent="0.2">
      <c r="A78" s="429" t="s">
        <v>70</v>
      </c>
      <c r="B78" s="884" t="s">
        <v>121</v>
      </c>
      <c r="C78" s="884"/>
      <c r="D78" s="884"/>
      <c r="E78" s="884"/>
      <c r="F78" s="429" t="s">
        <v>12</v>
      </c>
      <c r="G78" s="537" t="s">
        <v>103</v>
      </c>
      <c r="H78" s="567"/>
      <c r="I78" s="568"/>
      <c r="J78" s="524" t="s">
        <v>12</v>
      </c>
      <c r="K78" s="429" t="s">
        <v>103</v>
      </c>
      <c r="L78" s="429" t="s">
        <v>12</v>
      </c>
      <c r="M78" s="429" t="s">
        <v>103</v>
      </c>
      <c r="N78" s="650" t="s">
        <v>12</v>
      </c>
      <c r="O78" s="650" t="s">
        <v>103</v>
      </c>
    </row>
    <row r="79" spans="1:15" s="57" customFormat="1" ht="14.25" customHeight="1" x14ac:dyDescent="0.2">
      <c r="A79" s="414" t="s">
        <v>1</v>
      </c>
      <c r="B79" s="452" t="str">
        <f>DADOS!B91</f>
        <v xml:space="preserve">13º (décimo terceiro) Salário </v>
      </c>
      <c r="C79" s="452"/>
      <c r="D79" s="421"/>
      <c r="E79" s="421"/>
      <c r="F79" s="453">
        <f>DADOS!C91</f>
        <v>8.3299999999999999E-2</v>
      </c>
      <c r="G79" s="532">
        <f>F79*$G$40</f>
        <v>245.27</v>
      </c>
      <c r="H79" s="599">
        <v>8.3299999999999999E-2</v>
      </c>
      <c r="I79" s="586">
        <f>H79*$G$40</f>
        <v>245.27</v>
      </c>
      <c r="J79" s="560">
        <f>DADOS!C91</f>
        <v>8.3299999999999999E-2</v>
      </c>
      <c r="K79" s="441">
        <f>J79*$K$40</f>
        <v>261.41000000000003</v>
      </c>
      <c r="L79" s="453">
        <f>DADOS!C91</f>
        <v>8.3299999999999999E-2</v>
      </c>
      <c r="M79" s="441">
        <f>L79*$M$40</f>
        <v>261.41000000000003</v>
      </c>
      <c r="N79" s="453">
        <v>8.3299999999999999E-2</v>
      </c>
      <c r="O79" s="441">
        <f>N79*$O$40</f>
        <v>266.82</v>
      </c>
    </row>
    <row r="80" spans="1:15" s="57" customFormat="1" ht="14.25" customHeight="1" x14ac:dyDescent="0.2">
      <c r="A80" s="414" t="s">
        <v>2</v>
      </c>
      <c r="B80" s="452" t="str">
        <f>DADOS!B92</f>
        <v>Adicional de férias</v>
      </c>
      <c r="C80" s="452"/>
      <c r="D80" s="421"/>
      <c r="E80" s="421"/>
      <c r="F80" s="453">
        <f>DADOS!C92</f>
        <v>2.7799999999999998E-2</v>
      </c>
      <c r="G80" s="532">
        <f>F80*$G$40</f>
        <v>81.86</v>
      </c>
      <c r="H80" s="599">
        <v>2.7799999999999998E-2</v>
      </c>
      <c r="I80" s="586">
        <f>H80*$G$40</f>
        <v>81.86</v>
      </c>
      <c r="J80" s="560">
        <f>DADOS!C92</f>
        <v>2.7799999999999998E-2</v>
      </c>
      <c r="K80" s="441">
        <f>J80*$K$40</f>
        <v>87.24</v>
      </c>
      <c r="L80" s="453">
        <f>DADOS!C92</f>
        <v>2.7799999999999998E-2</v>
      </c>
      <c r="M80" s="441">
        <f>L80*$M$40</f>
        <v>87.24</v>
      </c>
      <c r="N80" s="453">
        <v>2.7799999999999998E-2</v>
      </c>
      <c r="O80" s="441">
        <f>N80*$O$40</f>
        <v>89.05</v>
      </c>
    </row>
    <row r="81" spans="1:15" s="57" customFormat="1" ht="14.25" customHeight="1" x14ac:dyDescent="0.2">
      <c r="A81" s="892" t="s">
        <v>108</v>
      </c>
      <c r="B81" s="892"/>
      <c r="C81" s="892"/>
      <c r="D81" s="892"/>
      <c r="E81" s="892"/>
      <c r="F81" s="454">
        <f t="shared" ref="F81:L81" si="7">SUM(F79:F80)</f>
        <v>0.1111</v>
      </c>
      <c r="G81" s="535">
        <f t="shared" si="7"/>
        <v>327.13</v>
      </c>
      <c r="H81" s="601">
        <f>SUM(H79:H80)</f>
        <v>0.1111</v>
      </c>
      <c r="I81" s="593">
        <f>SUM(I79:I80)</f>
        <v>327.13</v>
      </c>
      <c r="J81" s="561">
        <f t="shared" si="7"/>
        <v>0.1111</v>
      </c>
      <c r="K81" s="448">
        <f t="shared" si="7"/>
        <v>348.65</v>
      </c>
      <c r="L81" s="454">
        <f t="shared" si="7"/>
        <v>0.1111</v>
      </c>
      <c r="M81" s="448">
        <f>SUM(M79:M80)</f>
        <v>348.65</v>
      </c>
      <c r="N81" s="454">
        <f t="shared" ref="N81" si="8">SUM(N79:N80)</f>
        <v>0.1111</v>
      </c>
      <c r="O81" s="448">
        <f>SUM(O79:O80)</f>
        <v>355.87</v>
      </c>
    </row>
    <row r="82" spans="1:15" s="57" customFormat="1" ht="28.5" customHeight="1" x14ac:dyDescent="0.2">
      <c r="A82" s="414" t="s">
        <v>2</v>
      </c>
      <c r="B82" s="869" t="str">
        <f>DADOS!B94</f>
        <v xml:space="preserve">Incidência dos encargos previstos no Submódulo 4.1 sobre 13° (décimo terceiro) salário </v>
      </c>
      <c r="C82" s="869"/>
      <c r="D82" s="869"/>
      <c r="E82" s="869"/>
      <c r="F82" s="453">
        <f>F75*F81</f>
        <v>3.9899999999999998E-2</v>
      </c>
      <c r="G82" s="532">
        <f>F82*$G$40</f>
        <v>117.48</v>
      </c>
      <c r="H82" s="599">
        <v>3.9899999999999998E-2</v>
      </c>
      <c r="I82" s="586">
        <f>H82*$G$40</f>
        <v>117.48</v>
      </c>
      <c r="J82" s="560">
        <f>J75*J81</f>
        <v>3.9899999999999998E-2</v>
      </c>
      <c r="K82" s="441">
        <f>J82*$K$40</f>
        <v>125.21</v>
      </c>
      <c r="L82" s="453">
        <f>L75*L81</f>
        <v>3.9899999999999998E-2</v>
      </c>
      <c r="M82" s="441">
        <f>L82*$M$40</f>
        <v>125.21</v>
      </c>
      <c r="N82" s="453">
        <f>N75*N81</f>
        <v>4.0300000000000002E-2</v>
      </c>
      <c r="O82" s="441">
        <f>N82*$O$40</f>
        <v>129.09</v>
      </c>
    </row>
    <row r="83" spans="1:15" s="60" customFormat="1" ht="18" customHeight="1" x14ac:dyDescent="0.2">
      <c r="A83" s="892" t="s">
        <v>62</v>
      </c>
      <c r="B83" s="892"/>
      <c r="C83" s="892"/>
      <c r="D83" s="892"/>
      <c r="E83" s="892"/>
      <c r="F83" s="454">
        <f t="shared" ref="F83:M83" si="9">SUM(F81:F82)</f>
        <v>0.151</v>
      </c>
      <c r="G83" s="536">
        <f t="shared" si="9"/>
        <v>444.61</v>
      </c>
      <c r="H83" s="601">
        <f>SUM(H81:H82)</f>
        <v>0.151</v>
      </c>
      <c r="I83" s="596">
        <f>SUM(I81:I82)</f>
        <v>444.61</v>
      </c>
      <c r="J83" s="561">
        <f t="shared" si="9"/>
        <v>0.151</v>
      </c>
      <c r="K83" s="450">
        <f t="shared" si="9"/>
        <v>473.86</v>
      </c>
      <c r="L83" s="454">
        <f t="shared" si="9"/>
        <v>0.151</v>
      </c>
      <c r="M83" s="450">
        <f t="shared" si="9"/>
        <v>473.86</v>
      </c>
      <c r="N83" s="454">
        <f t="shared" ref="N83" si="10">SUM(N81:N82)</f>
        <v>0.15140000000000001</v>
      </c>
      <c r="O83" s="450">
        <f>SUM(O81:O82)</f>
        <v>484.96</v>
      </c>
    </row>
    <row r="84" spans="1:15" s="60" customFormat="1" x14ac:dyDescent="0.2">
      <c r="A84" s="456"/>
      <c r="B84" s="456"/>
      <c r="C84" s="456"/>
      <c r="D84" s="456"/>
      <c r="E84" s="456"/>
      <c r="F84" s="440"/>
      <c r="G84" s="534"/>
      <c r="H84" s="600"/>
      <c r="I84" s="590"/>
      <c r="J84" s="554"/>
      <c r="K84" s="445"/>
      <c r="L84" s="440"/>
      <c r="M84" s="445"/>
      <c r="N84" s="440"/>
      <c r="O84" s="445"/>
    </row>
    <row r="85" spans="1:15" s="57" customFormat="1" x14ac:dyDescent="0.2">
      <c r="A85" s="880" t="s">
        <v>109</v>
      </c>
      <c r="B85" s="880"/>
      <c r="C85" s="880"/>
      <c r="D85" s="880"/>
      <c r="E85" s="880"/>
      <c r="F85" s="880"/>
      <c r="G85" s="893"/>
      <c r="H85" s="597"/>
      <c r="I85" s="598"/>
      <c r="J85" s="559"/>
      <c r="K85" s="451"/>
      <c r="L85" s="451"/>
      <c r="M85" s="451"/>
      <c r="N85" s="654"/>
      <c r="O85" s="654"/>
    </row>
    <row r="86" spans="1:15" s="57" customFormat="1" ht="18" customHeight="1" x14ac:dyDescent="0.2">
      <c r="A86" s="429" t="s">
        <v>63</v>
      </c>
      <c r="B86" s="884" t="s">
        <v>26</v>
      </c>
      <c r="C86" s="884"/>
      <c r="D86" s="884"/>
      <c r="E86" s="884"/>
      <c r="F86" s="429" t="s">
        <v>12</v>
      </c>
      <c r="G86" s="537" t="s">
        <v>103</v>
      </c>
      <c r="H86" s="567"/>
      <c r="I86" s="568"/>
      <c r="J86" s="524" t="s">
        <v>12</v>
      </c>
      <c r="K86" s="429" t="s">
        <v>103</v>
      </c>
      <c r="L86" s="429" t="s">
        <v>12</v>
      </c>
      <c r="M86" s="429" t="s">
        <v>103</v>
      </c>
      <c r="N86" s="650" t="s">
        <v>12</v>
      </c>
      <c r="O86" s="650" t="s">
        <v>103</v>
      </c>
    </row>
    <row r="87" spans="1:15" s="57" customFormat="1" ht="14.25" customHeight="1" x14ac:dyDescent="0.2">
      <c r="A87" s="414" t="s">
        <v>1</v>
      </c>
      <c r="B87" s="452" t="str">
        <f>DADOS!B97</f>
        <v>Afastamento Maternidade</v>
      </c>
      <c r="C87" s="452"/>
      <c r="D87" s="421"/>
      <c r="E87" s="421"/>
      <c r="F87" s="453">
        <f>DADOS!C97</f>
        <v>0</v>
      </c>
      <c r="G87" s="532">
        <f>F87*$G$40</f>
        <v>0</v>
      </c>
      <c r="H87" s="599">
        <f>DADOS!E97</f>
        <v>0</v>
      </c>
      <c r="I87" s="586">
        <f>H87*$G$40</f>
        <v>0</v>
      </c>
      <c r="J87" s="560">
        <f>DADOS!E97</f>
        <v>0</v>
      </c>
      <c r="K87" s="441">
        <f>J87*$K$40</f>
        <v>0</v>
      </c>
      <c r="L87" s="453">
        <f>DADOS!G97</f>
        <v>0</v>
      </c>
      <c r="M87" s="441">
        <f>L87*$K$40</f>
        <v>0</v>
      </c>
      <c r="N87" s="453">
        <f>DADOS!K97</f>
        <v>0</v>
      </c>
      <c r="O87" s="441">
        <f>N87*$K$40</f>
        <v>0</v>
      </c>
    </row>
    <row r="88" spans="1:15" s="57" customFormat="1" ht="14.25" customHeight="1" x14ac:dyDescent="0.2">
      <c r="A88" s="414" t="s">
        <v>2</v>
      </c>
      <c r="B88" s="452" t="str">
        <f>DADOS!B98</f>
        <v>Incidência dos encargos do Submódulo 4.1 sobre o afastamento maternidade</v>
      </c>
      <c r="C88" s="452"/>
      <c r="D88" s="421"/>
      <c r="E88" s="421"/>
      <c r="F88" s="453">
        <f>DADOS!C98</f>
        <v>0</v>
      </c>
      <c r="G88" s="532">
        <f>F88*$G$40</f>
        <v>0</v>
      </c>
      <c r="H88" s="599">
        <f>DADOS!E98</f>
        <v>0</v>
      </c>
      <c r="I88" s="586">
        <f>H88*$G$40</f>
        <v>0</v>
      </c>
      <c r="J88" s="560">
        <f>DADOS!E98</f>
        <v>0</v>
      </c>
      <c r="K88" s="441">
        <f>J88*$K$40</f>
        <v>0</v>
      </c>
      <c r="L88" s="453">
        <f>DADOS!G98</f>
        <v>0</v>
      </c>
      <c r="M88" s="441">
        <f>L88*$K$40</f>
        <v>0</v>
      </c>
      <c r="N88" s="453">
        <f>DADOS!K98</f>
        <v>0</v>
      </c>
      <c r="O88" s="441">
        <f>N88*$K$40</f>
        <v>0</v>
      </c>
    </row>
    <row r="89" spans="1:15" s="60" customFormat="1" ht="18" customHeight="1" x14ac:dyDescent="0.2">
      <c r="A89" s="892" t="s">
        <v>62</v>
      </c>
      <c r="B89" s="892"/>
      <c r="C89" s="892"/>
      <c r="D89" s="892"/>
      <c r="E89" s="892"/>
      <c r="F89" s="454">
        <f t="shared" ref="F89:M89" si="11">SUM(F87:F88)</f>
        <v>0</v>
      </c>
      <c r="G89" s="536">
        <f t="shared" si="11"/>
        <v>0</v>
      </c>
      <c r="H89" s="601">
        <f>SUM(H87:H88)</f>
        <v>0</v>
      </c>
      <c r="I89" s="596">
        <f>SUM(I87:I88)</f>
        <v>0</v>
      </c>
      <c r="J89" s="561">
        <f t="shared" si="11"/>
        <v>0</v>
      </c>
      <c r="K89" s="450">
        <f t="shared" si="11"/>
        <v>0</v>
      </c>
      <c r="L89" s="454">
        <f t="shared" si="11"/>
        <v>0</v>
      </c>
      <c r="M89" s="450">
        <f t="shared" si="11"/>
        <v>0</v>
      </c>
      <c r="N89" s="454">
        <f t="shared" ref="N89:O89" si="12">SUM(N87:N88)</f>
        <v>0</v>
      </c>
      <c r="O89" s="450">
        <f t="shared" si="12"/>
        <v>0</v>
      </c>
    </row>
    <row r="90" spans="1:15" s="60" customFormat="1" ht="18" customHeight="1" x14ac:dyDescent="0.2">
      <c r="A90" s="456"/>
      <c r="B90" s="456"/>
      <c r="C90" s="456"/>
      <c r="D90" s="456"/>
      <c r="E90" s="456"/>
      <c r="F90" s="440"/>
      <c r="G90" s="534"/>
      <c r="H90" s="600"/>
      <c r="I90" s="590"/>
      <c r="J90" s="554"/>
      <c r="K90" s="445"/>
      <c r="L90" s="440"/>
      <c r="M90" s="445"/>
      <c r="N90" s="440"/>
      <c r="O90" s="445"/>
    </row>
    <row r="91" spans="1:15" s="57" customFormat="1" x14ac:dyDescent="0.2">
      <c r="A91" s="880" t="s">
        <v>110</v>
      </c>
      <c r="B91" s="880"/>
      <c r="C91" s="880"/>
      <c r="D91" s="880"/>
      <c r="E91" s="880"/>
      <c r="F91" s="880"/>
      <c r="G91" s="893"/>
      <c r="H91" s="597"/>
      <c r="I91" s="598"/>
      <c r="J91" s="559"/>
      <c r="K91" s="451"/>
      <c r="L91" s="451"/>
      <c r="M91" s="451"/>
      <c r="N91" s="654"/>
      <c r="O91" s="654"/>
    </row>
    <row r="92" spans="1:15" s="57" customFormat="1" ht="18" customHeight="1" x14ac:dyDescent="0.2">
      <c r="A92" s="429" t="s">
        <v>74</v>
      </c>
      <c r="B92" s="884" t="s">
        <v>111</v>
      </c>
      <c r="C92" s="884"/>
      <c r="D92" s="884"/>
      <c r="E92" s="884"/>
      <c r="F92" s="429" t="s">
        <v>12</v>
      </c>
      <c r="G92" s="537" t="s">
        <v>103</v>
      </c>
      <c r="H92" s="567"/>
      <c r="I92" s="568"/>
      <c r="J92" s="524" t="s">
        <v>12</v>
      </c>
      <c r="K92" s="429" t="s">
        <v>103</v>
      </c>
      <c r="L92" s="429" t="s">
        <v>12</v>
      </c>
      <c r="M92" s="429" t="s">
        <v>103</v>
      </c>
      <c r="N92" s="650" t="s">
        <v>12</v>
      </c>
      <c r="O92" s="650" t="s">
        <v>103</v>
      </c>
    </row>
    <row r="93" spans="1:15" s="57" customFormat="1" ht="14.25" customHeight="1" x14ac:dyDescent="0.2">
      <c r="A93" s="414" t="s">
        <v>1</v>
      </c>
      <c r="B93" s="452" t="str">
        <f>DADOS!B101</f>
        <v>Aviso Prévio Indenizado </v>
      </c>
      <c r="C93" s="452"/>
      <c r="D93" s="421"/>
      <c r="E93" s="421"/>
      <c r="F93" s="453">
        <f>DADOS!C101</f>
        <v>4.1999999999999997E-3</v>
      </c>
      <c r="G93" s="532">
        <f t="shared" ref="G93:G98" si="13">F93*$G$40</f>
        <v>12.37</v>
      </c>
      <c r="H93" s="602">
        <v>4.0000000000000002E-4</v>
      </c>
      <c r="I93" s="586">
        <f t="shared" ref="I93:I98" si="14">H93*$G$40</f>
        <v>1.18</v>
      </c>
      <c r="J93" s="560">
        <f>DADOS!C101</f>
        <v>4.1999999999999997E-3</v>
      </c>
      <c r="K93" s="441">
        <f t="shared" ref="K93:K98" si="15">J93*$K$40</f>
        <v>13.18</v>
      </c>
      <c r="L93" s="613">
        <v>4.0000000000000002E-4</v>
      </c>
      <c r="M93" s="441">
        <f t="shared" ref="M93:M98" si="16">L93*$M$40</f>
        <v>1.26</v>
      </c>
      <c r="N93" s="613">
        <v>4.0000000000000002E-4</v>
      </c>
      <c r="O93" s="441">
        <f>N93*$O$40</f>
        <v>1.28</v>
      </c>
    </row>
    <row r="94" spans="1:15" s="57" customFormat="1" ht="14.25" customHeight="1" x14ac:dyDescent="0.2">
      <c r="A94" s="414" t="s">
        <v>2</v>
      </c>
      <c r="B94" s="452" t="str">
        <f>DADOS!B102</f>
        <v>Incidência dos encargos do submódulo 4.1 sobre aviso prévio indenizado</v>
      </c>
      <c r="C94" s="452"/>
      <c r="D94" s="421"/>
      <c r="E94" s="421"/>
      <c r="F94" s="453">
        <f>DADOS!C102</f>
        <v>1.5E-3</v>
      </c>
      <c r="G94" s="532">
        <f t="shared" si="13"/>
        <v>4.42</v>
      </c>
      <c r="H94" s="602">
        <v>1E-4</v>
      </c>
      <c r="I94" s="586">
        <f t="shared" si="14"/>
        <v>0.28999999999999998</v>
      </c>
      <c r="J94" s="560">
        <f>DADOS!C102</f>
        <v>1.5E-3</v>
      </c>
      <c r="K94" s="441">
        <f t="shared" si="15"/>
        <v>4.71</v>
      </c>
      <c r="L94" s="613">
        <v>1E-4</v>
      </c>
      <c r="M94" s="441">
        <f t="shared" si="16"/>
        <v>0.31</v>
      </c>
      <c r="N94" s="613">
        <v>1E-4</v>
      </c>
      <c r="O94" s="441">
        <f t="shared" ref="O94:O98" si="17">N94*$O$40</f>
        <v>0.32</v>
      </c>
    </row>
    <row r="95" spans="1:15" s="57" customFormat="1" ht="14.25" customHeight="1" x14ac:dyDescent="0.2">
      <c r="A95" s="414" t="s">
        <v>4</v>
      </c>
      <c r="B95" s="452" t="str">
        <f>DADOS!B103</f>
        <v xml:space="preserve">Multa do FGTS e contribuições sociais sobre o aviso prévio indenizado </v>
      </c>
      <c r="C95" s="452"/>
      <c r="D95" s="421"/>
      <c r="E95" s="421"/>
      <c r="F95" s="453">
        <f>DADOS!C103</f>
        <v>4.3499999999999997E-2</v>
      </c>
      <c r="G95" s="532">
        <f t="shared" si="13"/>
        <v>128.08000000000001</v>
      </c>
      <c r="H95" s="599">
        <v>4.3499999999999997E-2</v>
      </c>
      <c r="I95" s="586">
        <f t="shared" si="14"/>
        <v>128.08000000000001</v>
      </c>
      <c r="J95" s="560">
        <f>DADOS!C103</f>
        <v>4.3499999999999997E-2</v>
      </c>
      <c r="K95" s="441">
        <f t="shared" si="15"/>
        <v>136.51</v>
      </c>
      <c r="L95" s="453">
        <v>4.3499999999999997E-2</v>
      </c>
      <c r="M95" s="441">
        <f t="shared" si="16"/>
        <v>136.51</v>
      </c>
      <c r="N95" s="453">
        <v>4.3499999999999997E-2</v>
      </c>
      <c r="O95" s="441">
        <f t="shared" si="17"/>
        <v>139.34</v>
      </c>
    </row>
    <row r="96" spans="1:15" s="57" customFormat="1" ht="14.25" customHeight="1" x14ac:dyDescent="0.2">
      <c r="A96" s="414" t="s">
        <v>5</v>
      </c>
      <c r="B96" s="452" t="str">
        <f>DADOS!B104</f>
        <v>Aviso Prévio trabalhado</v>
      </c>
      <c r="C96" s="452"/>
      <c r="D96" s="421"/>
      <c r="E96" s="421"/>
      <c r="F96" s="453">
        <f>DADOS!C104</f>
        <v>1.9400000000000001E-2</v>
      </c>
      <c r="G96" s="532">
        <f t="shared" si="13"/>
        <v>57.12</v>
      </c>
      <c r="H96" s="602">
        <v>0</v>
      </c>
      <c r="I96" s="586">
        <f t="shared" si="14"/>
        <v>0</v>
      </c>
      <c r="J96" s="560">
        <f>DADOS!C104</f>
        <v>1.9400000000000001E-2</v>
      </c>
      <c r="K96" s="441">
        <f t="shared" si="15"/>
        <v>60.88</v>
      </c>
      <c r="L96" s="613">
        <v>0</v>
      </c>
      <c r="M96" s="441">
        <f t="shared" si="16"/>
        <v>0</v>
      </c>
      <c r="N96" s="613">
        <v>0</v>
      </c>
      <c r="O96" s="441">
        <f t="shared" si="17"/>
        <v>0</v>
      </c>
    </row>
    <row r="97" spans="1:15" s="57" customFormat="1" ht="14.25" customHeight="1" x14ac:dyDescent="0.2">
      <c r="A97" s="414" t="s">
        <v>6</v>
      </c>
      <c r="B97" s="452" t="str">
        <f>DADOS!B105</f>
        <v>Incidência dos encargos do submódulo 4.1 sobre aviso prévio trabalhado</v>
      </c>
      <c r="C97" s="452"/>
      <c r="D97" s="421"/>
      <c r="E97" s="421"/>
      <c r="F97" s="453">
        <f>DADOS!C105</f>
        <v>7.0000000000000001E-3</v>
      </c>
      <c r="G97" s="532">
        <f t="shared" si="13"/>
        <v>20.61</v>
      </c>
      <c r="H97" s="602">
        <v>0</v>
      </c>
      <c r="I97" s="586">
        <f t="shared" si="14"/>
        <v>0</v>
      </c>
      <c r="J97" s="560">
        <f>DADOS!C105</f>
        <v>7.0000000000000001E-3</v>
      </c>
      <c r="K97" s="441">
        <f t="shared" si="15"/>
        <v>21.97</v>
      </c>
      <c r="L97" s="613">
        <v>0</v>
      </c>
      <c r="M97" s="441">
        <f t="shared" si="16"/>
        <v>0</v>
      </c>
      <c r="N97" s="613">
        <v>0</v>
      </c>
      <c r="O97" s="441">
        <f t="shared" si="17"/>
        <v>0</v>
      </c>
    </row>
    <row r="98" spans="1:15" s="57" customFormat="1" ht="14.25" customHeight="1" x14ac:dyDescent="0.2">
      <c r="A98" s="414" t="s">
        <v>7</v>
      </c>
      <c r="B98" s="452" t="str">
        <f>DADOS!B106</f>
        <v>Multa do FGTS e contribuições sociais sobre o aviso prévio trabalhado</v>
      </c>
      <c r="C98" s="452"/>
      <c r="D98" s="421"/>
      <c r="E98" s="421"/>
      <c r="F98" s="453">
        <f>DADOS!C106</f>
        <v>6.4999999999999997E-3</v>
      </c>
      <c r="G98" s="532">
        <f t="shared" si="13"/>
        <v>19.14</v>
      </c>
      <c r="H98" s="599">
        <v>6.4999999999999997E-3</v>
      </c>
      <c r="I98" s="586">
        <f t="shared" si="14"/>
        <v>19.14</v>
      </c>
      <c r="J98" s="560">
        <f>DADOS!C106</f>
        <v>6.4999999999999997E-3</v>
      </c>
      <c r="K98" s="441">
        <f t="shared" si="15"/>
        <v>20.399999999999999</v>
      </c>
      <c r="L98" s="453">
        <f>DADOS!C106</f>
        <v>6.4999999999999997E-3</v>
      </c>
      <c r="M98" s="441">
        <f t="shared" si="16"/>
        <v>20.399999999999999</v>
      </c>
      <c r="N98" s="453">
        <v>6.4999999999999997E-3</v>
      </c>
      <c r="O98" s="441">
        <f t="shared" si="17"/>
        <v>20.82</v>
      </c>
    </row>
    <row r="99" spans="1:15" s="60" customFormat="1" ht="18" customHeight="1" x14ac:dyDescent="0.2">
      <c r="A99" s="892" t="s">
        <v>62</v>
      </c>
      <c r="B99" s="892"/>
      <c r="C99" s="892"/>
      <c r="D99" s="892"/>
      <c r="E99" s="892"/>
      <c r="F99" s="454">
        <f t="shared" ref="F99:M99" si="18">SUM(F93:F98)</f>
        <v>8.2100000000000006E-2</v>
      </c>
      <c r="G99" s="536">
        <f t="shared" si="18"/>
        <v>241.74</v>
      </c>
      <c r="H99" s="601">
        <f>SUM(H93:H98)</f>
        <v>5.0500000000000003E-2</v>
      </c>
      <c r="I99" s="596">
        <f>SUM(I93:I98)</f>
        <v>148.69</v>
      </c>
      <c r="J99" s="561">
        <f t="shared" si="18"/>
        <v>8.2100000000000006E-2</v>
      </c>
      <c r="K99" s="450">
        <f t="shared" si="18"/>
        <v>257.64999999999998</v>
      </c>
      <c r="L99" s="454">
        <f t="shared" si="18"/>
        <v>5.0500000000000003E-2</v>
      </c>
      <c r="M99" s="450">
        <f t="shared" si="18"/>
        <v>158.47999999999999</v>
      </c>
      <c r="N99" s="454">
        <f t="shared" ref="N99:O99" si="19">SUM(N93:N98)</f>
        <v>5.0500000000000003E-2</v>
      </c>
      <c r="O99" s="450">
        <f t="shared" si="19"/>
        <v>161.76</v>
      </c>
    </row>
    <row r="100" spans="1:15" s="60" customFormat="1" ht="18" customHeight="1" x14ac:dyDescent="0.2">
      <c r="A100" s="456"/>
      <c r="B100" s="456"/>
      <c r="C100" s="456"/>
      <c r="D100" s="456"/>
      <c r="E100" s="456"/>
      <c r="F100" s="440"/>
      <c r="G100" s="534"/>
      <c r="H100" s="600"/>
      <c r="I100" s="590"/>
      <c r="J100" s="554"/>
      <c r="K100" s="445"/>
      <c r="L100" s="440"/>
      <c r="M100" s="445"/>
      <c r="N100" s="440"/>
      <c r="O100" s="445"/>
    </row>
    <row r="101" spans="1:15" s="57" customFormat="1" x14ac:dyDescent="0.2">
      <c r="A101" s="880" t="s">
        <v>112</v>
      </c>
      <c r="B101" s="880"/>
      <c r="C101" s="880"/>
      <c r="D101" s="880"/>
      <c r="E101" s="880"/>
      <c r="F101" s="880"/>
      <c r="G101" s="893"/>
      <c r="H101" s="597"/>
      <c r="I101" s="598"/>
      <c r="J101" s="559"/>
      <c r="K101" s="451"/>
      <c r="L101" s="451"/>
      <c r="M101" s="451"/>
      <c r="N101" s="654"/>
      <c r="O101" s="654"/>
    </row>
    <row r="102" spans="1:15" s="57" customFormat="1" ht="18" customHeight="1" x14ac:dyDescent="0.2">
      <c r="A102" s="429" t="s">
        <v>77</v>
      </c>
      <c r="B102" s="884" t="s">
        <v>123</v>
      </c>
      <c r="C102" s="884"/>
      <c r="D102" s="884"/>
      <c r="E102" s="884"/>
      <c r="F102" s="429" t="s">
        <v>12</v>
      </c>
      <c r="G102" s="537" t="s">
        <v>103</v>
      </c>
      <c r="H102" s="567"/>
      <c r="I102" s="568"/>
      <c r="J102" s="524" t="s">
        <v>12</v>
      </c>
      <c r="K102" s="429" t="s">
        <v>103</v>
      </c>
      <c r="L102" s="429" t="s">
        <v>12</v>
      </c>
      <c r="M102" s="429" t="s">
        <v>103</v>
      </c>
      <c r="N102" s="650" t="s">
        <v>12</v>
      </c>
      <c r="O102" s="650" t="s">
        <v>103</v>
      </c>
    </row>
    <row r="103" spans="1:15" s="57" customFormat="1" ht="14.25" customHeight="1" x14ac:dyDescent="0.2">
      <c r="A103" s="414" t="s">
        <v>1</v>
      </c>
      <c r="B103" s="452" t="str">
        <f>DADOS!B109</f>
        <v xml:space="preserve">Férias </v>
      </c>
      <c r="C103" s="452"/>
      <c r="D103" s="421"/>
      <c r="E103" s="421"/>
      <c r="F103" s="453">
        <f>DADOS!C109</f>
        <v>8.3299999999999999E-2</v>
      </c>
      <c r="G103" s="534">
        <f t="shared" ref="G103:I110" si="20">F103*$G$40</f>
        <v>245.27</v>
      </c>
      <c r="H103" s="599">
        <v>8.3299999999999999E-2</v>
      </c>
      <c r="I103" s="590">
        <f t="shared" si="20"/>
        <v>245.27</v>
      </c>
      <c r="J103" s="560">
        <f>DADOS!C109</f>
        <v>8.3299999999999999E-2</v>
      </c>
      <c r="K103" s="445">
        <f t="shared" ref="K103:K108" si="21">J103*$K$40</f>
        <v>261.41000000000003</v>
      </c>
      <c r="L103" s="453">
        <f>DADOS!C109</f>
        <v>8.3299999999999999E-2</v>
      </c>
      <c r="M103" s="445">
        <f t="shared" ref="M103:M108" si="22">L103*$M$40</f>
        <v>261.41000000000003</v>
      </c>
      <c r="N103" s="453">
        <v>8.3299999999999999E-2</v>
      </c>
      <c r="O103" s="445">
        <f>N103*$O$40</f>
        <v>266.82</v>
      </c>
    </row>
    <row r="104" spans="1:15" s="57" customFormat="1" ht="14.25" customHeight="1" x14ac:dyDescent="0.2">
      <c r="A104" s="414" t="s">
        <v>2</v>
      </c>
      <c r="B104" s="452" t="str">
        <f>DADOS!B110</f>
        <v>Ausência por doença</v>
      </c>
      <c r="C104" s="452"/>
      <c r="D104" s="421"/>
      <c r="E104" s="421"/>
      <c r="F104" s="453">
        <f>DADOS!C110</f>
        <v>1.3899999999999999E-2</v>
      </c>
      <c r="G104" s="534">
        <f t="shared" si="20"/>
        <v>40.93</v>
      </c>
      <c r="H104" s="599">
        <v>1.3899999999999999E-2</v>
      </c>
      <c r="I104" s="590">
        <f t="shared" si="20"/>
        <v>40.93</v>
      </c>
      <c r="J104" s="560">
        <f>DADOS!C110</f>
        <v>1.3899999999999999E-2</v>
      </c>
      <c r="K104" s="445">
        <f t="shared" si="21"/>
        <v>43.62</v>
      </c>
      <c r="L104" s="453">
        <f>DADOS!C110</f>
        <v>1.3899999999999999E-2</v>
      </c>
      <c r="M104" s="445">
        <f t="shared" si="22"/>
        <v>43.62</v>
      </c>
      <c r="N104" s="453">
        <v>1.3899999999999999E-2</v>
      </c>
      <c r="O104" s="445">
        <f t="shared" ref="O104:O108" si="23">N104*$O$40</f>
        <v>44.52</v>
      </c>
    </row>
    <row r="105" spans="1:15" s="57" customFormat="1" ht="14.25" customHeight="1" x14ac:dyDescent="0.2">
      <c r="A105" s="414" t="s">
        <v>4</v>
      </c>
      <c r="B105" s="452" t="str">
        <f>DADOS!B111</f>
        <v>Licença Paternidade</v>
      </c>
      <c r="C105" s="452"/>
      <c r="D105" s="421"/>
      <c r="E105" s="421"/>
      <c r="F105" s="453">
        <f>DADOS!C111</f>
        <v>1.2999999999999999E-3</v>
      </c>
      <c r="G105" s="534">
        <f t="shared" si="20"/>
        <v>3.83</v>
      </c>
      <c r="H105" s="599">
        <v>1.2999999999999999E-3</v>
      </c>
      <c r="I105" s="590">
        <f t="shared" si="20"/>
        <v>3.83</v>
      </c>
      <c r="J105" s="560">
        <f>DADOS!C111</f>
        <v>1.2999999999999999E-3</v>
      </c>
      <c r="K105" s="445">
        <f t="shared" si="21"/>
        <v>4.08</v>
      </c>
      <c r="L105" s="453">
        <f>DADOS!C111</f>
        <v>1.2999999999999999E-3</v>
      </c>
      <c r="M105" s="445">
        <f t="shared" si="22"/>
        <v>4.08</v>
      </c>
      <c r="N105" s="453">
        <v>1.2999999999999999E-3</v>
      </c>
      <c r="O105" s="445">
        <f t="shared" si="23"/>
        <v>4.16</v>
      </c>
    </row>
    <row r="106" spans="1:15" s="57" customFormat="1" ht="14.25" customHeight="1" x14ac:dyDescent="0.2">
      <c r="A106" s="414" t="s">
        <v>5</v>
      </c>
      <c r="B106" s="452" t="str">
        <f>DADOS!B112</f>
        <v>Ausências legais</v>
      </c>
      <c r="C106" s="452"/>
      <c r="D106" s="421"/>
      <c r="E106" s="421"/>
      <c r="F106" s="453">
        <f>DADOS!C112</f>
        <v>2.8E-3</v>
      </c>
      <c r="G106" s="534">
        <f t="shared" si="20"/>
        <v>8.24</v>
      </c>
      <c r="H106" s="599">
        <v>2.8E-3</v>
      </c>
      <c r="I106" s="590">
        <f t="shared" si="20"/>
        <v>8.24</v>
      </c>
      <c r="J106" s="560">
        <f>DADOS!C112</f>
        <v>2.8E-3</v>
      </c>
      <c r="K106" s="445">
        <f t="shared" si="21"/>
        <v>8.7899999999999991</v>
      </c>
      <c r="L106" s="453">
        <f>DADOS!C112</f>
        <v>2.8E-3</v>
      </c>
      <c r="M106" s="445">
        <f t="shared" si="22"/>
        <v>8.7899999999999991</v>
      </c>
      <c r="N106" s="453">
        <v>2.8E-3</v>
      </c>
      <c r="O106" s="445">
        <f t="shared" si="23"/>
        <v>8.9700000000000006</v>
      </c>
    </row>
    <row r="107" spans="1:15" s="57" customFormat="1" ht="14.25" customHeight="1" x14ac:dyDescent="0.2">
      <c r="A107" s="414" t="s">
        <v>6</v>
      </c>
      <c r="B107" s="452" t="str">
        <f>DADOS!B113</f>
        <v>Ausência por Acidente de trabalho</v>
      </c>
      <c r="C107" s="452"/>
      <c r="D107" s="421"/>
      <c r="E107" s="421"/>
      <c r="F107" s="453">
        <f>DADOS!C113</f>
        <v>3.3E-3</v>
      </c>
      <c r="G107" s="534">
        <f t="shared" si="20"/>
        <v>9.7200000000000006</v>
      </c>
      <c r="H107" s="599">
        <v>3.3E-3</v>
      </c>
      <c r="I107" s="590">
        <f t="shared" si="20"/>
        <v>9.7200000000000006</v>
      </c>
      <c r="J107" s="560">
        <f>DADOS!C113</f>
        <v>3.3E-3</v>
      </c>
      <c r="K107" s="445">
        <f t="shared" si="21"/>
        <v>10.36</v>
      </c>
      <c r="L107" s="453">
        <f>DADOS!C113</f>
        <v>3.3E-3</v>
      </c>
      <c r="M107" s="445">
        <f t="shared" si="22"/>
        <v>10.36</v>
      </c>
      <c r="N107" s="453">
        <v>3.3E-3</v>
      </c>
      <c r="O107" s="445">
        <f t="shared" si="23"/>
        <v>10.57</v>
      </c>
    </row>
    <row r="108" spans="1:15" s="57" customFormat="1" ht="14.25" customHeight="1" x14ac:dyDescent="0.2">
      <c r="A108" s="414" t="s">
        <v>7</v>
      </c>
      <c r="B108" s="452" t="str">
        <f>DADOS!B114</f>
        <v>Outros (especificar)</v>
      </c>
      <c r="C108" s="452"/>
      <c r="D108" s="421"/>
      <c r="E108" s="421"/>
      <c r="F108" s="453">
        <f>DADOS!C114</f>
        <v>0</v>
      </c>
      <c r="G108" s="534">
        <f t="shared" si="20"/>
        <v>0</v>
      </c>
      <c r="H108" s="599">
        <v>0</v>
      </c>
      <c r="I108" s="590">
        <f t="shared" si="20"/>
        <v>0</v>
      </c>
      <c r="J108" s="560">
        <f>DADOS!C114</f>
        <v>0</v>
      </c>
      <c r="K108" s="445">
        <f t="shared" si="21"/>
        <v>0</v>
      </c>
      <c r="L108" s="453">
        <f>DADOS!C114</f>
        <v>0</v>
      </c>
      <c r="M108" s="445">
        <f t="shared" si="22"/>
        <v>0</v>
      </c>
      <c r="N108" s="453">
        <v>0</v>
      </c>
      <c r="O108" s="445">
        <f t="shared" si="23"/>
        <v>0</v>
      </c>
    </row>
    <row r="109" spans="1:15" s="57" customFormat="1" ht="15" customHeight="1" x14ac:dyDescent="0.2">
      <c r="A109" s="892" t="s">
        <v>108</v>
      </c>
      <c r="B109" s="892"/>
      <c r="C109" s="892"/>
      <c r="D109" s="892"/>
      <c r="E109" s="892"/>
      <c r="F109" s="454">
        <f t="shared" ref="F109:L109" si="24">SUM(F103:F108)</f>
        <v>0.1046</v>
      </c>
      <c r="G109" s="535">
        <f t="shared" si="24"/>
        <v>307.99</v>
      </c>
      <c r="H109" s="601">
        <v>0.1046</v>
      </c>
      <c r="I109" s="593">
        <f>SUM(I103:I108)</f>
        <v>307.99</v>
      </c>
      <c r="J109" s="561">
        <f t="shared" si="24"/>
        <v>0.1046</v>
      </c>
      <c r="K109" s="448">
        <f t="shared" si="24"/>
        <v>328.26</v>
      </c>
      <c r="L109" s="454">
        <f t="shared" si="24"/>
        <v>0.1046</v>
      </c>
      <c r="M109" s="448">
        <f>SUM(M103:M108)</f>
        <v>328.26</v>
      </c>
      <c r="N109" s="454">
        <f t="shared" ref="N109" si="25">SUM(N103:N108)</f>
        <v>0.1046</v>
      </c>
      <c r="O109" s="448">
        <f>SUM(O103:O108)</f>
        <v>335.04</v>
      </c>
    </row>
    <row r="110" spans="1:15" s="57" customFormat="1" ht="28.5" customHeight="1" x14ac:dyDescent="0.2">
      <c r="A110" s="414" t="s">
        <v>8</v>
      </c>
      <c r="B110" s="869" t="str">
        <f>DADOS!B116</f>
        <v>Incidência dos encargos previstos no Submódulo 4.1 sobre o custo de reposição do profissional ausente</v>
      </c>
      <c r="C110" s="869"/>
      <c r="D110" s="869"/>
      <c r="E110" s="869"/>
      <c r="F110" s="453">
        <f>DADOS!C116</f>
        <v>3.7600000000000001E-2</v>
      </c>
      <c r="G110" s="534">
        <f t="shared" si="20"/>
        <v>110.71</v>
      </c>
      <c r="H110" s="599">
        <v>3.7600000000000001E-2</v>
      </c>
      <c r="I110" s="590">
        <f t="shared" si="20"/>
        <v>110.71</v>
      </c>
      <c r="J110" s="560">
        <f>DADOS!C116</f>
        <v>3.7600000000000001E-2</v>
      </c>
      <c r="K110" s="445">
        <f>J110*$K$40</f>
        <v>118</v>
      </c>
      <c r="L110" s="453">
        <f>DADOS!C116</f>
        <v>3.7600000000000001E-2</v>
      </c>
      <c r="M110" s="445">
        <f>L110*$M$40</f>
        <v>118</v>
      </c>
      <c r="N110" s="453">
        <f>N109*N75</f>
        <v>3.7900000000000003E-2</v>
      </c>
      <c r="O110" s="445">
        <f>N110*$O$40</f>
        <v>121.4</v>
      </c>
    </row>
    <row r="111" spans="1:15" s="63" customFormat="1" ht="18" customHeight="1" x14ac:dyDescent="0.2">
      <c r="A111" s="892" t="s">
        <v>62</v>
      </c>
      <c r="B111" s="892"/>
      <c r="C111" s="892"/>
      <c r="D111" s="892"/>
      <c r="E111" s="892"/>
      <c r="F111" s="454">
        <f t="shared" ref="F111:L111" si="26">SUM(F109:F110)</f>
        <v>0.14219999999999999</v>
      </c>
      <c r="G111" s="536">
        <f t="shared" si="26"/>
        <v>418.7</v>
      </c>
      <c r="H111" s="601">
        <v>0.14219999999999999</v>
      </c>
      <c r="I111" s="596">
        <f>SUM(I109:I110)</f>
        <v>418.7</v>
      </c>
      <c r="J111" s="561">
        <f t="shared" si="26"/>
        <v>0.14219999999999999</v>
      </c>
      <c r="K111" s="450">
        <f t="shared" si="26"/>
        <v>446.26</v>
      </c>
      <c r="L111" s="454">
        <f t="shared" si="26"/>
        <v>0.14219999999999999</v>
      </c>
      <c r="M111" s="450">
        <f>SUM(M109:M110)</f>
        <v>446.26</v>
      </c>
      <c r="N111" s="454">
        <f t="shared" ref="N111" si="27">SUM(N109:N110)</f>
        <v>0.14249999999999999</v>
      </c>
      <c r="O111" s="450">
        <f>SUM(O109:O110)</f>
        <v>456.44</v>
      </c>
    </row>
    <row r="112" spans="1:15" s="60" customFormat="1" ht="18" customHeight="1" x14ac:dyDescent="0.2">
      <c r="A112" s="456"/>
      <c r="B112" s="456"/>
      <c r="C112" s="456"/>
      <c r="D112" s="456"/>
      <c r="E112" s="456"/>
      <c r="F112" s="440"/>
      <c r="G112" s="534"/>
      <c r="H112" s="600"/>
      <c r="I112" s="590"/>
      <c r="J112" s="554"/>
      <c r="K112" s="445"/>
      <c r="L112" s="440"/>
      <c r="M112" s="445"/>
      <c r="N112" s="440"/>
      <c r="O112" s="445"/>
    </row>
    <row r="113" spans="1:15" s="57" customFormat="1" x14ac:dyDescent="0.2">
      <c r="A113" s="881" t="s">
        <v>143</v>
      </c>
      <c r="B113" s="881"/>
      <c r="C113" s="881"/>
      <c r="D113" s="881"/>
      <c r="E113" s="881"/>
      <c r="F113" s="881"/>
      <c r="G113" s="895"/>
      <c r="H113" s="573"/>
      <c r="I113" s="577"/>
      <c r="J113" s="522"/>
      <c r="K113" s="428"/>
      <c r="L113" s="428"/>
      <c r="M113" s="428"/>
      <c r="N113" s="651"/>
      <c r="O113" s="651"/>
    </row>
    <row r="114" spans="1:15" s="57" customFormat="1" ht="18" customHeight="1" x14ac:dyDescent="0.2">
      <c r="A114" s="429">
        <v>4</v>
      </c>
      <c r="B114" s="884" t="s">
        <v>113</v>
      </c>
      <c r="C114" s="884"/>
      <c r="D114" s="884"/>
      <c r="E114" s="884"/>
      <c r="F114" s="429" t="s">
        <v>12</v>
      </c>
      <c r="G114" s="537" t="s">
        <v>103</v>
      </c>
      <c r="H114" s="567" t="s">
        <v>12</v>
      </c>
      <c r="I114" s="568" t="s">
        <v>103</v>
      </c>
      <c r="J114" s="524" t="s">
        <v>12</v>
      </c>
      <c r="K114" s="429" t="s">
        <v>103</v>
      </c>
      <c r="L114" s="429" t="s">
        <v>12</v>
      </c>
      <c r="M114" s="429" t="s">
        <v>103</v>
      </c>
      <c r="N114" s="650" t="s">
        <v>12</v>
      </c>
      <c r="O114" s="650" t="s">
        <v>103</v>
      </c>
    </row>
    <row r="115" spans="1:15" s="57" customFormat="1" ht="14.25" customHeight="1" x14ac:dyDescent="0.2">
      <c r="A115" s="429" t="s">
        <v>63</v>
      </c>
      <c r="B115" s="452" t="str">
        <f>B66</f>
        <v>Encargos previdenciários, FGTS e outras contribuições</v>
      </c>
      <c r="C115" s="452"/>
      <c r="D115" s="421"/>
      <c r="E115" s="421"/>
      <c r="F115" s="453">
        <f t="shared" ref="F115:M115" si="28">F75</f>
        <v>0.35930000000000001</v>
      </c>
      <c r="G115" s="532">
        <f t="shared" si="28"/>
        <v>1057.95</v>
      </c>
      <c r="H115" s="599">
        <v>0.35930000000000001</v>
      </c>
      <c r="I115" s="586">
        <f>I75</f>
        <v>1057.95</v>
      </c>
      <c r="J115" s="560">
        <f t="shared" si="28"/>
        <v>0.35930000000000001</v>
      </c>
      <c r="K115" s="441">
        <f t="shared" si="28"/>
        <v>1127.55</v>
      </c>
      <c r="L115" s="453">
        <f t="shared" si="28"/>
        <v>0.35930000000000001</v>
      </c>
      <c r="M115" s="441">
        <f t="shared" si="28"/>
        <v>1127.55</v>
      </c>
      <c r="N115" s="453">
        <f t="shared" ref="N115:O115" si="29">N75</f>
        <v>0.36230000000000001</v>
      </c>
      <c r="O115" s="441">
        <f t="shared" si="29"/>
        <v>1160.51</v>
      </c>
    </row>
    <row r="116" spans="1:15" s="57" customFormat="1" ht="14.25" customHeight="1" x14ac:dyDescent="0.2">
      <c r="A116" s="429" t="s">
        <v>70</v>
      </c>
      <c r="B116" s="452" t="str">
        <f>B78</f>
        <v xml:space="preserve">13º (décimo terceiro) Salário </v>
      </c>
      <c r="C116" s="452"/>
      <c r="D116" s="421"/>
      <c r="E116" s="421"/>
      <c r="F116" s="453">
        <f t="shared" ref="F116:M116" si="30">F83</f>
        <v>0.151</v>
      </c>
      <c r="G116" s="532">
        <f t="shared" si="30"/>
        <v>444.61</v>
      </c>
      <c r="H116" s="599">
        <v>0.151</v>
      </c>
      <c r="I116" s="586">
        <f>I83</f>
        <v>444.61</v>
      </c>
      <c r="J116" s="560">
        <f t="shared" si="30"/>
        <v>0.151</v>
      </c>
      <c r="K116" s="441">
        <f t="shared" si="30"/>
        <v>473.86</v>
      </c>
      <c r="L116" s="453">
        <f t="shared" si="30"/>
        <v>0.151</v>
      </c>
      <c r="M116" s="441">
        <f t="shared" si="30"/>
        <v>473.86</v>
      </c>
      <c r="N116" s="453">
        <f t="shared" ref="N116:O116" si="31">N83</f>
        <v>0.15140000000000001</v>
      </c>
      <c r="O116" s="441">
        <f t="shared" si="31"/>
        <v>484.96</v>
      </c>
    </row>
    <row r="117" spans="1:15" s="57" customFormat="1" ht="14.25" customHeight="1" x14ac:dyDescent="0.2">
      <c r="A117" s="429" t="s">
        <v>72</v>
      </c>
      <c r="B117" s="452" t="str">
        <f>B86</f>
        <v>Afastamento Maternidade</v>
      </c>
      <c r="C117" s="452"/>
      <c r="D117" s="421"/>
      <c r="E117" s="421"/>
      <c r="F117" s="453">
        <f t="shared" ref="F117:M117" si="32">F89</f>
        <v>0</v>
      </c>
      <c r="G117" s="532">
        <f t="shared" si="32"/>
        <v>0</v>
      </c>
      <c r="H117" s="599">
        <v>0</v>
      </c>
      <c r="I117" s="586">
        <f>I89</f>
        <v>0</v>
      </c>
      <c r="J117" s="560">
        <f t="shared" si="32"/>
        <v>0</v>
      </c>
      <c r="K117" s="441">
        <f t="shared" si="32"/>
        <v>0</v>
      </c>
      <c r="L117" s="453">
        <f t="shared" si="32"/>
        <v>0</v>
      </c>
      <c r="M117" s="441">
        <f t="shared" si="32"/>
        <v>0</v>
      </c>
      <c r="N117" s="453">
        <f t="shared" ref="N117:O117" si="33">N89</f>
        <v>0</v>
      </c>
      <c r="O117" s="441">
        <f t="shared" si="33"/>
        <v>0</v>
      </c>
    </row>
    <row r="118" spans="1:15" s="57" customFormat="1" ht="14.25" customHeight="1" x14ac:dyDescent="0.2">
      <c r="A118" s="429" t="s">
        <v>74</v>
      </c>
      <c r="B118" s="452" t="str">
        <f>B92</f>
        <v>Provisão para Rescisão</v>
      </c>
      <c r="C118" s="452"/>
      <c r="D118" s="421"/>
      <c r="E118" s="421"/>
      <c r="F118" s="453">
        <f t="shared" ref="F118:M118" si="34">F99</f>
        <v>8.2100000000000006E-2</v>
      </c>
      <c r="G118" s="532">
        <f t="shared" si="34"/>
        <v>241.74</v>
      </c>
      <c r="H118" s="599">
        <v>8.2100000000000006E-2</v>
      </c>
      <c r="I118" s="586">
        <f>I99</f>
        <v>148.69</v>
      </c>
      <c r="J118" s="560">
        <f t="shared" si="34"/>
        <v>8.2100000000000006E-2</v>
      </c>
      <c r="K118" s="441">
        <f t="shared" si="34"/>
        <v>257.64999999999998</v>
      </c>
      <c r="L118" s="453">
        <f t="shared" si="34"/>
        <v>5.0500000000000003E-2</v>
      </c>
      <c r="M118" s="441">
        <f t="shared" si="34"/>
        <v>158.47999999999999</v>
      </c>
      <c r="N118" s="453">
        <f t="shared" ref="N118:O118" si="35">N99</f>
        <v>5.0500000000000003E-2</v>
      </c>
      <c r="O118" s="441">
        <f t="shared" si="35"/>
        <v>161.76</v>
      </c>
    </row>
    <row r="119" spans="1:15" s="57" customFormat="1" ht="14.25" customHeight="1" x14ac:dyDescent="0.2">
      <c r="A119" s="429" t="s">
        <v>77</v>
      </c>
      <c r="B119" s="415" t="str">
        <f>B102</f>
        <v>Composição do Custo de Reposição do Profissional Ausente</v>
      </c>
      <c r="C119" s="415"/>
      <c r="D119" s="421"/>
      <c r="E119" s="421"/>
      <c r="F119" s="453">
        <f t="shared" ref="F119:M119" si="36">F111</f>
        <v>0.14219999999999999</v>
      </c>
      <c r="G119" s="532">
        <f t="shared" si="36"/>
        <v>418.7</v>
      </c>
      <c r="H119" s="599">
        <v>0.14219999999999999</v>
      </c>
      <c r="I119" s="586">
        <f>I111</f>
        <v>418.7</v>
      </c>
      <c r="J119" s="560">
        <f t="shared" si="36"/>
        <v>0.14219999999999999</v>
      </c>
      <c r="K119" s="441">
        <f t="shared" si="36"/>
        <v>446.26</v>
      </c>
      <c r="L119" s="453">
        <f t="shared" si="36"/>
        <v>0.14219999999999999</v>
      </c>
      <c r="M119" s="441">
        <f t="shared" si="36"/>
        <v>446.26</v>
      </c>
      <c r="N119" s="453">
        <f t="shared" ref="N119:O119" si="37">N111</f>
        <v>0.14249999999999999</v>
      </c>
      <c r="O119" s="441">
        <f t="shared" si="37"/>
        <v>456.44</v>
      </c>
    </row>
    <row r="120" spans="1:15" s="57" customFormat="1" ht="14.25" customHeight="1" x14ac:dyDescent="0.2">
      <c r="A120" s="429" t="s">
        <v>131</v>
      </c>
      <c r="B120" s="415" t="s">
        <v>81</v>
      </c>
      <c r="C120" s="415"/>
      <c r="D120" s="421"/>
      <c r="E120" s="421"/>
      <c r="F120" s="453">
        <f>F113</f>
        <v>0</v>
      </c>
      <c r="G120" s="532"/>
      <c r="H120" s="599">
        <v>0</v>
      </c>
      <c r="I120" s="586"/>
      <c r="J120" s="560">
        <f>J113</f>
        <v>0</v>
      </c>
      <c r="K120" s="441"/>
      <c r="L120" s="453">
        <f>L113</f>
        <v>0</v>
      </c>
      <c r="M120" s="441"/>
      <c r="N120" s="453">
        <f>N113</f>
        <v>0</v>
      </c>
      <c r="O120" s="441"/>
    </row>
    <row r="121" spans="1:15" s="57" customFormat="1" ht="18" customHeight="1" x14ac:dyDescent="0.2">
      <c r="A121" s="458"/>
      <c r="B121" s="883" t="s">
        <v>144</v>
      </c>
      <c r="C121" s="883"/>
      <c r="D121" s="883"/>
      <c r="E121" s="883"/>
      <c r="F121" s="454">
        <f t="shared" ref="F121:M121" si="38">SUM(F115:F120)</f>
        <v>0.73460000000000003</v>
      </c>
      <c r="G121" s="536">
        <f t="shared" si="38"/>
        <v>2163</v>
      </c>
      <c r="H121" s="601">
        <v>0.73460000000000003</v>
      </c>
      <c r="I121" s="596">
        <f>SUM(I115:I120)</f>
        <v>2069.9499999999998</v>
      </c>
      <c r="J121" s="561">
        <f t="shared" si="38"/>
        <v>0.73460000000000003</v>
      </c>
      <c r="K121" s="450">
        <f t="shared" si="38"/>
        <v>2305.3200000000002</v>
      </c>
      <c r="L121" s="454">
        <f t="shared" si="38"/>
        <v>0.70299999999999996</v>
      </c>
      <c r="M121" s="450">
        <f t="shared" si="38"/>
        <v>2206.15</v>
      </c>
      <c r="N121" s="454">
        <f t="shared" ref="N121:O121" si="39">SUM(N115:N120)</f>
        <v>0.70669999999999999</v>
      </c>
      <c r="O121" s="450">
        <f t="shared" si="39"/>
        <v>2263.67</v>
      </c>
    </row>
    <row r="122" spans="1:15" s="57" customFormat="1" x14ac:dyDescent="0.2">
      <c r="A122" s="414"/>
      <c r="B122" s="421"/>
      <c r="C122" s="421"/>
      <c r="D122" s="421"/>
      <c r="E122" s="421"/>
      <c r="F122" s="440"/>
      <c r="G122" s="532"/>
      <c r="H122" s="585"/>
      <c r="I122" s="586"/>
      <c r="J122" s="554"/>
      <c r="K122" s="441"/>
      <c r="L122" s="440"/>
      <c r="M122" s="441"/>
      <c r="N122" s="440"/>
      <c r="O122" s="441"/>
    </row>
    <row r="123" spans="1:15" s="57" customFormat="1" x14ac:dyDescent="0.2">
      <c r="A123" s="881" t="s">
        <v>40</v>
      </c>
      <c r="B123" s="881"/>
      <c r="C123" s="881"/>
      <c r="D123" s="881"/>
      <c r="E123" s="881"/>
      <c r="F123" s="881"/>
      <c r="G123" s="895"/>
      <c r="H123" s="573"/>
      <c r="I123" s="577"/>
      <c r="J123" s="522"/>
      <c r="K123" s="428"/>
      <c r="L123" s="428"/>
      <c r="M123" s="428"/>
      <c r="N123" s="651"/>
      <c r="O123" s="651"/>
    </row>
    <row r="124" spans="1:15" s="57" customFormat="1" ht="18" customHeight="1" x14ac:dyDescent="0.2">
      <c r="A124" s="429">
        <v>5</v>
      </c>
      <c r="B124" s="884" t="s">
        <v>29</v>
      </c>
      <c r="C124" s="884"/>
      <c r="D124" s="884"/>
      <c r="E124" s="884"/>
      <c r="F124" s="429" t="s">
        <v>12</v>
      </c>
      <c r="G124" s="537" t="s">
        <v>103</v>
      </c>
      <c r="H124" s="567" t="s">
        <v>12</v>
      </c>
      <c r="I124" s="568" t="s">
        <v>103</v>
      </c>
      <c r="J124" s="524" t="s">
        <v>12</v>
      </c>
      <c r="K124" s="429" t="s">
        <v>103</v>
      </c>
      <c r="L124" s="429" t="s">
        <v>12</v>
      </c>
      <c r="M124" s="429" t="s">
        <v>103</v>
      </c>
      <c r="N124" s="650" t="s">
        <v>12</v>
      </c>
      <c r="O124" s="650" t="s">
        <v>103</v>
      </c>
    </row>
    <row r="125" spans="1:15" s="57" customFormat="1" x14ac:dyDescent="0.2">
      <c r="A125" s="414" t="s">
        <v>1</v>
      </c>
      <c r="B125" s="421" t="s">
        <v>30</v>
      </c>
      <c r="C125" s="421"/>
      <c r="D125" s="421"/>
      <c r="E125" s="421"/>
      <c r="F125" s="453">
        <f>DADOS!E60</f>
        <v>6.9000000000000006E-2</v>
      </c>
      <c r="G125" s="538">
        <f>G138*F125</f>
        <v>424.24</v>
      </c>
      <c r="H125" s="602">
        <v>6.6000000000000003E-2</v>
      </c>
      <c r="I125" s="603">
        <f>I138*H125</f>
        <v>399.66</v>
      </c>
      <c r="J125" s="562">
        <v>6.9000000000000006E-2</v>
      </c>
      <c r="K125" s="459">
        <f>K138*J125</f>
        <v>449.8</v>
      </c>
      <c r="L125" s="613">
        <v>6.6000000000000003E-2</v>
      </c>
      <c r="M125" s="459">
        <f>M138*L125</f>
        <v>423.55</v>
      </c>
      <c r="N125" s="613">
        <v>6.6000000000000003E-2</v>
      </c>
      <c r="O125" s="459">
        <f>O138*N125</f>
        <v>432.4</v>
      </c>
    </row>
    <row r="126" spans="1:15" s="57" customFormat="1" x14ac:dyDescent="0.2">
      <c r="A126" s="885" t="s">
        <v>2</v>
      </c>
      <c r="B126" s="460" t="s">
        <v>23</v>
      </c>
      <c r="C126" s="421"/>
      <c r="D126" s="421"/>
      <c r="E126" s="421"/>
      <c r="F126" s="453">
        <f>SUM(F127:F128)</f>
        <v>8.6499999999999994E-2</v>
      </c>
      <c r="G126" s="538"/>
      <c r="H126" s="599">
        <v>8.6499999999999994E-2</v>
      </c>
      <c r="I126" s="603"/>
      <c r="J126" s="560">
        <f>SUM(J127:J128)</f>
        <v>8.6499999999999994E-2</v>
      </c>
      <c r="K126" s="459"/>
      <c r="L126" s="453">
        <f>SUM(L127:L128)</f>
        <v>8.6499999999999994E-2</v>
      </c>
      <c r="M126" s="459"/>
      <c r="N126" s="453">
        <f>SUM(N127:N128)</f>
        <v>8.6499999999999994E-2</v>
      </c>
      <c r="O126" s="459"/>
    </row>
    <row r="127" spans="1:15" s="57" customFormat="1" x14ac:dyDescent="0.2">
      <c r="A127" s="885"/>
      <c r="B127" s="452" t="s">
        <v>338</v>
      </c>
      <c r="C127" s="452"/>
      <c r="D127" s="421"/>
      <c r="E127" s="421"/>
      <c r="F127" s="453">
        <f>DADOS!C75+DADOS!C74</f>
        <v>3.6499999999999998E-2</v>
      </c>
      <c r="G127" s="539">
        <f>($G$138+$G$125+$G$129)/DADOS!C$77*F127</f>
        <v>272.73</v>
      </c>
      <c r="H127" s="599">
        <v>3.6499999999999998E-2</v>
      </c>
      <c r="I127" s="604">
        <f>($I$138+$I$125+$I$129)/(1-H127-H128)*H127</f>
        <v>265.66000000000003</v>
      </c>
      <c r="J127" s="560">
        <f>DADOS!C75+DADOS!C74</f>
        <v>3.6499999999999998E-2</v>
      </c>
      <c r="K127" s="461">
        <f>($K$138+$K$125+$K$129)/DADOS!C$77*J127</f>
        <v>289.16000000000003</v>
      </c>
      <c r="L127" s="453">
        <f>DADOS!C75+DADOS!C74</f>
        <v>3.6499999999999998E-2</v>
      </c>
      <c r="M127" s="461">
        <f>($M$138+$M$125+$M$129)/(1-L127-L128)*L127</f>
        <v>281.54000000000002</v>
      </c>
      <c r="N127" s="453">
        <v>3.6499999999999998E-2</v>
      </c>
      <c r="O127" s="461">
        <f>($O$138+$O$125+$O$129)/(1-$N$126)*N127</f>
        <v>287.42</v>
      </c>
    </row>
    <row r="128" spans="1:15" s="57" customFormat="1" x14ac:dyDescent="0.2">
      <c r="A128" s="885"/>
      <c r="B128" s="452" t="s">
        <v>339</v>
      </c>
      <c r="C128" s="452"/>
      <c r="D128" s="421"/>
      <c r="E128" s="421"/>
      <c r="F128" s="453">
        <f>DADOS!C73</f>
        <v>0.05</v>
      </c>
      <c r="G128" s="539">
        <f>($G$138+$G$125+$G$129)/DADOS!C$77*F128</f>
        <v>373.6</v>
      </c>
      <c r="H128" s="599">
        <v>0.05</v>
      </c>
      <c r="I128" s="604">
        <f>($I$138+$I$125+$I$129)/(1-H127-H128)*H128</f>
        <v>363.91</v>
      </c>
      <c r="J128" s="560">
        <f>DADOS!C73</f>
        <v>0.05</v>
      </c>
      <c r="K128" s="461">
        <f>($K$138+$K$125+$K$129)/DADOS!C$77*J128</f>
        <v>396.11</v>
      </c>
      <c r="L128" s="453">
        <f>DADOS!C73</f>
        <v>0.05</v>
      </c>
      <c r="M128" s="461">
        <f>($M$138+$M$125+$M$129)/(1-L127-L128)*L128</f>
        <v>385.67</v>
      </c>
      <c r="N128" s="453">
        <v>0.05</v>
      </c>
      <c r="O128" s="461">
        <f>($O$138+$O$125+$O$129)/(1-$N$126)*N128</f>
        <v>393.73</v>
      </c>
    </row>
    <row r="129" spans="1:15" s="57" customFormat="1" x14ac:dyDescent="0.2">
      <c r="A129" s="414" t="s">
        <v>2</v>
      </c>
      <c r="B129" s="421" t="s">
        <v>20</v>
      </c>
      <c r="C129" s="421"/>
      <c r="D129" s="421"/>
      <c r="E129" s="421"/>
      <c r="F129" s="453">
        <f>DADOS!E61</f>
        <v>3.85E-2</v>
      </c>
      <c r="G129" s="540">
        <f>(G138+G125)*F129</f>
        <v>253.05</v>
      </c>
      <c r="H129" s="602">
        <v>0.03</v>
      </c>
      <c r="I129" s="605">
        <f>(I138+I125)*H129</f>
        <v>193.65</v>
      </c>
      <c r="J129" s="562">
        <v>3.85E-2</v>
      </c>
      <c r="K129" s="462">
        <f>(K138+K125)*J129</f>
        <v>268.29000000000002</v>
      </c>
      <c r="L129" s="613">
        <v>0.03</v>
      </c>
      <c r="M129" s="462">
        <f>(M138+M125)*L129</f>
        <v>205.23</v>
      </c>
      <c r="N129" s="613">
        <v>0.03</v>
      </c>
      <c r="O129" s="462">
        <f>(O138+O125)*N129</f>
        <v>209.52</v>
      </c>
    </row>
    <row r="130" spans="1:15" s="57" customFormat="1" ht="18" customHeight="1" x14ac:dyDescent="0.2">
      <c r="A130" s="892" t="s">
        <v>337</v>
      </c>
      <c r="B130" s="892"/>
      <c r="C130" s="892"/>
      <c r="D130" s="892"/>
      <c r="E130" s="892"/>
      <c r="F130" s="892"/>
      <c r="G130" s="541">
        <f>G125+G127+G128+G129</f>
        <v>1323.62</v>
      </c>
      <c r="H130" s="606"/>
      <c r="I130" s="607">
        <f>I125+I127+I128+I129</f>
        <v>1222.8800000000001</v>
      </c>
      <c r="J130" s="563"/>
      <c r="K130" s="463">
        <f>K125+K127+K128+K129</f>
        <v>1403.36</v>
      </c>
      <c r="L130" s="463"/>
      <c r="M130" s="463">
        <f>M125+M127+M128+M129</f>
        <v>1295.99</v>
      </c>
      <c r="N130" s="463"/>
      <c r="O130" s="463">
        <f>O125+O127+O128+O129</f>
        <v>1323.07</v>
      </c>
    </row>
    <row r="131" spans="1:15" s="57" customFormat="1" x14ac:dyDescent="0.2">
      <c r="A131" s="416"/>
      <c r="B131" s="416"/>
      <c r="C131" s="416"/>
      <c r="D131" s="416"/>
      <c r="E131" s="416"/>
      <c r="F131" s="416"/>
      <c r="G131" s="542"/>
      <c r="H131" s="608"/>
      <c r="I131" s="609"/>
      <c r="J131" s="564"/>
      <c r="K131" s="464"/>
      <c r="L131" s="416"/>
      <c r="M131" s="464"/>
      <c r="N131" s="655"/>
      <c r="O131" s="464"/>
    </row>
    <row r="132" spans="1:15" s="57" customFormat="1" x14ac:dyDescent="0.2">
      <c r="A132" s="881" t="s">
        <v>340</v>
      </c>
      <c r="B132" s="881"/>
      <c r="C132" s="881"/>
      <c r="D132" s="881"/>
      <c r="E132" s="881"/>
      <c r="F132" s="881"/>
      <c r="G132" s="895"/>
      <c r="H132" s="573"/>
      <c r="I132" s="577"/>
      <c r="J132" s="522"/>
      <c r="K132" s="428"/>
      <c r="L132" s="428"/>
      <c r="M132" s="428"/>
      <c r="N132" s="651"/>
      <c r="O132" s="651"/>
    </row>
    <row r="133" spans="1:15" s="57" customFormat="1" ht="16.5" customHeight="1" x14ac:dyDescent="0.2">
      <c r="A133" s="881" t="s">
        <v>341</v>
      </c>
      <c r="B133" s="881"/>
      <c r="C133" s="881"/>
      <c r="D133" s="881"/>
      <c r="E133" s="881"/>
      <c r="F133" s="881"/>
      <c r="G133" s="537" t="s">
        <v>162</v>
      </c>
      <c r="H133" s="567"/>
      <c r="I133" s="568"/>
      <c r="J133" s="524"/>
      <c r="K133" s="429" t="s">
        <v>162</v>
      </c>
      <c r="L133" s="429"/>
      <c r="M133" s="429" t="s">
        <v>162</v>
      </c>
      <c r="N133" s="650"/>
      <c r="O133" s="650" t="s">
        <v>162</v>
      </c>
    </row>
    <row r="134" spans="1:15" s="57" customFormat="1" ht="14.25" customHeight="1" x14ac:dyDescent="0.2">
      <c r="A134" s="414" t="s">
        <v>1</v>
      </c>
      <c r="B134" s="415" t="s">
        <v>388</v>
      </c>
      <c r="C134" s="415"/>
      <c r="D134" s="416"/>
      <c r="E134" s="416"/>
      <c r="F134" s="440"/>
      <c r="G134" s="532">
        <f>G40</f>
        <v>2944.45</v>
      </c>
      <c r="H134" s="585"/>
      <c r="I134" s="586">
        <f>I40</f>
        <v>2944.45</v>
      </c>
      <c r="J134" s="554"/>
      <c r="K134" s="441">
        <f>K40</f>
        <v>3138.19</v>
      </c>
      <c r="L134" s="440"/>
      <c r="M134" s="441">
        <f>M40</f>
        <v>3138.19</v>
      </c>
      <c r="N134" s="440"/>
      <c r="O134" s="441">
        <f>O40</f>
        <v>3203.14</v>
      </c>
    </row>
    <row r="135" spans="1:15" s="57" customFormat="1" ht="14.25" customHeight="1" x14ac:dyDescent="0.2">
      <c r="A135" s="414" t="s">
        <v>2</v>
      </c>
      <c r="B135" s="415" t="s">
        <v>389</v>
      </c>
      <c r="C135" s="415"/>
      <c r="D135" s="416"/>
      <c r="E135" s="416"/>
      <c r="F135" s="440"/>
      <c r="G135" s="532">
        <f>G55</f>
        <v>765.2</v>
      </c>
      <c r="H135" s="585"/>
      <c r="I135" s="586">
        <f>I55</f>
        <v>765.2</v>
      </c>
      <c r="J135" s="554"/>
      <c r="K135" s="441">
        <f>K55</f>
        <v>799.52</v>
      </c>
      <c r="L135" s="440"/>
      <c r="M135" s="441">
        <f>M55</f>
        <v>799.52</v>
      </c>
      <c r="N135" s="440"/>
      <c r="O135" s="441">
        <f>O55</f>
        <v>811.11</v>
      </c>
    </row>
    <row r="136" spans="1:15" s="57" customFormat="1" ht="14.25" customHeight="1" x14ac:dyDescent="0.2">
      <c r="A136" s="414" t="s">
        <v>4</v>
      </c>
      <c r="B136" s="415" t="s">
        <v>390</v>
      </c>
      <c r="C136" s="415"/>
      <c r="D136" s="416"/>
      <c r="E136" s="416"/>
      <c r="F136" s="440"/>
      <c r="G136" s="532">
        <f>G62</f>
        <v>275.79000000000002</v>
      </c>
      <c r="H136" s="585"/>
      <c r="I136" s="586">
        <f>I62</f>
        <v>275.79000000000002</v>
      </c>
      <c r="J136" s="554"/>
      <c r="K136" s="441">
        <f>K62</f>
        <v>275.79000000000002</v>
      </c>
      <c r="L136" s="440"/>
      <c r="M136" s="441">
        <f>M62</f>
        <v>273.55</v>
      </c>
      <c r="N136" s="440"/>
      <c r="O136" s="441">
        <f>O62</f>
        <v>273.55</v>
      </c>
    </row>
    <row r="137" spans="1:15" s="57" customFormat="1" ht="14.25" customHeight="1" x14ac:dyDescent="0.2">
      <c r="A137" s="414" t="s">
        <v>5</v>
      </c>
      <c r="B137" s="415" t="s">
        <v>391</v>
      </c>
      <c r="C137" s="415"/>
      <c r="D137" s="416"/>
      <c r="E137" s="416"/>
      <c r="F137" s="440"/>
      <c r="G137" s="532">
        <f>G121</f>
        <v>2163</v>
      </c>
      <c r="H137" s="585"/>
      <c r="I137" s="586">
        <f>I121</f>
        <v>2069.9499999999998</v>
      </c>
      <c r="J137" s="554"/>
      <c r="K137" s="441">
        <f>K121</f>
        <v>2305.3200000000002</v>
      </c>
      <c r="L137" s="440"/>
      <c r="M137" s="441">
        <f>M121</f>
        <v>2206.15</v>
      </c>
      <c r="N137" s="440"/>
      <c r="O137" s="441">
        <f>O121</f>
        <v>2263.67</v>
      </c>
    </row>
    <row r="138" spans="1:15" s="57" customFormat="1" x14ac:dyDescent="0.2">
      <c r="A138" s="883" t="s">
        <v>114</v>
      </c>
      <c r="B138" s="883"/>
      <c r="C138" s="883"/>
      <c r="D138" s="883"/>
      <c r="E138" s="883"/>
      <c r="F138" s="883"/>
      <c r="G138" s="532">
        <f>SUM(G134:G137)</f>
        <v>6148.44</v>
      </c>
      <c r="H138" s="585"/>
      <c r="I138" s="586">
        <f>SUM(I134:I137)</f>
        <v>6055.39</v>
      </c>
      <c r="J138" s="565"/>
      <c r="K138" s="441">
        <f>SUM(K134:K137)</f>
        <v>6518.82</v>
      </c>
      <c r="L138" s="441"/>
      <c r="M138" s="441">
        <f>SUM(M134:M137)</f>
        <v>6417.41</v>
      </c>
      <c r="N138" s="441"/>
      <c r="O138" s="441">
        <f>SUM(O134:O137)</f>
        <v>6551.47</v>
      </c>
    </row>
    <row r="139" spans="1:15" s="57" customFormat="1" ht="14.25" customHeight="1" x14ac:dyDescent="0.2">
      <c r="A139" s="414" t="s">
        <v>6</v>
      </c>
      <c r="B139" s="415" t="s">
        <v>392</v>
      </c>
      <c r="C139" s="415"/>
      <c r="D139" s="416"/>
      <c r="E139" s="416"/>
      <c r="F139" s="440"/>
      <c r="G139" s="532">
        <f>G130</f>
        <v>1323.62</v>
      </c>
      <c r="H139" s="585"/>
      <c r="I139" s="586">
        <f>I130</f>
        <v>1222.8800000000001</v>
      </c>
      <c r="J139" s="554"/>
      <c r="K139" s="441">
        <f>K130</f>
        <v>1403.36</v>
      </c>
      <c r="L139" s="440"/>
      <c r="M139" s="441">
        <f>M130</f>
        <v>1295.99</v>
      </c>
      <c r="N139" s="440"/>
      <c r="O139" s="441">
        <f>O130</f>
        <v>1323.07</v>
      </c>
    </row>
    <row r="140" spans="1:15" s="57" customFormat="1" ht="15.75" customHeight="1" thickBot="1" x14ac:dyDescent="0.25">
      <c r="A140" s="892" t="s">
        <v>342</v>
      </c>
      <c r="B140" s="892"/>
      <c r="C140" s="892"/>
      <c r="D140" s="892"/>
      <c r="E140" s="892"/>
      <c r="F140" s="892"/>
      <c r="G140" s="543">
        <f>SUM(G138:G139)</f>
        <v>7472.06</v>
      </c>
      <c r="H140" s="610"/>
      <c r="I140" s="611">
        <f>SUM(I138:I139)</f>
        <v>7278.27</v>
      </c>
      <c r="J140" s="566"/>
      <c r="K140" s="465">
        <f>SUM(K138:K139)</f>
        <v>7922.18</v>
      </c>
      <c r="L140" s="465"/>
      <c r="M140" s="465">
        <f>SUM(M138:M139)</f>
        <v>7713.4</v>
      </c>
      <c r="N140" s="465"/>
      <c r="O140" s="465">
        <f>SUM(O138:O139)</f>
        <v>7874.54</v>
      </c>
    </row>
    <row r="141" spans="1:15" s="60" customFormat="1" x14ac:dyDescent="0.2">
      <c r="A141" s="24"/>
      <c r="B141" s="34"/>
      <c r="C141" s="34"/>
      <c r="D141" s="34"/>
      <c r="E141" s="34"/>
      <c r="F141" s="35"/>
      <c r="G141" s="36">
        <v>7472.06</v>
      </c>
      <c r="H141" s="36"/>
      <c r="I141" s="36">
        <v>7278.27</v>
      </c>
      <c r="J141" s="35"/>
      <c r="K141" s="36"/>
      <c r="L141" s="35"/>
      <c r="M141" s="36"/>
    </row>
    <row r="142" spans="1:15" s="57" customFormat="1" x14ac:dyDescent="0.2">
      <c r="A142" s="22"/>
      <c r="B142" s="22"/>
      <c r="C142" s="22"/>
      <c r="D142" s="22"/>
      <c r="E142" s="22"/>
      <c r="F142" s="22"/>
      <c r="G142" s="23"/>
      <c r="H142" s="23"/>
      <c r="I142" s="23"/>
      <c r="J142" s="22"/>
      <c r="K142" s="23"/>
      <c r="L142" s="22"/>
      <c r="M142" s="23"/>
    </row>
    <row r="143" spans="1:15" s="57" customFormat="1" x14ac:dyDescent="0.2">
      <c r="A143" s="22"/>
      <c r="B143" s="22"/>
      <c r="C143" s="22"/>
      <c r="D143" s="22"/>
      <c r="E143" s="22"/>
      <c r="F143" s="22"/>
      <c r="G143" s="23"/>
      <c r="H143" s="23"/>
      <c r="I143" s="23"/>
      <c r="J143" s="22"/>
      <c r="K143" s="23"/>
      <c r="L143" s="22"/>
      <c r="M143" s="23"/>
    </row>
    <row r="144" spans="1:15" s="57" customFormat="1" x14ac:dyDescent="0.2">
      <c r="A144" s="22"/>
      <c r="B144" s="22"/>
      <c r="C144" s="22"/>
      <c r="D144" s="22"/>
      <c r="E144" s="22"/>
      <c r="F144" s="22"/>
      <c r="G144" s="23"/>
      <c r="H144" s="23"/>
      <c r="I144" s="23"/>
      <c r="J144" s="22"/>
      <c r="K144" s="23"/>
      <c r="L144" s="22"/>
      <c r="M144" s="23"/>
    </row>
    <row r="145" spans="1:15" s="57" customFormat="1" x14ac:dyDescent="0.2">
      <c r="A145" s="22"/>
      <c r="B145" s="22"/>
      <c r="C145" s="22"/>
      <c r="D145" s="22"/>
      <c r="E145" s="22"/>
      <c r="F145" s="22"/>
      <c r="G145" s="23"/>
      <c r="H145" s="23"/>
      <c r="I145" s="23"/>
      <c r="J145" s="22"/>
      <c r="K145" s="23"/>
      <c r="L145" s="22"/>
      <c r="M145" s="23"/>
    </row>
    <row r="146" spans="1:15" s="57" customFormat="1" x14ac:dyDescent="0.2">
      <c r="A146" s="22"/>
      <c r="B146" s="22"/>
      <c r="C146" s="22"/>
      <c r="D146" s="22"/>
      <c r="E146" s="22"/>
      <c r="F146" s="22"/>
      <c r="G146" s="23"/>
      <c r="H146" s="23"/>
      <c r="I146" s="23"/>
      <c r="J146" s="22"/>
      <c r="K146" s="23"/>
      <c r="L146" s="22"/>
      <c r="M146" s="23"/>
    </row>
    <row r="147" spans="1:15" s="57" customFormat="1" x14ac:dyDescent="0.2">
      <c r="A147" s="22"/>
      <c r="B147" s="22"/>
      <c r="C147" s="22"/>
      <c r="D147" s="22"/>
      <c r="E147" s="22"/>
      <c r="F147" s="22"/>
      <c r="G147" s="23"/>
      <c r="H147" s="23"/>
      <c r="I147" s="23"/>
      <c r="J147" s="22"/>
      <c r="K147" s="23"/>
      <c r="L147" s="22"/>
      <c r="M147" s="23"/>
    </row>
    <row r="148" spans="1:15" s="57" customFormat="1" x14ac:dyDescent="0.2">
      <c r="A148" s="22"/>
      <c r="B148" s="22"/>
      <c r="C148" s="22"/>
      <c r="D148" s="22"/>
      <c r="E148" s="22"/>
      <c r="F148" s="22"/>
      <c r="G148" s="23"/>
      <c r="H148" s="23"/>
      <c r="I148" s="23"/>
      <c r="J148" s="22"/>
      <c r="K148" s="23"/>
      <c r="L148" s="22"/>
      <c r="M148" s="23"/>
    </row>
    <row r="149" spans="1:15" x14ac:dyDescent="0.2">
      <c r="M149" s="673"/>
      <c r="O149" s="672"/>
    </row>
    <row r="150" spans="1:15" x14ac:dyDescent="0.2">
      <c r="M150" s="673"/>
    </row>
  </sheetData>
  <mergeCells count="124">
    <mergeCell ref="N24:O24"/>
    <mergeCell ref="N25:O25"/>
    <mergeCell ref="N26:O26"/>
    <mergeCell ref="N27:O27"/>
    <mergeCell ref="F16:G16"/>
    <mergeCell ref="J25:K25"/>
    <mergeCell ref="J24:K24"/>
    <mergeCell ref="J9:M9"/>
    <mergeCell ref="N10:O10"/>
    <mergeCell ref="N11:O11"/>
    <mergeCell ref="N12:O12"/>
    <mergeCell ref="N13:O13"/>
    <mergeCell ref="J10:K10"/>
    <mergeCell ref="N9:O9"/>
    <mergeCell ref="N14:O14"/>
    <mergeCell ref="N15:O15"/>
    <mergeCell ref="N16:O16"/>
    <mergeCell ref="J11:K11"/>
    <mergeCell ref="J12:K12"/>
    <mergeCell ref="J13:K13"/>
    <mergeCell ref="J14:K14"/>
    <mergeCell ref="J15:K15"/>
    <mergeCell ref="J16:K16"/>
    <mergeCell ref="H16:I16"/>
    <mergeCell ref="H11:I11"/>
    <mergeCell ref="H12:I12"/>
    <mergeCell ref="H13:I13"/>
    <mergeCell ref="H14:I14"/>
    <mergeCell ref="F12:G12"/>
    <mergeCell ref="F13:G13"/>
    <mergeCell ref="A14:A15"/>
    <mergeCell ref="B14:E15"/>
    <mergeCell ref="F14:G14"/>
    <mergeCell ref="F15:G15"/>
    <mergeCell ref="H15:I15"/>
    <mergeCell ref="A133:F133"/>
    <mergeCell ref="A138:F138"/>
    <mergeCell ref="A140:F140"/>
    <mergeCell ref="A130:F130"/>
    <mergeCell ref="A21:G21"/>
    <mergeCell ref="J26:K26"/>
    <mergeCell ref="J27:K27"/>
    <mergeCell ref="B26:E26"/>
    <mergeCell ref="A123:G123"/>
    <mergeCell ref="B124:E124"/>
    <mergeCell ref="A113:G113"/>
    <mergeCell ref="B114:E114"/>
    <mergeCell ref="A126:A128"/>
    <mergeCell ref="A132:G132"/>
    <mergeCell ref="A101:G101"/>
    <mergeCell ref="B102:E102"/>
    <mergeCell ref="A109:E109"/>
    <mergeCell ref="B110:E110"/>
    <mergeCell ref="H24:I24"/>
    <mergeCell ref="H25:I25"/>
    <mergeCell ref="H26:I26"/>
    <mergeCell ref="H27:I27"/>
    <mergeCell ref="A111:E111"/>
    <mergeCell ref="B121:E121"/>
    <mergeCell ref="A85:G85"/>
    <mergeCell ref="B86:E86"/>
    <mergeCell ref="A89:E89"/>
    <mergeCell ref="A91:G91"/>
    <mergeCell ref="B92:E92"/>
    <mergeCell ref="A99:E99"/>
    <mergeCell ref="B78:E78"/>
    <mergeCell ref="A81:E81"/>
    <mergeCell ref="A64:G64"/>
    <mergeCell ref="A65:G65"/>
    <mergeCell ref="B82:E82"/>
    <mergeCell ref="A83:E83"/>
    <mergeCell ref="B62:F62"/>
    <mergeCell ref="B66:E66"/>
    <mergeCell ref="B48:E48"/>
    <mergeCell ref="B55:F55"/>
    <mergeCell ref="A75:E75"/>
    <mergeCell ref="A77:G77"/>
    <mergeCell ref="B50:E50"/>
    <mergeCell ref="B51:E51"/>
    <mergeCell ref="A57:G57"/>
    <mergeCell ref="B39:E39"/>
    <mergeCell ref="F26:G26"/>
    <mergeCell ref="B27:E27"/>
    <mergeCell ref="F27:G27"/>
    <mergeCell ref="A29:G29"/>
    <mergeCell ref="B30:E30"/>
    <mergeCell ref="B58:E58"/>
    <mergeCell ref="B46:E46"/>
    <mergeCell ref="B52:E52"/>
    <mergeCell ref="B40:F40"/>
    <mergeCell ref="B49:E49"/>
    <mergeCell ref="A42:G42"/>
    <mergeCell ref="B43:E43"/>
    <mergeCell ref="A44:A45"/>
    <mergeCell ref="B45:E45"/>
    <mergeCell ref="B44:E44"/>
    <mergeCell ref="A46:A47"/>
    <mergeCell ref="B47:E47"/>
    <mergeCell ref="A4:G4"/>
    <mergeCell ref="A5:G5"/>
    <mergeCell ref="B38:E38"/>
    <mergeCell ref="B33:E33"/>
    <mergeCell ref="A17:G17"/>
    <mergeCell ref="B18:D18"/>
    <mergeCell ref="B19:D19"/>
    <mergeCell ref="A22:G22"/>
    <mergeCell ref="A23:G23"/>
    <mergeCell ref="B25:E25"/>
    <mergeCell ref="F25:G25"/>
    <mergeCell ref="B24:E24"/>
    <mergeCell ref="F24:G24"/>
    <mergeCell ref="A11:E11"/>
    <mergeCell ref="F11:G11"/>
    <mergeCell ref="L10:M10"/>
    <mergeCell ref="L26:M26"/>
    <mergeCell ref="L27:M27"/>
    <mergeCell ref="L11:M11"/>
    <mergeCell ref="L12:M12"/>
    <mergeCell ref="L13:M13"/>
    <mergeCell ref="L14:M14"/>
    <mergeCell ref="L15:M15"/>
    <mergeCell ref="L16:M16"/>
    <mergeCell ref="L24:M24"/>
    <mergeCell ref="L25:M25"/>
  </mergeCells>
  <printOptions horizontalCentered="1"/>
  <pageMargins left="0.55118110236220474" right="0.55118110236220474" top="1.7716535433070868" bottom="0.43307086614173229" header="0.15748031496062992" footer="0.23622047244094491"/>
  <pageSetup paperSize="9" scale="42" fitToHeight="0" orientation="portrait" r:id="rId1"/>
  <headerFooter alignWithMargins="0">
    <oddHeader>&amp;L&amp;"Cambria,Negrito"&amp;8PROPOSTA Nº 011/2017 - MME</oddHeader>
  </headerFooter>
  <rowBreaks count="1" manualBreakCount="1">
    <brk id="75" max="16" man="1"/>
  </rowBreaks>
  <ignoredErrors>
    <ignoredError sqref="A22:G28 A60:A61 C60:F61 A59:F59 A63:G63 A62:F62 G59:G61 A45:B45 A44 A55:G56 A46:B46 A41:G41 A40:F40 E7:G8 B9:G9 A17:G18 A10:G10 A29:G30 A20:G20 A19 C19:G19 A33:B33 F33:G33 F39 A48:B48 A49:B49 A50:B50 B53:G54 B52 A42:G43 A57:G58 A84:G113 A64 A65 A115:G122 F114:G114 A131:G131 A123:G125 C126:E128 G126 A138:G138 B132:G132 B133:G133 A142:G144 B140:G140 A51:B51 G51 A66:G79 A81:E81 A82:E82 A83:E83 A134:A137 C134:G137 A139 C139:F139 F48:G50 A12:G16 A11 G11 A32:G32 A31:F31 A141:F141 F45:G46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6">
    <tabColor theme="8" tint="0.79998168889431442"/>
  </sheetPr>
  <dimension ref="A1:R148"/>
  <sheetViews>
    <sheetView view="pageBreakPreview" topLeftCell="E1" zoomScaleNormal="100" zoomScaleSheetLayoutView="100" workbookViewId="0">
      <pane ySplit="11" topLeftCell="A33" activePane="bottomLeft" state="frozen"/>
      <selection activeCell="B1" sqref="B1"/>
      <selection pane="bottomLeft" activeCell="G39" sqref="G39"/>
    </sheetView>
  </sheetViews>
  <sheetFormatPr defaultRowHeight="14.25" x14ac:dyDescent="0.2"/>
  <cols>
    <col min="1" max="1" width="5.7109375" style="22" customWidth="1"/>
    <col min="2" max="2" width="33" style="22" customWidth="1"/>
    <col min="3" max="3" width="16.85546875" style="22" customWidth="1"/>
    <col min="4" max="4" width="14.140625" style="22" customWidth="1"/>
    <col min="5" max="5" width="17.140625" style="22" customWidth="1"/>
    <col min="6" max="6" width="16.5703125" style="22" customWidth="1"/>
    <col min="7" max="7" width="16.5703125" style="23" customWidth="1"/>
    <col min="8" max="8" width="16.5703125" style="22" customWidth="1"/>
    <col min="9" max="9" width="16.5703125" style="23" customWidth="1"/>
    <col min="10" max="10" width="16.5703125" style="22" customWidth="1"/>
    <col min="11" max="11" width="16.5703125" style="23" customWidth="1"/>
    <col min="12" max="13" width="16.5703125" style="56" customWidth="1"/>
    <col min="14" max="15" width="16.5703125" style="56" hidden="1" customWidth="1"/>
    <col min="16" max="17" width="16.5703125" style="56" customWidth="1"/>
    <col min="18" max="16384" width="9.140625" style="56"/>
  </cols>
  <sheetData>
    <row r="1" spans="1:17" ht="11.25" customHeight="1" x14ac:dyDescent="0.2">
      <c r="A1" s="18" t="s">
        <v>89</v>
      </c>
      <c r="B1" s="19"/>
      <c r="C1" s="19"/>
      <c r="D1" s="19"/>
      <c r="E1" s="19"/>
      <c r="F1" s="19"/>
      <c r="G1" s="20"/>
      <c r="H1" s="19"/>
      <c r="I1" s="20"/>
      <c r="J1" s="19"/>
      <c r="K1" s="20"/>
    </row>
    <row r="2" spans="1:17" ht="11.25" customHeight="1" x14ac:dyDescent="0.2">
      <c r="A2" s="18" t="s">
        <v>100</v>
      </c>
      <c r="B2" s="19"/>
      <c r="C2" s="19"/>
      <c r="D2" s="19"/>
      <c r="E2" s="19"/>
      <c r="F2" s="19"/>
      <c r="G2" s="20"/>
      <c r="H2" s="19"/>
      <c r="I2" s="20"/>
      <c r="J2" s="19"/>
      <c r="K2" s="20"/>
    </row>
    <row r="3" spans="1:17" x14ac:dyDescent="0.2">
      <c r="A3" s="21"/>
    </row>
    <row r="4" spans="1:17" s="57" customFormat="1" ht="15.75" customHeight="1" x14ac:dyDescent="0.2">
      <c r="A4" s="868" t="s">
        <v>358</v>
      </c>
      <c r="B4" s="868"/>
      <c r="C4" s="868"/>
      <c r="D4" s="868"/>
      <c r="E4" s="868"/>
      <c r="F4" s="868"/>
      <c r="G4" s="868"/>
      <c r="H4" s="623"/>
      <c r="I4" s="623"/>
      <c r="J4" s="623"/>
      <c r="K4" s="623"/>
    </row>
    <row r="5" spans="1:17" s="57" customFormat="1" ht="15.75" customHeight="1" x14ac:dyDescent="0.2">
      <c r="A5" s="868" t="str">
        <f>DADOS!A19</f>
        <v>PLANILHA DE CUSTOS E FORMAÇÃO DE PREÇOS - MME</v>
      </c>
      <c r="B5" s="868"/>
      <c r="C5" s="868"/>
      <c r="D5" s="868"/>
      <c r="E5" s="868"/>
      <c r="F5" s="868"/>
      <c r="G5" s="868"/>
      <c r="H5" s="623"/>
      <c r="I5" s="623"/>
      <c r="J5" s="623"/>
      <c r="K5" s="623"/>
    </row>
    <row r="6" spans="1:17" s="57" customFormat="1" ht="15.7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7" s="57" customFormat="1" ht="15.75" customHeight="1" x14ac:dyDescent="0.2">
      <c r="A7" s="37" t="str">
        <f>DADOS!A3&amp;  " " &amp;DADOS!C3</f>
        <v>Processo nº 48000.001766/2016-11</v>
      </c>
      <c r="B7" s="37"/>
      <c r="C7" s="65"/>
      <c r="D7" s="65"/>
      <c r="E7" s="27"/>
      <c r="F7" s="26"/>
      <c r="G7" s="27"/>
      <c r="H7" s="26"/>
      <c r="I7" s="27"/>
      <c r="J7" s="26"/>
      <c r="K7" s="27"/>
    </row>
    <row r="8" spans="1:17" s="57" customFormat="1" ht="15.75" customHeight="1" x14ac:dyDescent="0.2">
      <c r="A8" s="37" t="str">
        <f>DADOS!B8 &amp; " " &amp; DADOS!C8</f>
        <v>Pregão Eletrônico nº 001/2017</v>
      </c>
      <c r="B8" s="37"/>
      <c r="C8" s="64"/>
      <c r="D8" s="64"/>
      <c r="E8" s="27"/>
      <c r="F8" s="26"/>
      <c r="G8" s="27"/>
      <c r="H8" s="26"/>
      <c r="I8" s="27"/>
      <c r="J8" s="915" t="s">
        <v>427</v>
      </c>
      <c r="K8" s="915"/>
      <c r="L8" s="915"/>
      <c r="M8" s="915"/>
      <c r="O8" s="693"/>
      <c r="P8" s="916" t="s">
        <v>428</v>
      </c>
      <c r="Q8" s="917"/>
    </row>
    <row r="9" spans="1:17" s="57" customFormat="1" ht="14.25" customHeight="1" x14ac:dyDescent="0.2">
      <c r="A9" s="28" t="s">
        <v>301</v>
      </c>
      <c r="B9" s="52"/>
      <c r="C9" s="52"/>
      <c r="D9" s="29"/>
      <c r="E9" s="27"/>
      <c r="J9" s="922" t="s">
        <v>418</v>
      </c>
      <c r="K9" s="922"/>
      <c r="L9" s="922" t="s">
        <v>429</v>
      </c>
      <c r="M9" s="922"/>
      <c r="N9" s="922" t="s">
        <v>431</v>
      </c>
      <c r="O9" s="922"/>
      <c r="P9" s="922" t="s">
        <v>432</v>
      </c>
      <c r="Q9" s="922"/>
    </row>
    <row r="10" spans="1:17" s="57" customFormat="1" ht="70.5" customHeight="1" thickBot="1" x14ac:dyDescent="0.25">
      <c r="A10" s="33"/>
      <c r="B10" s="33"/>
      <c r="C10" s="33"/>
      <c r="D10" s="25"/>
      <c r="E10" s="27"/>
      <c r="J10" s="923"/>
      <c r="K10" s="923"/>
      <c r="L10" s="923"/>
      <c r="M10" s="923"/>
      <c r="N10" s="923"/>
      <c r="O10" s="923"/>
      <c r="P10" s="923"/>
      <c r="Q10" s="923"/>
    </row>
    <row r="11" spans="1:17" s="57" customFormat="1" ht="42" customHeight="1" thickBot="1" x14ac:dyDescent="0.25">
      <c r="A11" s="870" t="s">
        <v>138</v>
      </c>
      <c r="B11" s="875"/>
      <c r="C11" s="875"/>
      <c r="D11" s="875"/>
      <c r="E11" s="865"/>
      <c r="F11" s="876" t="s">
        <v>416</v>
      </c>
      <c r="G11" s="877"/>
      <c r="H11" s="906" t="s">
        <v>414</v>
      </c>
      <c r="I11" s="907"/>
      <c r="J11" s="919" t="s">
        <v>402</v>
      </c>
      <c r="K11" s="861"/>
      <c r="L11" s="861" t="s">
        <v>403</v>
      </c>
      <c r="M11" s="861"/>
      <c r="N11" s="928" t="s">
        <v>402</v>
      </c>
      <c r="O11" s="919"/>
      <c r="P11" s="861" t="s">
        <v>403</v>
      </c>
      <c r="Q11" s="861"/>
    </row>
    <row r="12" spans="1:17" s="57" customFormat="1" ht="15.75" customHeight="1" x14ac:dyDescent="0.2">
      <c r="A12" s="628" t="s">
        <v>1</v>
      </c>
      <c r="B12" s="629" t="s">
        <v>134</v>
      </c>
      <c r="C12" s="629"/>
      <c r="D12" s="624"/>
      <c r="E12" s="418"/>
      <c r="F12" s="860">
        <f>DADOS!C4</f>
        <v>42788</v>
      </c>
      <c r="G12" s="862"/>
      <c r="H12" s="860">
        <v>43158</v>
      </c>
      <c r="I12" s="862"/>
      <c r="J12" s="860">
        <v>42788</v>
      </c>
      <c r="K12" s="862"/>
      <c r="L12" s="860">
        <v>43158</v>
      </c>
      <c r="M12" s="862"/>
      <c r="N12" s="879"/>
      <c r="O12" s="863"/>
      <c r="P12" s="860"/>
      <c r="Q12" s="862"/>
    </row>
    <row r="13" spans="1:17" s="57" customFormat="1" ht="15.75" customHeight="1" x14ac:dyDescent="0.2">
      <c r="A13" s="628" t="s">
        <v>2</v>
      </c>
      <c r="B13" s="624" t="s">
        <v>3</v>
      </c>
      <c r="C13" s="624"/>
      <c r="D13" s="624"/>
      <c r="E13" s="418"/>
      <c r="F13" s="860" t="str">
        <f>DADOS!C5</f>
        <v>Brasília - DF</v>
      </c>
      <c r="G13" s="862"/>
      <c r="H13" s="860" t="str">
        <f>DADOS!C5</f>
        <v>Brasília - DF</v>
      </c>
      <c r="I13" s="862"/>
      <c r="J13" s="879" t="str">
        <f>DADOS!C5</f>
        <v>Brasília - DF</v>
      </c>
      <c r="K13" s="863"/>
      <c r="L13" s="860" t="s">
        <v>44</v>
      </c>
      <c r="M13" s="862"/>
      <c r="N13" s="879">
        <f>DADOS!G5</f>
        <v>0</v>
      </c>
      <c r="O13" s="863"/>
      <c r="P13" s="863">
        <f>DADOS!I5</f>
        <v>0</v>
      </c>
      <c r="Q13" s="862"/>
    </row>
    <row r="14" spans="1:17" s="57" customFormat="1" ht="15" customHeight="1" x14ac:dyDescent="0.2">
      <c r="A14" s="885" t="s">
        <v>4</v>
      </c>
      <c r="B14" s="886" t="s">
        <v>133</v>
      </c>
      <c r="C14" s="886"/>
      <c r="D14" s="886"/>
      <c r="E14" s="886"/>
      <c r="F14" s="862" t="str">
        <f>DADOS!H82</f>
        <v>SINDESV/SINDESP-DF</v>
      </c>
      <c r="G14" s="862"/>
      <c r="H14" s="862" t="s">
        <v>69</v>
      </c>
      <c r="I14" s="862"/>
      <c r="J14" s="912" t="s">
        <v>69</v>
      </c>
      <c r="K14" s="920"/>
      <c r="L14" s="862" t="s">
        <v>69</v>
      </c>
      <c r="M14" s="862"/>
      <c r="N14" s="912" t="s">
        <v>69</v>
      </c>
      <c r="O14" s="920"/>
      <c r="P14" s="862" t="s">
        <v>69</v>
      </c>
      <c r="Q14" s="862"/>
    </row>
    <row r="15" spans="1:17" s="57" customFormat="1" ht="15" customHeight="1" x14ac:dyDescent="0.2">
      <c r="A15" s="885"/>
      <c r="B15" s="886"/>
      <c r="C15" s="886"/>
      <c r="D15" s="886"/>
      <c r="E15" s="886"/>
      <c r="F15" s="862" t="str">
        <f>DADOS!C11</f>
        <v>2016/2016</v>
      </c>
      <c r="G15" s="862"/>
      <c r="H15" s="864" t="s">
        <v>397</v>
      </c>
      <c r="I15" s="864"/>
      <c r="J15" s="864" t="s">
        <v>397</v>
      </c>
      <c r="K15" s="921"/>
      <c r="L15" s="864" t="s">
        <v>397</v>
      </c>
      <c r="M15" s="864"/>
      <c r="N15" s="916" t="s">
        <v>397</v>
      </c>
      <c r="O15" s="917"/>
      <c r="P15" s="918" t="s">
        <v>397</v>
      </c>
      <c r="Q15" s="918"/>
    </row>
    <row r="16" spans="1:17" s="57" customFormat="1" ht="15" customHeight="1" x14ac:dyDescent="0.2">
      <c r="A16" s="628" t="s">
        <v>5</v>
      </c>
      <c r="B16" s="629" t="s">
        <v>135</v>
      </c>
      <c r="C16" s="629"/>
      <c r="D16" s="624"/>
      <c r="E16" s="418"/>
      <c r="F16" s="862">
        <f>DADOS!C13</f>
        <v>12</v>
      </c>
      <c r="G16" s="862"/>
      <c r="H16" s="862">
        <f>DADOS!C13</f>
        <v>12</v>
      </c>
      <c r="I16" s="862"/>
      <c r="J16" s="912">
        <f>DADOS!C13</f>
        <v>12</v>
      </c>
      <c r="K16" s="920"/>
      <c r="L16" s="862">
        <v>12</v>
      </c>
      <c r="M16" s="862"/>
      <c r="N16" s="912">
        <f>DADOS!G13</f>
        <v>0</v>
      </c>
      <c r="O16" s="920"/>
      <c r="P16" s="862">
        <f>DADOS!I13</f>
        <v>0</v>
      </c>
      <c r="Q16" s="862"/>
    </row>
    <row r="17" spans="1:17" s="57" customFormat="1" ht="16.5" customHeight="1" x14ac:dyDescent="0.2">
      <c r="A17" s="871" t="s">
        <v>117</v>
      </c>
      <c r="B17" s="871"/>
      <c r="C17" s="871"/>
      <c r="D17" s="871"/>
      <c r="E17" s="871"/>
      <c r="F17" s="871"/>
      <c r="G17" s="871"/>
      <c r="H17" s="632"/>
      <c r="I17" s="632"/>
      <c r="J17" s="632"/>
      <c r="K17" s="632"/>
      <c r="L17" s="632"/>
      <c r="M17" s="632"/>
      <c r="N17" s="544"/>
      <c r="O17" s="663"/>
      <c r="P17" s="663"/>
      <c r="Q17" s="663"/>
    </row>
    <row r="18" spans="1:17" s="57" customFormat="1" ht="34.5" customHeight="1" x14ac:dyDescent="0.2">
      <c r="A18" s="423">
        <v>1</v>
      </c>
      <c r="B18" s="871" t="s">
        <v>101</v>
      </c>
      <c r="C18" s="871"/>
      <c r="D18" s="871"/>
      <c r="E18" s="626" t="s">
        <v>132</v>
      </c>
      <c r="F18" s="626" t="s">
        <v>95</v>
      </c>
      <c r="G18" s="626" t="s">
        <v>137</v>
      </c>
      <c r="H18" s="626" t="s">
        <v>95</v>
      </c>
      <c r="I18" s="626" t="s">
        <v>137</v>
      </c>
      <c r="J18" s="626" t="s">
        <v>95</v>
      </c>
      <c r="K18" s="626" t="s">
        <v>137</v>
      </c>
      <c r="L18" s="626" t="s">
        <v>95</v>
      </c>
      <c r="M18" s="626" t="s">
        <v>137</v>
      </c>
      <c r="N18" s="545" t="s">
        <v>95</v>
      </c>
      <c r="O18" s="659" t="s">
        <v>137</v>
      </c>
      <c r="P18" s="659" t="s">
        <v>95</v>
      </c>
      <c r="Q18" s="659" t="s">
        <v>137</v>
      </c>
    </row>
    <row r="19" spans="1:17" s="57" customFormat="1" ht="28.5" customHeight="1" x14ac:dyDescent="0.2">
      <c r="A19" s="466" t="s">
        <v>359</v>
      </c>
      <c r="B19" s="871" t="s">
        <v>360</v>
      </c>
      <c r="C19" s="871"/>
      <c r="D19" s="871"/>
      <c r="E19" s="626" t="str">
        <f>DADOS!C12</f>
        <v>Posto de Serviço</v>
      </c>
      <c r="F19" s="425">
        <f>DADOS!J74</f>
        <v>6</v>
      </c>
      <c r="G19" s="425">
        <f>DADOS!L74</f>
        <v>12</v>
      </c>
      <c r="H19" s="425">
        <f>DADOS!J74</f>
        <v>6</v>
      </c>
      <c r="I19" s="425">
        <f>DADOS!L74</f>
        <v>12</v>
      </c>
      <c r="J19" s="425">
        <f>DADOS!J74</f>
        <v>6</v>
      </c>
      <c r="K19" s="425">
        <f>DADOS!L74</f>
        <v>12</v>
      </c>
      <c r="L19" s="425">
        <v>6</v>
      </c>
      <c r="M19" s="425">
        <v>12</v>
      </c>
      <c r="N19" s="546">
        <v>6</v>
      </c>
      <c r="O19" s="425">
        <v>12</v>
      </c>
      <c r="P19" s="425">
        <v>6</v>
      </c>
      <c r="Q19" s="425">
        <v>12</v>
      </c>
    </row>
    <row r="20" spans="1:17" s="57" customFormat="1" ht="14.25" customHeight="1" x14ac:dyDescent="0.2">
      <c r="A20" s="628"/>
      <c r="B20" s="628"/>
      <c r="C20" s="628"/>
      <c r="D20" s="628"/>
      <c r="E20" s="628"/>
      <c r="F20" s="628">
        <v>1</v>
      </c>
      <c r="G20" s="628"/>
      <c r="H20" s="628">
        <v>1</v>
      </c>
      <c r="I20" s="628"/>
      <c r="J20" s="628">
        <v>1</v>
      </c>
      <c r="K20" s="628"/>
      <c r="L20" s="628">
        <v>1</v>
      </c>
      <c r="M20" s="628"/>
      <c r="N20" s="547">
        <v>1</v>
      </c>
      <c r="O20" s="427"/>
      <c r="P20" s="426">
        <v>1</v>
      </c>
      <c r="Q20" s="427"/>
    </row>
    <row r="21" spans="1:17" s="57" customFormat="1" ht="14.25" customHeight="1" x14ac:dyDescent="0.2">
      <c r="A21" s="881" t="s">
        <v>309</v>
      </c>
      <c r="B21" s="881"/>
      <c r="C21" s="881"/>
      <c r="D21" s="881"/>
      <c r="E21" s="881"/>
      <c r="F21" s="881"/>
      <c r="G21" s="881"/>
      <c r="H21" s="631"/>
      <c r="I21" s="631"/>
      <c r="J21" s="631"/>
      <c r="K21" s="631"/>
      <c r="L21" s="631"/>
      <c r="M21" s="631"/>
      <c r="N21" s="548"/>
      <c r="O21" s="471"/>
      <c r="P21" s="662"/>
      <c r="Q21" s="662"/>
    </row>
    <row r="22" spans="1:17" s="57" customFormat="1" ht="14.25" customHeight="1" x14ac:dyDescent="0.2">
      <c r="A22" s="866" t="s">
        <v>118</v>
      </c>
      <c r="B22" s="866"/>
      <c r="C22" s="866"/>
      <c r="D22" s="866"/>
      <c r="E22" s="866"/>
      <c r="F22" s="866"/>
      <c r="G22" s="866"/>
      <c r="H22" s="625"/>
      <c r="I22" s="625"/>
      <c r="J22" s="625"/>
      <c r="K22" s="625"/>
      <c r="L22" s="625"/>
      <c r="M22" s="625"/>
      <c r="N22" s="660"/>
      <c r="O22" s="658"/>
      <c r="P22" s="658"/>
      <c r="Q22" s="658"/>
    </row>
    <row r="23" spans="1:17" s="57" customFormat="1" ht="15" customHeight="1" x14ac:dyDescent="0.2">
      <c r="A23" s="866" t="s">
        <v>182</v>
      </c>
      <c r="B23" s="866"/>
      <c r="C23" s="866"/>
      <c r="D23" s="866"/>
      <c r="E23" s="866"/>
      <c r="F23" s="866"/>
      <c r="G23" s="866"/>
      <c r="H23" s="625"/>
      <c r="I23" s="625"/>
      <c r="J23" s="625"/>
      <c r="K23" s="625"/>
      <c r="L23" s="625"/>
      <c r="M23" s="625"/>
      <c r="N23" s="660"/>
      <c r="O23" s="658"/>
      <c r="P23" s="658"/>
      <c r="Q23" s="658"/>
    </row>
    <row r="24" spans="1:17" s="57" customFormat="1" ht="33" customHeight="1" x14ac:dyDescent="0.2">
      <c r="A24" s="628">
        <v>1</v>
      </c>
      <c r="B24" s="872" t="s">
        <v>101</v>
      </c>
      <c r="C24" s="872"/>
      <c r="D24" s="872"/>
      <c r="E24" s="872"/>
      <c r="F24" s="866" t="str">
        <f>B19</f>
        <v>Vigilante Diurno Desarmado - 12x36hs</v>
      </c>
      <c r="G24" s="866"/>
      <c r="H24" s="866" t="str">
        <f>B19</f>
        <v>Vigilante Diurno Desarmado - 12x36hs</v>
      </c>
      <c r="I24" s="866"/>
      <c r="J24" s="870" t="str">
        <f>B19</f>
        <v>Vigilante Diurno Desarmado - 12x36hs</v>
      </c>
      <c r="K24" s="865"/>
      <c r="L24" s="866" t="s">
        <v>360</v>
      </c>
      <c r="M24" s="866"/>
      <c r="N24" s="870" t="s">
        <v>360</v>
      </c>
      <c r="O24" s="865"/>
      <c r="P24" s="865" t="s">
        <v>360</v>
      </c>
      <c r="Q24" s="866"/>
    </row>
    <row r="25" spans="1:17" s="57" customFormat="1" ht="16.5" customHeight="1" x14ac:dyDescent="0.2">
      <c r="A25" s="628">
        <v>2</v>
      </c>
      <c r="B25" s="872" t="s">
        <v>102</v>
      </c>
      <c r="C25" s="872"/>
      <c r="D25" s="872"/>
      <c r="E25" s="872"/>
      <c r="F25" s="927">
        <f>DADOS!M74</f>
        <v>1888.29</v>
      </c>
      <c r="G25" s="927"/>
      <c r="H25" s="873">
        <v>1888.29</v>
      </c>
      <c r="I25" s="873"/>
      <c r="J25" s="913">
        <v>2012.54</v>
      </c>
      <c r="K25" s="925"/>
      <c r="L25" s="913">
        <v>2012.54</v>
      </c>
      <c r="M25" s="913"/>
      <c r="N25" s="924">
        <v>2054.19</v>
      </c>
      <c r="O25" s="925"/>
      <c r="P25" s="913">
        <v>2054.19</v>
      </c>
      <c r="Q25" s="913"/>
    </row>
    <row r="26" spans="1:17" s="57" customFormat="1" ht="60" customHeight="1" x14ac:dyDescent="0.2">
      <c r="A26" s="628">
        <v>3</v>
      </c>
      <c r="B26" s="872" t="s">
        <v>10</v>
      </c>
      <c r="C26" s="872"/>
      <c r="D26" s="872"/>
      <c r="E26" s="872"/>
      <c r="F26" s="859" t="str">
        <f>DADOS!H74</f>
        <v>Vigilante Diurno Desarmado - 12 horas de segunda-feira a domingo, envolvendo 2 (dois) vigilantes em turnos de 12x36hs</v>
      </c>
      <c r="G26" s="859"/>
      <c r="H26" s="859" t="str">
        <f>DADOS!H74</f>
        <v>Vigilante Diurno Desarmado - 12 horas de segunda-feira a domingo, envolvendo 2 (dois) vigilantes em turnos de 12x36hs</v>
      </c>
      <c r="I26" s="859"/>
      <c r="J26" s="878" t="str">
        <f>DADOS!H74</f>
        <v>Vigilante Diurno Desarmado - 12 horas de segunda-feira a domingo, envolvendo 2 (dois) vigilantes em turnos de 12x36hs</v>
      </c>
      <c r="K26" s="897"/>
      <c r="L26" s="859" t="s">
        <v>235</v>
      </c>
      <c r="M26" s="859"/>
      <c r="N26" s="878"/>
      <c r="O26" s="897"/>
      <c r="P26" s="859"/>
      <c r="Q26" s="859"/>
    </row>
    <row r="27" spans="1:17" s="57" customFormat="1" ht="16.5" customHeight="1" x14ac:dyDescent="0.2">
      <c r="A27" s="628">
        <v>4</v>
      </c>
      <c r="B27" s="872" t="s">
        <v>11</v>
      </c>
      <c r="C27" s="872"/>
      <c r="D27" s="872"/>
      <c r="E27" s="872"/>
      <c r="F27" s="860" t="str">
        <f>DADOS!M82</f>
        <v>1º de Janeiro</v>
      </c>
      <c r="G27" s="860"/>
      <c r="H27" s="860" t="str">
        <f>DADOS!M82</f>
        <v>1º de Janeiro</v>
      </c>
      <c r="I27" s="860"/>
      <c r="J27" s="879" t="str">
        <f>DADOS!M82</f>
        <v>1º de Janeiro</v>
      </c>
      <c r="K27" s="863"/>
      <c r="L27" s="879" t="s">
        <v>311</v>
      </c>
      <c r="M27" s="863"/>
      <c r="N27" s="879" t="s">
        <v>311</v>
      </c>
      <c r="O27" s="863"/>
      <c r="P27" s="860" t="s">
        <v>311</v>
      </c>
      <c r="Q27" s="860"/>
    </row>
    <row r="28" spans="1:17" s="57" customFormat="1" x14ac:dyDescent="0.2">
      <c r="A28" s="421"/>
      <c r="B28" s="421"/>
      <c r="C28" s="421"/>
      <c r="D28" s="421"/>
      <c r="E28" s="421"/>
      <c r="F28" s="421"/>
      <c r="G28" s="628"/>
      <c r="H28" s="421"/>
      <c r="I28" s="628"/>
      <c r="J28" s="421"/>
      <c r="K28" s="628"/>
      <c r="L28" s="421"/>
      <c r="M28" s="628"/>
      <c r="N28" s="549"/>
      <c r="O28" s="664"/>
      <c r="P28" s="421"/>
      <c r="Q28" s="664"/>
    </row>
    <row r="29" spans="1:17" s="58" customFormat="1" x14ac:dyDescent="0.2">
      <c r="A29" s="866" t="s">
        <v>36</v>
      </c>
      <c r="B29" s="866"/>
      <c r="C29" s="866"/>
      <c r="D29" s="866"/>
      <c r="E29" s="866"/>
      <c r="F29" s="866"/>
      <c r="G29" s="866"/>
      <c r="H29" s="625"/>
      <c r="I29" s="625"/>
      <c r="J29" s="625"/>
      <c r="K29" s="625"/>
      <c r="L29" s="625"/>
      <c r="M29" s="625"/>
      <c r="N29" s="660"/>
      <c r="O29" s="658"/>
      <c r="P29" s="658"/>
      <c r="Q29" s="658"/>
    </row>
    <row r="30" spans="1:17" s="57" customFormat="1" ht="18" customHeight="1" x14ac:dyDescent="0.2">
      <c r="A30" s="631">
        <v>1</v>
      </c>
      <c r="B30" s="880" t="s">
        <v>104</v>
      </c>
      <c r="C30" s="880"/>
      <c r="D30" s="880"/>
      <c r="E30" s="880"/>
      <c r="F30" s="631" t="s">
        <v>13</v>
      </c>
      <c r="G30" s="631" t="s">
        <v>141</v>
      </c>
      <c r="H30" s="631" t="s">
        <v>13</v>
      </c>
      <c r="I30" s="631" t="s">
        <v>141</v>
      </c>
      <c r="J30" s="631" t="s">
        <v>13</v>
      </c>
      <c r="K30" s="631" t="s">
        <v>141</v>
      </c>
      <c r="L30" s="631" t="s">
        <v>13</v>
      </c>
      <c r="M30" s="631" t="s">
        <v>141</v>
      </c>
      <c r="N30" s="522" t="s">
        <v>13</v>
      </c>
      <c r="O30" s="662" t="s">
        <v>141</v>
      </c>
      <c r="P30" s="662" t="s">
        <v>13</v>
      </c>
      <c r="Q30" s="662" t="s">
        <v>141</v>
      </c>
    </row>
    <row r="31" spans="1:17" s="57" customFormat="1" x14ac:dyDescent="0.2">
      <c r="A31" s="430" t="s">
        <v>1</v>
      </c>
      <c r="B31" s="629" t="s">
        <v>181</v>
      </c>
      <c r="C31" s="629"/>
      <c r="D31" s="629"/>
      <c r="E31" s="629"/>
      <c r="F31" s="431"/>
      <c r="G31" s="432">
        <f>$F$25*F20</f>
        <v>1888.29</v>
      </c>
      <c r="H31" s="431"/>
      <c r="I31" s="432">
        <f>$H$25*H20</f>
        <v>1888.29</v>
      </c>
      <c r="J31" s="431"/>
      <c r="K31" s="432">
        <f>J25</f>
        <v>2012.54</v>
      </c>
      <c r="L31" s="431"/>
      <c r="M31" s="432">
        <f>$L$25</f>
        <v>2012.54</v>
      </c>
      <c r="N31" s="550"/>
      <c r="O31" s="432">
        <f>N25</f>
        <v>2054.19</v>
      </c>
      <c r="P31" s="431"/>
      <c r="Q31" s="432">
        <f>P25</f>
        <v>2054.19</v>
      </c>
    </row>
    <row r="32" spans="1:17" s="57" customFormat="1" ht="14.25" hidden="1" customHeight="1" x14ac:dyDescent="0.2">
      <c r="A32" s="430" t="s">
        <v>2</v>
      </c>
      <c r="B32" s="629" t="str">
        <f>DADOS!A26</f>
        <v>Adicional Motorizado - Cláusula 3ª, alínea "f" da CCT</v>
      </c>
      <c r="C32" s="629"/>
      <c r="D32" s="629"/>
      <c r="E32" s="629"/>
      <c r="F32" s="431">
        <v>0</v>
      </c>
      <c r="G32" s="433"/>
      <c r="H32" s="431">
        <f>DADOS!F26</f>
        <v>0</v>
      </c>
      <c r="I32" s="433"/>
      <c r="J32" s="431">
        <f>DADOS!H26</f>
        <v>0</v>
      </c>
      <c r="K32" s="433"/>
      <c r="L32" s="431">
        <f>DADOS!J26</f>
        <v>0</v>
      </c>
      <c r="M32" s="433"/>
      <c r="N32" s="550">
        <f>DADOS!J26</f>
        <v>0</v>
      </c>
      <c r="O32" s="433"/>
      <c r="P32" s="431">
        <f>DADOS!L26</f>
        <v>0</v>
      </c>
      <c r="Q32" s="433"/>
    </row>
    <row r="33" spans="1:18" s="57" customFormat="1" ht="31.5" customHeight="1" x14ac:dyDescent="0.2">
      <c r="A33" s="430" t="s">
        <v>2</v>
      </c>
      <c r="B33" s="869" t="str">
        <f>DADOS!A25</f>
        <v>Adicional de Periculosidade/Risco de Vida - (Lei nº 12.740/2012 e Cláusula 3ª § 4º da CCT/2016)</v>
      </c>
      <c r="C33" s="869"/>
      <c r="D33" s="869"/>
      <c r="E33" s="869"/>
      <c r="F33" s="431">
        <f>DADOS!D25</f>
        <v>0.3</v>
      </c>
      <c r="G33" s="435">
        <f>(G31+G32)*F33</f>
        <v>566.49</v>
      </c>
      <c r="H33" s="431">
        <f>DADOS!D25</f>
        <v>0.3</v>
      </c>
      <c r="I33" s="435">
        <f>(I31+I32)*H33</f>
        <v>566.49</v>
      </c>
      <c r="J33" s="431">
        <f>DADOS!D25</f>
        <v>0.3</v>
      </c>
      <c r="K33" s="435">
        <f>(K31+K32)*J33</f>
        <v>603.76</v>
      </c>
      <c r="L33" s="431">
        <v>0.3</v>
      </c>
      <c r="M33" s="435">
        <f>(M31)*L33</f>
        <v>603.76</v>
      </c>
      <c r="N33" s="550">
        <v>0.3</v>
      </c>
      <c r="O33" s="435">
        <f>(O31+O32)*N33</f>
        <v>616.26</v>
      </c>
      <c r="P33" s="431">
        <v>0.3</v>
      </c>
      <c r="Q33" s="435">
        <f>(Q31+Q32)*P33</f>
        <v>616.26</v>
      </c>
    </row>
    <row r="34" spans="1:18" s="57" customFormat="1" x14ac:dyDescent="0.2">
      <c r="A34" s="430" t="s">
        <v>4</v>
      </c>
      <c r="B34" s="624" t="s">
        <v>312</v>
      </c>
      <c r="C34" s="624"/>
      <c r="D34" s="624"/>
      <c r="E34" s="624"/>
      <c r="F34" s="431"/>
      <c r="G34" s="435"/>
      <c r="H34" s="431"/>
      <c r="I34" s="435"/>
      <c r="J34" s="431"/>
      <c r="K34" s="435"/>
      <c r="L34" s="431"/>
      <c r="M34" s="435"/>
      <c r="N34" s="550"/>
      <c r="O34" s="435"/>
      <c r="P34" s="431"/>
      <c r="Q34" s="435"/>
    </row>
    <row r="35" spans="1:18" s="57" customFormat="1" x14ac:dyDescent="0.2">
      <c r="A35" s="430" t="s">
        <v>5</v>
      </c>
      <c r="B35" s="629" t="str">
        <f>DADOS!A24</f>
        <v>Adicional Noturno - Cláusula 49ª da CCT/2016</v>
      </c>
      <c r="C35" s="629"/>
      <c r="D35" s="629"/>
      <c r="E35" s="629"/>
      <c r="F35" s="431"/>
      <c r="G35" s="435"/>
      <c r="H35" s="431"/>
      <c r="I35" s="435"/>
      <c r="J35" s="431"/>
      <c r="K35" s="435"/>
      <c r="L35" s="431"/>
      <c r="M35" s="435"/>
      <c r="N35" s="551" t="str">
        <f>DADOS!J24</f>
        <v>CT 25</v>
      </c>
      <c r="O35" s="435"/>
      <c r="P35" s="436">
        <f>DADOS!L24</f>
        <v>20.5</v>
      </c>
      <c r="Q35" s="435"/>
    </row>
    <row r="36" spans="1:18" s="57" customFormat="1" x14ac:dyDescent="0.2">
      <c r="A36" s="430" t="s">
        <v>6</v>
      </c>
      <c r="B36" s="629" t="s">
        <v>24</v>
      </c>
      <c r="C36" s="629"/>
      <c r="D36" s="629"/>
      <c r="E36" s="629"/>
      <c r="F36" s="431"/>
      <c r="G36" s="435"/>
      <c r="H36" s="431"/>
      <c r="I36" s="435"/>
      <c r="J36" s="431"/>
      <c r="K36" s="435"/>
      <c r="L36" s="431"/>
      <c r="M36" s="435"/>
      <c r="N36" s="550"/>
      <c r="O36" s="435"/>
      <c r="P36" s="431"/>
      <c r="Q36" s="435"/>
    </row>
    <row r="37" spans="1:18" s="57" customFormat="1" x14ac:dyDescent="0.2">
      <c r="A37" s="430" t="s">
        <v>7</v>
      </c>
      <c r="B37" s="629" t="s">
        <v>105</v>
      </c>
      <c r="C37" s="629"/>
      <c r="D37" s="629"/>
      <c r="E37" s="629"/>
      <c r="F37" s="431"/>
      <c r="G37" s="435"/>
      <c r="H37" s="431"/>
      <c r="I37" s="435"/>
      <c r="J37" s="431"/>
      <c r="K37" s="435"/>
      <c r="L37" s="431"/>
      <c r="M37" s="435"/>
      <c r="N37" s="550"/>
      <c r="O37" s="435"/>
      <c r="P37" s="431"/>
      <c r="Q37" s="435"/>
    </row>
    <row r="38" spans="1:18" s="57" customFormat="1" ht="25.5" customHeight="1" x14ac:dyDescent="0.2">
      <c r="A38" s="430" t="s">
        <v>8</v>
      </c>
      <c r="B38" s="869" t="str">
        <f>DADOS!A28</f>
        <v xml:space="preserve">Intervalo Intrajornada - {[(Salário Base + Adicionais) ÷ 220] x 1,50 (hora extra acrescida de 50%) x 15,5 dias) </v>
      </c>
      <c r="C38" s="869"/>
      <c r="D38" s="869"/>
      <c r="E38" s="869"/>
      <c r="F38" s="642">
        <f>DADOS!D27</f>
        <v>1.5</v>
      </c>
      <c r="G38" s="435">
        <f>(((G31+G33+G35)/220)*1.5)*DADOS!L23</f>
        <v>259.43</v>
      </c>
      <c r="H38" s="642">
        <f>DADOS!D27</f>
        <v>1.5</v>
      </c>
      <c r="I38" s="435">
        <f>(((I31+I33+I35)/220)*1.5)*15.5</f>
        <v>259.43</v>
      </c>
      <c r="J38" s="642"/>
      <c r="K38" s="435">
        <f>(((K31+K33+K35)/220)*1.5)*15.5</f>
        <v>276.5</v>
      </c>
      <c r="L38" s="642"/>
      <c r="M38" s="435">
        <f>(((M31+M33+M35)/220)*1.5)*15.5</f>
        <v>276.5</v>
      </c>
      <c r="N38" s="552">
        <f>DADOS!J27</f>
        <v>0</v>
      </c>
      <c r="O38" s="435">
        <f>(((O31+O33+O35)/220)*1.5)*15.5</f>
        <v>282.22000000000003</v>
      </c>
      <c r="P38" s="642"/>
      <c r="Q38" s="435">
        <f>(((Q31+Q33+Q35)/220)*1.5)*15.5</f>
        <v>282.22000000000003</v>
      </c>
    </row>
    <row r="39" spans="1:18" s="57" customFormat="1" ht="45.75" customHeight="1" x14ac:dyDescent="0.2">
      <c r="A39" s="430" t="s">
        <v>9</v>
      </c>
      <c r="B39" s="869" t="s">
        <v>315</v>
      </c>
      <c r="C39" s="869"/>
      <c r="D39" s="869"/>
      <c r="E39" s="869"/>
      <c r="F39" s="431"/>
      <c r="G39" s="435">
        <v>61.67</v>
      </c>
      <c r="H39" s="431"/>
      <c r="I39" s="435">
        <v>61.67</v>
      </c>
      <c r="J39" s="431"/>
      <c r="K39" s="684"/>
      <c r="L39" s="685"/>
      <c r="M39" s="686"/>
      <c r="N39" s="550"/>
      <c r="O39" s="435"/>
      <c r="P39" s="431"/>
      <c r="Q39" s="435"/>
      <c r="R39" s="62"/>
    </row>
    <row r="40" spans="1:18" s="57" customFormat="1" ht="18.75" customHeight="1" x14ac:dyDescent="0.2">
      <c r="A40" s="438"/>
      <c r="B40" s="883" t="s">
        <v>139</v>
      </c>
      <c r="C40" s="883"/>
      <c r="D40" s="883"/>
      <c r="E40" s="883"/>
      <c r="F40" s="883"/>
      <c r="G40" s="467">
        <f>SUM(G31:G39)</f>
        <v>2775.88</v>
      </c>
      <c r="H40" s="439"/>
      <c r="I40" s="439">
        <f>SUM(I31:I39)</f>
        <v>2775.88</v>
      </c>
      <c r="J40" s="439"/>
      <c r="K40" s="439">
        <f>SUM(K31:K39)</f>
        <v>2892.8</v>
      </c>
      <c r="L40" s="439"/>
      <c r="M40" s="439">
        <f>SUM(M31:M39)</f>
        <v>2892.8</v>
      </c>
      <c r="N40" s="553"/>
      <c r="O40" s="439">
        <f>SUM(O31:O39)</f>
        <v>2952.67</v>
      </c>
      <c r="P40" s="439"/>
      <c r="Q40" s="439">
        <f>SUM(Q31:Q39)</f>
        <v>2952.67</v>
      </c>
    </row>
    <row r="41" spans="1:18" s="60" customFormat="1" x14ac:dyDescent="0.2">
      <c r="A41" s="628"/>
      <c r="B41" s="624"/>
      <c r="C41" s="624"/>
      <c r="D41" s="624"/>
      <c r="E41" s="624"/>
      <c r="F41" s="440"/>
      <c r="G41" s="441"/>
      <c r="H41" s="440"/>
      <c r="I41" s="441"/>
      <c r="J41" s="440"/>
      <c r="K41" s="441"/>
      <c r="L41" s="440"/>
      <c r="M41" s="441"/>
      <c r="N41" s="554"/>
      <c r="O41" s="441"/>
      <c r="P41" s="440"/>
      <c r="Q41" s="441"/>
    </row>
    <row r="42" spans="1:18" s="57" customFormat="1" ht="15" customHeight="1" x14ac:dyDescent="0.2">
      <c r="A42" s="866" t="s">
        <v>37</v>
      </c>
      <c r="B42" s="866"/>
      <c r="C42" s="866"/>
      <c r="D42" s="866"/>
      <c r="E42" s="866"/>
      <c r="F42" s="866"/>
      <c r="G42" s="866"/>
      <c r="H42" s="625"/>
      <c r="I42" s="625"/>
      <c r="J42" s="625"/>
      <c r="K42" s="625"/>
      <c r="L42" s="625"/>
      <c r="M42" s="625"/>
      <c r="N42" s="660"/>
      <c r="O42" s="658"/>
      <c r="P42" s="658"/>
      <c r="Q42" s="658"/>
    </row>
    <row r="43" spans="1:18" s="57" customFormat="1" ht="18" customHeight="1" x14ac:dyDescent="0.2">
      <c r="A43" s="625">
        <v>2</v>
      </c>
      <c r="B43" s="884" t="s">
        <v>25</v>
      </c>
      <c r="C43" s="884"/>
      <c r="D43" s="884"/>
      <c r="E43" s="884"/>
      <c r="F43" s="631" t="s">
        <v>13</v>
      </c>
      <c r="G43" s="631" t="s">
        <v>141</v>
      </c>
      <c r="H43" s="631" t="s">
        <v>13</v>
      </c>
      <c r="I43" s="631" t="s">
        <v>141</v>
      </c>
      <c r="J43" s="631" t="s">
        <v>13</v>
      </c>
      <c r="K43" s="631" t="s">
        <v>141</v>
      </c>
      <c r="L43" s="631" t="s">
        <v>13</v>
      </c>
      <c r="M43" s="631" t="s">
        <v>141</v>
      </c>
      <c r="N43" s="522" t="s">
        <v>13</v>
      </c>
      <c r="O43" s="662" t="s">
        <v>141</v>
      </c>
      <c r="P43" s="662" t="s">
        <v>13</v>
      </c>
      <c r="Q43" s="662" t="s">
        <v>141</v>
      </c>
    </row>
    <row r="44" spans="1:18" s="57" customFormat="1" x14ac:dyDescent="0.2">
      <c r="A44" s="885" t="s">
        <v>1</v>
      </c>
      <c r="B44" s="629" t="str">
        <f>DADOS!A34</f>
        <v>Transporte [(R$ 5,00) x 2] x 15,5 dias - Cláusula 13ª da CCT/2016</v>
      </c>
      <c r="C44" s="629"/>
      <c r="D44" s="624"/>
      <c r="E44" s="624"/>
      <c r="F44" s="459">
        <f>DADOS!F33</f>
        <v>10</v>
      </c>
      <c r="G44" s="443">
        <f>(F44*DADOS!L23*$F$20)</f>
        <v>155</v>
      </c>
      <c r="H44" s="459">
        <f>DADOS!H33</f>
        <v>0</v>
      </c>
      <c r="I44" s="443">
        <f>(F44*DADOS!L23*$F$20)</f>
        <v>155</v>
      </c>
      <c r="J44" s="459">
        <f>DADOS!J33</f>
        <v>0</v>
      </c>
      <c r="K44" s="443">
        <f>(5*2*15.5)</f>
        <v>155</v>
      </c>
      <c r="L44" s="459"/>
      <c r="M44" s="443">
        <f>(5*2*15.5)</f>
        <v>155</v>
      </c>
      <c r="N44" s="555">
        <f>DADOS!L33</f>
        <v>0</v>
      </c>
      <c r="O44" s="443">
        <f>(5*2*15.5)</f>
        <v>155</v>
      </c>
      <c r="P44" s="442">
        <f>DADOS!N33</f>
        <v>0</v>
      </c>
      <c r="Q44" s="443">
        <f>(5*2*15.5)</f>
        <v>155</v>
      </c>
    </row>
    <row r="45" spans="1:18" s="57" customFormat="1" x14ac:dyDescent="0.2">
      <c r="A45" s="885"/>
      <c r="B45" s="629" t="s">
        <v>106</v>
      </c>
      <c r="C45" s="629"/>
      <c r="D45" s="624"/>
      <c r="E45" s="624"/>
      <c r="F45" s="444">
        <f>DADOS!F35</f>
        <v>0.06</v>
      </c>
      <c r="G45" s="445">
        <f>-MIN(G44,(F45*G31))</f>
        <v>-113.3</v>
      </c>
      <c r="H45" s="444">
        <f>DADOS!F35</f>
        <v>0.06</v>
      </c>
      <c r="I45" s="445">
        <f>-MIN(I44,(H45*I31))</f>
        <v>-113.3</v>
      </c>
      <c r="J45" s="444">
        <f>DADOS!F35</f>
        <v>0.06</v>
      </c>
      <c r="K45" s="445">
        <f>-MIN(K44,(J45*K31))</f>
        <v>-120.75</v>
      </c>
      <c r="L45" s="444">
        <v>0.06</v>
      </c>
      <c r="M45" s="445">
        <f>-MIN(M44,(L45*M31))</f>
        <v>-120.75</v>
      </c>
      <c r="N45" s="556">
        <v>0.06</v>
      </c>
      <c r="O45" s="445">
        <f>-MIN(O44,(N45*O31))</f>
        <v>-123.25</v>
      </c>
      <c r="P45" s="444">
        <v>0.06</v>
      </c>
      <c r="Q45" s="445">
        <f>-MIN(Q44,(P45*Q31))</f>
        <v>-123.25</v>
      </c>
    </row>
    <row r="46" spans="1:18" s="57" customFormat="1" ht="29.25" customHeight="1" x14ac:dyDescent="0.2">
      <c r="A46" s="887" t="s">
        <v>2</v>
      </c>
      <c r="B46" s="869" t="str">
        <f>DADOS!A38</f>
        <v>Auxílio alimentação (Tiquete refeição de R$ 32,00 x 15,5 dias efetivamente trabalhados) - Cláusula 12ª da CCT/2016</v>
      </c>
      <c r="C46" s="869"/>
      <c r="D46" s="869"/>
      <c r="E46" s="869"/>
      <c r="F46" s="459"/>
      <c r="G46" s="443">
        <f>(32*DADOS!L23)*$F$20</f>
        <v>496</v>
      </c>
      <c r="H46" s="459"/>
      <c r="I46" s="446">
        <f>15.5*32</f>
        <v>496</v>
      </c>
      <c r="J46" s="459"/>
      <c r="K46" s="645">
        <f>(34.11*15.5)</f>
        <v>528.71</v>
      </c>
      <c r="L46" s="459"/>
      <c r="M46" s="645">
        <f>15.5*34.11</f>
        <v>528.71</v>
      </c>
      <c r="N46" s="555">
        <f>DADOS!L37</f>
        <v>0</v>
      </c>
      <c r="O46" s="645">
        <f>34.84*15.5</f>
        <v>540.02</v>
      </c>
      <c r="P46" s="442">
        <f>DADOS!N37</f>
        <v>0</v>
      </c>
      <c r="Q46" s="645">
        <f>34.84*15.5</f>
        <v>540.02</v>
      </c>
    </row>
    <row r="47" spans="1:18" s="682" customFormat="1" ht="29.25" customHeight="1" x14ac:dyDescent="0.2">
      <c r="A47" s="888"/>
      <c r="B47" s="889" t="s">
        <v>430</v>
      </c>
      <c r="C47" s="890"/>
      <c r="D47" s="890"/>
      <c r="E47" s="891"/>
      <c r="F47" s="683"/>
      <c r="G47" s="681"/>
      <c r="H47" s="683"/>
      <c r="I47" s="681"/>
      <c r="J47" s="683"/>
      <c r="K47" s="681"/>
      <c r="L47" s="683"/>
      <c r="M47" s="681"/>
      <c r="N47" s="678"/>
      <c r="O47" s="645">
        <f>-0.03*15.5</f>
        <v>-0.47</v>
      </c>
      <c r="P47" s="674"/>
      <c r="Q47" s="645">
        <f>-0.03*15.5</f>
        <v>-0.47</v>
      </c>
    </row>
    <row r="48" spans="1:18" s="57" customFormat="1" ht="28.5" customHeight="1" x14ac:dyDescent="0.2">
      <c r="A48" s="628" t="s">
        <v>4</v>
      </c>
      <c r="B48" s="882" t="str">
        <f>DADOS!A46</f>
        <v>Auxílio Saúde - Cláusula 14ª da CCT/2016 - NÃO SE APLICA CONFORME PARECER Nº 15/2014/CPLC/ DEPCONSU/PGF/AGU</v>
      </c>
      <c r="C48" s="882"/>
      <c r="D48" s="882"/>
      <c r="E48" s="882"/>
      <c r="F48" s="459"/>
      <c r="G48" s="445">
        <f>F48*$F$20</f>
        <v>0</v>
      </c>
      <c r="H48" s="459"/>
      <c r="I48" s="445">
        <f>H48*$F$20</f>
        <v>0</v>
      </c>
      <c r="J48" s="459"/>
      <c r="K48" s="445">
        <f>J48</f>
        <v>0</v>
      </c>
      <c r="L48" s="459"/>
      <c r="M48" s="445"/>
      <c r="N48" s="555">
        <f>DADOS!L46</f>
        <v>0</v>
      </c>
      <c r="O48" s="612"/>
      <c r="P48" s="442">
        <f>DADOS!N46</f>
        <v>0</v>
      </c>
      <c r="Q48" s="445">
        <f>P48*$F$20</f>
        <v>0</v>
      </c>
    </row>
    <row r="49" spans="1:17" s="57" customFormat="1" ht="45.75" customHeight="1" x14ac:dyDescent="0.2">
      <c r="A49" s="628" t="s">
        <v>5</v>
      </c>
      <c r="B49" s="882" t="str">
        <f>DADOS!A44</f>
        <v>Fundo Social e Odontológico - Cláusula 18ª da CCT/2016 - NÃO SE APLICA CONFORME PARECER Nº 15/2014/CPLC/ DEPCONSU/PGF/AGU, por entender que integra ao Auxílio Saúde</v>
      </c>
      <c r="C49" s="882"/>
      <c r="D49" s="882"/>
      <c r="E49" s="882"/>
      <c r="F49" s="459"/>
      <c r="G49" s="445">
        <f>F49*$F$20</f>
        <v>0</v>
      </c>
      <c r="H49" s="459"/>
      <c r="I49" s="445">
        <f>H49*$F$20</f>
        <v>0</v>
      </c>
      <c r="J49" s="459"/>
      <c r="K49" s="445"/>
      <c r="L49" s="459"/>
      <c r="M49" s="445"/>
      <c r="N49" s="555"/>
      <c r="O49" s="445"/>
      <c r="P49" s="442"/>
      <c r="Q49" s="445"/>
    </row>
    <row r="50" spans="1:17" s="57" customFormat="1" x14ac:dyDescent="0.2">
      <c r="A50" s="628" t="s">
        <v>6</v>
      </c>
      <c r="B50" s="447" t="str">
        <f>DADOS!A39</f>
        <v>Fundo Ind. Aposent. Ou Doença - Cláusula 15ª da CCT/2016</v>
      </c>
      <c r="C50" s="447"/>
      <c r="D50" s="418"/>
      <c r="E50" s="421"/>
      <c r="F50" s="459"/>
      <c r="G50" s="445">
        <v>14</v>
      </c>
      <c r="H50" s="459">
        <f>DADOS!H39</f>
        <v>0</v>
      </c>
      <c r="I50" s="445">
        <f>G50</f>
        <v>14</v>
      </c>
      <c r="J50" s="459">
        <f>DADOS!J39</f>
        <v>0</v>
      </c>
      <c r="K50" s="445">
        <f>G50</f>
        <v>14</v>
      </c>
      <c r="L50" s="459"/>
      <c r="M50" s="445">
        <f>I50</f>
        <v>14</v>
      </c>
      <c r="N50" s="555">
        <f>DADOS!L39</f>
        <v>0</v>
      </c>
      <c r="O50" s="445">
        <v>14</v>
      </c>
      <c r="P50" s="442">
        <f>DADOS!N39</f>
        <v>0</v>
      </c>
      <c r="Q50" s="445">
        <v>14</v>
      </c>
    </row>
    <row r="51" spans="1:17" s="57" customFormat="1" x14ac:dyDescent="0.2">
      <c r="A51" s="628" t="s">
        <v>7</v>
      </c>
      <c r="B51" s="447" t="str">
        <f>DADOS!A40</f>
        <v>Seguro de vida, inclusive invalidez - Cláusula 16ª da CCT/2016</v>
      </c>
      <c r="C51" s="447"/>
      <c r="D51" s="418"/>
      <c r="E51" s="421"/>
      <c r="F51" s="459"/>
      <c r="G51" s="445">
        <v>10.25</v>
      </c>
      <c r="H51" s="459">
        <f>DADOS!N41</f>
        <v>0</v>
      </c>
      <c r="I51" s="445">
        <f>G51</f>
        <v>10.25</v>
      </c>
      <c r="J51" s="459">
        <f>DADOS!P41</f>
        <v>0</v>
      </c>
      <c r="K51" s="445">
        <f>G51</f>
        <v>10.25</v>
      </c>
      <c r="L51" s="459"/>
      <c r="M51" s="445">
        <f>I51</f>
        <v>10.25</v>
      </c>
      <c r="N51" s="555">
        <f>DADOS!R41</f>
        <v>0</v>
      </c>
      <c r="O51" s="670">
        <v>10.46</v>
      </c>
      <c r="P51" s="442">
        <f>DADOS!T41</f>
        <v>0</v>
      </c>
      <c r="Q51" s="670">
        <v>10.46</v>
      </c>
    </row>
    <row r="52" spans="1:17" s="57" customFormat="1" ht="30" customHeight="1" x14ac:dyDescent="0.2">
      <c r="A52" s="628" t="s">
        <v>8</v>
      </c>
      <c r="B52" s="882" t="str">
        <f>DADOS!A41</f>
        <v>Auxílio Funeral (Despesas de sepultamento - R$ 3.560,00 - Cláusula 16ª alínea "d" da CCT/2016</v>
      </c>
      <c r="C52" s="882"/>
      <c r="D52" s="882"/>
      <c r="E52" s="882"/>
      <c r="F52" s="459"/>
      <c r="G52" s="445">
        <v>1.8</v>
      </c>
      <c r="H52" s="459">
        <f>DADOS!H41</f>
        <v>0</v>
      </c>
      <c r="I52" s="445">
        <f>G52</f>
        <v>1.8</v>
      </c>
      <c r="J52" s="459">
        <f>DADOS!J41</f>
        <v>0</v>
      </c>
      <c r="K52" s="445">
        <f>G52</f>
        <v>1.8</v>
      </c>
      <c r="L52" s="459"/>
      <c r="M52" s="445">
        <f>I52</f>
        <v>1.8</v>
      </c>
      <c r="N52" s="555">
        <f>DADOS!L41</f>
        <v>12.22</v>
      </c>
      <c r="O52" s="445">
        <v>1.8</v>
      </c>
      <c r="P52" s="442">
        <f>DADOS!N41</f>
        <v>0</v>
      </c>
      <c r="Q52" s="445">
        <v>1.8</v>
      </c>
    </row>
    <row r="53" spans="1:17" s="57" customFormat="1" x14ac:dyDescent="0.2">
      <c r="A53" s="628" t="s">
        <v>9</v>
      </c>
      <c r="B53" s="447" t="str">
        <f>DADOS!A42</f>
        <v>Treinamento/Capacitação/Reciclagem - Cláusula 28ª da CCT/2016</v>
      </c>
      <c r="C53" s="447"/>
      <c r="D53" s="418"/>
      <c r="E53" s="421"/>
      <c r="F53" s="459"/>
      <c r="G53" s="445">
        <v>12.08</v>
      </c>
      <c r="H53" s="459">
        <f>DADOS!H42</f>
        <v>0</v>
      </c>
      <c r="I53" s="445">
        <f>G53</f>
        <v>12.08</v>
      </c>
      <c r="J53" s="459">
        <f>DADOS!J42</f>
        <v>0</v>
      </c>
      <c r="K53" s="445">
        <f>G53</f>
        <v>12.08</v>
      </c>
      <c r="L53" s="459"/>
      <c r="M53" s="445">
        <f>I53</f>
        <v>12.08</v>
      </c>
      <c r="N53" s="555">
        <f>DADOS!L42</f>
        <v>0</v>
      </c>
      <c r="O53" s="445">
        <v>12.08</v>
      </c>
      <c r="P53" s="442">
        <f>DADOS!N42</f>
        <v>0</v>
      </c>
      <c r="Q53" s="445">
        <v>12.08</v>
      </c>
    </row>
    <row r="54" spans="1:17" s="57" customFormat="1" x14ac:dyDescent="0.2">
      <c r="A54" s="628" t="s">
        <v>145</v>
      </c>
      <c r="B54" s="447" t="s">
        <v>81</v>
      </c>
      <c r="C54" s="447"/>
      <c r="D54" s="418"/>
      <c r="E54" s="421"/>
      <c r="F54" s="440"/>
      <c r="G54" s="441"/>
      <c r="H54" s="440"/>
      <c r="I54" s="441"/>
      <c r="J54" s="440"/>
      <c r="K54" s="441"/>
      <c r="L54" s="440"/>
      <c r="M54" s="441"/>
      <c r="N54" s="554"/>
      <c r="O54" s="441"/>
      <c r="P54" s="440"/>
      <c r="Q54" s="441"/>
    </row>
    <row r="55" spans="1:17" s="57" customFormat="1" ht="18" customHeight="1" x14ac:dyDescent="0.2">
      <c r="A55" s="438"/>
      <c r="B55" s="883" t="s">
        <v>140</v>
      </c>
      <c r="C55" s="883"/>
      <c r="D55" s="883"/>
      <c r="E55" s="883"/>
      <c r="F55" s="883"/>
      <c r="G55" s="448">
        <f>SUM(G44:G54)</f>
        <v>575.83000000000004</v>
      </c>
      <c r="H55" s="448"/>
      <c r="I55" s="448">
        <f>SUM(I44:I54)</f>
        <v>575.83000000000004</v>
      </c>
      <c r="J55" s="448"/>
      <c r="K55" s="448">
        <f>SUM(K44:K54)</f>
        <v>601.09</v>
      </c>
      <c r="L55" s="448"/>
      <c r="M55" s="448">
        <f>SUM(M44:M54)</f>
        <v>601.09</v>
      </c>
      <c r="N55" s="557"/>
      <c r="O55" s="448">
        <f>SUM(O44:O54)</f>
        <v>609.64</v>
      </c>
      <c r="P55" s="448"/>
      <c r="Q55" s="448">
        <f>SUM(Q44:Q54)</f>
        <v>609.64</v>
      </c>
    </row>
    <row r="56" spans="1:17" s="60" customFormat="1" x14ac:dyDescent="0.2">
      <c r="A56" s="628"/>
      <c r="B56" s="421"/>
      <c r="C56" s="421"/>
      <c r="D56" s="421"/>
      <c r="E56" s="421"/>
      <c r="F56" s="440"/>
      <c r="G56" s="441"/>
      <c r="H56" s="440"/>
      <c r="I56" s="441"/>
      <c r="J56" s="440"/>
      <c r="K56" s="441"/>
      <c r="L56" s="440"/>
      <c r="M56" s="441"/>
      <c r="N56" s="554"/>
      <c r="O56" s="441"/>
      <c r="P56" s="440"/>
      <c r="Q56" s="441"/>
    </row>
    <row r="57" spans="1:17" s="57" customFormat="1" x14ac:dyDescent="0.2">
      <c r="A57" s="866" t="s">
        <v>38</v>
      </c>
      <c r="B57" s="866"/>
      <c r="C57" s="866"/>
      <c r="D57" s="866"/>
      <c r="E57" s="866"/>
      <c r="F57" s="866"/>
      <c r="G57" s="866"/>
      <c r="H57" s="625"/>
      <c r="I57" s="625"/>
      <c r="J57" s="625"/>
      <c r="K57" s="625"/>
      <c r="L57" s="625"/>
      <c r="M57" s="625"/>
      <c r="N57" s="660"/>
      <c r="O57" s="658"/>
      <c r="P57" s="658"/>
      <c r="Q57" s="658"/>
    </row>
    <row r="58" spans="1:17" s="57" customFormat="1" ht="18" customHeight="1" x14ac:dyDescent="0.2">
      <c r="A58" s="631">
        <v>3</v>
      </c>
      <c r="B58" s="881" t="s">
        <v>107</v>
      </c>
      <c r="C58" s="881"/>
      <c r="D58" s="881"/>
      <c r="E58" s="881"/>
      <c r="F58" s="631" t="s">
        <v>13</v>
      </c>
      <c r="G58" s="631" t="s">
        <v>141</v>
      </c>
      <c r="H58" s="631" t="s">
        <v>13</v>
      </c>
      <c r="I58" s="631" t="s">
        <v>141</v>
      </c>
      <c r="J58" s="631" t="s">
        <v>13</v>
      </c>
      <c r="K58" s="631" t="s">
        <v>141</v>
      </c>
      <c r="L58" s="631" t="s">
        <v>13</v>
      </c>
      <c r="M58" s="631" t="s">
        <v>141</v>
      </c>
      <c r="N58" s="522" t="s">
        <v>13</v>
      </c>
      <c r="O58" s="662" t="s">
        <v>141</v>
      </c>
      <c r="P58" s="662" t="s">
        <v>13</v>
      </c>
      <c r="Q58" s="662" t="s">
        <v>141</v>
      </c>
    </row>
    <row r="59" spans="1:17" s="57" customFormat="1" ht="15.75" customHeight="1" x14ac:dyDescent="0.2">
      <c r="A59" s="430" t="s">
        <v>1</v>
      </c>
      <c r="B59" s="449" t="str">
        <f>DADOS!A53</f>
        <v>Uniformes</v>
      </c>
      <c r="C59" s="449"/>
      <c r="D59" s="449"/>
      <c r="E59" s="449"/>
      <c r="F59" s="431"/>
      <c r="G59" s="443">
        <f>DADOS!F53*$F$20</f>
        <v>240.13</v>
      </c>
      <c r="H59" s="431"/>
      <c r="I59" s="443">
        <f>DADOS!F53*$F$20</f>
        <v>240.13</v>
      </c>
      <c r="J59" s="431"/>
      <c r="K59" s="443">
        <f>UNIFORMES!G37</f>
        <v>240.13</v>
      </c>
      <c r="L59" s="431"/>
      <c r="M59" s="443">
        <f>UNIFORMES!G52</f>
        <v>240.13</v>
      </c>
      <c r="N59" s="550"/>
      <c r="O59" s="443">
        <f>K59</f>
        <v>240.13</v>
      </c>
      <c r="P59" s="431"/>
      <c r="Q59" s="443">
        <f>M59</f>
        <v>240.13</v>
      </c>
    </row>
    <row r="60" spans="1:17" s="57" customFormat="1" ht="15.75" customHeight="1" x14ac:dyDescent="0.2">
      <c r="A60" s="430" t="s">
        <v>2</v>
      </c>
      <c r="B60" s="449" t="str">
        <f>DADOS!A54</f>
        <v>Materiais de Consumo Mensal</v>
      </c>
      <c r="C60" s="449"/>
      <c r="D60" s="449"/>
      <c r="E60" s="449"/>
      <c r="F60" s="431"/>
      <c r="G60" s="443">
        <f>DADOS!F54*$F$20</f>
        <v>8.5299999999999994</v>
      </c>
      <c r="H60" s="431"/>
      <c r="I60" s="443">
        <f>DADOS!F54*$F$20</f>
        <v>8.5299999999999994</v>
      </c>
      <c r="J60" s="431"/>
      <c r="K60" s="443">
        <f>'MAT e EQUIPS'!H19</f>
        <v>8.5299999999999994</v>
      </c>
      <c r="L60" s="431"/>
      <c r="M60" s="645">
        <f>'MAT e EQUIPS'!H45</f>
        <v>7.99</v>
      </c>
      <c r="N60" s="550"/>
      <c r="O60" s="443">
        <f t="shared" ref="O60:O61" si="0">K60</f>
        <v>8.5299999999999994</v>
      </c>
      <c r="P60" s="431"/>
      <c r="Q60" s="645">
        <f>M60</f>
        <v>7.99</v>
      </c>
    </row>
    <row r="61" spans="1:17" s="57" customFormat="1" ht="15.75" customHeight="1" x14ac:dyDescent="0.2">
      <c r="A61" s="430" t="s">
        <v>4</v>
      </c>
      <c r="B61" s="629" t="str">
        <f>DADOS!A55</f>
        <v>Equipamentos para desenvolvimento das atividades</v>
      </c>
      <c r="C61" s="449"/>
      <c r="D61" s="449"/>
      <c r="E61" s="449"/>
      <c r="F61" s="431"/>
      <c r="G61" s="443">
        <f>DADOS!F55*$F$20</f>
        <v>27.13</v>
      </c>
      <c r="H61" s="431"/>
      <c r="I61" s="443">
        <f>DADOS!F55*$F$20</f>
        <v>27.13</v>
      </c>
      <c r="J61" s="431"/>
      <c r="K61" s="443">
        <f>'MAT e EQUIPS'!H30</f>
        <v>27.13</v>
      </c>
      <c r="L61" s="431"/>
      <c r="M61" s="645">
        <f>'MAT e EQUIPS'!H56</f>
        <v>25.43</v>
      </c>
      <c r="N61" s="550"/>
      <c r="O61" s="443">
        <f t="shared" si="0"/>
        <v>27.13</v>
      </c>
      <c r="P61" s="431"/>
      <c r="Q61" s="645">
        <f>M61</f>
        <v>25.43</v>
      </c>
    </row>
    <row r="62" spans="1:17" s="57" customFormat="1" ht="18" customHeight="1" x14ac:dyDescent="0.2">
      <c r="A62" s="438"/>
      <c r="B62" s="883" t="s">
        <v>142</v>
      </c>
      <c r="C62" s="883"/>
      <c r="D62" s="883"/>
      <c r="E62" s="883"/>
      <c r="F62" s="883"/>
      <c r="G62" s="450">
        <f>SUM(G59:G61)</f>
        <v>275.79000000000002</v>
      </c>
      <c r="H62" s="450"/>
      <c r="I62" s="450">
        <f>SUM(I59:I61)</f>
        <v>275.79000000000002</v>
      </c>
      <c r="J62" s="450"/>
      <c r="K62" s="450">
        <f>SUM(K59:K61)</f>
        <v>275.79000000000002</v>
      </c>
      <c r="L62" s="450"/>
      <c r="M62" s="450">
        <f>SUM(M59:M61)</f>
        <v>273.55</v>
      </c>
      <c r="N62" s="558"/>
      <c r="O62" s="450">
        <f>SUM(O59:O61)</f>
        <v>275.79000000000002</v>
      </c>
      <c r="P62" s="450"/>
      <c r="Q62" s="450">
        <f>SUM(Q59:Q61)</f>
        <v>273.55</v>
      </c>
    </row>
    <row r="63" spans="1:17" s="60" customFormat="1" x14ac:dyDescent="0.2">
      <c r="A63" s="628"/>
      <c r="B63" s="421"/>
      <c r="C63" s="421"/>
      <c r="D63" s="421"/>
      <c r="E63" s="421"/>
      <c r="F63" s="440"/>
      <c r="G63" s="441"/>
      <c r="H63" s="440"/>
      <c r="I63" s="441"/>
      <c r="J63" s="440"/>
      <c r="K63" s="441"/>
      <c r="L63" s="440"/>
      <c r="M63" s="441"/>
      <c r="N63" s="554"/>
      <c r="O63" s="441"/>
      <c r="P63" s="440"/>
      <c r="Q63" s="441"/>
    </row>
    <row r="64" spans="1:17" s="26" customFormat="1" x14ac:dyDescent="0.2">
      <c r="A64" s="881" t="s">
        <v>39</v>
      </c>
      <c r="B64" s="881"/>
      <c r="C64" s="881"/>
      <c r="D64" s="881"/>
      <c r="E64" s="881"/>
      <c r="F64" s="881"/>
      <c r="G64" s="881"/>
      <c r="H64" s="631"/>
      <c r="I64" s="631"/>
      <c r="J64" s="631"/>
      <c r="K64" s="631"/>
      <c r="L64" s="631"/>
      <c r="M64" s="631"/>
      <c r="N64" s="522"/>
      <c r="O64" s="662"/>
      <c r="P64" s="662"/>
      <c r="Q64" s="662"/>
    </row>
    <row r="65" spans="1:17" s="26" customFormat="1" x14ac:dyDescent="0.2">
      <c r="A65" s="880" t="s">
        <v>124</v>
      </c>
      <c r="B65" s="880"/>
      <c r="C65" s="880"/>
      <c r="D65" s="880"/>
      <c r="E65" s="880"/>
      <c r="F65" s="880"/>
      <c r="G65" s="880"/>
      <c r="H65" s="630"/>
      <c r="I65" s="630"/>
      <c r="J65" s="630"/>
      <c r="K65" s="630"/>
      <c r="L65" s="630"/>
      <c r="M65" s="630"/>
      <c r="N65" s="559"/>
      <c r="O65" s="661"/>
      <c r="P65" s="661"/>
      <c r="Q65" s="661"/>
    </row>
    <row r="66" spans="1:17" s="61" customFormat="1" ht="18" customHeight="1" x14ac:dyDescent="0.2">
      <c r="A66" s="625" t="s">
        <v>63</v>
      </c>
      <c r="B66" s="884" t="s">
        <v>122</v>
      </c>
      <c r="C66" s="884"/>
      <c r="D66" s="884"/>
      <c r="E66" s="884"/>
      <c r="F66" s="625" t="s">
        <v>12</v>
      </c>
      <c r="G66" s="625" t="s">
        <v>103</v>
      </c>
      <c r="H66" s="625" t="s">
        <v>12</v>
      </c>
      <c r="I66" s="625" t="s">
        <v>103</v>
      </c>
      <c r="J66" s="625" t="s">
        <v>12</v>
      </c>
      <c r="K66" s="625" t="s">
        <v>103</v>
      </c>
      <c r="L66" s="625" t="s">
        <v>12</v>
      </c>
      <c r="M66" s="625" t="s">
        <v>103</v>
      </c>
      <c r="N66" s="660" t="s">
        <v>12</v>
      </c>
      <c r="O66" s="658" t="s">
        <v>103</v>
      </c>
      <c r="P66" s="658" t="s">
        <v>12</v>
      </c>
      <c r="Q66" s="658" t="s">
        <v>103</v>
      </c>
    </row>
    <row r="67" spans="1:17" s="57" customFormat="1" ht="14.25" customHeight="1" x14ac:dyDescent="0.2">
      <c r="A67" s="628" t="s">
        <v>1</v>
      </c>
      <c r="B67" s="452" t="str">
        <f>DADOS!B81</f>
        <v>INSS</v>
      </c>
      <c r="C67" s="452"/>
      <c r="D67" s="421"/>
      <c r="E67" s="421"/>
      <c r="F67" s="453">
        <f>DADOS!C81</f>
        <v>0.2</v>
      </c>
      <c r="G67" s="441">
        <f>F67*$G$40</f>
        <v>555.17999999999995</v>
      </c>
      <c r="H67" s="453">
        <f>DADOS!C81</f>
        <v>0.2</v>
      </c>
      <c r="I67" s="441">
        <f>F67*$I$40</f>
        <v>555.17999999999995</v>
      </c>
      <c r="J67" s="453">
        <f>DADOS!C81</f>
        <v>0.2</v>
      </c>
      <c r="K67" s="441">
        <f>J67*$K$40</f>
        <v>578.55999999999995</v>
      </c>
      <c r="L67" s="453">
        <f>H67</f>
        <v>0.2</v>
      </c>
      <c r="M67" s="441">
        <f>L67*$M$40</f>
        <v>578.55999999999995</v>
      </c>
      <c r="N67" s="453">
        <v>0.2</v>
      </c>
      <c r="O67" s="441">
        <f>N67*$O$40</f>
        <v>590.53</v>
      </c>
      <c r="P67" s="453">
        <v>0.2</v>
      </c>
      <c r="Q67" s="441">
        <f>P67*$Q$40</f>
        <v>590.53</v>
      </c>
    </row>
    <row r="68" spans="1:17" s="57" customFormat="1" ht="14.25" customHeight="1" x14ac:dyDescent="0.2">
      <c r="A68" s="628" t="s">
        <v>2</v>
      </c>
      <c r="B68" s="452" t="str">
        <f>DADOS!B82</f>
        <v>SESI ou SESC</v>
      </c>
      <c r="C68" s="452"/>
      <c r="D68" s="421"/>
      <c r="E68" s="421"/>
      <c r="F68" s="453">
        <f>DADOS!C82</f>
        <v>1.4999999999999999E-2</v>
      </c>
      <c r="G68" s="441">
        <f t="shared" ref="G68:G74" si="1">F68*$G$40</f>
        <v>41.64</v>
      </c>
      <c r="H68" s="453">
        <f>DADOS!C82</f>
        <v>1.4999999999999999E-2</v>
      </c>
      <c r="I68" s="441">
        <f t="shared" ref="I68:I74" si="2">F68*$I$40</f>
        <v>41.64</v>
      </c>
      <c r="J68" s="453">
        <f>DADOS!C82</f>
        <v>1.4999999999999999E-2</v>
      </c>
      <c r="K68" s="441">
        <f t="shared" ref="K68:K74" si="3">J68*$K$40</f>
        <v>43.39</v>
      </c>
      <c r="L68" s="453">
        <f t="shared" ref="L68:L74" si="4">H68</f>
        <v>1.4999999999999999E-2</v>
      </c>
      <c r="M68" s="441">
        <f t="shared" ref="M68:M74" si="5">L68*$M$40</f>
        <v>43.39</v>
      </c>
      <c r="N68" s="453">
        <v>1.4999999999999999E-2</v>
      </c>
      <c r="O68" s="441">
        <f t="shared" ref="O68:O74" si="6">N68*$O$40</f>
        <v>44.29</v>
      </c>
      <c r="P68" s="453">
        <v>1.4999999999999999E-2</v>
      </c>
      <c r="Q68" s="441">
        <f t="shared" ref="Q68:Q73" si="7">P68*$Q$40</f>
        <v>44.29</v>
      </c>
    </row>
    <row r="69" spans="1:17" s="57" customFormat="1" ht="14.25" customHeight="1" x14ac:dyDescent="0.2">
      <c r="A69" s="628" t="s">
        <v>4</v>
      </c>
      <c r="B69" s="452" t="str">
        <f>DADOS!B83</f>
        <v>SENAI ou SENAC</v>
      </c>
      <c r="C69" s="452"/>
      <c r="D69" s="421"/>
      <c r="E69" s="421"/>
      <c r="F69" s="453">
        <f>DADOS!C83</f>
        <v>0.01</v>
      </c>
      <c r="G69" s="441">
        <f t="shared" si="1"/>
        <v>27.76</v>
      </c>
      <c r="H69" s="453">
        <f>DADOS!C83</f>
        <v>0.01</v>
      </c>
      <c r="I69" s="441">
        <f t="shared" si="2"/>
        <v>27.76</v>
      </c>
      <c r="J69" s="453">
        <f>DADOS!C83</f>
        <v>0.01</v>
      </c>
      <c r="K69" s="441">
        <f t="shared" si="3"/>
        <v>28.93</v>
      </c>
      <c r="L69" s="453">
        <f t="shared" si="4"/>
        <v>0.01</v>
      </c>
      <c r="M69" s="441">
        <f t="shared" si="5"/>
        <v>28.93</v>
      </c>
      <c r="N69" s="453">
        <v>0.01</v>
      </c>
      <c r="O69" s="441">
        <f t="shared" si="6"/>
        <v>29.53</v>
      </c>
      <c r="P69" s="453">
        <v>0.01</v>
      </c>
      <c r="Q69" s="441">
        <f t="shared" si="7"/>
        <v>29.53</v>
      </c>
    </row>
    <row r="70" spans="1:17" s="57" customFormat="1" ht="14.25" customHeight="1" x14ac:dyDescent="0.2">
      <c r="A70" s="628" t="s">
        <v>5</v>
      </c>
      <c r="B70" s="452" t="str">
        <f>DADOS!B84</f>
        <v>INCRA</v>
      </c>
      <c r="C70" s="452"/>
      <c r="D70" s="421"/>
      <c r="E70" s="421"/>
      <c r="F70" s="453">
        <f>DADOS!C84</f>
        <v>2E-3</v>
      </c>
      <c r="G70" s="441">
        <f t="shared" si="1"/>
        <v>5.55</v>
      </c>
      <c r="H70" s="453">
        <f>DADOS!C84</f>
        <v>2E-3</v>
      </c>
      <c r="I70" s="441">
        <f t="shared" si="2"/>
        <v>5.55</v>
      </c>
      <c r="J70" s="453">
        <f>DADOS!C84</f>
        <v>2E-3</v>
      </c>
      <c r="K70" s="441">
        <f t="shared" si="3"/>
        <v>5.79</v>
      </c>
      <c r="L70" s="453">
        <f t="shared" si="4"/>
        <v>2E-3</v>
      </c>
      <c r="M70" s="441">
        <f t="shared" si="5"/>
        <v>5.79</v>
      </c>
      <c r="N70" s="453">
        <v>2E-3</v>
      </c>
      <c r="O70" s="441">
        <f t="shared" si="6"/>
        <v>5.91</v>
      </c>
      <c r="P70" s="453">
        <v>2E-3</v>
      </c>
      <c r="Q70" s="441">
        <f t="shared" si="7"/>
        <v>5.91</v>
      </c>
    </row>
    <row r="71" spans="1:17" s="57" customFormat="1" ht="14.25" customHeight="1" x14ac:dyDescent="0.2">
      <c r="A71" s="628" t="s">
        <v>6</v>
      </c>
      <c r="B71" s="452" t="str">
        <f>DADOS!B85</f>
        <v xml:space="preserve">Salário Educação </v>
      </c>
      <c r="C71" s="452"/>
      <c r="D71" s="421"/>
      <c r="E71" s="421"/>
      <c r="F71" s="453">
        <f>DADOS!C85</f>
        <v>2.5000000000000001E-2</v>
      </c>
      <c r="G71" s="441">
        <f t="shared" si="1"/>
        <v>69.400000000000006</v>
      </c>
      <c r="H71" s="453">
        <f>DADOS!C85</f>
        <v>2.5000000000000001E-2</v>
      </c>
      <c r="I71" s="441">
        <f t="shared" si="2"/>
        <v>69.400000000000006</v>
      </c>
      <c r="J71" s="453">
        <f>DADOS!C85</f>
        <v>2.5000000000000001E-2</v>
      </c>
      <c r="K71" s="441">
        <f t="shared" si="3"/>
        <v>72.319999999999993</v>
      </c>
      <c r="L71" s="453">
        <f t="shared" si="4"/>
        <v>2.5000000000000001E-2</v>
      </c>
      <c r="M71" s="441">
        <f t="shared" si="5"/>
        <v>72.319999999999993</v>
      </c>
      <c r="N71" s="453">
        <v>2.5000000000000001E-2</v>
      </c>
      <c r="O71" s="441">
        <f t="shared" si="6"/>
        <v>73.819999999999993</v>
      </c>
      <c r="P71" s="453">
        <v>2.5000000000000001E-2</v>
      </c>
      <c r="Q71" s="441">
        <f t="shared" si="7"/>
        <v>73.819999999999993</v>
      </c>
    </row>
    <row r="72" spans="1:17" s="57" customFormat="1" ht="14.25" customHeight="1" x14ac:dyDescent="0.2">
      <c r="A72" s="628" t="s">
        <v>7</v>
      </c>
      <c r="B72" s="452" t="str">
        <f>DADOS!B86</f>
        <v>FGTS</v>
      </c>
      <c r="C72" s="452"/>
      <c r="D72" s="421"/>
      <c r="E72" s="421"/>
      <c r="F72" s="453">
        <f>DADOS!C86</f>
        <v>0.08</v>
      </c>
      <c r="G72" s="441">
        <f t="shared" si="1"/>
        <v>222.07</v>
      </c>
      <c r="H72" s="453">
        <f>DADOS!C86</f>
        <v>0.08</v>
      </c>
      <c r="I72" s="441">
        <f t="shared" si="2"/>
        <v>222.07</v>
      </c>
      <c r="J72" s="453">
        <f>DADOS!C86</f>
        <v>0.08</v>
      </c>
      <c r="K72" s="441">
        <f t="shared" si="3"/>
        <v>231.42</v>
      </c>
      <c r="L72" s="453">
        <f t="shared" si="4"/>
        <v>0.08</v>
      </c>
      <c r="M72" s="441">
        <f t="shared" si="5"/>
        <v>231.42</v>
      </c>
      <c r="N72" s="453">
        <v>0.08</v>
      </c>
      <c r="O72" s="441">
        <f t="shared" si="6"/>
        <v>236.21</v>
      </c>
      <c r="P72" s="453">
        <v>0.08</v>
      </c>
      <c r="Q72" s="441">
        <f t="shared" si="7"/>
        <v>236.21</v>
      </c>
    </row>
    <row r="73" spans="1:17" s="57" customFormat="1" ht="14.25" customHeight="1" x14ac:dyDescent="0.2">
      <c r="A73" s="628" t="s">
        <v>8</v>
      </c>
      <c r="B73" s="452" t="str">
        <f>DADOS!B87</f>
        <v>Seguro Acidente do Trabalho - RAT x FAP</v>
      </c>
      <c r="C73" s="452"/>
      <c r="D73" s="421"/>
      <c r="E73" s="421"/>
      <c r="F73" s="453">
        <f>DADOS!C87</f>
        <v>2.1299999999999999E-2</v>
      </c>
      <c r="G73" s="441">
        <f t="shared" si="1"/>
        <v>59.13</v>
      </c>
      <c r="H73" s="453">
        <f>DADOS!C87</f>
        <v>2.1299999999999999E-2</v>
      </c>
      <c r="I73" s="441">
        <f t="shared" si="2"/>
        <v>59.13</v>
      </c>
      <c r="J73" s="453">
        <f>DADOS!C87</f>
        <v>2.1299999999999999E-2</v>
      </c>
      <c r="K73" s="441">
        <f t="shared" si="3"/>
        <v>61.62</v>
      </c>
      <c r="L73" s="453">
        <f t="shared" si="4"/>
        <v>2.1299999999999999E-2</v>
      </c>
      <c r="M73" s="441">
        <f t="shared" si="5"/>
        <v>61.62</v>
      </c>
      <c r="N73" s="671">
        <v>2.4299999999999999E-2</v>
      </c>
      <c r="O73" s="441">
        <f t="shared" si="6"/>
        <v>71.75</v>
      </c>
      <c r="P73" s="671">
        <v>2.4299999999999999E-2</v>
      </c>
      <c r="Q73" s="441">
        <f t="shared" si="7"/>
        <v>71.75</v>
      </c>
    </row>
    <row r="74" spans="1:17" s="57" customFormat="1" ht="14.25" customHeight="1" x14ac:dyDescent="0.2">
      <c r="A74" s="628" t="s">
        <v>9</v>
      </c>
      <c r="B74" s="452" t="str">
        <f>DADOS!B88</f>
        <v>SEBRAE</v>
      </c>
      <c r="C74" s="452"/>
      <c r="D74" s="421"/>
      <c r="E74" s="421"/>
      <c r="F74" s="453">
        <f>DADOS!C88</f>
        <v>6.0000000000000001E-3</v>
      </c>
      <c r="G74" s="441">
        <f t="shared" si="1"/>
        <v>16.66</v>
      </c>
      <c r="H74" s="453">
        <f>DADOS!C88</f>
        <v>6.0000000000000001E-3</v>
      </c>
      <c r="I74" s="441">
        <f t="shared" si="2"/>
        <v>16.66</v>
      </c>
      <c r="J74" s="453">
        <f>DADOS!C88</f>
        <v>6.0000000000000001E-3</v>
      </c>
      <c r="K74" s="441">
        <f t="shared" si="3"/>
        <v>17.36</v>
      </c>
      <c r="L74" s="453">
        <f t="shared" si="4"/>
        <v>6.0000000000000001E-3</v>
      </c>
      <c r="M74" s="441">
        <f t="shared" si="5"/>
        <v>17.36</v>
      </c>
      <c r="N74" s="453">
        <v>6.0000000000000001E-3</v>
      </c>
      <c r="O74" s="441">
        <f t="shared" si="6"/>
        <v>17.72</v>
      </c>
      <c r="P74" s="453">
        <v>6.0000000000000001E-3</v>
      </c>
      <c r="Q74" s="441">
        <f>P74*$Q$40</f>
        <v>17.72</v>
      </c>
    </row>
    <row r="75" spans="1:17" s="60" customFormat="1" ht="18" customHeight="1" x14ac:dyDescent="0.2">
      <c r="A75" s="892" t="s">
        <v>62</v>
      </c>
      <c r="B75" s="892"/>
      <c r="C75" s="892"/>
      <c r="D75" s="892"/>
      <c r="E75" s="892"/>
      <c r="F75" s="454">
        <f t="shared" ref="F75:K75" si="8">SUM(F67:F74)</f>
        <v>0.35930000000000001</v>
      </c>
      <c r="G75" s="450">
        <f t="shared" si="8"/>
        <v>997.39</v>
      </c>
      <c r="H75" s="454">
        <f t="shared" si="8"/>
        <v>0.35930000000000001</v>
      </c>
      <c r="I75" s="450">
        <f t="shared" si="8"/>
        <v>997.39</v>
      </c>
      <c r="J75" s="454">
        <f t="shared" si="8"/>
        <v>0.35930000000000001</v>
      </c>
      <c r="K75" s="450">
        <f t="shared" si="8"/>
        <v>1039.3900000000001</v>
      </c>
      <c r="L75" s="454">
        <f>SUM(L67:L74)</f>
        <v>0.35930000000000001</v>
      </c>
      <c r="M75" s="450">
        <f>SUM(M67:M74)</f>
        <v>1039.3900000000001</v>
      </c>
      <c r="N75" s="561">
        <f t="shared" ref="N75:O75" si="9">SUM(N67:N74)</f>
        <v>0.36230000000000001</v>
      </c>
      <c r="O75" s="450">
        <f t="shared" si="9"/>
        <v>1069.76</v>
      </c>
      <c r="P75" s="454">
        <f>SUM(P67:P74)</f>
        <v>0.36230000000000001</v>
      </c>
      <c r="Q75" s="450">
        <f t="shared" ref="Q75" si="10">SUM(Q67:Q74)</f>
        <v>1069.76</v>
      </c>
    </row>
    <row r="76" spans="1:17" s="26" customFormat="1" ht="18" customHeight="1" x14ac:dyDescent="0.2">
      <c r="A76" s="455"/>
      <c r="B76" s="455"/>
      <c r="C76" s="455"/>
      <c r="D76" s="455"/>
      <c r="E76" s="455"/>
      <c r="F76" s="440"/>
      <c r="G76" s="445"/>
      <c r="H76" s="440"/>
      <c r="I76" s="445"/>
      <c r="J76" s="440"/>
      <c r="K76" s="445"/>
      <c r="L76" s="440"/>
      <c r="M76" s="445"/>
      <c r="N76" s="554"/>
      <c r="O76" s="445"/>
      <c r="P76" s="440"/>
      <c r="Q76" s="445"/>
    </row>
    <row r="77" spans="1:17" s="57" customFormat="1" x14ac:dyDescent="0.2">
      <c r="A77" s="880" t="s">
        <v>119</v>
      </c>
      <c r="B77" s="880"/>
      <c r="C77" s="880"/>
      <c r="D77" s="880"/>
      <c r="E77" s="880"/>
      <c r="F77" s="880"/>
      <c r="G77" s="880"/>
      <c r="H77" s="630"/>
      <c r="I77" s="630"/>
      <c r="J77" s="630"/>
      <c r="K77" s="630"/>
      <c r="L77" s="630"/>
      <c r="M77" s="630"/>
      <c r="N77" s="559"/>
      <c r="O77" s="661"/>
      <c r="P77" s="661"/>
      <c r="Q77" s="661"/>
    </row>
    <row r="78" spans="1:17" s="61" customFormat="1" ht="18" customHeight="1" x14ac:dyDescent="0.2">
      <c r="A78" s="625" t="s">
        <v>70</v>
      </c>
      <c r="B78" s="884" t="s">
        <v>121</v>
      </c>
      <c r="C78" s="884"/>
      <c r="D78" s="884"/>
      <c r="E78" s="884"/>
      <c r="F78" s="625" t="s">
        <v>12</v>
      </c>
      <c r="G78" s="625" t="s">
        <v>103</v>
      </c>
      <c r="H78" s="625" t="s">
        <v>12</v>
      </c>
      <c r="I78" s="625" t="s">
        <v>103</v>
      </c>
      <c r="J78" s="625" t="s">
        <v>12</v>
      </c>
      <c r="K78" s="625" t="s">
        <v>103</v>
      </c>
      <c r="L78" s="625" t="s">
        <v>12</v>
      </c>
      <c r="M78" s="625" t="s">
        <v>103</v>
      </c>
      <c r="N78" s="660" t="s">
        <v>12</v>
      </c>
      <c r="O78" s="658" t="s">
        <v>103</v>
      </c>
      <c r="P78" s="658" t="s">
        <v>12</v>
      </c>
      <c r="Q78" s="658" t="s">
        <v>103</v>
      </c>
    </row>
    <row r="79" spans="1:17" s="57" customFormat="1" ht="14.25" customHeight="1" x14ac:dyDescent="0.2">
      <c r="A79" s="628" t="s">
        <v>1</v>
      </c>
      <c r="B79" s="452" t="str">
        <f>DADOS!B91</f>
        <v xml:space="preserve">13º (décimo terceiro) Salário </v>
      </c>
      <c r="C79" s="452"/>
      <c r="D79" s="421"/>
      <c r="E79" s="421"/>
      <c r="F79" s="453">
        <f>DADOS!C91</f>
        <v>8.3299999999999999E-2</v>
      </c>
      <c r="G79" s="441">
        <f>F79*$G$40</f>
        <v>231.23</v>
      </c>
      <c r="H79" s="453">
        <f>DADOS!C91</f>
        <v>8.3299999999999999E-2</v>
      </c>
      <c r="I79" s="441">
        <f>H79*$I$40</f>
        <v>231.23</v>
      </c>
      <c r="J79" s="453">
        <f>DADOS!C91</f>
        <v>8.3299999999999999E-2</v>
      </c>
      <c r="K79" s="441">
        <f>J79*$K$40</f>
        <v>240.97</v>
      </c>
      <c r="L79" s="453">
        <f>H79</f>
        <v>8.3299999999999999E-2</v>
      </c>
      <c r="M79" s="441">
        <f>L79*$M$40</f>
        <v>240.97</v>
      </c>
      <c r="N79" s="560">
        <v>8.3299999999999999E-2</v>
      </c>
      <c r="O79" s="441">
        <f>N79*$O$40</f>
        <v>245.96</v>
      </c>
      <c r="P79" s="453">
        <v>8.3299999999999999E-2</v>
      </c>
      <c r="Q79" s="441">
        <f>P79*$Q$40</f>
        <v>245.96</v>
      </c>
    </row>
    <row r="80" spans="1:17" s="57" customFormat="1" ht="14.25" customHeight="1" x14ac:dyDescent="0.2">
      <c r="A80" s="628" t="s">
        <v>2</v>
      </c>
      <c r="B80" s="452" t="str">
        <f>DADOS!B92</f>
        <v>Adicional de férias</v>
      </c>
      <c r="C80" s="452"/>
      <c r="D80" s="421"/>
      <c r="E80" s="421"/>
      <c r="F80" s="453">
        <f>DADOS!C92</f>
        <v>2.7799999999999998E-2</v>
      </c>
      <c r="G80" s="441">
        <f>F80*$G$40</f>
        <v>77.17</v>
      </c>
      <c r="H80" s="453">
        <f>DADOS!C92</f>
        <v>2.7799999999999998E-2</v>
      </c>
      <c r="I80" s="441">
        <f>H80*$I$40</f>
        <v>77.17</v>
      </c>
      <c r="J80" s="453">
        <f>DADOS!C92</f>
        <v>2.7799999999999998E-2</v>
      </c>
      <c r="K80" s="441">
        <f>J80*$K$40</f>
        <v>80.42</v>
      </c>
      <c r="L80" s="453">
        <f>H80</f>
        <v>2.7799999999999998E-2</v>
      </c>
      <c r="M80" s="441">
        <f>L80*$M$40</f>
        <v>80.42</v>
      </c>
      <c r="N80" s="560">
        <v>2.7799999999999998E-2</v>
      </c>
      <c r="O80" s="441">
        <f>N80*$O$40</f>
        <v>82.08</v>
      </c>
      <c r="P80" s="453">
        <v>2.7799999999999998E-2</v>
      </c>
      <c r="Q80" s="441">
        <f>P80*$Q$40</f>
        <v>82.08</v>
      </c>
    </row>
    <row r="81" spans="1:17" s="57" customFormat="1" ht="14.25" customHeight="1" x14ac:dyDescent="0.2">
      <c r="A81" s="892" t="s">
        <v>108</v>
      </c>
      <c r="B81" s="892"/>
      <c r="C81" s="892"/>
      <c r="D81" s="892"/>
      <c r="E81" s="892"/>
      <c r="F81" s="454">
        <f t="shared" ref="F81:K81" si="11">SUM(F79:F80)</f>
        <v>0.1111</v>
      </c>
      <c r="G81" s="448">
        <f t="shared" si="11"/>
        <v>308.39999999999998</v>
      </c>
      <c r="H81" s="454">
        <f t="shared" si="11"/>
        <v>0.1111</v>
      </c>
      <c r="I81" s="448">
        <f>SUM(I79:I80)</f>
        <v>308.39999999999998</v>
      </c>
      <c r="J81" s="454">
        <f t="shared" si="11"/>
        <v>0.1111</v>
      </c>
      <c r="K81" s="448">
        <f t="shared" si="11"/>
        <v>321.39</v>
      </c>
      <c r="L81" s="643">
        <f>H81</f>
        <v>0.1111</v>
      </c>
      <c r="M81" s="448">
        <f>L81*$M$40</f>
        <v>321.39</v>
      </c>
      <c r="N81" s="561">
        <f t="shared" ref="N81:P81" si="12">SUM(N79:N80)</f>
        <v>0.1111</v>
      </c>
      <c r="O81" s="448">
        <f t="shared" si="12"/>
        <v>328.04</v>
      </c>
      <c r="P81" s="454">
        <f t="shared" si="12"/>
        <v>0.1111</v>
      </c>
      <c r="Q81" s="448">
        <f>SUM(Q79:Q80)</f>
        <v>328.04</v>
      </c>
    </row>
    <row r="82" spans="1:17" s="57" customFormat="1" ht="28.5" customHeight="1" x14ac:dyDescent="0.2">
      <c r="A82" s="628" t="s">
        <v>2</v>
      </c>
      <c r="B82" s="869" t="str">
        <f>DADOS!B94</f>
        <v xml:space="preserve">Incidência dos encargos previstos no Submódulo 4.1 sobre 13° (décimo terceiro) salário </v>
      </c>
      <c r="C82" s="869"/>
      <c r="D82" s="869"/>
      <c r="E82" s="869"/>
      <c r="F82" s="453">
        <f>F75*F81</f>
        <v>3.9899999999999998E-2</v>
      </c>
      <c r="G82" s="441">
        <f>F82*$G$40</f>
        <v>110.76</v>
      </c>
      <c r="H82" s="453">
        <f>H75*H81</f>
        <v>3.9899999999999998E-2</v>
      </c>
      <c r="I82" s="441">
        <f>H82*$I$40</f>
        <v>110.76</v>
      </c>
      <c r="J82" s="453">
        <f>J75*J81</f>
        <v>3.9899999999999998E-2</v>
      </c>
      <c r="K82" s="441">
        <f>J82*$K$40</f>
        <v>115.42</v>
      </c>
      <c r="L82" s="453">
        <f>H82</f>
        <v>3.9899999999999998E-2</v>
      </c>
      <c r="M82" s="441">
        <f>L82*$M$40</f>
        <v>115.42</v>
      </c>
      <c r="N82" s="560">
        <f>N75*N81</f>
        <v>4.0300000000000002E-2</v>
      </c>
      <c r="O82" s="441">
        <f>N82*$O$40</f>
        <v>118.99</v>
      </c>
      <c r="P82" s="453">
        <f>P75*P81</f>
        <v>4.0300000000000002E-2</v>
      </c>
      <c r="Q82" s="441">
        <f>P82*$Q$40</f>
        <v>118.99</v>
      </c>
    </row>
    <row r="83" spans="1:17" s="60" customFormat="1" ht="18" customHeight="1" x14ac:dyDescent="0.2">
      <c r="A83" s="892" t="s">
        <v>62</v>
      </c>
      <c r="B83" s="892"/>
      <c r="C83" s="892"/>
      <c r="D83" s="892"/>
      <c r="E83" s="892"/>
      <c r="F83" s="454">
        <f t="shared" ref="F83:K83" si="13">SUM(F81:F82)</f>
        <v>0.151</v>
      </c>
      <c r="G83" s="450">
        <f t="shared" si="13"/>
        <v>419.16</v>
      </c>
      <c r="H83" s="454">
        <f t="shared" si="13"/>
        <v>0.151</v>
      </c>
      <c r="I83" s="450">
        <f t="shared" si="13"/>
        <v>419.16</v>
      </c>
      <c r="J83" s="454">
        <f t="shared" si="13"/>
        <v>0.151</v>
      </c>
      <c r="K83" s="450">
        <f t="shared" si="13"/>
        <v>436.81</v>
      </c>
      <c r="L83" s="454">
        <f>SUM(L81:L82)</f>
        <v>0.151</v>
      </c>
      <c r="M83" s="450">
        <f>SUM(M81:M82)</f>
        <v>436.81</v>
      </c>
      <c r="N83" s="561">
        <f t="shared" ref="N83:P83" si="14">SUM(N81:N82)</f>
        <v>0.15140000000000001</v>
      </c>
      <c r="O83" s="450">
        <f t="shared" si="14"/>
        <v>447.03</v>
      </c>
      <c r="P83" s="454">
        <f t="shared" si="14"/>
        <v>0.15140000000000001</v>
      </c>
      <c r="Q83" s="450">
        <f>SUM(Q81:Q82)</f>
        <v>447.03</v>
      </c>
    </row>
    <row r="84" spans="1:17" s="60" customFormat="1" x14ac:dyDescent="0.2">
      <c r="A84" s="627"/>
      <c r="B84" s="627"/>
      <c r="C84" s="627"/>
      <c r="D84" s="627"/>
      <c r="E84" s="627"/>
      <c r="F84" s="440"/>
      <c r="G84" s="445"/>
      <c r="H84" s="440"/>
      <c r="I84" s="445"/>
      <c r="J84" s="440"/>
      <c r="K84" s="445"/>
      <c r="L84" s="440"/>
      <c r="M84" s="445"/>
      <c r="N84" s="554"/>
      <c r="O84" s="445"/>
      <c r="P84" s="440"/>
      <c r="Q84" s="445"/>
    </row>
    <row r="85" spans="1:17" s="57" customFormat="1" x14ac:dyDescent="0.2">
      <c r="A85" s="880" t="s">
        <v>109</v>
      </c>
      <c r="B85" s="880"/>
      <c r="C85" s="880"/>
      <c r="D85" s="880"/>
      <c r="E85" s="880"/>
      <c r="F85" s="880"/>
      <c r="G85" s="880"/>
      <c r="H85" s="630"/>
      <c r="I85" s="630"/>
      <c r="J85" s="630"/>
      <c r="K85" s="630"/>
      <c r="L85" s="630"/>
      <c r="M85" s="630"/>
      <c r="N85" s="559"/>
      <c r="O85" s="661"/>
      <c r="P85" s="661"/>
      <c r="Q85" s="661"/>
    </row>
    <row r="86" spans="1:17" s="57" customFormat="1" ht="18" customHeight="1" x14ac:dyDescent="0.2">
      <c r="A86" s="625" t="s">
        <v>63</v>
      </c>
      <c r="B86" s="884" t="s">
        <v>26</v>
      </c>
      <c r="C86" s="884"/>
      <c r="D86" s="884"/>
      <c r="E86" s="884"/>
      <c r="F86" s="625" t="s">
        <v>12</v>
      </c>
      <c r="G86" s="625" t="s">
        <v>103</v>
      </c>
      <c r="H86" s="625" t="s">
        <v>12</v>
      </c>
      <c r="I86" s="625" t="s">
        <v>103</v>
      </c>
      <c r="J86" s="625" t="s">
        <v>12</v>
      </c>
      <c r="K86" s="625" t="s">
        <v>103</v>
      </c>
      <c r="L86" s="625" t="s">
        <v>12</v>
      </c>
      <c r="M86" s="625" t="s">
        <v>103</v>
      </c>
      <c r="N86" s="660" t="s">
        <v>12</v>
      </c>
      <c r="O86" s="658" t="s">
        <v>103</v>
      </c>
      <c r="P86" s="658" t="s">
        <v>12</v>
      </c>
      <c r="Q86" s="658" t="s">
        <v>103</v>
      </c>
    </row>
    <row r="87" spans="1:17" s="57" customFormat="1" ht="14.25" customHeight="1" x14ac:dyDescent="0.2">
      <c r="A87" s="628" t="s">
        <v>1</v>
      </c>
      <c r="B87" s="452" t="str">
        <f>DADOS!B97</f>
        <v>Afastamento Maternidade</v>
      </c>
      <c r="C87" s="452"/>
      <c r="D87" s="421"/>
      <c r="E87" s="421"/>
      <c r="F87" s="453">
        <f>DADOS!C97</f>
        <v>0</v>
      </c>
      <c r="G87" s="441">
        <f>F87*$G$40</f>
        <v>0</v>
      </c>
      <c r="H87" s="453">
        <f>DADOS!E97</f>
        <v>0</v>
      </c>
      <c r="I87" s="441">
        <f>H87*$I$40</f>
        <v>0</v>
      </c>
      <c r="J87" s="453">
        <f>DADOS!G97</f>
        <v>0</v>
      </c>
      <c r="K87" s="441">
        <f>J87*$I$40</f>
        <v>0</v>
      </c>
      <c r="L87" s="453">
        <f>DADOS!I97</f>
        <v>0</v>
      </c>
      <c r="M87" s="441">
        <f>L87*$M$40</f>
        <v>0</v>
      </c>
      <c r="N87" s="560">
        <f>DADOS!I97</f>
        <v>0</v>
      </c>
      <c r="O87" s="441">
        <f>N87*$O$40</f>
        <v>0</v>
      </c>
      <c r="P87" s="453">
        <f>DADOS!K97</f>
        <v>0</v>
      </c>
      <c r="Q87" s="441">
        <f>P87*$K$40</f>
        <v>0</v>
      </c>
    </row>
    <row r="88" spans="1:17" s="57" customFormat="1" ht="14.25" customHeight="1" x14ac:dyDescent="0.2">
      <c r="A88" s="628" t="s">
        <v>2</v>
      </c>
      <c r="B88" s="452" t="str">
        <f>DADOS!B98</f>
        <v>Incidência dos encargos do Submódulo 4.1 sobre o afastamento maternidade</v>
      </c>
      <c r="C88" s="452"/>
      <c r="D88" s="421"/>
      <c r="E88" s="421"/>
      <c r="F88" s="453">
        <f>DADOS!C98</f>
        <v>0</v>
      </c>
      <c r="G88" s="441">
        <f>F88*$G$40</f>
        <v>0</v>
      </c>
      <c r="H88" s="453">
        <f>DADOS!E98</f>
        <v>0</v>
      </c>
      <c r="I88" s="441">
        <f>H88*$I$40</f>
        <v>0</v>
      </c>
      <c r="J88" s="453">
        <f>DADOS!G98</f>
        <v>0</v>
      </c>
      <c r="K88" s="441">
        <f>J88*$K$40</f>
        <v>0</v>
      </c>
      <c r="L88" s="453">
        <f>DADOS!I98</f>
        <v>0</v>
      </c>
      <c r="M88" s="441">
        <f>L88*$M$40</f>
        <v>0</v>
      </c>
      <c r="N88" s="560">
        <f>DADOS!I98</f>
        <v>0</v>
      </c>
      <c r="O88" s="441">
        <f>N88*$O$40</f>
        <v>0</v>
      </c>
      <c r="P88" s="453">
        <f>DADOS!K98</f>
        <v>0</v>
      </c>
      <c r="Q88" s="441">
        <f>P88*$K$40</f>
        <v>0</v>
      </c>
    </row>
    <row r="89" spans="1:17" s="60" customFormat="1" ht="18" customHeight="1" x14ac:dyDescent="0.2">
      <c r="A89" s="892" t="s">
        <v>62</v>
      </c>
      <c r="B89" s="892"/>
      <c r="C89" s="892"/>
      <c r="D89" s="892"/>
      <c r="E89" s="892"/>
      <c r="F89" s="454">
        <f t="shared" ref="F89:K89" si="15">SUM(F87:F88)</f>
        <v>0</v>
      </c>
      <c r="G89" s="450">
        <f t="shared" si="15"/>
        <v>0</v>
      </c>
      <c r="H89" s="454">
        <f t="shared" si="15"/>
        <v>0</v>
      </c>
      <c r="I89" s="450">
        <f t="shared" si="15"/>
        <v>0</v>
      </c>
      <c r="J89" s="454">
        <f t="shared" si="15"/>
        <v>0</v>
      </c>
      <c r="K89" s="450">
        <f t="shared" si="15"/>
        <v>0</v>
      </c>
      <c r="L89" s="454">
        <f>SUM(L87:L88)</f>
        <v>0</v>
      </c>
      <c r="M89" s="450">
        <f>SUM(M87:M88)</f>
        <v>0</v>
      </c>
      <c r="N89" s="561">
        <f t="shared" ref="N89:Q89" si="16">SUM(N87:N88)</f>
        <v>0</v>
      </c>
      <c r="O89" s="450">
        <f t="shared" si="16"/>
        <v>0</v>
      </c>
      <c r="P89" s="454">
        <f t="shared" si="16"/>
        <v>0</v>
      </c>
      <c r="Q89" s="450">
        <f t="shared" si="16"/>
        <v>0</v>
      </c>
    </row>
    <row r="90" spans="1:17" s="60" customFormat="1" ht="18" customHeight="1" x14ac:dyDescent="0.2">
      <c r="A90" s="627"/>
      <c r="B90" s="627"/>
      <c r="C90" s="627"/>
      <c r="D90" s="627"/>
      <c r="E90" s="627"/>
      <c r="F90" s="440"/>
      <c r="G90" s="445"/>
      <c r="H90" s="440"/>
      <c r="I90" s="445"/>
      <c r="J90" s="440"/>
      <c r="K90" s="445"/>
      <c r="L90" s="440"/>
      <c r="M90" s="445"/>
      <c r="N90" s="554"/>
      <c r="O90" s="445"/>
      <c r="P90" s="440"/>
      <c r="Q90" s="445"/>
    </row>
    <row r="91" spans="1:17" s="57" customFormat="1" x14ac:dyDescent="0.2">
      <c r="A91" s="880" t="s">
        <v>110</v>
      </c>
      <c r="B91" s="880"/>
      <c r="C91" s="880"/>
      <c r="D91" s="880"/>
      <c r="E91" s="880"/>
      <c r="F91" s="880"/>
      <c r="G91" s="880"/>
      <c r="H91" s="630"/>
      <c r="I91" s="630"/>
      <c r="J91" s="630"/>
      <c r="K91" s="630"/>
      <c r="L91" s="630"/>
      <c r="M91" s="630"/>
      <c r="N91" s="559"/>
      <c r="O91" s="661"/>
      <c r="P91" s="661"/>
      <c r="Q91" s="661"/>
    </row>
    <row r="92" spans="1:17" s="57" customFormat="1" ht="18" customHeight="1" x14ac:dyDescent="0.2">
      <c r="A92" s="625" t="s">
        <v>74</v>
      </c>
      <c r="B92" s="884" t="s">
        <v>111</v>
      </c>
      <c r="C92" s="884"/>
      <c r="D92" s="884"/>
      <c r="E92" s="884"/>
      <c r="F92" s="625" t="s">
        <v>12</v>
      </c>
      <c r="G92" s="625" t="s">
        <v>103</v>
      </c>
      <c r="H92" s="625" t="s">
        <v>12</v>
      </c>
      <c r="I92" s="625" t="s">
        <v>103</v>
      </c>
      <c r="J92" s="625" t="s">
        <v>12</v>
      </c>
      <c r="K92" s="625" t="s">
        <v>103</v>
      </c>
      <c r="L92" s="625" t="s">
        <v>12</v>
      </c>
      <c r="M92" s="625" t="s">
        <v>103</v>
      </c>
      <c r="N92" s="660" t="s">
        <v>12</v>
      </c>
      <c r="O92" s="658" t="s">
        <v>103</v>
      </c>
      <c r="P92" s="658" t="s">
        <v>12</v>
      </c>
      <c r="Q92" s="658" t="s">
        <v>103</v>
      </c>
    </row>
    <row r="93" spans="1:17" s="57" customFormat="1" ht="14.25" customHeight="1" x14ac:dyDescent="0.2">
      <c r="A93" s="628" t="s">
        <v>1</v>
      </c>
      <c r="B93" s="452" t="str">
        <f>DADOS!B101</f>
        <v>Aviso Prévio Indenizado </v>
      </c>
      <c r="C93" s="452"/>
      <c r="D93" s="421"/>
      <c r="E93" s="421"/>
      <c r="F93" s="453">
        <f>DADOS!C101</f>
        <v>4.1999999999999997E-3</v>
      </c>
      <c r="G93" s="441">
        <f t="shared" ref="G93:G98" si="17">F93*$G$40</f>
        <v>11.66</v>
      </c>
      <c r="H93" s="457">
        <v>4.0000000000000002E-4</v>
      </c>
      <c r="I93" s="441">
        <f>ROUND(H93*$I$40,2)</f>
        <v>1.1100000000000001</v>
      </c>
      <c r="J93" s="453">
        <v>4.1999999999999997E-3</v>
      </c>
      <c r="K93" s="441">
        <f t="shared" ref="K93:K98" si="18">J93*$K$40</f>
        <v>12.15</v>
      </c>
      <c r="L93" s="457">
        <f t="shared" ref="L93:L98" si="19">H93</f>
        <v>4.0000000000000002E-4</v>
      </c>
      <c r="M93" s="441">
        <f t="shared" ref="M93:M98" si="20">ROUND(L93*$M$40,2)</f>
        <v>1.1599999999999999</v>
      </c>
      <c r="N93" s="560">
        <v>4.1999999999999997E-3</v>
      </c>
      <c r="O93" s="441">
        <f>N93*$O$40</f>
        <v>12.4</v>
      </c>
      <c r="P93" s="613">
        <v>4.0000000000000002E-4</v>
      </c>
      <c r="Q93" s="441">
        <f>P93*$Q$40</f>
        <v>1.18</v>
      </c>
    </row>
    <row r="94" spans="1:17" s="57" customFormat="1" ht="14.25" customHeight="1" x14ac:dyDescent="0.2">
      <c r="A94" s="628" t="s">
        <v>2</v>
      </c>
      <c r="B94" s="452" t="str">
        <f>DADOS!B102</f>
        <v>Incidência dos encargos do submódulo 4.1 sobre aviso prévio indenizado</v>
      </c>
      <c r="C94" s="452"/>
      <c r="D94" s="421"/>
      <c r="E94" s="421"/>
      <c r="F94" s="453">
        <f>DADOS!C102</f>
        <v>1.5E-3</v>
      </c>
      <c r="G94" s="441">
        <f t="shared" si="17"/>
        <v>4.16</v>
      </c>
      <c r="H94" s="457">
        <v>1E-4</v>
      </c>
      <c r="I94" s="441">
        <f>H94*$I$40</f>
        <v>0.28000000000000003</v>
      </c>
      <c r="J94" s="453">
        <v>1.5E-3</v>
      </c>
      <c r="K94" s="441">
        <f t="shared" si="18"/>
        <v>4.34</v>
      </c>
      <c r="L94" s="457">
        <f t="shared" si="19"/>
        <v>1E-4</v>
      </c>
      <c r="M94" s="441">
        <f t="shared" si="20"/>
        <v>0.28999999999999998</v>
      </c>
      <c r="N94" s="560">
        <v>1.5E-3</v>
      </c>
      <c r="O94" s="441">
        <f t="shared" ref="O94:O98" si="21">N94*$O$40</f>
        <v>4.43</v>
      </c>
      <c r="P94" s="613">
        <v>1E-4</v>
      </c>
      <c r="Q94" s="441">
        <f t="shared" ref="Q94:Q98" si="22">P94*$Q$40</f>
        <v>0.3</v>
      </c>
    </row>
    <row r="95" spans="1:17" s="57" customFormat="1" ht="14.25" customHeight="1" x14ac:dyDescent="0.2">
      <c r="A95" s="628" t="s">
        <v>4</v>
      </c>
      <c r="B95" s="452" t="str">
        <f>DADOS!B103</f>
        <v xml:space="preserve">Multa do FGTS e contribuições sociais sobre o aviso prévio indenizado </v>
      </c>
      <c r="C95" s="452"/>
      <c r="D95" s="421"/>
      <c r="E95" s="421"/>
      <c r="F95" s="453">
        <f>DADOS!C103</f>
        <v>4.3499999999999997E-2</v>
      </c>
      <c r="G95" s="441">
        <f t="shared" si="17"/>
        <v>120.75</v>
      </c>
      <c r="H95" s="453">
        <f>DADOS!C103</f>
        <v>4.3499999999999997E-2</v>
      </c>
      <c r="I95" s="441">
        <f>H95*$I$40</f>
        <v>120.75</v>
      </c>
      <c r="J95" s="453">
        <v>4.3499999999999997E-2</v>
      </c>
      <c r="K95" s="441">
        <f t="shared" si="18"/>
        <v>125.84</v>
      </c>
      <c r="L95" s="453">
        <f t="shared" si="19"/>
        <v>4.3499999999999997E-2</v>
      </c>
      <c r="M95" s="441">
        <f t="shared" si="20"/>
        <v>125.84</v>
      </c>
      <c r="N95" s="560">
        <v>4.3499999999999997E-2</v>
      </c>
      <c r="O95" s="441">
        <f t="shared" si="21"/>
        <v>128.44</v>
      </c>
      <c r="P95" s="453">
        <v>4.3499999999999997E-2</v>
      </c>
      <c r="Q95" s="441">
        <f t="shared" si="22"/>
        <v>128.44</v>
      </c>
    </row>
    <row r="96" spans="1:17" s="57" customFormat="1" ht="14.25" customHeight="1" x14ac:dyDescent="0.2">
      <c r="A96" s="628" t="s">
        <v>5</v>
      </c>
      <c r="B96" s="452" t="str">
        <f>DADOS!B104</f>
        <v>Aviso Prévio trabalhado</v>
      </c>
      <c r="C96" s="452"/>
      <c r="D96" s="421"/>
      <c r="E96" s="421"/>
      <c r="F96" s="453">
        <f>DADOS!C104</f>
        <v>1.9400000000000001E-2</v>
      </c>
      <c r="G96" s="441">
        <f t="shared" si="17"/>
        <v>53.85</v>
      </c>
      <c r="H96" s="457">
        <v>0</v>
      </c>
      <c r="I96" s="441">
        <f>H96*$I$40</f>
        <v>0</v>
      </c>
      <c r="J96" s="453">
        <v>1.9400000000000001E-2</v>
      </c>
      <c r="K96" s="441">
        <f t="shared" si="18"/>
        <v>56.12</v>
      </c>
      <c r="L96" s="457">
        <f t="shared" si="19"/>
        <v>0</v>
      </c>
      <c r="M96" s="441">
        <f t="shared" si="20"/>
        <v>0</v>
      </c>
      <c r="N96" s="560">
        <v>1.9400000000000001E-2</v>
      </c>
      <c r="O96" s="441">
        <f t="shared" si="21"/>
        <v>57.28</v>
      </c>
      <c r="P96" s="613">
        <v>0</v>
      </c>
      <c r="Q96" s="441">
        <f t="shared" si="22"/>
        <v>0</v>
      </c>
    </row>
    <row r="97" spans="1:17" s="57" customFormat="1" ht="14.25" customHeight="1" x14ac:dyDescent="0.2">
      <c r="A97" s="628" t="s">
        <v>6</v>
      </c>
      <c r="B97" s="452" t="str">
        <f>DADOS!B105</f>
        <v>Incidência dos encargos do submódulo 4.1 sobre aviso prévio trabalhado</v>
      </c>
      <c r="C97" s="452"/>
      <c r="D97" s="421"/>
      <c r="E97" s="421"/>
      <c r="F97" s="453">
        <f>DADOS!C105</f>
        <v>7.0000000000000001E-3</v>
      </c>
      <c r="G97" s="441">
        <f t="shared" si="17"/>
        <v>19.43</v>
      </c>
      <c r="H97" s="457">
        <v>0</v>
      </c>
      <c r="I97" s="441">
        <f>H97*$I$40</f>
        <v>0</v>
      </c>
      <c r="J97" s="453">
        <v>7.0000000000000001E-3</v>
      </c>
      <c r="K97" s="441">
        <f t="shared" si="18"/>
        <v>20.25</v>
      </c>
      <c r="L97" s="457">
        <f t="shared" si="19"/>
        <v>0</v>
      </c>
      <c r="M97" s="441">
        <f t="shared" si="20"/>
        <v>0</v>
      </c>
      <c r="N97" s="560">
        <v>7.0000000000000001E-3</v>
      </c>
      <c r="O97" s="441">
        <f t="shared" si="21"/>
        <v>20.67</v>
      </c>
      <c r="P97" s="613">
        <v>0</v>
      </c>
      <c r="Q97" s="441">
        <f t="shared" si="22"/>
        <v>0</v>
      </c>
    </row>
    <row r="98" spans="1:17" s="57" customFormat="1" ht="14.25" customHeight="1" x14ac:dyDescent="0.2">
      <c r="A98" s="628" t="s">
        <v>7</v>
      </c>
      <c r="B98" s="452" t="str">
        <f>DADOS!B106</f>
        <v>Multa do FGTS e contribuições sociais sobre o aviso prévio trabalhado</v>
      </c>
      <c r="C98" s="452"/>
      <c r="D98" s="421"/>
      <c r="E98" s="421"/>
      <c r="F98" s="453">
        <f>DADOS!C106</f>
        <v>6.4999999999999997E-3</v>
      </c>
      <c r="G98" s="441">
        <f t="shared" si="17"/>
        <v>18.04</v>
      </c>
      <c r="H98" s="453">
        <f>DADOS!C106</f>
        <v>6.4999999999999997E-3</v>
      </c>
      <c r="I98" s="441">
        <f>H98*$I$40</f>
        <v>18.04</v>
      </c>
      <c r="J98" s="453">
        <v>6.4999999999999997E-3</v>
      </c>
      <c r="K98" s="441">
        <f t="shared" si="18"/>
        <v>18.8</v>
      </c>
      <c r="L98" s="453">
        <f t="shared" si="19"/>
        <v>6.4999999999999997E-3</v>
      </c>
      <c r="M98" s="441">
        <f t="shared" si="20"/>
        <v>18.8</v>
      </c>
      <c r="N98" s="560">
        <v>6.4999999999999997E-3</v>
      </c>
      <c r="O98" s="441">
        <f t="shared" si="21"/>
        <v>19.190000000000001</v>
      </c>
      <c r="P98" s="453">
        <v>6.4999999999999997E-3</v>
      </c>
      <c r="Q98" s="441">
        <f t="shared" si="22"/>
        <v>19.190000000000001</v>
      </c>
    </row>
    <row r="99" spans="1:17" s="60" customFormat="1" ht="18" customHeight="1" x14ac:dyDescent="0.2">
      <c r="A99" s="892" t="s">
        <v>62</v>
      </c>
      <c r="B99" s="892"/>
      <c r="C99" s="892"/>
      <c r="D99" s="892"/>
      <c r="E99" s="892"/>
      <c r="F99" s="454">
        <f t="shared" ref="F99:K99" si="23">SUM(F93:F98)</f>
        <v>8.2100000000000006E-2</v>
      </c>
      <c r="G99" s="450">
        <f t="shared" si="23"/>
        <v>227.89</v>
      </c>
      <c r="H99" s="454">
        <f t="shared" si="23"/>
        <v>5.0500000000000003E-2</v>
      </c>
      <c r="I99" s="450">
        <f t="shared" si="23"/>
        <v>140.18</v>
      </c>
      <c r="J99" s="454">
        <f t="shared" si="23"/>
        <v>8.2100000000000006E-2</v>
      </c>
      <c r="K99" s="450">
        <f t="shared" si="23"/>
        <v>237.5</v>
      </c>
      <c r="L99" s="454">
        <f>SUM(L93:L98)</f>
        <v>5.0500000000000003E-2</v>
      </c>
      <c r="M99" s="450">
        <f>SUM(M93:M98)</f>
        <v>146.09</v>
      </c>
      <c r="N99" s="561">
        <f t="shared" ref="N99:Q99" si="24">SUM(N93:N98)</f>
        <v>8.2100000000000006E-2</v>
      </c>
      <c r="O99" s="450">
        <f t="shared" si="24"/>
        <v>242.41</v>
      </c>
      <c r="P99" s="454">
        <f t="shared" si="24"/>
        <v>5.0500000000000003E-2</v>
      </c>
      <c r="Q99" s="450">
        <f t="shared" si="24"/>
        <v>149.11000000000001</v>
      </c>
    </row>
    <row r="100" spans="1:17" s="60" customFormat="1" ht="18" customHeight="1" x14ac:dyDescent="0.2">
      <c r="A100" s="627"/>
      <c r="B100" s="627"/>
      <c r="C100" s="627"/>
      <c r="D100" s="627"/>
      <c r="E100" s="627"/>
      <c r="F100" s="440"/>
      <c r="G100" s="445"/>
      <c r="H100" s="440"/>
      <c r="I100" s="445"/>
      <c r="J100" s="440"/>
      <c r="K100" s="445"/>
      <c r="L100" s="440"/>
      <c r="M100" s="445"/>
      <c r="N100" s="554"/>
      <c r="O100" s="445"/>
      <c r="P100" s="440"/>
      <c r="Q100" s="445"/>
    </row>
    <row r="101" spans="1:17" s="57" customFormat="1" x14ac:dyDescent="0.2">
      <c r="A101" s="880" t="s">
        <v>112</v>
      </c>
      <c r="B101" s="880"/>
      <c r="C101" s="880"/>
      <c r="D101" s="880"/>
      <c r="E101" s="880"/>
      <c r="F101" s="880"/>
      <c r="G101" s="880"/>
      <c r="H101" s="630"/>
      <c r="I101" s="630"/>
      <c r="J101" s="630"/>
      <c r="K101" s="630"/>
      <c r="L101" s="630"/>
      <c r="M101" s="630"/>
      <c r="N101" s="559"/>
      <c r="O101" s="661"/>
      <c r="P101" s="661"/>
      <c r="Q101" s="661"/>
    </row>
    <row r="102" spans="1:17" s="57" customFormat="1" ht="18" customHeight="1" x14ac:dyDescent="0.2">
      <c r="A102" s="625" t="s">
        <v>77</v>
      </c>
      <c r="B102" s="884" t="s">
        <v>123</v>
      </c>
      <c r="C102" s="884"/>
      <c r="D102" s="884"/>
      <c r="E102" s="884"/>
      <c r="F102" s="625" t="s">
        <v>12</v>
      </c>
      <c r="G102" s="625" t="s">
        <v>103</v>
      </c>
      <c r="H102" s="625" t="s">
        <v>12</v>
      </c>
      <c r="I102" s="625" t="s">
        <v>103</v>
      </c>
      <c r="J102" s="625" t="s">
        <v>12</v>
      </c>
      <c r="K102" s="625" t="s">
        <v>103</v>
      </c>
      <c r="L102" s="625" t="s">
        <v>12</v>
      </c>
      <c r="M102" s="625" t="s">
        <v>103</v>
      </c>
      <c r="N102" s="660" t="s">
        <v>12</v>
      </c>
      <c r="O102" s="658" t="s">
        <v>103</v>
      </c>
      <c r="P102" s="658" t="s">
        <v>12</v>
      </c>
      <c r="Q102" s="658" t="s">
        <v>103</v>
      </c>
    </row>
    <row r="103" spans="1:17" s="57" customFormat="1" ht="14.25" customHeight="1" x14ac:dyDescent="0.2">
      <c r="A103" s="628" t="s">
        <v>1</v>
      </c>
      <c r="B103" s="452" t="str">
        <f>DADOS!B109</f>
        <v xml:space="preserve">Férias </v>
      </c>
      <c r="C103" s="452"/>
      <c r="D103" s="421"/>
      <c r="E103" s="421"/>
      <c r="F103" s="453">
        <f>DADOS!C109</f>
        <v>8.3299999999999999E-2</v>
      </c>
      <c r="G103" s="445">
        <f t="shared" ref="G103:G110" si="25">F103*$G$40</f>
        <v>231.23</v>
      </c>
      <c r="H103" s="453">
        <f>DADOS!C109</f>
        <v>8.3299999999999999E-2</v>
      </c>
      <c r="I103" s="445">
        <f t="shared" ref="I103:I108" si="26">H103*$I$40</f>
        <v>231.23</v>
      </c>
      <c r="J103" s="453">
        <f>DADOS!C109</f>
        <v>8.3299999999999999E-2</v>
      </c>
      <c r="K103" s="445">
        <f t="shared" ref="K103:K108" si="27">J103*$K$40</f>
        <v>240.97</v>
      </c>
      <c r="L103" s="453">
        <f t="shared" ref="L103:L108" si="28">H103</f>
        <v>8.3299999999999999E-2</v>
      </c>
      <c r="M103" s="445">
        <f t="shared" ref="M103:M108" si="29">L103*$M$40</f>
        <v>240.97</v>
      </c>
      <c r="N103" s="560">
        <v>8.3299999999999999E-2</v>
      </c>
      <c r="O103" s="445">
        <f>N103*$O$40</f>
        <v>245.96</v>
      </c>
      <c r="P103" s="453">
        <v>8.3299999999999999E-2</v>
      </c>
      <c r="Q103" s="445">
        <f>P103*$Q$40</f>
        <v>245.96</v>
      </c>
    </row>
    <row r="104" spans="1:17" s="57" customFormat="1" ht="14.25" customHeight="1" x14ac:dyDescent="0.2">
      <c r="A104" s="628" t="s">
        <v>2</v>
      </c>
      <c r="B104" s="452" t="str">
        <f>DADOS!B110</f>
        <v>Ausência por doença</v>
      </c>
      <c r="C104" s="452"/>
      <c r="D104" s="421"/>
      <c r="E104" s="421"/>
      <c r="F104" s="453">
        <f>DADOS!C110</f>
        <v>1.3899999999999999E-2</v>
      </c>
      <c r="G104" s="445">
        <f t="shared" si="25"/>
        <v>38.58</v>
      </c>
      <c r="H104" s="453">
        <f>DADOS!C110</f>
        <v>1.3899999999999999E-2</v>
      </c>
      <c r="I104" s="445">
        <f t="shared" si="26"/>
        <v>38.58</v>
      </c>
      <c r="J104" s="453">
        <f>DADOS!C110</f>
        <v>1.3899999999999999E-2</v>
      </c>
      <c r="K104" s="445">
        <f t="shared" si="27"/>
        <v>40.21</v>
      </c>
      <c r="L104" s="453">
        <f t="shared" si="28"/>
        <v>1.3899999999999999E-2</v>
      </c>
      <c r="M104" s="445">
        <f t="shared" si="29"/>
        <v>40.21</v>
      </c>
      <c r="N104" s="560">
        <v>1.3899999999999999E-2</v>
      </c>
      <c r="O104" s="445">
        <f t="shared" ref="O104:O108" si="30">N104*$O$40</f>
        <v>41.04</v>
      </c>
      <c r="P104" s="453">
        <v>1.3899999999999999E-2</v>
      </c>
      <c r="Q104" s="445">
        <f t="shared" ref="Q104:Q108" si="31">P104*$Q$40</f>
        <v>41.04</v>
      </c>
    </row>
    <row r="105" spans="1:17" s="57" customFormat="1" ht="14.25" customHeight="1" x14ac:dyDescent="0.2">
      <c r="A105" s="628" t="s">
        <v>4</v>
      </c>
      <c r="B105" s="452" t="str">
        <f>DADOS!B111</f>
        <v>Licença Paternidade</v>
      </c>
      <c r="C105" s="452"/>
      <c r="D105" s="421"/>
      <c r="E105" s="421"/>
      <c r="F105" s="453">
        <f>DADOS!C111</f>
        <v>1.2999999999999999E-3</v>
      </c>
      <c r="G105" s="445">
        <f t="shared" si="25"/>
        <v>3.61</v>
      </c>
      <c r="H105" s="453">
        <f>DADOS!C111</f>
        <v>1.2999999999999999E-3</v>
      </c>
      <c r="I105" s="445">
        <f t="shared" si="26"/>
        <v>3.61</v>
      </c>
      <c r="J105" s="453">
        <f>DADOS!C111</f>
        <v>1.2999999999999999E-3</v>
      </c>
      <c r="K105" s="445">
        <f t="shared" si="27"/>
        <v>3.76</v>
      </c>
      <c r="L105" s="453">
        <f t="shared" si="28"/>
        <v>1.2999999999999999E-3</v>
      </c>
      <c r="M105" s="445">
        <f t="shared" si="29"/>
        <v>3.76</v>
      </c>
      <c r="N105" s="560">
        <v>1.2999999999999999E-3</v>
      </c>
      <c r="O105" s="445">
        <f t="shared" si="30"/>
        <v>3.84</v>
      </c>
      <c r="P105" s="453">
        <v>1.2999999999999999E-3</v>
      </c>
      <c r="Q105" s="445">
        <f t="shared" si="31"/>
        <v>3.84</v>
      </c>
    </row>
    <row r="106" spans="1:17" s="57" customFormat="1" ht="14.25" customHeight="1" x14ac:dyDescent="0.2">
      <c r="A106" s="628" t="s">
        <v>5</v>
      </c>
      <c r="B106" s="452" t="str">
        <f>DADOS!B112</f>
        <v>Ausências legais</v>
      </c>
      <c r="C106" s="452"/>
      <c r="D106" s="421"/>
      <c r="E106" s="421"/>
      <c r="F106" s="453">
        <f>DADOS!C112</f>
        <v>2.8E-3</v>
      </c>
      <c r="G106" s="445">
        <f t="shared" si="25"/>
        <v>7.77</v>
      </c>
      <c r="H106" s="453">
        <f>DADOS!C112</f>
        <v>2.8E-3</v>
      </c>
      <c r="I106" s="445">
        <f t="shared" si="26"/>
        <v>7.77</v>
      </c>
      <c r="J106" s="453">
        <f>DADOS!C112</f>
        <v>2.8E-3</v>
      </c>
      <c r="K106" s="445">
        <f t="shared" si="27"/>
        <v>8.1</v>
      </c>
      <c r="L106" s="453">
        <f t="shared" si="28"/>
        <v>2.8E-3</v>
      </c>
      <c r="M106" s="445">
        <f t="shared" si="29"/>
        <v>8.1</v>
      </c>
      <c r="N106" s="560">
        <v>2.8E-3</v>
      </c>
      <c r="O106" s="445">
        <f t="shared" si="30"/>
        <v>8.27</v>
      </c>
      <c r="P106" s="453">
        <v>2.8E-3</v>
      </c>
      <c r="Q106" s="445">
        <f t="shared" si="31"/>
        <v>8.27</v>
      </c>
    </row>
    <row r="107" spans="1:17" s="57" customFormat="1" ht="14.25" customHeight="1" x14ac:dyDescent="0.2">
      <c r="A107" s="628" t="s">
        <v>6</v>
      </c>
      <c r="B107" s="452" t="str">
        <f>DADOS!B113</f>
        <v>Ausência por Acidente de trabalho</v>
      </c>
      <c r="C107" s="452"/>
      <c r="D107" s="421"/>
      <c r="E107" s="421"/>
      <c r="F107" s="453">
        <f>DADOS!C113</f>
        <v>3.3E-3</v>
      </c>
      <c r="G107" s="445">
        <f t="shared" si="25"/>
        <v>9.16</v>
      </c>
      <c r="H107" s="453">
        <f>DADOS!C113</f>
        <v>3.3E-3</v>
      </c>
      <c r="I107" s="445">
        <f t="shared" si="26"/>
        <v>9.16</v>
      </c>
      <c r="J107" s="453">
        <f>DADOS!C113</f>
        <v>3.3E-3</v>
      </c>
      <c r="K107" s="445">
        <f t="shared" si="27"/>
        <v>9.5500000000000007</v>
      </c>
      <c r="L107" s="453">
        <f t="shared" si="28"/>
        <v>3.3E-3</v>
      </c>
      <c r="M107" s="445">
        <f t="shared" si="29"/>
        <v>9.5500000000000007</v>
      </c>
      <c r="N107" s="560">
        <v>3.3E-3</v>
      </c>
      <c r="O107" s="445">
        <f t="shared" si="30"/>
        <v>9.74</v>
      </c>
      <c r="P107" s="453">
        <v>3.3E-3</v>
      </c>
      <c r="Q107" s="445">
        <f t="shared" si="31"/>
        <v>9.74</v>
      </c>
    </row>
    <row r="108" spans="1:17" s="57" customFormat="1" ht="14.25" customHeight="1" x14ac:dyDescent="0.2">
      <c r="A108" s="628" t="s">
        <v>7</v>
      </c>
      <c r="B108" s="452" t="str">
        <f>DADOS!B114</f>
        <v>Outros (especificar)</v>
      </c>
      <c r="C108" s="452"/>
      <c r="D108" s="421"/>
      <c r="E108" s="421"/>
      <c r="F108" s="453">
        <f>DADOS!C114</f>
        <v>0</v>
      </c>
      <c r="G108" s="445">
        <f t="shared" si="25"/>
        <v>0</v>
      </c>
      <c r="H108" s="453">
        <f>DADOS!C114</f>
        <v>0</v>
      </c>
      <c r="I108" s="445">
        <f t="shared" si="26"/>
        <v>0</v>
      </c>
      <c r="J108" s="453">
        <f>DADOS!C114</f>
        <v>0</v>
      </c>
      <c r="K108" s="445">
        <f t="shared" si="27"/>
        <v>0</v>
      </c>
      <c r="L108" s="453">
        <f t="shared" si="28"/>
        <v>0</v>
      </c>
      <c r="M108" s="445">
        <f t="shared" si="29"/>
        <v>0</v>
      </c>
      <c r="N108" s="560">
        <v>0</v>
      </c>
      <c r="O108" s="445">
        <f t="shared" si="30"/>
        <v>0</v>
      </c>
      <c r="P108" s="453">
        <v>0</v>
      </c>
      <c r="Q108" s="445">
        <f t="shared" si="31"/>
        <v>0</v>
      </c>
    </row>
    <row r="109" spans="1:17" s="57" customFormat="1" ht="15" customHeight="1" x14ac:dyDescent="0.2">
      <c r="A109" s="892" t="s">
        <v>108</v>
      </c>
      <c r="B109" s="892"/>
      <c r="C109" s="892"/>
      <c r="D109" s="892"/>
      <c r="E109" s="892"/>
      <c r="F109" s="454">
        <f t="shared" ref="F109:K109" si="32">SUM(F103:F108)</f>
        <v>0.1046</v>
      </c>
      <c r="G109" s="448">
        <f t="shared" si="32"/>
        <v>290.35000000000002</v>
      </c>
      <c r="H109" s="454">
        <f t="shared" si="32"/>
        <v>0.1046</v>
      </c>
      <c r="I109" s="448">
        <f t="shared" si="32"/>
        <v>290.35000000000002</v>
      </c>
      <c r="J109" s="454">
        <f t="shared" si="32"/>
        <v>0.1046</v>
      </c>
      <c r="K109" s="448">
        <f t="shared" si="32"/>
        <v>302.58999999999997</v>
      </c>
      <c r="L109" s="454">
        <f>SUM(L103:L108)</f>
        <v>0.1046</v>
      </c>
      <c r="M109" s="448">
        <f>SUM(M103:M108)</f>
        <v>302.58999999999997</v>
      </c>
      <c r="N109" s="561">
        <f t="shared" ref="N109:P109" si="33">SUM(N103:N108)</f>
        <v>0.1046</v>
      </c>
      <c r="O109" s="448">
        <f t="shared" si="33"/>
        <v>308.85000000000002</v>
      </c>
      <c r="P109" s="454">
        <f t="shared" si="33"/>
        <v>0.1046</v>
      </c>
      <c r="Q109" s="448">
        <f>SUM(Q103:Q108)</f>
        <v>308.85000000000002</v>
      </c>
    </row>
    <row r="110" spans="1:17" s="57" customFormat="1" ht="28.5" customHeight="1" x14ac:dyDescent="0.2">
      <c r="A110" s="628" t="s">
        <v>8</v>
      </c>
      <c r="B110" s="869" t="str">
        <f>DADOS!B116</f>
        <v>Incidência dos encargos previstos no Submódulo 4.1 sobre o custo de reposição do profissional ausente</v>
      </c>
      <c r="C110" s="869"/>
      <c r="D110" s="869"/>
      <c r="E110" s="869"/>
      <c r="F110" s="453">
        <f>DADOS!C116</f>
        <v>3.7600000000000001E-2</v>
      </c>
      <c r="G110" s="445">
        <f t="shared" si="25"/>
        <v>104.37</v>
      </c>
      <c r="H110" s="453">
        <f>DADOS!C116</f>
        <v>3.7600000000000001E-2</v>
      </c>
      <c r="I110" s="445">
        <f>H110*$I$40</f>
        <v>104.37</v>
      </c>
      <c r="J110" s="453">
        <f>DADOS!C116</f>
        <v>3.7600000000000001E-2</v>
      </c>
      <c r="K110" s="445">
        <f>J110*$K$40</f>
        <v>108.77</v>
      </c>
      <c r="L110" s="453">
        <f>H110</f>
        <v>3.7600000000000001E-2</v>
      </c>
      <c r="M110" s="445">
        <f>L110*$M$40</f>
        <v>108.77</v>
      </c>
      <c r="N110" s="453">
        <f>N109*N75</f>
        <v>3.7900000000000003E-2</v>
      </c>
      <c r="O110" s="445">
        <f>N110*$O$40</f>
        <v>111.91</v>
      </c>
      <c r="P110" s="453">
        <f>P109*P75</f>
        <v>3.7900000000000003E-2</v>
      </c>
      <c r="Q110" s="445">
        <f>P110*$Q$40</f>
        <v>111.91</v>
      </c>
    </row>
    <row r="111" spans="1:17" s="63" customFormat="1" ht="18" customHeight="1" x14ac:dyDescent="0.2">
      <c r="A111" s="892" t="s">
        <v>62</v>
      </c>
      <c r="B111" s="892"/>
      <c r="C111" s="892"/>
      <c r="D111" s="892"/>
      <c r="E111" s="892"/>
      <c r="F111" s="454">
        <f t="shared" ref="F111:K111" si="34">SUM(F109:F110)</f>
        <v>0.14219999999999999</v>
      </c>
      <c r="G111" s="450">
        <f t="shared" si="34"/>
        <v>394.72</v>
      </c>
      <c r="H111" s="454">
        <f t="shared" si="34"/>
        <v>0.14219999999999999</v>
      </c>
      <c r="I111" s="450">
        <f t="shared" si="34"/>
        <v>394.72</v>
      </c>
      <c r="J111" s="454">
        <f t="shared" si="34"/>
        <v>0.14219999999999999</v>
      </c>
      <c r="K111" s="450">
        <f t="shared" si="34"/>
        <v>411.36</v>
      </c>
      <c r="L111" s="454">
        <f>SUM(L109:L110)</f>
        <v>0.14219999999999999</v>
      </c>
      <c r="M111" s="450">
        <f>SUM(M109:M110)</f>
        <v>411.36</v>
      </c>
      <c r="N111" s="561">
        <f t="shared" ref="N111:P111" si="35">SUM(N109:N110)</f>
        <v>0.14249999999999999</v>
      </c>
      <c r="O111" s="450">
        <f t="shared" si="35"/>
        <v>420.76</v>
      </c>
      <c r="P111" s="454">
        <f t="shared" si="35"/>
        <v>0.14249999999999999</v>
      </c>
      <c r="Q111" s="450">
        <f>SUM(Q109:Q110)</f>
        <v>420.76</v>
      </c>
    </row>
    <row r="112" spans="1:17" s="60" customFormat="1" ht="18" customHeight="1" x14ac:dyDescent="0.2">
      <c r="A112" s="627"/>
      <c r="B112" s="627"/>
      <c r="C112" s="627"/>
      <c r="D112" s="627"/>
      <c r="E112" s="627"/>
      <c r="F112" s="440"/>
      <c r="G112" s="445"/>
      <c r="H112" s="440"/>
      <c r="I112" s="445"/>
      <c r="J112" s="440"/>
      <c r="K112" s="445"/>
      <c r="L112" s="440"/>
      <c r="M112" s="445"/>
      <c r="N112" s="554"/>
      <c r="O112" s="445"/>
      <c r="P112" s="440"/>
      <c r="Q112" s="445"/>
    </row>
    <row r="113" spans="1:17" s="57" customFormat="1" x14ac:dyDescent="0.2">
      <c r="A113" s="881" t="s">
        <v>143</v>
      </c>
      <c r="B113" s="881"/>
      <c r="C113" s="881"/>
      <c r="D113" s="881"/>
      <c r="E113" s="881"/>
      <c r="F113" s="881"/>
      <c r="G113" s="881"/>
      <c r="H113" s="631"/>
      <c r="I113" s="631"/>
      <c r="J113" s="631"/>
      <c r="K113" s="631"/>
      <c r="L113" s="631"/>
      <c r="M113" s="631"/>
      <c r="N113" s="522"/>
      <c r="O113" s="662"/>
      <c r="P113" s="662"/>
      <c r="Q113" s="662"/>
    </row>
    <row r="114" spans="1:17" s="57" customFormat="1" ht="18" customHeight="1" x14ac:dyDescent="0.2">
      <c r="A114" s="625">
        <v>4</v>
      </c>
      <c r="B114" s="884" t="s">
        <v>113</v>
      </c>
      <c r="C114" s="884"/>
      <c r="D114" s="884"/>
      <c r="E114" s="884"/>
      <c r="F114" s="625" t="s">
        <v>12</v>
      </c>
      <c r="G114" s="625" t="s">
        <v>103</v>
      </c>
      <c r="H114" s="625" t="s">
        <v>12</v>
      </c>
      <c r="I114" s="625" t="s">
        <v>103</v>
      </c>
      <c r="J114" s="625" t="s">
        <v>12</v>
      </c>
      <c r="K114" s="625" t="s">
        <v>103</v>
      </c>
      <c r="L114" s="625" t="s">
        <v>12</v>
      </c>
      <c r="M114" s="625" t="s">
        <v>103</v>
      </c>
      <c r="N114" s="660" t="s">
        <v>12</v>
      </c>
      <c r="O114" s="658" t="s">
        <v>103</v>
      </c>
      <c r="P114" s="658" t="s">
        <v>12</v>
      </c>
      <c r="Q114" s="658" t="s">
        <v>103</v>
      </c>
    </row>
    <row r="115" spans="1:17" s="57" customFormat="1" ht="14.25" customHeight="1" x14ac:dyDescent="0.2">
      <c r="A115" s="628" t="s">
        <v>63</v>
      </c>
      <c r="B115" s="452" t="str">
        <f>B66</f>
        <v>Encargos previdenciários, FGTS e outras contribuições</v>
      </c>
      <c r="C115" s="452"/>
      <c r="D115" s="421"/>
      <c r="E115" s="421"/>
      <c r="F115" s="453">
        <f t="shared" ref="F115:K115" si="36">F75</f>
        <v>0.35930000000000001</v>
      </c>
      <c r="G115" s="441">
        <f t="shared" si="36"/>
        <v>997.39</v>
      </c>
      <c r="H115" s="453">
        <f t="shared" si="36"/>
        <v>0.35930000000000001</v>
      </c>
      <c r="I115" s="441">
        <f t="shared" si="36"/>
        <v>997.39</v>
      </c>
      <c r="J115" s="453">
        <f t="shared" si="36"/>
        <v>0.35930000000000001</v>
      </c>
      <c r="K115" s="441">
        <f t="shared" si="36"/>
        <v>1039.3900000000001</v>
      </c>
      <c r="L115" s="453">
        <f t="shared" ref="L115:L120" si="37">H115</f>
        <v>0.35930000000000001</v>
      </c>
      <c r="M115" s="441">
        <f>M75</f>
        <v>1039.3900000000001</v>
      </c>
      <c r="N115" s="560">
        <f t="shared" ref="N115:Q115" si="38">N75</f>
        <v>0.36230000000000001</v>
      </c>
      <c r="O115" s="441">
        <f>O75</f>
        <v>1069.76</v>
      </c>
      <c r="P115" s="453">
        <f t="shared" si="38"/>
        <v>0.36230000000000001</v>
      </c>
      <c r="Q115" s="441">
        <f t="shared" si="38"/>
        <v>1069.76</v>
      </c>
    </row>
    <row r="116" spans="1:17" s="57" customFormat="1" ht="14.25" customHeight="1" x14ac:dyDescent="0.2">
      <c r="A116" s="628" t="s">
        <v>70</v>
      </c>
      <c r="B116" s="452" t="str">
        <f>B78</f>
        <v xml:space="preserve">13º (décimo terceiro) Salário </v>
      </c>
      <c r="C116" s="452"/>
      <c r="D116" s="421"/>
      <c r="E116" s="421"/>
      <c r="F116" s="453">
        <f t="shared" ref="F116:K116" si="39">F83</f>
        <v>0.151</v>
      </c>
      <c r="G116" s="441">
        <f t="shared" si="39"/>
        <v>419.16</v>
      </c>
      <c r="H116" s="453">
        <f t="shared" si="39"/>
        <v>0.151</v>
      </c>
      <c r="I116" s="441">
        <f t="shared" si="39"/>
        <v>419.16</v>
      </c>
      <c r="J116" s="453">
        <f t="shared" si="39"/>
        <v>0.151</v>
      </c>
      <c r="K116" s="441">
        <f t="shared" si="39"/>
        <v>436.81</v>
      </c>
      <c r="L116" s="453">
        <f t="shared" si="37"/>
        <v>0.151</v>
      </c>
      <c r="M116" s="441">
        <f>M83</f>
        <v>436.81</v>
      </c>
      <c r="N116" s="560">
        <f t="shared" ref="N116:Q116" si="40">N83</f>
        <v>0.15140000000000001</v>
      </c>
      <c r="O116" s="441">
        <f>O83</f>
        <v>447.03</v>
      </c>
      <c r="P116" s="453">
        <f t="shared" si="40"/>
        <v>0.15140000000000001</v>
      </c>
      <c r="Q116" s="441">
        <f t="shared" si="40"/>
        <v>447.03</v>
      </c>
    </row>
    <row r="117" spans="1:17" s="57" customFormat="1" ht="14.25" customHeight="1" x14ac:dyDescent="0.2">
      <c r="A117" s="628" t="s">
        <v>72</v>
      </c>
      <c r="B117" s="452" t="str">
        <f>B86</f>
        <v>Afastamento Maternidade</v>
      </c>
      <c r="C117" s="452"/>
      <c r="D117" s="421"/>
      <c r="E117" s="421"/>
      <c r="F117" s="453">
        <f t="shared" ref="F117:K117" si="41">F89</f>
        <v>0</v>
      </c>
      <c r="G117" s="441">
        <f t="shared" si="41"/>
        <v>0</v>
      </c>
      <c r="H117" s="453">
        <f t="shared" si="41"/>
        <v>0</v>
      </c>
      <c r="I117" s="441">
        <f t="shared" si="41"/>
        <v>0</v>
      </c>
      <c r="J117" s="453">
        <f t="shared" si="41"/>
        <v>0</v>
      </c>
      <c r="K117" s="441">
        <f t="shared" si="41"/>
        <v>0</v>
      </c>
      <c r="L117" s="453">
        <f t="shared" si="37"/>
        <v>0</v>
      </c>
      <c r="M117" s="441">
        <f>M89</f>
        <v>0</v>
      </c>
      <c r="N117" s="560">
        <f t="shared" ref="N117:Q117" si="42">N89</f>
        <v>0</v>
      </c>
      <c r="O117" s="441">
        <f t="shared" si="42"/>
        <v>0</v>
      </c>
      <c r="P117" s="453">
        <f t="shared" si="42"/>
        <v>0</v>
      </c>
      <c r="Q117" s="441">
        <f t="shared" si="42"/>
        <v>0</v>
      </c>
    </row>
    <row r="118" spans="1:17" s="57" customFormat="1" ht="14.25" customHeight="1" x14ac:dyDescent="0.2">
      <c r="A118" s="628" t="s">
        <v>74</v>
      </c>
      <c r="B118" s="452" t="str">
        <f>B92</f>
        <v>Provisão para Rescisão</v>
      </c>
      <c r="C118" s="452"/>
      <c r="D118" s="421"/>
      <c r="E118" s="421"/>
      <c r="F118" s="453">
        <f t="shared" ref="F118:K118" si="43">F99</f>
        <v>8.2100000000000006E-2</v>
      </c>
      <c r="G118" s="441">
        <f t="shared" si="43"/>
        <v>227.89</v>
      </c>
      <c r="H118" s="453">
        <f t="shared" si="43"/>
        <v>5.0500000000000003E-2</v>
      </c>
      <c r="I118" s="441">
        <f t="shared" si="43"/>
        <v>140.18</v>
      </c>
      <c r="J118" s="453">
        <f t="shared" si="43"/>
        <v>8.2100000000000006E-2</v>
      </c>
      <c r="K118" s="441">
        <f t="shared" si="43"/>
        <v>237.5</v>
      </c>
      <c r="L118" s="453">
        <f t="shared" si="37"/>
        <v>5.0500000000000003E-2</v>
      </c>
      <c r="M118" s="441">
        <f>M99</f>
        <v>146.09</v>
      </c>
      <c r="N118" s="560">
        <f t="shared" ref="N118:Q118" si="44">N99</f>
        <v>8.2100000000000006E-2</v>
      </c>
      <c r="O118" s="441">
        <f t="shared" si="44"/>
        <v>242.41</v>
      </c>
      <c r="P118" s="453">
        <f t="shared" si="44"/>
        <v>5.0500000000000003E-2</v>
      </c>
      <c r="Q118" s="441">
        <f t="shared" si="44"/>
        <v>149.11000000000001</v>
      </c>
    </row>
    <row r="119" spans="1:17" s="57" customFormat="1" ht="14.25" customHeight="1" x14ac:dyDescent="0.2">
      <c r="A119" s="628" t="s">
        <v>77</v>
      </c>
      <c r="B119" s="629" t="str">
        <f>B102</f>
        <v>Composição do Custo de Reposição do Profissional Ausente</v>
      </c>
      <c r="C119" s="629"/>
      <c r="D119" s="421"/>
      <c r="E119" s="421"/>
      <c r="F119" s="453">
        <f t="shared" ref="F119:K119" si="45">F111</f>
        <v>0.14219999999999999</v>
      </c>
      <c r="G119" s="441">
        <f t="shared" si="45"/>
        <v>394.72</v>
      </c>
      <c r="H119" s="453">
        <f t="shared" si="45"/>
        <v>0.14219999999999999</v>
      </c>
      <c r="I119" s="441">
        <f t="shared" si="45"/>
        <v>394.72</v>
      </c>
      <c r="J119" s="453">
        <f t="shared" si="45"/>
        <v>0.14219999999999999</v>
      </c>
      <c r="K119" s="441">
        <f t="shared" si="45"/>
        <v>411.36</v>
      </c>
      <c r="L119" s="453">
        <f t="shared" si="37"/>
        <v>0.14219999999999999</v>
      </c>
      <c r="M119" s="441">
        <f>M111</f>
        <v>411.36</v>
      </c>
      <c r="N119" s="560">
        <f t="shared" ref="N119:Q119" si="46">N111</f>
        <v>0.14249999999999999</v>
      </c>
      <c r="O119" s="441">
        <f t="shared" si="46"/>
        <v>420.76</v>
      </c>
      <c r="P119" s="453">
        <f t="shared" si="46"/>
        <v>0.14249999999999999</v>
      </c>
      <c r="Q119" s="441">
        <f t="shared" si="46"/>
        <v>420.76</v>
      </c>
    </row>
    <row r="120" spans="1:17" s="57" customFormat="1" ht="14.25" customHeight="1" x14ac:dyDescent="0.2">
      <c r="A120" s="628" t="s">
        <v>131</v>
      </c>
      <c r="B120" s="629" t="s">
        <v>81</v>
      </c>
      <c r="C120" s="629"/>
      <c r="D120" s="421"/>
      <c r="E120" s="421"/>
      <c r="F120" s="453">
        <f>F113</f>
        <v>0</v>
      </c>
      <c r="G120" s="441"/>
      <c r="H120" s="453">
        <f>H113</f>
        <v>0</v>
      </c>
      <c r="I120" s="441"/>
      <c r="J120" s="453">
        <f>J113</f>
        <v>0</v>
      </c>
      <c r="K120" s="441"/>
      <c r="L120" s="453">
        <f t="shared" si="37"/>
        <v>0</v>
      </c>
      <c r="M120" s="441"/>
      <c r="N120" s="560">
        <f>N113</f>
        <v>0</v>
      </c>
      <c r="O120" s="441"/>
      <c r="P120" s="453">
        <f>P113</f>
        <v>0</v>
      </c>
      <c r="Q120" s="441"/>
    </row>
    <row r="121" spans="1:17" s="57" customFormat="1" ht="18" customHeight="1" x14ac:dyDescent="0.2">
      <c r="A121" s="458"/>
      <c r="B121" s="883" t="s">
        <v>144</v>
      </c>
      <c r="C121" s="883"/>
      <c r="D121" s="883"/>
      <c r="E121" s="883"/>
      <c r="F121" s="454">
        <f t="shared" ref="F121:M121" si="47">SUM(F115:F120)</f>
        <v>0.73460000000000003</v>
      </c>
      <c r="G121" s="450">
        <f t="shared" si="47"/>
        <v>2039.16</v>
      </c>
      <c r="H121" s="454">
        <f t="shared" si="47"/>
        <v>0.70299999999999996</v>
      </c>
      <c r="I121" s="450">
        <f t="shared" si="47"/>
        <v>1951.45</v>
      </c>
      <c r="J121" s="454">
        <f t="shared" si="47"/>
        <v>0.73460000000000003</v>
      </c>
      <c r="K121" s="450">
        <f t="shared" si="47"/>
        <v>2125.06</v>
      </c>
      <c r="L121" s="454">
        <f t="shared" si="47"/>
        <v>0.70299999999999996</v>
      </c>
      <c r="M121" s="450">
        <f t="shared" si="47"/>
        <v>2033.65</v>
      </c>
      <c r="N121" s="561">
        <f t="shared" ref="N121:Q121" si="48">SUM(N115:N120)</f>
        <v>0.73829999999999996</v>
      </c>
      <c r="O121" s="450">
        <f t="shared" si="48"/>
        <v>2179.96</v>
      </c>
      <c r="P121" s="454">
        <f t="shared" si="48"/>
        <v>0.70669999999999999</v>
      </c>
      <c r="Q121" s="450">
        <f t="shared" si="48"/>
        <v>2086.66</v>
      </c>
    </row>
    <row r="122" spans="1:17" s="57" customFormat="1" x14ac:dyDescent="0.2">
      <c r="A122" s="628"/>
      <c r="B122" s="421"/>
      <c r="C122" s="421"/>
      <c r="D122" s="421"/>
      <c r="E122" s="421"/>
      <c r="F122" s="440"/>
      <c r="G122" s="441"/>
      <c r="H122" s="440"/>
      <c r="I122" s="441"/>
      <c r="J122" s="440"/>
      <c r="K122" s="441"/>
      <c r="L122" s="440"/>
      <c r="M122" s="441"/>
      <c r="N122" s="554"/>
      <c r="O122" s="441"/>
      <c r="P122" s="440"/>
      <c r="Q122" s="441"/>
    </row>
    <row r="123" spans="1:17" s="57" customFormat="1" x14ac:dyDescent="0.2">
      <c r="A123" s="881" t="s">
        <v>40</v>
      </c>
      <c r="B123" s="881"/>
      <c r="C123" s="881"/>
      <c r="D123" s="881"/>
      <c r="E123" s="881"/>
      <c r="F123" s="881"/>
      <c r="G123" s="881"/>
      <c r="H123" s="631"/>
      <c r="I123" s="631"/>
      <c r="J123" s="631"/>
      <c r="K123" s="631"/>
      <c r="L123" s="631"/>
      <c r="M123" s="631"/>
      <c r="N123" s="522"/>
      <c r="O123" s="662"/>
      <c r="P123" s="662"/>
      <c r="Q123" s="662"/>
    </row>
    <row r="124" spans="1:17" s="57" customFormat="1" ht="18" customHeight="1" x14ac:dyDescent="0.2">
      <c r="A124" s="625">
        <v>5</v>
      </c>
      <c r="B124" s="884" t="s">
        <v>29</v>
      </c>
      <c r="C124" s="884"/>
      <c r="D124" s="884"/>
      <c r="E124" s="884"/>
      <c r="F124" s="625" t="s">
        <v>12</v>
      </c>
      <c r="G124" s="625" t="s">
        <v>103</v>
      </c>
      <c r="H124" s="625" t="s">
        <v>12</v>
      </c>
      <c r="I124" s="625" t="s">
        <v>103</v>
      </c>
      <c r="J124" s="625" t="s">
        <v>12</v>
      </c>
      <c r="K124" s="625" t="s">
        <v>103</v>
      </c>
      <c r="L124" s="625" t="s">
        <v>12</v>
      </c>
      <c r="M124" s="625" t="s">
        <v>103</v>
      </c>
      <c r="N124" s="660" t="s">
        <v>12</v>
      </c>
      <c r="O124" s="658" t="s">
        <v>103</v>
      </c>
      <c r="P124" s="658" t="s">
        <v>12</v>
      </c>
      <c r="Q124" s="658" t="s">
        <v>103</v>
      </c>
    </row>
    <row r="125" spans="1:17" s="57" customFormat="1" x14ac:dyDescent="0.2">
      <c r="A125" s="628" t="s">
        <v>1</v>
      </c>
      <c r="B125" s="421" t="s">
        <v>30</v>
      </c>
      <c r="C125" s="421"/>
      <c r="D125" s="421"/>
      <c r="E125" s="421"/>
      <c r="F125" s="453">
        <f>DADOS!F60</f>
        <v>6.9000000000000006E-2</v>
      </c>
      <c r="G125" s="459">
        <f>G138*F125</f>
        <v>391</v>
      </c>
      <c r="H125" s="457">
        <v>6.6299999999999998E-2</v>
      </c>
      <c r="I125" s="459">
        <f>I138*H125</f>
        <v>369.88</v>
      </c>
      <c r="J125" s="453">
        <v>6.9000000000000006E-2</v>
      </c>
      <c r="K125" s="459">
        <f>K138*J125</f>
        <v>406.74</v>
      </c>
      <c r="L125" s="457">
        <f>H125</f>
        <v>6.6299999999999998E-2</v>
      </c>
      <c r="M125" s="459">
        <f>M138*L125</f>
        <v>384.61</v>
      </c>
      <c r="N125" s="562">
        <v>6.9000000000000006E-2</v>
      </c>
      <c r="O125" s="459">
        <f>O138*N125</f>
        <v>415.25</v>
      </c>
      <c r="P125" s="613">
        <v>6.6299999999999998E-2</v>
      </c>
      <c r="Q125" s="459">
        <f>Q138*P125</f>
        <v>392.66</v>
      </c>
    </row>
    <row r="126" spans="1:17" s="57" customFormat="1" x14ac:dyDescent="0.2">
      <c r="A126" s="885" t="s">
        <v>2</v>
      </c>
      <c r="B126" s="421" t="s">
        <v>23</v>
      </c>
      <c r="C126" s="421"/>
      <c r="D126" s="421"/>
      <c r="E126" s="421"/>
      <c r="F126" s="453">
        <f>SUM(F127:F128)</f>
        <v>8.6499999999999994E-2</v>
      </c>
      <c r="G126" s="459"/>
      <c r="H126" s="453">
        <f>SUM(H127:H128)</f>
        <v>8.6499999999999994E-2</v>
      </c>
      <c r="I126" s="459"/>
      <c r="J126" s="453">
        <f>SUM(J127:J128)</f>
        <v>8.6499999999999994E-2</v>
      </c>
      <c r="K126" s="459"/>
      <c r="L126" s="453">
        <f>H126</f>
        <v>8.6499999999999994E-2</v>
      </c>
      <c r="M126" s="459"/>
      <c r="N126" s="453">
        <f>SUM(N127:N128)</f>
        <v>8.6499999999999994E-2</v>
      </c>
      <c r="O126" s="459"/>
      <c r="P126" s="453">
        <f>SUM(P127:P128)</f>
        <v>8.6499999999999994E-2</v>
      </c>
      <c r="Q126" s="459"/>
    </row>
    <row r="127" spans="1:17" s="57" customFormat="1" x14ac:dyDescent="0.2">
      <c r="A127" s="885"/>
      <c r="B127" s="452" t="s">
        <v>338</v>
      </c>
      <c r="C127" s="452"/>
      <c r="D127" s="421"/>
      <c r="E127" s="421"/>
      <c r="F127" s="453">
        <f>DADOS!C75+DADOS!C74</f>
        <v>3.6499999999999998E-2</v>
      </c>
      <c r="G127" s="461">
        <f>($G$138+$G$125+$G$129)/DADOS!C$77*F127</f>
        <v>251.36</v>
      </c>
      <c r="H127" s="453">
        <f>DADOS!C75+DADOS!C74</f>
        <v>3.6499999999999998E-2</v>
      </c>
      <c r="I127" s="461">
        <f>($I$138+$I$125+$I$129)/(1-H126)*H127</f>
        <v>244.82</v>
      </c>
      <c r="J127" s="453">
        <f>DADOS!C75+DADOS!C74</f>
        <v>3.6499999999999998E-2</v>
      </c>
      <c r="K127" s="461">
        <f>($K$138+$K$125+$K$129)/(1-J126)*J127</f>
        <v>261.48</v>
      </c>
      <c r="L127" s="453">
        <f>H127</f>
        <v>3.6499999999999998E-2</v>
      </c>
      <c r="M127" s="461">
        <f>($M$138+$M$125+$M$129)/(1-L126)*L127</f>
        <v>254.57</v>
      </c>
      <c r="N127" s="560">
        <v>3.6499999999999998E-2</v>
      </c>
      <c r="O127" s="461">
        <f>($O$138+$O$125+$O$129)/(1-$N$126)*N127</f>
        <v>266.95</v>
      </c>
      <c r="P127" s="453">
        <v>3.6499999999999998E-2</v>
      </c>
      <c r="Q127" s="461">
        <f>($Q$138+$Q$125+$Q$129)/(1-$P$126)*P127</f>
        <v>259.89999999999998</v>
      </c>
    </row>
    <row r="128" spans="1:17" s="57" customFormat="1" x14ac:dyDescent="0.2">
      <c r="A128" s="885"/>
      <c r="B128" s="452" t="s">
        <v>339</v>
      </c>
      <c r="C128" s="452"/>
      <c r="D128" s="421"/>
      <c r="E128" s="421"/>
      <c r="F128" s="453">
        <f>DADOS!C73</f>
        <v>0.05</v>
      </c>
      <c r="G128" s="461">
        <f>($G$138+$G$125+$G$129)/DADOS!C$77*F128</f>
        <v>344.33</v>
      </c>
      <c r="H128" s="453">
        <f>DADOS!C73</f>
        <v>0.05</v>
      </c>
      <c r="I128" s="461">
        <f>($I$138+$I$125+$I$129)/(1-H126)*H128</f>
        <v>335.37</v>
      </c>
      <c r="J128" s="453">
        <f>DADOS!C73</f>
        <v>0.05</v>
      </c>
      <c r="K128" s="461">
        <f>($K$138+$K$125+$K$129)/(1-J126)*J128</f>
        <v>358.19</v>
      </c>
      <c r="L128" s="453">
        <f>H128</f>
        <v>0.05</v>
      </c>
      <c r="M128" s="461">
        <f>($M$138+$M$125+$M$129)/(1-L126)*L128</f>
        <v>348.73</v>
      </c>
      <c r="N128" s="560">
        <v>0.05</v>
      </c>
      <c r="O128" s="461">
        <f>($O$138+$O$125+$O$129)/(1-$N$126)*N128</f>
        <v>365.68</v>
      </c>
      <c r="P128" s="453">
        <v>0.05</v>
      </c>
      <c r="Q128" s="461">
        <f>($Q$138+$Q$125+$Q$129)/(1-$P$126)*P128</f>
        <v>356.03</v>
      </c>
    </row>
    <row r="129" spans="1:17" s="57" customFormat="1" x14ac:dyDescent="0.2">
      <c r="A129" s="628" t="s">
        <v>2</v>
      </c>
      <c r="B129" s="421" t="s">
        <v>20</v>
      </c>
      <c r="C129" s="421"/>
      <c r="D129" s="421"/>
      <c r="E129" s="421"/>
      <c r="F129" s="453">
        <f>DADOS!F61</f>
        <v>3.85E-2</v>
      </c>
      <c r="G129" s="462">
        <f>(G138+G125)*F129</f>
        <v>233.22</v>
      </c>
      <c r="H129" s="457">
        <v>0.03</v>
      </c>
      <c r="I129" s="462">
        <f>(I138+I125)*H129</f>
        <v>178.46</v>
      </c>
      <c r="J129" s="453">
        <v>3.85E-2</v>
      </c>
      <c r="K129" s="462">
        <f>(K138+K125)*J129</f>
        <v>242.61</v>
      </c>
      <c r="L129" s="457">
        <f>H129</f>
        <v>0.03</v>
      </c>
      <c r="M129" s="462">
        <f>(M138+M125)*L129</f>
        <v>185.57</v>
      </c>
      <c r="N129" s="562">
        <v>3.85E-2</v>
      </c>
      <c r="O129" s="462">
        <f>(O138+O125)*N129</f>
        <v>247.68</v>
      </c>
      <c r="P129" s="613">
        <v>0.03</v>
      </c>
      <c r="Q129" s="462">
        <f>(Q138+Q125)*P129</f>
        <v>189.46</v>
      </c>
    </row>
    <row r="130" spans="1:17" s="57" customFormat="1" ht="18" customHeight="1" x14ac:dyDescent="0.2">
      <c r="A130" s="892" t="s">
        <v>337</v>
      </c>
      <c r="B130" s="892"/>
      <c r="C130" s="892"/>
      <c r="D130" s="892"/>
      <c r="E130" s="892"/>
      <c r="F130" s="892"/>
      <c r="G130" s="463">
        <f>G125+G127+G128+G129</f>
        <v>1219.9100000000001</v>
      </c>
      <c r="H130" s="463"/>
      <c r="I130" s="463">
        <f>I125+I127+I128+I129</f>
        <v>1128.53</v>
      </c>
      <c r="J130" s="463"/>
      <c r="K130" s="463">
        <f>K125+K127+K128+K129</f>
        <v>1269.02</v>
      </c>
      <c r="L130" s="463"/>
      <c r="M130" s="463">
        <f>M125+M127+M128+M129</f>
        <v>1173.48</v>
      </c>
      <c r="N130" s="563"/>
      <c r="O130" s="463">
        <f>O125+O127+O128+O129</f>
        <v>1295.56</v>
      </c>
      <c r="P130" s="463"/>
      <c r="Q130" s="463">
        <f>Q125+Q127+Q128+Q129</f>
        <v>1198.05</v>
      </c>
    </row>
    <row r="131" spans="1:17" s="57" customFormat="1" x14ac:dyDescent="0.2">
      <c r="A131" s="624"/>
      <c r="B131" s="624"/>
      <c r="C131" s="624"/>
      <c r="D131" s="624"/>
      <c r="E131" s="624"/>
      <c r="F131" s="624"/>
      <c r="G131" s="464"/>
      <c r="H131" s="624"/>
      <c r="I131" s="464"/>
      <c r="J131" s="624"/>
      <c r="K131" s="464"/>
      <c r="L131" s="624"/>
      <c r="M131" s="464"/>
      <c r="N131" s="564"/>
      <c r="O131" s="464"/>
      <c r="P131" s="657"/>
      <c r="Q131" s="464"/>
    </row>
    <row r="132" spans="1:17" s="57" customFormat="1" x14ac:dyDescent="0.2">
      <c r="A132" s="881" t="s">
        <v>340</v>
      </c>
      <c r="B132" s="881"/>
      <c r="C132" s="881"/>
      <c r="D132" s="881"/>
      <c r="E132" s="881"/>
      <c r="F132" s="881"/>
      <c r="G132" s="881"/>
      <c r="H132" s="631"/>
      <c r="I132" s="631"/>
      <c r="J132" s="631"/>
      <c r="K132" s="631"/>
      <c r="L132" s="631"/>
      <c r="M132" s="631"/>
      <c r="N132" s="522"/>
      <c r="O132" s="662"/>
      <c r="P132" s="662"/>
      <c r="Q132" s="662"/>
    </row>
    <row r="133" spans="1:17" s="57" customFormat="1" ht="16.5" customHeight="1" x14ac:dyDescent="0.2">
      <c r="A133" s="881" t="s">
        <v>341</v>
      </c>
      <c r="B133" s="881"/>
      <c r="C133" s="881"/>
      <c r="D133" s="881"/>
      <c r="E133" s="881"/>
      <c r="F133" s="881"/>
      <c r="G133" s="625" t="s">
        <v>162</v>
      </c>
      <c r="H133" s="625"/>
      <c r="I133" s="625" t="s">
        <v>162</v>
      </c>
      <c r="J133" s="625"/>
      <c r="K133" s="625" t="s">
        <v>162</v>
      </c>
      <c r="L133" s="625"/>
      <c r="M133" s="625" t="s">
        <v>162</v>
      </c>
      <c r="N133" s="660"/>
      <c r="O133" s="658" t="s">
        <v>162</v>
      </c>
      <c r="P133" s="658"/>
      <c r="Q133" s="658" t="s">
        <v>162</v>
      </c>
    </row>
    <row r="134" spans="1:17" s="57" customFormat="1" ht="14.25" customHeight="1" x14ac:dyDescent="0.2">
      <c r="A134" s="628" t="s">
        <v>1</v>
      </c>
      <c r="B134" s="629" t="s">
        <v>419</v>
      </c>
      <c r="C134" s="629"/>
      <c r="D134" s="624"/>
      <c r="E134" s="624"/>
      <c r="F134" s="440"/>
      <c r="G134" s="441">
        <f>G40</f>
        <v>2775.88</v>
      </c>
      <c r="H134" s="440"/>
      <c r="I134" s="441">
        <f>I40</f>
        <v>2775.88</v>
      </c>
      <c r="J134" s="440"/>
      <c r="K134" s="441">
        <f>K40</f>
        <v>2892.8</v>
      </c>
      <c r="L134" s="440"/>
      <c r="M134" s="441">
        <f>M40</f>
        <v>2892.8</v>
      </c>
      <c r="N134" s="554"/>
      <c r="O134" s="441">
        <f>O40</f>
        <v>2952.67</v>
      </c>
      <c r="P134" s="440"/>
      <c r="Q134" s="441">
        <f>Q40</f>
        <v>2952.67</v>
      </c>
    </row>
    <row r="135" spans="1:17" s="57" customFormat="1" ht="14.25" customHeight="1" x14ac:dyDescent="0.2">
      <c r="A135" s="628" t="s">
        <v>2</v>
      </c>
      <c r="B135" s="629" t="s">
        <v>420</v>
      </c>
      <c r="C135" s="629"/>
      <c r="D135" s="624"/>
      <c r="E135" s="624"/>
      <c r="F135" s="440"/>
      <c r="G135" s="441">
        <f>G55</f>
        <v>575.83000000000004</v>
      </c>
      <c r="H135" s="440"/>
      <c r="I135" s="441">
        <f>I55</f>
        <v>575.83000000000004</v>
      </c>
      <c r="J135" s="440"/>
      <c r="K135" s="441">
        <f>K55</f>
        <v>601.09</v>
      </c>
      <c r="L135" s="440"/>
      <c r="M135" s="441">
        <f>M55</f>
        <v>601.09</v>
      </c>
      <c r="N135" s="554"/>
      <c r="O135" s="441">
        <f>O55</f>
        <v>609.64</v>
      </c>
      <c r="P135" s="440"/>
      <c r="Q135" s="441">
        <f>Q55</f>
        <v>609.64</v>
      </c>
    </row>
    <row r="136" spans="1:17" s="57" customFormat="1" ht="14.25" customHeight="1" x14ac:dyDescent="0.2">
      <c r="A136" s="628" t="s">
        <v>4</v>
      </c>
      <c r="B136" s="629" t="s">
        <v>421</v>
      </c>
      <c r="C136" s="629"/>
      <c r="D136" s="624"/>
      <c r="E136" s="624"/>
      <c r="F136" s="440"/>
      <c r="G136" s="441">
        <f>G62</f>
        <v>275.79000000000002</v>
      </c>
      <c r="H136" s="440"/>
      <c r="I136" s="441">
        <f>I62</f>
        <v>275.79000000000002</v>
      </c>
      <c r="J136" s="440"/>
      <c r="K136" s="441">
        <f>K62</f>
        <v>275.79000000000002</v>
      </c>
      <c r="L136" s="440"/>
      <c r="M136" s="441">
        <f>M62</f>
        <v>273.55</v>
      </c>
      <c r="N136" s="554"/>
      <c r="O136" s="441">
        <f>O62</f>
        <v>275.79000000000002</v>
      </c>
      <c r="P136" s="440"/>
      <c r="Q136" s="441">
        <f>Q62</f>
        <v>273.55</v>
      </c>
    </row>
    <row r="137" spans="1:17" s="57" customFormat="1" ht="14.25" customHeight="1" x14ac:dyDescent="0.2">
      <c r="A137" s="628" t="s">
        <v>5</v>
      </c>
      <c r="B137" s="629" t="s">
        <v>422</v>
      </c>
      <c r="C137" s="629"/>
      <c r="D137" s="624"/>
      <c r="E137" s="624"/>
      <c r="F137" s="440"/>
      <c r="G137" s="441">
        <f>G121</f>
        <v>2039.16</v>
      </c>
      <c r="H137" s="440"/>
      <c r="I137" s="441">
        <f>I121</f>
        <v>1951.45</v>
      </c>
      <c r="J137" s="440"/>
      <c r="K137" s="441">
        <f>K121</f>
        <v>2125.06</v>
      </c>
      <c r="L137" s="440"/>
      <c r="M137" s="441">
        <f>M121</f>
        <v>2033.65</v>
      </c>
      <c r="N137" s="554"/>
      <c r="O137" s="441">
        <f>O121</f>
        <v>2179.96</v>
      </c>
      <c r="P137" s="440"/>
      <c r="Q137" s="441">
        <f>Q121</f>
        <v>2086.66</v>
      </c>
    </row>
    <row r="138" spans="1:17" s="57" customFormat="1" x14ac:dyDescent="0.2">
      <c r="A138" s="926" t="s">
        <v>114</v>
      </c>
      <c r="B138" s="926"/>
      <c r="C138" s="926"/>
      <c r="D138" s="926"/>
      <c r="E138" s="926"/>
      <c r="F138" s="926"/>
      <c r="G138" s="441">
        <f>SUM(G134:G137)</f>
        <v>5666.66</v>
      </c>
      <c r="H138" s="441"/>
      <c r="I138" s="441">
        <f>SUM(I134:I137)</f>
        <v>5578.95</v>
      </c>
      <c r="J138" s="441"/>
      <c r="K138" s="441">
        <f>SUM(K134:K137)</f>
        <v>5894.74</v>
      </c>
      <c r="L138" s="441"/>
      <c r="M138" s="441">
        <f>SUM(M134:M137)</f>
        <v>5801.09</v>
      </c>
      <c r="N138" s="565"/>
      <c r="O138" s="441">
        <f>SUM(O134:O137)</f>
        <v>6018.06</v>
      </c>
      <c r="P138" s="441"/>
      <c r="Q138" s="441">
        <f>SUM(Q134:Q137)</f>
        <v>5922.52</v>
      </c>
    </row>
    <row r="139" spans="1:17" s="57" customFormat="1" ht="14.25" customHeight="1" x14ac:dyDescent="0.2">
      <c r="A139" s="628" t="s">
        <v>6</v>
      </c>
      <c r="B139" s="629" t="s">
        <v>423</v>
      </c>
      <c r="C139" s="629"/>
      <c r="D139" s="624"/>
      <c r="E139" s="624"/>
      <c r="F139" s="440"/>
      <c r="G139" s="441">
        <f>G130</f>
        <v>1219.9100000000001</v>
      </c>
      <c r="H139" s="440"/>
      <c r="I139" s="441">
        <f>I130</f>
        <v>1128.53</v>
      </c>
      <c r="J139" s="440"/>
      <c r="K139" s="441">
        <f>K130</f>
        <v>1269.02</v>
      </c>
      <c r="L139" s="440"/>
      <c r="M139" s="441">
        <f>M130</f>
        <v>1173.48</v>
      </c>
      <c r="N139" s="554"/>
      <c r="O139" s="441">
        <f>O130</f>
        <v>1295.56</v>
      </c>
      <c r="P139" s="440"/>
      <c r="Q139" s="441">
        <f>Q130</f>
        <v>1198.05</v>
      </c>
    </row>
    <row r="140" spans="1:17" s="57" customFormat="1" ht="15.75" customHeight="1" x14ac:dyDescent="0.2">
      <c r="A140" s="892" t="s">
        <v>342</v>
      </c>
      <c r="B140" s="892"/>
      <c r="C140" s="892"/>
      <c r="D140" s="892"/>
      <c r="E140" s="892"/>
      <c r="F140" s="892"/>
      <c r="G140" s="465">
        <f>SUM(G138:G139)</f>
        <v>6886.57</v>
      </c>
      <c r="H140" s="465"/>
      <c r="I140" s="465">
        <f>SUM(I138:I139)</f>
        <v>6707.48</v>
      </c>
      <c r="J140" s="465"/>
      <c r="K140" s="465">
        <f>SUM(K138:K139)</f>
        <v>7163.76</v>
      </c>
      <c r="L140" s="465"/>
      <c r="M140" s="465">
        <f>SUM(M138:M139)</f>
        <v>6974.57</v>
      </c>
      <c r="N140" s="566"/>
      <c r="O140" s="465">
        <f>SUM(O138:O139)</f>
        <v>7313.62</v>
      </c>
      <c r="P140" s="465"/>
      <c r="Q140" s="465">
        <f>SUM(Q138:Q139)</f>
        <v>7120.57</v>
      </c>
    </row>
    <row r="141" spans="1:17" s="60" customFormat="1" x14ac:dyDescent="0.2">
      <c r="A141" s="24"/>
      <c r="B141" s="34"/>
      <c r="C141" s="34"/>
      <c r="D141" s="34"/>
      <c r="E141" s="34"/>
      <c r="F141" s="35"/>
      <c r="G141" s="36">
        <v>6886.57</v>
      </c>
      <c r="H141" s="35"/>
      <c r="I141" s="36">
        <v>6707.48</v>
      </c>
      <c r="J141" s="35"/>
      <c r="K141" s="36"/>
    </row>
    <row r="142" spans="1:17" s="57" customFormat="1" x14ac:dyDescent="0.2">
      <c r="A142" s="22"/>
      <c r="B142" s="22"/>
      <c r="C142" s="22"/>
      <c r="D142" s="22"/>
      <c r="E142" s="22"/>
      <c r="F142" s="22"/>
      <c r="G142" s="23"/>
      <c r="H142" s="22"/>
      <c r="I142" s="23"/>
      <c r="J142" s="22"/>
      <c r="K142" s="23"/>
      <c r="Q142" s="687"/>
    </row>
    <row r="143" spans="1:17" s="57" customFormat="1" x14ac:dyDescent="0.2">
      <c r="A143" s="22"/>
      <c r="B143" s="22"/>
      <c r="C143" s="22"/>
      <c r="D143" s="22"/>
      <c r="E143" s="22"/>
      <c r="F143" s="22"/>
      <c r="G143" s="23"/>
      <c r="H143" s="22"/>
      <c r="I143" s="23"/>
      <c r="J143" s="22"/>
      <c r="K143" s="23"/>
    </row>
    <row r="144" spans="1:17" s="57" customFormat="1" x14ac:dyDescent="0.2">
      <c r="A144" s="22"/>
      <c r="B144" s="22"/>
      <c r="C144" s="22"/>
      <c r="D144" s="22"/>
      <c r="E144" s="22"/>
      <c r="F144" s="22"/>
      <c r="G144" s="23"/>
      <c r="H144" s="22"/>
      <c r="I144" s="23"/>
      <c r="J144" s="22"/>
      <c r="K144" s="23"/>
    </row>
    <row r="145" spans="1:11" s="57" customFormat="1" x14ac:dyDescent="0.2">
      <c r="A145" s="22"/>
      <c r="B145" s="22"/>
      <c r="C145" s="22"/>
      <c r="D145" s="22"/>
      <c r="E145" s="22"/>
      <c r="F145" s="22"/>
      <c r="G145" s="23"/>
      <c r="H145" s="22"/>
      <c r="I145" s="23"/>
      <c r="J145" s="22"/>
      <c r="K145" s="23"/>
    </row>
    <row r="146" spans="1:11" s="57" customFormat="1" x14ac:dyDescent="0.2">
      <c r="A146" s="22"/>
      <c r="B146" s="22"/>
      <c r="C146" s="22"/>
      <c r="D146" s="22"/>
      <c r="E146" s="22"/>
      <c r="F146" s="22"/>
      <c r="G146" s="23"/>
      <c r="H146" s="22"/>
      <c r="I146" s="23"/>
      <c r="J146" s="22"/>
      <c r="K146" s="23"/>
    </row>
    <row r="147" spans="1:11" s="57" customFormat="1" x14ac:dyDescent="0.2">
      <c r="A147" s="22"/>
      <c r="B147" s="22"/>
      <c r="C147" s="22"/>
      <c r="D147" s="22"/>
      <c r="E147" s="22"/>
      <c r="F147" s="22"/>
      <c r="G147" s="23"/>
      <c r="H147" s="22"/>
      <c r="I147" s="23"/>
      <c r="J147" s="22"/>
      <c r="K147" s="23"/>
    </row>
    <row r="148" spans="1:11" s="57" customFormat="1" x14ac:dyDescent="0.2">
      <c r="A148" s="22"/>
      <c r="B148" s="22"/>
      <c r="C148" s="22"/>
      <c r="D148" s="22"/>
      <c r="E148" s="22"/>
      <c r="F148" s="22"/>
      <c r="G148" s="23"/>
      <c r="H148" s="22"/>
      <c r="I148" s="23"/>
      <c r="J148" s="22"/>
      <c r="K148" s="23"/>
    </row>
  </sheetData>
  <mergeCells count="131">
    <mergeCell ref="P8:Q8"/>
    <mergeCell ref="J9:K10"/>
    <mergeCell ref="L9:M10"/>
    <mergeCell ref="A11:E11"/>
    <mergeCell ref="A4:G4"/>
    <mergeCell ref="A5:G5"/>
    <mergeCell ref="F12:G12"/>
    <mergeCell ref="L12:M12"/>
    <mergeCell ref="F13:G13"/>
    <mergeCell ref="N11:O11"/>
    <mergeCell ref="P11:Q11"/>
    <mergeCell ref="N12:O12"/>
    <mergeCell ref="P12:Q12"/>
    <mergeCell ref="N13:O13"/>
    <mergeCell ref="P13:Q13"/>
    <mergeCell ref="A14:A15"/>
    <mergeCell ref="B14:E15"/>
    <mergeCell ref="F14:G14"/>
    <mergeCell ref="F15:G15"/>
    <mergeCell ref="F11:G11"/>
    <mergeCell ref="J8:M8"/>
    <mergeCell ref="J15:K15"/>
    <mergeCell ref="F16:G16"/>
    <mergeCell ref="A17:G17"/>
    <mergeCell ref="H11:I11"/>
    <mergeCell ref="J11:K11"/>
    <mergeCell ref="L11:M11"/>
    <mergeCell ref="H12:I12"/>
    <mergeCell ref="J12:K12"/>
    <mergeCell ref="H13:I13"/>
    <mergeCell ref="J13:K13"/>
    <mergeCell ref="H14:I14"/>
    <mergeCell ref="L13:M13"/>
    <mergeCell ref="L14:M14"/>
    <mergeCell ref="B18:D18"/>
    <mergeCell ref="B19:D19"/>
    <mergeCell ref="A21:G21"/>
    <mergeCell ref="A22:G22"/>
    <mergeCell ref="A23:G23"/>
    <mergeCell ref="B24:E24"/>
    <mergeCell ref="F24:G24"/>
    <mergeCell ref="B25:E25"/>
    <mergeCell ref="F25:G25"/>
    <mergeCell ref="B26:E26"/>
    <mergeCell ref="F26:G26"/>
    <mergeCell ref="B27:E27"/>
    <mergeCell ref="F27:G27"/>
    <mergeCell ref="A29:G29"/>
    <mergeCell ref="B30:E30"/>
    <mergeCell ref="B33:E33"/>
    <mergeCell ref="A91:G91"/>
    <mergeCell ref="B52:E52"/>
    <mergeCell ref="B55:F55"/>
    <mergeCell ref="A57:G57"/>
    <mergeCell ref="B58:E58"/>
    <mergeCell ref="B62:F62"/>
    <mergeCell ref="A64:G64"/>
    <mergeCell ref="A65:G65"/>
    <mergeCell ref="B66:E66"/>
    <mergeCell ref="A75:E75"/>
    <mergeCell ref="A77:G77"/>
    <mergeCell ref="A46:A47"/>
    <mergeCell ref="B78:E78"/>
    <mergeCell ref="A81:E81"/>
    <mergeCell ref="B82:E82"/>
    <mergeCell ref="A83:E83"/>
    <mergeCell ref="A85:G85"/>
    <mergeCell ref="B86:E86"/>
    <mergeCell ref="A89:E89"/>
    <mergeCell ref="B46:E46"/>
    <mergeCell ref="B48:E48"/>
    <mergeCell ref="B49:E49"/>
    <mergeCell ref="B92:E92"/>
    <mergeCell ref="A99:E99"/>
    <mergeCell ref="A101:G101"/>
    <mergeCell ref="B102:E102"/>
    <mergeCell ref="B47:E47"/>
    <mergeCell ref="A109:E109"/>
    <mergeCell ref="B110:E110"/>
    <mergeCell ref="A111:E111"/>
    <mergeCell ref="A113:G113"/>
    <mergeCell ref="B114:E114"/>
    <mergeCell ref="B121:E121"/>
    <mergeCell ref="A138:F138"/>
    <mergeCell ref="A140:F140"/>
    <mergeCell ref="A123:G123"/>
    <mergeCell ref="B124:E124"/>
    <mergeCell ref="A126:A128"/>
    <mergeCell ref="A130:F130"/>
    <mergeCell ref="A132:G132"/>
    <mergeCell ref="A133:F133"/>
    <mergeCell ref="J27:K27"/>
    <mergeCell ref="J14:K14"/>
    <mergeCell ref="H15:I15"/>
    <mergeCell ref="H16:I16"/>
    <mergeCell ref="J16:K16"/>
    <mergeCell ref="H24:I24"/>
    <mergeCell ref="J24:K24"/>
    <mergeCell ref="L26:M26"/>
    <mergeCell ref="L27:M27"/>
    <mergeCell ref="L15:M15"/>
    <mergeCell ref="L16:M16"/>
    <mergeCell ref="L24:M24"/>
    <mergeCell ref="L25:M25"/>
    <mergeCell ref="H25:I25"/>
    <mergeCell ref="J25:K25"/>
    <mergeCell ref="H26:I26"/>
    <mergeCell ref="B38:E38"/>
    <mergeCell ref="B39:E39"/>
    <mergeCell ref="B40:F40"/>
    <mergeCell ref="A42:G42"/>
    <mergeCell ref="B43:E43"/>
    <mergeCell ref="A44:A45"/>
    <mergeCell ref="N9:O10"/>
    <mergeCell ref="P9:Q10"/>
    <mergeCell ref="N25:O25"/>
    <mergeCell ref="P25:Q25"/>
    <mergeCell ref="N26:O26"/>
    <mergeCell ref="P26:Q26"/>
    <mergeCell ref="N16:O16"/>
    <mergeCell ref="P16:Q16"/>
    <mergeCell ref="N27:O27"/>
    <mergeCell ref="P27:Q27"/>
    <mergeCell ref="N14:O14"/>
    <mergeCell ref="P14:Q14"/>
    <mergeCell ref="N15:O15"/>
    <mergeCell ref="P15:Q15"/>
    <mergeCell ref="N24:O24"/>
    <mergeCell ref="P24:Q24"/>
    <mergeCell ref="J26:K26"/>
    <mergeCell ref="H27:I27"/>
  </mergeCells>
  <printOptions horizontalCentered="1"/>
  <pageMargins left="0.55118110236220474" right="0.55118110236220474" top="1.7716535433070868" bottom="0.43307086614173229" header="0.15748031496062992" footer="0.23622047244094491"/>
  <pageSetup paperSize="9" scale="41" fitToHeight="0" orientation="portrait" r:id="rId1"/>
  <headerFooter alignWithMargins="0">
    <oddHeader>&amp;L&amp;"Cambria,Negrito"&amp;8PROPOSTA Nº 011/2017 - MME</oddHeader>
  </headerFooter>
  <rowBreaks count="1" manualBreakCount="1">
    <brk id="75" max="16" man="1"/>
  </rowBreaks>
  <ignoredErrors>
    <ignoredError sqref="F18:G19 F25:G27 G45 G59 G33 G61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tabColor theme="8" tint="0.79998168889431442"/>
  </sheetPr>
  <dimension ref="A1:R151"/>
  <sheetViews>
    <sheetView view="pageBreakPreview" zoomScale="70" zoomScaleNormal="100" zoomScaleSheetLayoutView="70" workbookViewId="0">
      <pane ySplit="11" topLeftCell="A33" activePane="bottomLeft" state="frozen"/>
      <selection pane="bottomLeft" activeCell="R42" sqref="R42"/>
    </sheetView>
  </sheetViews>
  <sheetFormatPr defaultRowHeight="14.25" x14ac:dyDescent="0.2"/>
  <cols>
    <col min="1" max="1" width="5.7109375" style="22" customWidth="1"/>
    <col min="2" max="2" width="20.85546875" style="22" customWidth="1"/>
    <col min="3" max="3" width="13.7109375" style="22" customWidth="1"/>
    <col min="4" max="4" width="14.140625" style="22" customWidth="1"/>
    <col min="5" max="5" width="16" style="22" bestFit="1" customWidth="1"/>
    <col min="6" max="6" width="14.28515625" style="22" hidden="1" customWidth="1"/>
    <col min="7" max="7" width="17" style="23" hidden="1" customWidth="1"/>
    <col min="8" max="8" width="15.28515625" style="23" hidden="1" customWidth="1"/>
    <col min="9" max="9" width="18" style="23" hidden="1" customWidth="1"/>
    <col min="10" max="10" width="15.28515625" style="23" customWidth="1"/>
    <col min="11" max="11" width="18" style="23" bestFit="1" customWidth="1"/>
    <col min="12" max="12" width="15.28515625" style="23" customWidth="1"/>
    <col min="13" max="13" width="18" style="57" bestFit="1" customWidth="1"/>
    <col min="14" max="15" width="18" style="57" customWidth="1"/>
    <col min="16" max="16" width="12.85546875" style="57" bestFit="1" customWidth="1"/>
    <col min="17" max="17" width="9.140625" style="57"/>
    <col min="18" max="19" width="9.140625" style="56"/>
    <col min="20" max="20" width="9.140625" style="56" customWidth="1"/>
    <col min="21" max="16384" width="9.140625" style="56"/>
  </cols>
  <sheetData>
    <row r="1" spans="1:15" ht="11.25" customHeight="1" x14ac:dyDescent="0.2">
      <c r="A1" s="18" t="s">
        <v>89</v>
      </c>
      <c r="B1" s="19"/>
      <c r="C1" s="19"/>
      <c r="D1" s="19"/>
      <c r="E1" s="19"/>
      <c r="F1" s="19"/>
      <c r="G1" s="20"/>
      <c r="H1" s="20"/>
      <c r="I1" s="20"/>
      <c r="J1" s="20"/>
      <c r="K1" s="20"/>
      <c r="L1" s="20"/>
    </row>
    <row r="2" spans="1:15" ht="11.25" customHeight="1" x14ac:dyDescent="0.2">
      <c r="A2" s="18" t="s">
        <v>100</v>
      </c>
      <c r="B2" s="19"/>
      <c r="C2" s="19"/>
      <c r="D2" s="19"/>
      <c r="E2" s="19"/>
      <c r="F2" s="19"/>
      <c r="G2" s="20"/>
      <c r="H2" s="20"/>
      <c r="I2" s="20"/>
      <c r="J2" s="20"/>
      <c r="K2" s="20"/>
      <c r="L2" s="20"/>
    </row>
    <row r="3" spans="1:15" x14ac:dyDescent="0.2">
      <c r="A3" s="21"/>
    </row>
    <row r="4" spans="1:15" s="57" customFormat="1" x14ac:dyDescent="0.2">
      <c r="A4" s="868" t="s">
        <v>358</v>
      </c>
      <c r="B4" s="868"/>
      <c r="C4" s="868"/>
      <c r="D4" s="868"/>
      <c r="E4" s="868"/>
      <c r="F4" s="868"/>
      <c r="G4" s="868"/>
      <c r="H4" s="621"/>
      <c r="I4" s="621"/>
      <c r="J4" s="410"/>
      <c r="K4" s="410"/>
      <c r="L4" s="410"/>
    </row>
    <row r="5" spans="1:15" s="57" customFormat="1" ht="15.75" customHeight="1" x14ac:dyDescent="0.2">
      <c r="A5" s="868" t="str">
        <f>DADOS!A19</f>
        <v>PLANILHA DE CUSTOS E FORMAÇÃO DE PREÇOS - MME</v>
      </c>
      <c r="B5" s="868"/>
      <c r="C5" s="868"/>
      <c r="D5" s="868"/>
      <c r="E5" s="868"/>
      <c r="F5" s="868"/>
      <c r="G5" s="868"/>
      <c r="H5" s="621"/>
      <c r="I5" s="621"/>
      <c r="J5" s="410"/>
      <c r="K5" s="410"/>
      <c r="L5" s="410"/>
    </row>
    <row r="6" spans="1:15" s="57" customForma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5" s="57" customFormat="1" ht="15.75" customHeight="1" x14ac:dyDescent="0.2">
      <c r="A7" s="37" t="str">
        <f>DADOS!A3&amp;  " " &amp;DADOS!C3</f>
        <v>Processo nº 48000.001766/2016-11</v>
      </c>
      <c r="B7" s="37"/>
      <c r="C7" s="65"/>
      <c r="D7" s="65"/>
      <c r="E7" s="30"/>
      <c r="F7" s="26"/>
      <c r="G7" s="27"/>
      <c r="H7" s="27"/>
      <c r="I7" s="27"/>
      <c r="J7" s="27"/>
      <c r="K7" s="27"/>
      <c r="L7" s="27"/>
    </row>
    <row r="8" spans="1:15" s="57" customFormat="1" ht="15.75" customHeight="1" x14ac:dyDescent="0.2">
      <c r="A8" s="37" t="str">
        <f>DADOS!B8 &amp; " " &amp; DADOS!C8</f>
        <v>Pregão Eletrônico nº 001/2017</v>
      </c>
      <c r="B8" s="37"/>
      <c r="C8" s="64"/>
      <c r="D8" s="64"/>
      <c r="E8" s="30"/>
      <c r="F8" s="26"/>
      <c r="G8" s="27"/>
      <c r="H8" s="27"/>
      <c r="I8" s="27"/>
      <c r="J8" s="915" t="s">
        <v>427</v>
      </c>
      <c r="K8" s="915"/>
      <c r="L8" s="915"/>
      <c r="M8" s="915"/>
      <c r="N8" s="916" t="s">
        <v>428</v>
      </c>
      <c r="O8" s="917"/>
    </row>
    <row r="9" spans="1:15" s="57" customFormat="1" ht="15.75" customHeight="1" x14ac:dyDescent="0.2">
      <c r="A9" s="28" t="s">
        <v>301</v>
      </c>
      <c r="B9" s="52"/>
      <c r="C9" s="52"/>
      <c r="D9" s="29"/>
      <c r="E9" s="30"/>
      <c r="F9" s="31"/>
      <c r="G9" s="32"/>
      <c r="H9" s="32"/>
      <c r="I9" s="32"/>
      <c r="J9" s="929" t="s">
        <v>424</v>
      </c>
      <c r="K9" s="929"/>
      <c r="L9" s="929" t="s">
        <v>425</v>
      </c>
      <c r="M9" s="929"/>
      <c r="N9" s="922" t="s">
        <v>433</v>
      </c>
      <c r="O9" s="922"/>
    </row>
    <row r="10" spans="1:15" s="57" customFormat="1" ht="78" customHeight="1" thickBot="1" x14ac:dyDescent="0.25">
      <c r="A10" s="33"/>
      <c r="B10" s="33"/>
      <c r="C10" s="33"/>
      <c r="D10" s="25"/>
      <c r="E10" s="30"/>
      <c r="F10" s="31"/>
      <c r="G10" s="32"/>
      <c r="H10" s="32"/>
      <c r="I10" s="32"/>
      <c r="J10" s="929"/>
      <c r="K10" s="929"/>
      <c r="L10" s="929"/>
      <c r="M10" s="929"/>
      <c r="N10" s="923"/>
      <c r="O10" s="923"/>
    </row>
    <row r="11" spans="1:15" s="57" customFormat="1" ht="48" customHeight="1" thickBot="1" x14ac:dyDescent="0.25">
      <c r="A11" s="870" t="s">
        <v>138</v>
      </c>
      <c r="B11" s="875"/>
      <c r="C11" s="875"/>
      <c r="D11" s="875"/>
      <c r="E11" s="865"/>
      <c r="F11" s="876" t="s">
        <v>416</v>
      </c>
      <c r="G11" s="877"/>
      <c r="H11" s="906" t="s">
        <v>414</v>
      </c>
      <c r="I11" s="907"/>
      <c r="J11" s="919" t="s">
        <v>402</v>
      </c>
      <c r="K11" s="861"/>
      <c r="L11" s="861" t="s">
        <v>403</v>
      </c>
      <c r="M11" s="861"/>
      <c r="N11" s="861" t="s">
        <v>403</v>
      </c>
      <c r="O11" s="861"/>
    </row>
    <row r="12" spans="1:15" s="57" customFormat="1" ht="15.75" customHeight="1" x14ac:dyDescent="0.2">
      <c r="A12" s="414" t="s">
        <v>1</v>
      </c>
      <c r="B12" s="415" t="s">
        <v>134</v>
      </c>
      <c r="C12" s="415"/>
      <c r="D12" s="416"/>
      <c r="E12" s="417"/>
      <c r="F12" s="860">
        <f>DADOS!C4</f>
        <v>42788</v>
      </c>
      <c r="G12" s="862"/>
      <c r="H12" s="860">
        <v>43158</v>
      </c>
      <c r="I12" s="862"/>
      <c r="J12" s="860">
        <v>43146</v>
      </c>
      <c r="K12" s="862"/>
      <c r="L12" s="860">
        <v>43146</v>
      </c>
      <c r="M12" s="862"/>
      <c r="N12" s="860"/>
      <c r="O12" s="862"/>
    </row>
    <row r="13" spans="1:15" s="57" customFormat="1" ht="15.75" customHeight="1" x14ac:dyDescent="0.2">
      <c r="A13" s="414" t="s">
        <v>2</v>
      </c>
      <c r="B13" s="416" t="s">
        <v>3</v>
      </c>
      <c r="C13" s="416"/>
      <c r="D13" s="416"/>
      <c r="E13" s="418"/>
      <c r="F13" s="860" t="str">
        <f>DADOS!C5</f>
        <v>Brasília - DF</v>
      </c>
      <c r="G13" s="862"/>
      <c r="H13" s="860" t="str">
        <f>DADOS!A5</f>
        <v>MUNICÍPIO:</v>
      </c>
      <c r="I13" s="862"/>
      <c r="J13" s="860" t="str">
        <f>DADOS!C5</f>
        <v>Brasília - DF</v>
      </c>
      <c r="K13" s="862"/>
      <c r="L13" s="860" t="str">
        <f>DADOS!C5</f>
        <v>Brasília - DF</v>
      </c>
      <c r="M13" s="862"/>
      <c r="N13" s="863">
        <f>DADOS!I5</f>
        <v>0</v>
      </c>
      <c r="O13" s="862"/>
    </row>
    <row r="14" spans="1:15" s="57" customFormat="1" ht="15" customHeight="1" x14ac:dyDescent="0.2">
      <c r="A14" s="885" t="s">
        <v>4</v>
      </c>
      <c r="B14" s="886" t="s">
        <v>133</v>
      </c>
      <c r="C14" s="886"/>
      <c r="D14" s="886"/>
      <c r="E14" s="886"/>
      <c r="F14" s="862" t="str">
        <f>DADOS!H82</f>
        <v>SINDESV/SINDESP-DF</v>
      </c>
      <c r="G14" s="862"/>
      <c r="H14" s="862" t="s">
        <v>69</v>
      </c>
      <c r="I14" s="862"/>
      <c r="J14" s="862" t="s">
        <v>69</v>
      </c>
      <c r="K14" s="862"/>
      <c r="L14" s="862" t="s">
        <v>69</v>
      </c>
      <c r="M14" s="862"/>
      <c r="N14" s="862" t="s">
        <v>69</v>
      </c>
      <c r="O14" s="862"/>
    </row>
    <row r="15" spans="1:15" s="57" customFormat="1" ht="15" customHeight="1" x14ac:dyDescent="0.2">
      <c r="A15" s="885"/>
      <c r="B15" s="886"/>
      <c r="C15" s="886"/>
      <c r="D15" s="886"/>
      <c r="E15" s="886"/>
      <c r="F15" s="862" t="str">
        <f>DADOS!C11</f>
        <v>2016/2016</v>
      </c>
      <c r="G15" s="862"/>
      <c r="H15" s="864" t="s">
        <v>397</v>
      </c>
      <c r="I15" s="864"/>
      <c r="J15" s="864" t="s">
        <v>397</v>
      </c>
      <c r="K15" s="864"/>
      <c r="L15" s="864" t="s">
        <v>397</v>
      </c>
      <c r="M15" s="864"/>
      <c r="N15" s="918" t="s">
        <v>397</v>
      </c>
      <c r="O15" s="918"/>
    </row>
    <row r="16" spans="1:15" s="57" customFormat="1" ht="15" customHeight="1" x14ac:dyDescent="0.2">
      <c r="A16" s="414" t="s">
        <v>5</v>
      </c>
      <c r="B16" s="415" t="s">
        <v>135</v>
      </c>
      <c r="C16" s="415"/>
      <c r="D16" s="416"/>
      <c r="E16" s="418"/>
      <c r="F16" s="862">
        <f>DADOS!C13</f>
        <v>12</v>
      </c>
      <c r="G16" s="862"/>
      <c r="H16" s="862" t="str">
        <f>DADOS!A13</f>
        <v>Nº MESES EXEC. CONTR.:</v>
      </c>
      <c r="I16" s="862"/>
      <c r="J16" s="862">
        <f>DADOS!C13</f>
        <v>12</v>
      </c>
      <c r="K16" s="862"/>
      <c r="L16" s="862">
        <f>DADOS!C13</f>
        <v>12</v>
      </c>
      <c r="M16" s="862"/>
      <c r="N16" s="862">
        <f>DADOS!I13</f>
        <v>0</v>
      </c>
      <c r="O16" s="862"/>
    </row>
    <row r="17" spans="1:15" s="57" customFormat="1" ht="16.5" customHeight="1" x14ac:dyDescent="0.2">
      <c r="A17" s="871" t="s">
        <v>117</v>
      </c>
      <c r="B17" s="871"/>
      <c r="C17" s="871"/>
      <c r="D17" s="871"/>
      <c r="E17" s="871"/>
      <c r="F17" s="871"/>
      <c r="G17" s="871"/>
      <c r="H17" s="618"/>
      <c r="I17" s="618"/>
      <c r="J17" s="422"/>
      <c r="K17" s="422"/>
      <c r="L17" s="422"/>
      <c r="M17" s="422"/>
      <c r="N17" s="663"/>
      <c r="O17" s="663"/>
    </row>
    <row r="18" spans="1:15" s="57" customFormat="1" ht="34.5" customHeight="1" x14ac:dyDescent="0.2">
      <c r="A18" s="423">
        <v>1</v>
      </c>
      <c r="B18" s="871" t="s">
        <v>101</v>
      </c>
      <c r="C18" s="871"/>
      <c r="D18" s="871"/>
      <c r="E18" s="424" t="s">
        <v>132</v>
      </c>
      <c r="F18" s="424" t="s">
        <v>95</v>
      </c>
      <c r="G18" s="424" t="s">
        <v>137</v>
      </c>
      <c r="H18" s="622" t="s">
        <v>95</v>
      </c>
      <c r="I18" s="622" t="s">
        <v>137</v>
      </c>
      <c r="J18" s="424" t="s">
        <v>95</v>
      </c>
      <c r="K18" s="424" t="s">
        <v>137</v>
      </c>
      <c r="L18" s="424" t="s">
        <v>95</v>
      </c>
      <c r="M18" s="424" t="s">
        <v>137</v>
      </c>
      <c r="N18" s="659" t="s">
        <v>95</v>
      </c>
      <c r="O18" s="659" t="s">
        <v>137</v>
      </c>
    </row>
    <row r="19" spans="1:15" s="57" customFormat="1" ht="30.75" customHeight="1" x14ac:dyDescent="0.2">
      <c r="A19" s="466" t="s">
        <v>136</v>
      </c>
      <c r="B19" s="871" t="s">
        <v>362</v>
      </c>
      <c r="C19" s="871"/>
      <c r="D19" s="871"/>
      <c r="E19" s="468" t="str">
        <f>DADOS!C12</f>
        <v>Posto de Serviço</v>
      </c>
      <c r="F19" s="469">
        <f>DADOS!J75</f>
        <v>1</v>
      </c>
      <c r="G19" s="469">
        <f>DADOS!L75</f>
        <v>2</v>
      </c>
      <c r="H19" s="469">
        <v>1</v>
      </c>
      <c r="I19" s="469">
        <v>2</v>
      </c>
      <c r="J19" s="425">
        <v>1</v>
      </c>
      <c r="K19" s="425">
        <v>2</v>
      </c>
      <c r="L19" s="425">
        <v>1</v>
      </c>
      <c r="M19" s="425">
        <v>2</v>
      </c>
      <c r="N19" s="425">
        <v>1</v>
      </c>
      <c r="O19" s="425">
        <v>2</v>
      </c>
    </row>
    <row r="20" spans="1:15" s="57" customFormat="1" ht="14.25" customHeight="1" x14ac:dyDescent="0.2">
      <c r="A20" s="414"/>
      <c r="B20" s="414"/>
      <c r="C20" s="414"/>
      <c r="D20" s="414"/>
      <c r="E20" s="414"/>
      <c r="F20" s="426">
        <v>1</v>
      </c>
      <c r="G20" s="427"/>
      <c r="H20" s="426">
        <v>1</v>
      </c>
      <c r="I20" s="427"/>
      <c r="J20" s="426">
        <v>1</v>
      </c>
      <c r="K20" s="427"/>
      <c r="L20" s="426">
        <v>1</v>
      </c>
      <c r="M20" s="427"/>
      <c r="N20" s="426">
        <v>1</v>
      </c>
      <c r="O20" s="427"/>
    </row>
    <row r="21" spans="1:15" s="57" customFormat="1" ht="14.25" customHeight="1" x14ac:dyDescent="0.2">
      <c r="A21" s="881" t="s">
        <v>309</v>
      </c>
      <c r="B21" s="881"/>
      <c r="C21" s="881"/>
      <c r="D21" s="881"/>
      <c r="E21" s="881"/>
      <c r="F21" s="881"/>
      <c r="G21" s="881"/>
      <c r="H21" s="616"/>
      <c r="I21" s="616"/>
      <c r="J21" s="429"/>
      <c r="K21" s="429"/>
      <c r="L21" s="429"/>
      <c r="M21" s="429"/>
      <c r="N21" s="662"/>
      <c r="O21" s="662"/>
    </row>
    <row r="22" spans="1:15" s="57" customFormat="1" ht="14.25" customHeight="1" x14ac:dyDescent="0.2">
      <c r="A22" s="866" t="s">
        <v>118</v>
      </c>
      <c r="B22" s="866"/>
      <c r="C22" s="866"/>
      <c r="D22" s="866"/>
      <c r="E22" s="866"/>
      <c r="F22" s="866"/>
      <c r="G22" s="866"/>
      <c r="H22" s="616"/>
      <c r="I22" s="616"/>
      <c r="J22" s="429"/>
      <c r="K22" s="429"/>
      <c r="L22" s="429"/>
      <c r="M22" s="429"/>
      <c r="N22" s="658"/>
      <c r="O22" s="658"/>
    </row>
    <row r="23" spans="1:15" s="57" customFormat="1" ht="15" customHeight="1" x14ac:dyDescent="0.2">
      <c r="A23" s="866" t="s">
        <v>182</v>
      </c>
      <c r="B23" s="866"/>
      <c r="C23" s="866"/>
      <c r="D23" s="866"/>
      <c r="E23" s="866"/>
      <c r="F23" s="866"/>
      <c r="G23" s="866"/>
      <c r="H23" s="616"/>
      <c r="I23" s="616"/>
      <c r="J23" s="429"/>
      <c r="K23" s="429"/>
      <c r="L23" s="429"/>
      <c r="M23" s="474"/>
      <c r="N23" s="658"/>
      <c r="O23" s="658"/>
    </row>
    <row r="24" spans="1:15" s="57" customFormat="1" ht="33" customHeight="1" x14ac:dyDescent="0.2">
      <c r="A24" s="414">
        <v>1</v>
      </c>
      <c r="B24" s="872" t="s">
        <v>101</v>
      </c>
      <c r="C24" s="872"/>
      <c r="D24" s="872"/>
      <c r="E24" s="872"/>
      <c r="F24" s="866" t="str">
        <f>B19</f>
        <v>Vigilante Noturno Desarmado - 12x36hs</v>
      </c>
      <c r="G24" s="866"/>
      <c r="H24" s="866" t="s">
        <v>362</v>
      </c>
      <c r="I24" s="866"/>
      <c r="J24" s="866" t="str">
        <f>B19</f>
        <v>Vigilante Noturno Desarmado - 12x36hs</v>
      </c>
      <c r="K24" s="866"/>
      <c r="L24" s="866" t="str">
        <f>B19</f>
        <v>Vigilante Noturno Desarmado - 12x36hs</v>
      </c>
      <c r="M24" s="866"/>
      <c r="N24" s="866" t="s">
        <v>362</v>
      </c>
      <c r="O24" s="866"/>
    </row>
    <row r="25" spans="1:15" s="57" customFormat="1" ht="16.5" customHeight="1" x14ac:dyDescent="0.2">
      <c r="A25" s="414">
        <v>2</v>
      </c>
      <c r="B25" s="872" t="s">
        <v>102</v>
      </c>
      <c r="C25" s="872"/>
      <c r="D25" s="872"/>
      <c r="E25" s="872"/>
      <c r="F25" s="927">
        <f>DADOS!M75</f>
        <v>1888.29</v>
      </c>
      <c r="G25" s="927"/>
      <c r="H25" s="873">
        <v>1888.29</v>
      </c>
      <c r="I25" s="873"/>
      <c r="J25" s="913">
        <v>2012.54</v>
      </c>
      <c r="K25" s="913"/>
      <c r="L25" s="913">
        <v>2012.54</v>
      </c>
      <c r="M25" s="913"/>
      <c r="N25" s="913">
        <v>2054.19</v>
      </c>
      <c r="O25" s="913"/>
    </row>
    <row r="26" spans="1:15" s="57" customFormat="1" ht="60" customHeight="1" x14ac:dyDescent="0.2">
      <c r="A26" s="414">
        <v>3</v>
      </c>
      <c r="B26" s="872" t="s">
        <v>10</v>
      </c>
      <c r="C26" s="872"/>
      <c r="D26" s="872"/>
      <c r="E26" s="872"/>
      <c r="F26" s="859" t="str">
        <f>DADOS!H75</f>
        <v>Vigilante Noturno Desarmado - 12 horas de segunda-feira a domingo, envolvendo 2 (dois) vigilantes em turnos de 12x36hs</v>
      </c>
      <c r="G26" s="859"/>
      <c r="H26" s="859" t="s">
        <v>236</v>
      </c>
      <c r="I26" s="859"/>
      <c r="J26" s="859" t="str">
        <f>DADOS!H75</f>
        <v>Vigilante Noturno Desarmado - 12 horas de segunda-feira a domingo, envolvendo 2 (dois) vigilantes em turnos de 12x36hs</v>
      </c>
      <c r="K26" s="859"/>
      <c r="L26" s="859" t="str">
        <f>DADOS!H75</f>
        <v>Vigilante Noturno Desarmado - 12 horas de segunda-feira a domingo, envolvendo 2 (dois) vigilantes em turnos de 12x36hs</v>
      </c>
      <c r="M26" s="859"/>
      <c r="N26" s="859"/>
      <c r="O26" s="859"/>
    </row>
    <row r="27" spans="1:15" s="57" customFormat="1" ht="16.5" customHeight="1" x14ac:dyDescent="0.2">
      <c r="A27" s="414">
        <v>4</v>
      </c>
      <c r="B27" s="872" t="s">
        <v>11</v>
      </c>
      <c r="C27" s="872"/>
      <c r="D27" s="872"/>
      <c r="E27" s="872"/>
      <c r="F27" s="860" t="str">
        <f>DADOS!M82</f>
        <v>1º de Janeiro</v>
      </c>
      <c r="G27" s="860"/>
      <c r="H27" s="860" t="s">
        <v>311</v>
      </c>
      <c r="I27" s="860"/>
      <c r="J27" s="860" t="str">
        <f>DADOS!M82</f>
        <v>1º de Janeiro</v>
      </c>
      <c r="K27" s="860"/>
      <c r="L27" s="860" t="str">
        <f>DADOS!M82</f>
        <v>1º de Janeiro</v>
      </c>
      <c r="M27" s="860"/>
      <c r="N27" s="860" t="s">
        <v>311</v>
      </c>
      <c r="O27" s="860"/>
    </row>
    <row r="28" spans="1:15" s="57" customFormat="1" x14ac:dyDescent="0.2">
      <c r="A28" s="421"/>
      <c r="B28" s="421"/>
      <c r="C28" s="421"/>
      <c r="D28" s="421"/>
      <c r="E28" s="421"/>
      <c r="F28" s="421"/>
      <c r="G28" s="472"/>
      <c r="H28" s="421"/>
      <c r="I28" s="619"/>
      <c r="J28" s="421"/>
      <c r="K28" s="419"/>
      <c r="L28" s="421"/>
      <c r="M28" s="419"/>
      <c r="N28" s="421"/>
      <c r="O28" s="664"/>
    </row>
    <row r="29" spans="1:15" s="58" customFormat="1" x14ac:dyDescent="0.2">
      <c r="A29" s="866" t="s">
        <v>36</v>
      </c>
      <c r="B29" s="866"/>
      <c r="C29" s="866"/>
      <c r="D29" s="866"/>
      <c r="E29" s="866"/>
      <c r="F29" s="866"/>
      <c r="G29" s="866"/>
      <c r="H29" s="616"/>
      <c r="I29" s="616"/>
      <c r="J29" s="429"/>
      <c r="K29" s="429"/>
      <c r="L29" s="429"/>
      <c r="M29" s="429"/>
      <c r="N29" s="658"/>
      <c r="O29" s="658"/>
    </row>
    <row r="30" spans="1:15" s="57" customFormat="1" ht="18" customHeight="1" x14ac:dyDescent="0.2">
      <c r="A30" s="428">
        <v>1</v>
      </c>
      <c r="B30" s="880" t="s">
        <v>104</v>
      </c>
      <c r="C30" s="880"/>
      <c r="D30" s="880"/>
      <c r="E30" s="880"/>
      <c r="F30" s="428" t="s">
        <v>13</v>
      </c>
      <c r="G30" s="428" t="s">
        <v>141</v>
      </c>
      <c r="H30" s="617" t="s">
        <v>13</v>
      </c>
      <c r="I30" s="617" t="s">
        <v>141</v>
      </c>
      <c r="J30" s="635" t="s">
        <v>13</v>
      </c>
      <c r="K30" s="635" t="s">
        <v>141</v>
      </c>
      <c r="L30" s="635" t="s">
        <v>13</v>
      </c>
      <c r="M30" s="635" t="s">
        <v>141</v>
      </c>
      <c r="N30" s="662" t="s">
        <v>13</v>
      </c>
      <c r="O30" s="662" t="s">
        <v>141</v>
      </c>
    </row>
    <row r="31" spans="1:15" s="57" customFormat="1" ht="18" customHeight="1" x14ac:dyDescent="0.2">
      <c r="A31" s="662"/>
      <c r="B31" s="661"/>
      <c r="C31" s="661"/>
      <c r="D31" s="661"/>
      <c r="E31" s="661"/>
      <c r="F31" s="662"/>
      <c r="G31" s="662"/>
      <c r="H31" s="662"/>
      <c r="I31" s="662"/>
      <c r="J31" s="662"/>
      <c r="K31" s="662"/>
      <c r="L31" s="662"/>
      <c r="M31" s="662"/>
      <c r="N31" s="662"/>
      <c r="O31" s="662"/>
    </row>
    <row r="32" spans="1:15" s="57" customFormat="1" ht="18" customHeight="1" x14ac:dyDescent="0.2">
      <c r="A32" s="662"/>
      <c r="B32" s="661"/>
      <c r="C32" s="661"/>
      <c r="D32" s="661"/>
      <c r="E32" s="661"/>
      <c r="F32" s="662"/>
      <c r="G32" s="662"/>
      <c r="H32" s="662"/>
      <c r="I32" s="662"/>
      <c r="J32" s="662"/>
      <c r="K32" s="662"/>
      <c r="L32" s="662"/>
      <c r="M32" s="662"/>
      <c r="N32" s="662"/>
      <c r="O32" s="662"/>
    </row>
    <row r="33" spans="1:18" s="57" customFormat="1" ht="18" customHeight="1" x14ac:dyDescent="0.2">
      <c r="A33" s="662"/>
      <c r="B33" s="661"/>
      <c r="C33" s="661"/>
      <c r="D33" s="661"/>
      <c r="E33" s="661"/>
      <c r="F33" s="662"/>
      <c r="G33" s="662"/>
      <c r="H33" s="662"/>
      <c r="I33" s="662"/>
      <c r="J33" s="662"/>
      <c r="K33" s="662"/>
      <c r="L33" s="662"/>
      <c r="M33" s="662"/>
      <c r="N33" s="662"/>
      <c r="O33" s="662"/>
    </row>
    <row r="34" spans="1:18" s="57" customFormat="1" ht="13.5" customHeight="1" x14ac:dyDescent="0.2">
      <c r="A34" s="430" t="s">
        <v>1</v>
      </c>
      <c r="B34" s="415" t="s">
        <v>181</v>
      </c>
      <c r="C34" s="415"/>
      <c r="D34" s="415"/>
      <c r="E34" s="415"/>
      <c r="F34" s="431"/>
      <c r="G34" s="432">
        <f>$F$25*F20</f>
        <v>1888.29</v>
      </c>
      <c r="H34" s="431"/>
      <c r="I34" s="432">
        <f>H25</f>
        <v>1888.29</v>
      </c>
      <c r="J34" s="431"/>
      <c r="K34" s="432">
        <f>J25</f>
        <v>2012.54</v>
      </c>
      <c r="L34" s="431"/>
      <c r="M34" s="432">
        <f>$L$25</f>
        <v>2012.54</v>
      </c>
      <c r="N34" s="431"/>
      <c r="O34" s="432">
        <f>N25</f>
        <v>2054.19</v>
      </c>
    </row>
    <row r="35" spans="1:18" s="57" customFormat="1" x14ac:dyDescent="0.2">
      <c r="A35" s="430" t="s">
        <v>2</v>
      </c>
      <c r="B35" s="415" t="str">
        <f>DADOS!A26</f>
        <v>Adicional Motorizado - Cláusula 3ª, alínea "f" da CCT</v>
      </c>
      <c r="C35" s="415"/>
      <c r="D35" s="415"/>
      <c r="E35" s="415"/>
      <c r="F35" s="431">
        <f>DADOS!D26</f>
        <v>0.1</v>
      </c>
      <c r="G35" s="433"/>
      <c r="H35" s="431">
        <f>DADOS!D27</f>
        <v>1.5</v>
      </c>
      <c r="I35" s="433"/>
      <c r="J35" s="431">
        <f>DADOS!H26</f>
        <v>0</v>
      </c>
      <c r="K35" s="433"/>
      <c r="L35" s="431">
        <f>DADOS!J26</f>
        <v>0</v>
      </c>
      <c r="M35" s="433"/>
      <c r="N35" s="431">
        <f>DADOS!L26</f>
        <v>0</v>
      </c>
      <c r="O35" s="433"/>
    </row>
    <row r="36" spans="1:18" s="57" customFormat="1" ht="31.5" customHeight="1" x14ac:dyDescent="0.2">
      <c r="A36" s="430" t="s">
        <v>2</v>
      </c>
      <c r="B36" s="869" t="str">
        <f>DADOS!A25</f>
        <v>Adicional de Periculosidade/Risco de Vida - (Lei nº 12.740/2012 e Cláusula 3ª § 4º da CCT/2016)</v>
      </c>
      <c r="C36" s="869"/>
      <c r="D36" s="869"/>
      <c r="E36" s="869"/>
      <c r="F36" s="431">
        <f>DADOS!D25</f>
        <v>0.3</v>
      </c>
      <c r="G36" s="435">
        <f>(G34+G35)*F36</f>
        <v>566.49</v>
      </c>
      <c r="H36" s="431">
        <v>0.3</v>
      </c>
      <c r="I36" s="435">
        <f>(I34+I35)*H36</f>
        <v>566.49</v>
      </c>
      <c r="J36" s="431">
        <f>DADOS!D25</f>
        <v>0.3</v>
      </c>
      <c r="K36" s="435">
        <f>(K34)*J36</f>
        <v>603.76</v>
      </c>
      <c r="L36" s="431">
        <v>0.3</v>
      </c>
      <c r="M36" s="435">
        <f>(M34)*L36</f>
        <v>603.76</v>
      </c>
      <c r="N36" s="431">
        <v>0.3</v>
      </c>
      <c r="O36" s="435">
        <f>N36*O34</f>
        <v>616.26</v>
      </c>
    </row>
    <row r="37" spans="1:18" s="57" customFormat="1" ht="28.5" x14ac:dyDescent="0.2">
      <c r="A37" s="430" t="s">
        <v>4</v>
      </c>
      <c r="B37" s="416" t="s">
        <v>312</v>
      </c>
      <c r="C37" s="416"/>
      <c r="D37" s="416"/>
      <c r="E37" s="416"/>
      <c r="F37" s="431"/>
      <c r="G37" s="435"/>
      <c r="H37" s="431"/>
      <c r="I37" s="435"/>
      <c r="J37" s="431"/>
      <c r="K37" s="435"/>
      <c r="L37" s="431"/>
      <c r="M37" s="435"/>
      <c r="N37" s="431"/>
      <c r="O37" s="435"/>
      <c r="P37" s="67"/>
      <c r="Q37" s="67"/>
    </row>
    <row r="38" spans="1:18" s="57" customFormat="1" ht="45.75" customHeight="1" x14ac:dyDescent="0.2">
      <c r="A38" s="430" t="s">
        <v>5</v>
      </c>
      <c r="B38" s="869" t="s">
        <v>363</v>
      </c>
      <c r="C38" s="869"/>
      <c r="D38" s="869"/>
      <c r="E38" s="869"/>
      <c r="F38" s="431">
        <f>DADOS!D24</f>
        <v>0.2</v>
      </c>
      <c r="G38" s="435">
        <f>((((G34+G36)/220)*F38)*(9/52.5*60)*DADOS!L23)</f>
        <v>355.78</v>
      </c>
      <c r="H38" s="431">
        <v>0.2</v>
      </c>
      <c r="I38" s="435">
        <f>((((I34+I36)/220)*H38)*(9/52.5*60)*15.5)</f>
        <v>355.78</v>
      </c>
      <c r="J38" s="431">
        <v>0.2</v>
      </c>
      <c r="K38" s="435">
        <f>((((K34+K36)/220)*J38)*(9/52.5*60)*15.5)</f>
        <v>379.19</v>
      </c>
      <c r="L38" s="431">
        <v>0.2</v>
      </c>
      <c r="M38" s="435">
        <f>((((M34+M36)/220)*L38)*(9/52.5*60)*15.5)</f>
        <v>379.19</v>
      </c>
      <c r="N38" s="688">
        <v>0.14019999999999999</v>
      </c>
      <c r="O38" s="644">
        <f>(O36+O34)*N38</f>
        <v>374.4</v>
      </c>
      <c r="P38" s="67"/>
      <c r="Q38" s="67"/>
    </row>
    <row r="39" spans="1:18" s="57" customFormat="1" x14ac:dyDescent="0.2">
      <c r="A39" s="430" t="s">
        <v>6</v>
      </c>
      <c r="B39" s="415" t="s">
        <v>24</v>
      </c>
      <c r="C39" s="415"/>
      <c r="D39" s="415"/>
      <c r="E39" s="415"/>
      <c r="F39" s="431"/>
      <c r="G39" s="435"/>
      <c r="H39" s="431"/>
      <c r="I39" s="435"/>
      <c r="J39" s="431"/>
      <c r="K39" s="435"/>
      <c r="L39" s="431"/>
      <c r="M39" s="435"/>
      <c r="N39" s="431"/>
      <c r="O39" s="686"/>
      <c r="P39" s="67"/>
      <c r="Q39" s="67"/>
    </row>
    <row r="40" spans="1:18" s="57" customFormat="1" x14ac:dyDescent="0.2">
      <c r="A40" s="430" t="s">
        <v>7</v>
      </c>
      <c r="B40" s="415" t="s">
        <v>105</v>
      </c>
      <c r="C40" s="415"/>
      <c r="D40" s="415"/>
      <c r="E40" s="415"/>
      <c r="F40" s="431"/>
      <c r="G40" s="435"/>
      <c r="H40" s="431"/>
      <c r="I40" s="435"/>
      <c r="J40" s="431"/>
      <c r="K40" s="435"/>
      <c r="L40" s="431"/>
      <c r="M40" s="435"/>
      <c r="N40" s="431"/>
      <c r="O40" s="435"/>
      <c r="P40" s="67"/>
      <c r="Q40" s="67"/>
    </row>
    <row r="41" spans="1:18" s="57" customFormat="1" ht="28.5" customHeight="1" x14ac:dyDescent="0.2">
      <c r="A41" s="430" t="s">
        <v>8</v>
      </c>
      <c r="B41" s="869" t="str">
        <f>DADOS!A28</f>
        <v xml:space="preserve">Intervalo Intrajornada - {[(Salário Base + Adicionais) ÷ 220] x 1,50 (hora extra acrescida de 50%) x 15,5 dias) </v>
      </c>
      <c r="C41" s="869"/>
      <c r="D41" s="869"/>
      <c r="E41" s="869"/>
      <c r="F41" s="437">
        <f>DADOS!D27</f>
        <v>1.5</v>
      </c>
      <c r="G41" s="435">
        <f>(((G34+G36+G38)/220)*F41)*DADOS!L23</f>
        <v>297.02999999999997</v>
      </c>
      <c r="H41" s="437">
        <f>DADOS!B27</f>
        <v>0</v>
      </c>
      <c r="I41" s="435">
        <f>(((G34+G36+G38)/220)*F41)*DADOS!L23</f>
        <v>297.02999999999997</v>
      </c>
      <c r="J41" s="642"/>
      <c r="K41" s="435">
        <f>(((K34+K36+K38)/220)*1.5)*DADOS!L23</f>
        <v>316.57</v>
      </c>
      <c r="L41" s="642"/>
      <c r="M41" s="435">
        <f>(((M34+M36+M38)/220)*1.5)*15.5</f>
        <v>316.57</v>
      </c>
      <c r="N41" s="642"/>
      <c r="O41" s="435">
        <f>(((O34+O36+O38)/220)*1.5)*15.5</f>
        <v>321.79000000000002</v>
      </c>
    </row>
    <row r="42" spans="1:18" s="57" customFormat="1" ht="29.25" customHeight="1" x14ac:dyDescent="0.2">
      <c r="A42" s="430" t="s">
        <v>9</v>
      </c>
      <c r="B42" s="869" t="s">
        <v>315</v>
      </c>
      <c r="C42" s="869"/>
      <c r="D42" s="869"/>
      <c r="E42" s="869"/>
      <c r="F42" s="431"/>
      <c r="G42" s="435">
        <v>70.63</v>
      </c>
      <c r="H42" s="431"/>
      <c r="I42" s="435">
        <v>70.63</v>
      </c>
      <c r="J42" s="431"/>
      <c r="K42" s="644"/>
      <c r="L42" s="431"/>
      <c r="M42" s="644"/>
      <c r="N42" s="431"/>
      <c r="O42" s="435"/>
      <c r="P42" s="475"/>
      <c r="Q42" s="59"/>
      <c r="R42" s="62"/>
    </row>
    <row r="43" spans="1:18" s="57" customFormat="1" ht="18.75" customHeight="1" x14ac:dyDescent="0.2">
      <c r="A43" s="438"/>
      <c r="B43" s="883" t="s">
        <v>139</v>
      </c>
      <c r="C43" s="883"/>
      <c r="D43" s="883"/>
      <c r="E43" s="883"/>
      <c r="F43" s="883"/>
      <c r="G43" s="470">
        <f>SUM(G34:G42)</f>
        <v>3178.22</v>
      </c>
      <c r="H43" s="439"/>
      <c r="I43" s="439">
        <f>SUM(I34:I42)</f>
        <v>3178.22</v>
      </c>
      <c r="J43" s="439"/>
      <c r="K43" s="439">
        <f>SUM(K34:K42)</f>
        <v>3312.06</v>
      </c>
      <c r="L43" s="439"/>
      <c r="M43" s="439">
        <f>SUM(M34:M42)</f>
        <v>3312.06</v>
      </c>
      <c r="N43" s="439"/>
      <c r="O43" s="439">
        <f>SUM(O34:O42)</f>
        <v>3366.64</v>
      </c>
      <c r="P43" s="475"/>
      <c r="Q43" s="59"/>
      <c r="R43" s="476"/>
    </row>
    <row r="44" spans="1:18" s="60" customFormat="1" x14ac:dyDescent="0.2">
      <c r="A44" s="419"/>
      <c r="B44" s="434"/>
      <c r="C44" s="434"/>
      <c r="D44" s="434"/>
      <c r="E44" s="434"/>
      <c r="F44" s="440"/>
      <c r="G44" s="441"/>
      <c r="H44" s="441"/>
      <c r="I44" s="441"/>
      <c r="J44" s="440"/>
      <c r="K44" s="441"/>
      <c r="L44" s="440"/>
      <c r="M44" s="441"/>
      <c r="N44" s="440"/>
      <c r="O44" s="441"/>
    </row>
    <row r="45" spans="1:18" s="57" customFormat="1" ht="15" customHeight="1" x14ac:dyDescent="0.2">
      <c r="A45" s="866" t="s">
        <v>37</v>
      </c>
      <c r="B45" s="866"/>
      <c r="C45" s="866"/>
      <c r="D45" s="866"/>
      <c r="E45" s="866"/>
      <c r="F45" s="866"/>
      <c r="G45" s="866"/>
      <c r="H45" s="616"/>
      <c r="I45" s="616"/>
      <c r="J45" s="634"/>
      <c r="K45" s="634"/>
      <c r="L45" s="634"/>
      <c r="M45" s="634"/>
      <c r="N45" s="658"/>
      <c r="O45" s="658"/>
    </row>
    <row r="46" spans="1:18" s="57" customFormat="1" ht="18" customHeight="1" x14ac:dyDescent="0.2">
      <c r="A46" s="429">
        <v>2</v>
      </c>
      <c r="B46" s="884" t="s">
        <v>25</v>
      </c>
      <c r="C46" s="884"/>
      <c r="D46" s="884"/>
      <c r="E46" s="884"/>
      <c r="F46" s="428" t="s">
        <v>13</v>
      </c>
      <c r="G46" s="428" t="s">
        <v>141</v>
      </c>
      <c r="H46" s="617" t="s">
        <v>13</v>
      </c>
      <c r="I46" s="617" t="s">
        <v>141</v>
      </c>
      <c r="J46" s="635" t="s">
        <v>13</v>
      </c>
      <c r="K46" s="635" t="s">
        <v>141</v>
      </c>
      <c r="L46" s="635" t="s">
        <v>13</v>
      </c>
      <c r="M46" s="635" t="s">
        <v>141</v>
      </c>
      <c r="N46" s="662" t="s">
        <v>13</v>
      </c>
      <c r="O46" s="662" t="s">
        <v>141</v>
      </c>
    </row>
    <row r="47" spans="1:18" s="57" customFormat="1" x14ac:dyDescent="0.2">
      <c r="A47" s="885" t="s">
        <v>1</v>
      </c>
      <c r="B47" s="420" t="str">
        <f>DADOS!A34</f>
        <v>Transporte [(R$ 5,00) x 2] x 15,5 dias - Cláusula 13ª da CCT/2016</v>
      </c>
      <c r="C47" s="420"/>
      <c r="D47" s="434"/>
      <c r="E47" s="434"/>
      <c r="F47" s="442">
        <f>DADOS!F33</f>
        <v>10</v>
      </c>
      <c r="G47" s="443">
        <f>(F47*DADOS!L23*$F$20)</f>
        <v>155</v>
      </c>
      <c r="H47" s="442">
        <f>DADOS!F33</f>
        <v>10</v>
      </c>
      <c r="I47" s="443">
        <f>G47</f>
        <v>155</v>
      </c>
      <c r="J47" s="459">
        <f>DADOS!J33</f>
        <v>0</v>
      </c>
      <c r="K47" s="443">
        <f>(5*2*15.5)</f>
        <v>155</v>
      </c>
      <c r="L47" s="459"/>
      <c r="M47" s="443">
        <f>(5*2*15.5)</f>
        <v>155</v>
      </c>
      <c r="N47" s="442">
        <f>DADOS!N33</f>
        <v>0</v>
      </c>
      <c r="O47" s="443">
        <f>(5*2*15.5)</f>
        <v>155</v>
      </c>
    </row>
    <row r="48" spans="1:18" s="57" customFormat="1" x14ac:dyDescent="0.2">
      <c r="A48" s="885"/>
      <c r="B48" s="420" t="s">
        <v>106</v>
      </c>
      <c r="C48" s="420"/>
      <c r="D48" s="434"/>
      <c r="E48" s="434"/>
      <c r="F48" s="444">
        <f>DADOS!F35</f>
        <v>0.06</v>
      </c>
      <c r="G48" s="445">
        <f>-MIN(G47,(F48*G34))</f>
        <v>-113.3</v>
      </c>
      <c r="H48" s="444">
        <f>F48</f>
        <v>0.06</v>
      </c>
      <c r="I48" s="445">
        <f>-MIN(I47,(H48*I34))</f>
        <v>-113.3</v>
      </c>
      <c r="J48" s="444">
        <f>DADOS!F35</f>
        <v>0.06</v>
      </c>
      <c r="K48" s="445">
        <f>-MIN(K47,(J48*K34))</f>
        <v>-120.75</v>
      </c>
      <c r="L48" s="444">
        <v>0.06</v>
      </c>
      <c r="M48" s="445">
        <f>-MIN(M47,(L48*M34))</f>
        <v>-120.75</v>
      </c>
      <c r="N48" s="444">
        <v>0.06</v>
      </c>
      <c r="O48" s="445">
        <f>-MIN(O47,(N48*O34))</f>
        <v>-123.25</v>
      </c>
    </row>
    <row r="49" spans="1:15" s="57" customFormat="1" ht="29.25" customHeight="1" x14ac:dyDescent="0.2">
      <c r="A49" s="887" t="s">
        <v>2</v>
      </c>
      <c r="B49" s="869" t="str">
        <f>DADOS!A38</f>
        <v>Auxílio alimentação (Tiquete refeição de R$ 32,00 x 15,5 dias efetivamente trabalhados) - Cláusula 12ª da CCT/2016</v>
      </c>
      <c r="C49" s="869"/>
      <c r="D49" s="869"/>
      <c r="E49" s="869"/>
      <c r="F49" s="442">
        <f>DADOS!F37</f>
        <v>32</v>
      </c>
      <c r="G49" s="443">
        <f>(F49*DADOS!L23)*$F$20</f>
        <v>496</v>
      </c>
      <c r="H49" s="442">
        <f>DADOS!F37</f>
        <v>32</v>
      </c>
      <c r="I49" s="443">
        <f>G49</f>
        <v>496</v>
      </c>
      <c r="J49" s="459"/>
      <c r="K49" s="645">
        <f>(34.11*15.5)</f>
        <v>528.71</v>
      </c>
      <c r="L49" s="459"/>
      <c r="M49" s="645">
        <f>15.5*34.11</f>
        <v>528.71</v>
      </c>
      <c r="N49" s="442">
        <f>DADOS!N37</f>
        <v>0</v>
      </c>
      <c r="O49" s="645">
        <f>34.84*15.5</f>
        <v>540.02</v>
      </c>
    </row>
    <row r="50" spans="1:15" s="57" customFormat="1" ht="29.25" customHeight="1" x14ac:dyDescent="0.2">
      <c r="A50" s="888"/>
      <c r="B50" s="889" t="s">
        <v>430</v>
      </c>
      <c r="C50" s="890"/>
      <c r="D50" s="890"/>
      <c r="E50" s="891"/>
      <c r="F50" s="442"/>
      <c r="G50" s="443"/>
      <c r="H50" s="442"/>
      <c r="I50" s="443"/>
      <c r="J50" s="459"/>
      <c r="K50" s="645"/>
      <c r="L50" s="459"/>
      <c r="M50" s="645"/>
      <c r="N50" s="674"/>
      <c r="O50" s="645">
        <f>-0.03*15.5</f>
        <v>-0.47</v>
      </c>
    </row>
    <row r="51" spans="1:15" s="57" customFormat="1" ht="28.5" customHeight="1" x14ac:dyDescent="0.2">
      <c r="A51" s="419" t="s">
        <v>4</v>
      </c>
      <c r="B51" s="882" t="str">
        <f>DADOS!A46</f>
        <v>Auxílio Saúde - Cláusula 14ª da CCT/2016 - NÃO SE APLICA CONFORME PARECER Nº 15/2014/CPLC/ DEPCONSU/PGF/AGU</v>
      </c>
      <c r="C51" s="882"/>
      <c r="D51" s="882"/>
      <c r="E51" s="882"/>
      <c r="F51" s="442">
        <f>DADOS!F46</f>
        <v>0</v>
      </c>
      <c r="G51" s="445">
        <f t="shared" ref="G51:G56" si="0">F51*$F$20</f>
        <v>0</v>
      </c>
      <c r="H51" s="442">
        <f>DADOS!F46</f>
        <v>0</v>
      </c>
      <c r="I51" s="445">
        <f>H51*$F$20</f>
        <v>0</v>
      </c>
      <c r="J51" s="459"/>
      <c r="K51" s="445">
        <f>J51*$F$20</f>
        <v>0</v>
      </c>
      <c r="L51" s="459"/>
      <c r="M51" s="445"/>
      <c r="N51" s="442">
        <f>DADOS!N46</f>
        <v>0</v>
      </c>
      <c r="O51" s="445">
        <f>N51*$F$20</f>
        <v>0</v>
      </c>
    </row>
    <row r="52" spans="1:15" s="57" customFormat="1" ht="45.75" customHeight="1" x14ac:dyDescent="0.2">
      <c r="A52" s="419" t="s">
        <v>5</v>
      </c>
      <c r="B52" s="882" t="str">
        <f>DADOS!A44</f>
        <v>Fundo Social e Odontológico - Cláusula 18ª da CCT/2016 - NÃO SE APLICA CONFORME PARECER Nº 15/2014/CPLC/ DEPCONSU/PGF/AGU, por entender que integra ao Auxílio Saúde</v>
      </c>
      <c r="C52" s="882"/>
      <c r="D52" s="882"/>
      <c r="E52" s="882"/>
      <c r="F52" s="442">
        <f>DADOS!F44</f>
        <v>0</v>
      </c>
      <c r="G52" s="445">
        <f t="shared" si="0"/>
        <v>0</v>
      </c>
      <c r="H52" s="442">
        <f>DADOS!F44</f>
        <v>0</v>
      </c>
      <c r="I52" s="445">
        <f>H52*$F$20</f>
        <v>0</v>
      </c>
      <c r="J52" s="459"/>
      <c r="K52" s="445">
        <f>J52*$F$20</f>
        <v>0</v>
      </c>
      <c r="L52" s="459"/>
      <c r="M52" s="445">
        <f>L52*$F$20</f>
        <v>0</v>
      </c>
      <c r="N52" s="442"/>
      <c r="O52" s="445"/>
    </row>
    <row r="53" spans="1:15" s="57" customFormat="1" x14ac:dyDescent="0.2">
      <c r="A53" s="419" t="s">
        <v>6</v>
      </c>
      <c r="B53" s="447" t="str">
        <f>DADOS!A39</f>
        <v>Fundo Ind. Aposent. Ou Doença - Cláusula 15ª da CCT/2016</v>
      </c>
      <c r="C53" s="447"/>
      <c r="D53" s="418"/>
      <c r="E53" s="421"/>
      <c r="F53" s="442">
        <f>DADOS!F39</f>
        <v>14</v>
      </c>
      <c r="G53" s="445">
        <f t="shared" si="0"/>
        <v>14</v>
      </c>
      <c r="H53" s="442">
        <f>DADOS!F39</f>
        <v>14</v>
      </c>
      <c r="I53" s="445">
        <f>G53</f>
        <v>14</v>
      </c>
      <c r="J53" s="459">
        <f>DADOS!J39</f>
        <v>0</v>
      </c>
      <c r="K53" s="445">
        <f>G53</f>
        <v>14</v>
      </c>
      <c r="L53" s="459"/>
      <c r="M53" s="445">
        <f>I53</f>
        <v>14</v>
      </c>
      <c r="N53" s="442">
        <f>DADOS!N39</f>
        <v>0</v>
      </c>
      <c r="O53" s="445">
        <v>14</v>
      </c>
    </row>
    <row r="54" spans="1:15" s="57" customFormat="1" x14ac:dyDescent="0.2">
      <c r="A54" s="419" t="s">
        <v>7</v>
      </c>
      <c r="B54" s="447" t="str">
        <f>DADOS!A40</f>
        <v>Seguro de vida, inclusive invalidez - Cláusula 16ª da CCT/2016</v>
      </c>
      <c r="C54" s="447"/>
      <c r="D54" s="418"/>
      <c r="E54" s="421"/>
      <c r="F54" s="442">
        <f>DADOS!L40</f>
        <v>10.25</v>
      </c>
      <c r="G54" s="445">
        <f t="shared" si="0"/>
        <v>10.25</v>
      </c>
      <c r="H54" s="442">
        <f>DADOS!L41</f>
        <v>12.22</v>
      </c>
      <c r="I54" s="445">
        <f>G54</f>
        <v>10.25</v>
      </c>
      <c r="J54" s="459">
        <f>DADOS!P41</f>
        <v>0</v>
      </c>
      <c r="K54" s="445">
        <f>G54</f>
        <v>10.25</v>
      </c>
      <c r="L54" s="459"/>
      <c r="M54" s="445">
        <f>I54</f>
        <v>10.25</v>
      </c>
      <c r="N54" s="442">
        <f>DADOS!T41</f>
        <v>0</v>
      </c>
      <c r="O54" s="670">
        <v>10.46</v>
      </c>
    </row>
    <row r="55" spans="1:15" s="57" customFormat="1" ht="30" customHeight="1" x14ac:dyDescent="0.2">
      <c r="A55" s="419" t="s">
        <v>8</v>
      </c>
      <c r="B55" s="882" t="str">
        <f>DADOS!A41</f>
        <v>Auxílio Funeral (Despesas de sepultamento - R$ 3.560,00 - Cláusula 16ª alínea "d" da CCT/2016</v>
      </c>
      <c r="C55" s="882"/>
      <c r="D55" s="882"/>
      <c r="E55" s="882"/>
      <c r="F55" s="442">
        <f>DADOS!F41</f>
        <v>1.8</v>
      </c>
      <c r="G55" s="445">
        <f t="shared" si="0"/>
        <v>1.8</v>
      </c>
      <c r="H55" s="442">
        <f>DADOS!F41</f>
        <v>1.8</v>
      </c>
      <c r="I55" s="445">
        <f>G55</f>
        <v>1.8</v>
      </c>
      <c r="J55" s="459">
        <f>DADOS!J41</f>
        <v>0</v>
      </c>
      <c r="K55" s="445">
        <f>G55</f>
        <v>1.8</v>
      </c>
      <c r="L55" s="459"/>
      <c r="M55" s="445">
        <f>I55</f>
        <v>1.8</v>
      </c>
      <c r="N55" s="442">
        <f>DADOS!N41</f>
        <v>0</v>
      </c>
      <c r="O55" s="445">
        <v>1.8</v>
      </c>
    </row>
    <row r="56" spans="1:15" s="57" customFormat="1" x14ac:dyDescent="0.2">
      <c r="A56" s="419" t="s">
        <v>9</v>
      </c>
      <c r="B56" s="447" t="str">
        <f>DADOS!A42</f>
        <v>Treinamento/Capacitação/Reciclagem - Cláusula 28ª da CCT/2016</v>
      </c>
      <c r="C56" s="447"/>
      <c r="D56" s="418"/>
      <c r="E56" s="421"/>
      <c r="F56" s="442">
        <f>DADOS!F42</f>
        <v>12.08</v>
      </c>
      <c r="G56" s="445">
        <f t="shared" si="0"/>
        <v>12.08</v>
      </c>
      <c r="H56" s="442">
        <f>DADOS!F42</f>
        <v>12.08</v>
      </c>
      <c r="I56" s="445">
        <f>G56</f>
        <v>12.08</v>
      </c>
      <c r="J56" s="459">
        <f>DADOS!J42</f>
        <v>0</v>
      </c>
      <c r="K56" s="445">
        <f>G56</f>
        <v>12.08</v>
      </c>
      <c r="L56" s="459"/>
      <c r="M56" s="445">
        <f>I56</f>
        <v>12.08</v>
      </c>
      <c r="N56" s="442">
        <f>DADOS!N42</f>
        <v>0</v>
      </c>
      <c r="O56" s="445">
        <v>12.08</v>
      </c>
    </row>
    <row r="57" spans="1:15" s="57" customFormat="1" x14ac:dyDescent="0.2">
      <c r="A57" s="419" t="s">
        <v>145</v>
      </c>
      <c r="B57" s="447" t="s">
        <v>81</v>
      </c>
      <c r="C57" s="447"/>
      <c r="D57" s="418"/>
      <c r="E57" s="421"/>
      <c r="F57" s="440"/>
      <c r="G57" s="441"/>
      <c r="H57" s="440"/>
      <c r="I57" s="441"/>
      <c r="J57" s="440"/>
      <c r="K57" s="441"/>
      <c r="L57" s="440"/>
      <c r="M57" s="441"/>
      <c r="N57" s="440"/>
      <c r="O57" s="441"/>
    </row>
    <row r="58" spans="1:15" s="57" customFormat="1" ht="18" customHeight="1" x14ac:dyDescent="0.2">
      <c r="A58" s="438"/>
      <c r="B58" s="883" t="s">
        <v>140</v>
      </c>
      <c r="C58" s="883"/>
      <c r="D58" s="883"/>
      <c r="E58" s="883"/>
      <c r="F58" s="883"/>
      <c r="G58" s="448">
        <f>SUM(G47:G57)</f>
        <v>575.83000000000004</v>
      </c>
      <c r="H58" s="448"/>
      <c r="I58" s="448">
        <f>SUM(I47:I57)</f>
        <v>575.83000000000004</v>
      </c>
      <c r="J58" s="448"/>
      <c r="K58" s="448">
        <f>SUM(K47:K57)</f>
        <v>601.09</v>
      </c>
      <c r="L58" s="448"/>
      <c r="M58" s="448">
        <f>SUM(M47:M57)</f>
        <v>601.09</v>
      </c>
      <c r="N58" s="448"/>
      <c r="O58" s="448">
        <f>SUM(O47:O57)</f>
        <v>609.64</v>
      </c>
    </row>
    <row r="59" spans="1:15" s="60" customFormat="1" x14ac:dyDescent="0.2">
      <c r="A59" s="419"/>
      <c r="B59" s="421"/>
      <c r="C59" s="421"/>
      <c r="D59" s="421"/>
      <c r="E59" s="421"/>
      <c r="F59" s="440"/>
      <c r="G59" s="441"/>
      <c r="H59" s="441"/>
      <c r="I59" s="441"/>
      <c r="J59" s="440"/>
      <c r="K59" s="441"/>
      <c r="L59" s="440"/>
      <c r="M59" s="441"/>
      <c r="N59" s="440"/>
      <c r="O59" s="441"/>
    </row>
    <row r="60" spans="1:15" s="57" customFormat="1" x14ac:dyDescent="0.2">
      <c r="A60" s="866" t="s">
        <v>38</v>
      </c>
      <c r="B60" s="866"/>
      <c r="C60" s="866"/>
      <c r="D60" s="866"/>
      <c r="E60" s="866"/>
      <c r="F60" s="866"/>
      <c r="G60" s="866"/>
      <c r="H60" s="616"/>
      <c r="I60" s="616"/>
      <c r="J60" s="634"/>
      <c r="K60" s="634"/>
      <c r="L60" s="634"/>
      <c r="M60" s="634"/>
      <c r="N60" s="658"/>
      <c r="O60" s="658"/>
    </row>
    <row r="61" spans="1:15" s="57" customFormat="1" ht="18" customHeight="1" x14ac:dyDescent="0.2">
      <c r="A61" s="428">
        <v>3</v>
      </c>
      <c r="B61" s="881" t="s">
        <v>107</v>
      </c>
      <c r="C61" s="881"/>
      <c r="D61" s="881"/>
      <c r="E61" s="881"/>
      <c r="F61" s="428" t="s">
        <v>13</v>
      </c>
      <c r="G61" s="428" t="s">
        <v>141</v>
      </c>
      <c r="H61" s="617" t="s">
        <v>13</v>
      </c>
      <c r="I61" s="617" t="s">
        <v>141</v>
      </c>
      <c r="J61" s="635" t="s">
        <v>13</v>
      </c>
      <c r="K61" s="635" t="s">
        <v>141</v>
      </c>
      <c r="L61" s="635" t="s">
        <v>13</v>
      </c>
      <c r="M61" s="635" t="s">
        <v>141</v>
      </c>
      <c r="N61" s="662" t="s">
        <v>13</v>
      </c>
      <c r="O61" s="662" t="s">
        <v>141</v>
      </c>
    </row>
    <row r="62" spans="1:15" s="57" customFormat="1" ht="15.75" customHeight="1" x14ac:dyDescent="0.2">
      <c r="A62" s="430" t="s">
        <v>1</v>
      </c>
      <c r="B62" s="449" t="str">
        <f>DADOS!A53</f>
        <v>Uniformes</v>
      </c>
      <c r="C62" s="449"/>
      <c r="D62" s="449"/>
      <c r="E62" s="449"/>
      <c r="F62" s="431"/>
      <c r="G62" s="443">
        <f>DADOS!F53*$F$20</f>
        <v>240.13</v>
      </c>
      <c r="H62" s="431"/>
      <c r="I62" s="443">
        <f>G62</f>
        <v>240.13</v>
      </c>
      <c r="J62" s="431"/>
      <c r="K62" s="443">
        <f>UNIFORMES!G37</f>
        <v>240.13</v>
      </c>
      <c r="L62" s="431"/>
      <c r="M62" s="443">
        <f>UNIFORMES!G52</f>
        <v>240.13</v>
      </c>
      <c r="N62" s="431"/>
      <c r="O62" s="443">
        <f>M62</f>
        <v>240.13</v>
      </c>
    </row>
    <row r="63" spans="1:15" s="57" customFormat="1" ht="15.75" customHeight="1" x14ac:dyDescent="0.2">
      <c r="A63" s="430" t="s">
        <v>2</v>
      </c>
      <c r="B63" s="449" t="str">
        <f>DADOS!A54</f>
        <v>Materiais de Consumo Mensal</v>
      </c>
      <c r="C63" s="449"/>
      <c r="D63" s="449"/>
      <c r="E63" s="449"/>
      <c r="F63" s="431"/>
      <c r="G63" s="443">
        <f>DADOS!F54*$F$20</f>
        <v>8.5299999999999994</v>
      </c>
      <c r="H63" s="431"/>
      <c r="I63" s="443">
        <f>G63</f>
        <v>8.5299999999999994</v>
      </c>
      <c r="J63" s="431"/>
      <c r="K63" s="443">
        <f>'MAT e EQUIPS'!H19</f>
        <v>8.5299999999999994</v>
      </c>
      <c r="L63" s="431"/>
      <c r="M63" s="645">
        <f>'MAT e EQUIPS'!H45</f>
        <v>7.99</v>
      </c>
      <c r="N63" s="431"/>
      <c r="O63" s="645">
        <f>M63</f>
        <v>7.99</v>
      </c>
    </row>
    <row r="64" spans="1:15" s="57" customFormat="1" ht="15.75" customHeight="1" x14ac:dyDescent="0.2">
      <c r="A64" s="430" t="s">
        <v>4</v>
      </c>
      <c r="B64" s="420" t="str">
        <f>DADOS!A55</f>
        <v>Equipamentos para desenvolvimento das atividades</v>
      </c>
      <c r="C64" s="449"/>
      <c r="D64" s="449"/>
      <c r="E64" s="449"/>
      <c r="F64" s="431"/>
      <c r="G64" s="443">
        <f>DADOS!F55*$F$20</f>
        <v>27.13</v>
      </c>
      <c r="H64" s="431"/>
      <c r="I64" s="443">
        <f>G64</f>
        <v>27.13</v>
      </c>
      <c r="J64" s="431"/>
      <c r="K64" s="443">
        <f>'MAT e EQUIPS'!H30</f>
        <v>27.13</v>
      </c>
      <c r="L64" s="431"/>
      <c r="M64" s="645">
        <f>'MAT e EQUIPS'!H56</f>
        <v>25.43</v>
      </c>
      <c r="N64" s="431"/>
      <c r="O64" s="645">
        <f>M64</f>
        <v>25.43</v>
      </c>
    </row>
    <row r="65" spans="1:15" s="57" customFormat="1" ht="18" customHeight="1" x14ac:dyDescent="0.2">
      <c r="A65" s="438"/>
      <c r="B65" s="883" t="s">
        <v>142</v>
      </c>
      <c r="C65" s="883"/>
      <c r="D65" s="883"/>
      <c r="E65" s="883"/>
      <c r="F65" s="883"/>
      <c r="G65" s="450">
        <f>SUM(G62:G64)</f>
        <v>275.79000000000002</v>
      </c>
      <c r="H65" s="450"/>
      <c r="I65" s="450">
        <f>SUM(I62:I64)</f>
        <v>275.79000000000002</v>
      </c>
      <c r="J65" s="450"/>
      <c r="K65" s="450">
        <f>SUM(K62:K64)</f>
        <v>275.79000000000002</v>
      </c>
      <c r="L65" s="450"/>
      <c r="M65" s="450">
        <f>SUM(M62:M64)</f>
        <v>273.55</v>
      </c>
      <c r="N65" s="450"/>
      <c r="O65" s="450">
        <f>SUM(O62:O64)</f>
        <v>273.55</v>
      </c>
    </row>
    <row r="66" spans="1:15" s="60" customFormat="1" x14ac:dyDescent="0.2">
      <c r="A66" s="419"/>
      <c r="B66" s="421"/>
      <c r="C66" s="421"/>
      <c r="D66" s="421"/>
      <c r="E66" s="421"/>
      <c r="F66" s="440"/>
      <c r="G66" s="441"/>
      <c r="H66" s="441"/>
      <c r="I66" s="441"/>
      <c r="J66" s="440"/>
      <c r="K66" s="441"/>
      <c r="L66" s="440"/>
      <c r="M66" s="441"/>
      <c r="N66" s="440"/>
      <c r="O66" s="441"/>
    </row>
    <row r="67" spans="1:15" s="26" customFormat="1" x14ac:dyDescent="0.2">
      <c r="A67" s="881" t="s">
        <v>39</v>
      </c>
      <c r="B67" s="881"/>
      <c r="C67" s="881"/>
      <c r="D67" s="881"/>
      <c r="E67" s="881"/>
      <c r="F67" s="881"/>
      <c r="G67" s="881"/>
      <c r="H67" s="617"/>
      <c r="I67" s="617"/>
      <c r="J67" s="635"/>
      <c r="K67" s="635"/>
      <c r="L67" s="635"/>
      <c r="M67" s="635"/>
      <c r="N67" s="662"/>
      <c r="O67" s="662"/>
    </row>
    <row r="68" spans="1:15" s="26" customFormat="1" x14ac:dyDescent="0.2">
      <c r="A68" s="880" t="s">
        <v>124</v>
      </c>
      <c r="B68" s="880"/>
      <c r="C68" s="880"/>
      <c r="D68" s="880"/>
      <c r="E68" s="880"/>
      <c r="F68" s="880"/>
      <c r="G68" s="880"/>
      <c r="H68" s="620"/>
      <c r="I68" s="620"/>
      <c r="J68" s="636"/>
      <c r="K68" s="636"/>
      <c r="L68" s="636"/>
      <c r="M68" s="636"/>
      <c r="N68" s="661"/>
      <c r="O68" s="661"/>
    </row>
    <row r="69" spans="1:15" s="61" customFormat="1" ht="18" customHeight="1" x14ac:dyDescent="0.2">
      <c r="A69" s="429" t="s">
        <v>63</v>
      </c>
      <c r="B69" s="884" t="s">
        <v>122</v>
      </c>
      <c r="C69" s="884"/>
      <c r="D69" s="884"/>
      <c r="E69" s="884"/>
      <c r="F69" s="429" t="s">
        <v>12</v>
      </c>
      <c r="G69" s="429" t="s">
        <v>103</v>
      </c>
      <c r="H69" s="616" t="s">
        <v>12</v>
      </c>
      <c r="I69" s="616" t="s">
        <v>103</v>
      </c>
      <c r="J69" s="634" t="s">
        <v>12</v>
      </c>
      <c r="K69" s="634" t="s">
        <v>103</v>
      </c>
      <c r="L69" s="634" t="s">
        <v>12</v>
      </c>
      <c r="M69" s="634" t="s">
        <v>103</v>
      </c>
      <c r="N69" s="658" t="s">
        <v>12</v>
      </c>
      <c r="O69" s="658" t="s">
        <v>103</v>
      </c>
    </row>
    <row r="70" spans="1:15" s="57" customFormat="1" ht="14.25" customHeight="1" x14ac:dyDescent="0.2">
      <c r="A70" s="414" t="s">
        <v>1</v>
      </c>
      <c r="B70" s="452" t="str">
        <f>DADOS!B81</f>
        <v>INSS</v>
      </c>
      <c r="C70" s="452"/>
      <c r="D70" s="421"/>
      <c r="E70" s="421"/>
      <c r="F70" s="453">
        <f>DADOS!C81</f>
        <v>0.2</v>
      </c>
      <c r="G70" s="441">
        <f>F70*$G$43</f>
        <v>635.64</v>
      </c>
      <c r="H70" s="453">
        <f>F70</f>
        <v>0.2</v>
      </c>
      <c r="I70" s="441">
        <f>H70*$G$43</f>
        <v>635.64</v>
      </c>
      <c r="J70" s="453">
        <f>DADOS!C81</f>
        <v>0.2</v>
      </c>
      <c r="K70" s="441">
        <f>J70*$K$43</f>
        <v>662.41</v>
      </c>
      <c r="L70" s="453">
        <f>H70</f>
        <v>0.2</v>
      </c>
      <c r="M70" s="441">
        <f>L70*$M$43</f>
        <v>662.41</v>
      </c>
      <c r="N70" s="453">
        <v>0.2</v>
      </c>
      <c r="O70" s="441">
        <f>N70*$O$43</f>
        <v>673.33</v>
      </c>
    </row>
    <row r="71" spans="1:15" s="57" customFormat="1" ht="14.25" customHeight="1" x14ac:dyDescent="0.2">
      <c r="A71" s="414" t="s">
        <v>2</v>
      </c>
      <c r="B71" s="452" t="str">
        <f>DADOS!B82</f>
        <v>SESI ou SESC</v>
      </c>
      <c r="C71" s="452"/>
      <c r="D71" s="421"/>
      <c r="E71" s="421"/>
      <c r="F71" s="453">
        <f>DADOS!C82</f>
        <v>1.4999999999999999E-2</v>
      </c>
      <c r="G71" s="441">
        <f t="shared" ref="G71:I77" si="1">F71*$G$43</f>
        <v>47.67</v>
      </c>
      <c r="H71" s="453">
        <f t="shared" ref="H71:H77" si="2">F71</f>
        <v>1.4999999999999999E-2</v>
      </c>
      <c r="I71" s="441">
        <f t="shared" si="1"/>
        <v>47.67</v>
      </c>
      <c r="J71" s="453">
        <f>DADOS!C82</f>
        <v>1.4999999999999999E-2</v>
      </c>
      <c r="K71" s="441">
        <f t="shared" ref="K71:K77" si="3">J71*$K$43</f>
        <v>49.68</v>
      </c>
      <c r="L71" s="453">
        <f t="shared" ref="L71:L77" si="4">H71</f>
        <v>1.4999999999999999E-2</v>
      </c>
      <c r="M71" s="441">
        <f t="shared" ref="M71:M77" si="5">L71*$M$43</f>
        <v>49.68</v>
      </c>
      <c r="N71" s="453">
        <v>1.4999999999999999E-2</v>
      </c>
      <c r="O71" s="441">
        <f t="shared" ref="O71:O76" si="6">N71*$O$43</f>
        <v>50.5</v>
      </c>
    </row>
    <row r="72" spans="1:15" s="57" customFormat="1" ht="14.25" customHeight="1" x14ac:dyDescent="0.2">
      <c r="A72" s="414" t="s">
        <v>4</v>
      </c>
      <c r="B72" s="452" t="str">
        <f>DADOS!B83</f>
        <v>SENAI ou SENAC</v>
      </c>
      <c r="C72" s="452"/>
      <c r="D72" s="421"/>
      <c r="E72" s="421"/>
      <c r="F72" s="453">
        <f>DADOS!C83</f>
        <v>0.01</v>
      </c>
      <c r="G72" s="441">
        <f t="shared" si="1"/>
        <v>31.78</v>
      </c>
      <c r="H72" s="453">
        <f t="shared" si="2"/>
        <v>0.01</v>
      </c>
      <c r="I72" s="441">
        <f t="shared" si="1"/>
        <v>31.78</v>
      </c>
      <c r="J72" s="453">
        <f>DADOS!C83</f>
        <v>0.01</v>
      </c>
      <c r="K72" s="441">
        <f t="shared" si="3"/>
        <v>33.119999999999997</v>
      </c>
      <c r="L72" s="453">
        <f t="shared" si="4"/>
        <v>0.01</v>
      </c>
      <c r="M72" s="441">
        <f t="shared" si="5"/>
        <v>33.119999999999997</v>
      </c>
      <c r="N72" s="453">
        <v>0.01</v>
      </c>
      <c r="O72" s="441">
        <f t="shared" si="6"/>
        <v>33.67</v>
      </c>
    </row>
    <row r="73" spans="1:15" s="57" customFormat="1" ht="14.25" customHeight="1" x14ac:dyDescent="0.2">
      <c r="A73" s="414" t="s">
        <v>5</v>
      </c>
      <c r="B73" s="452" t="str">
        <f>DADOS!B84</f>
        <v>INCRA</v>
      </c>
      <c r="C73" s="452"/>
      <c r="D73" s="421"/>
      <c r="E73" s="421"/>
      <c r="F73" s="453">
        <f>DADOS!C84</f>
        <v>2E-3</v>
      </c>
      <c r="G73" s="441">
        <f t="shared" si="1"/>
        <v>6.36</v>
      </c>
      <c r="H73" s="453">
        <f t="shared" si="2"/>
        <v>2E-3</v>
      </c>
      <c r="I73" s="441">
        <f t="shared" si="1"/>
        <v>6.36</v>
      </c>
      <c r="J73" s="453">
        <f>DADOS!C84</f>
        <v>2E-3</v>
      </c>
      <c r="K73" s="441">
        <f t="shared" si="3"/>
        <v>6.62</v>
      </c>
      <c r="L73" s="453">
        <f t="shared" si="4"/>
        <v>2E-3</v>
      </c>
      <c r="M73" s="441">
        <f t="shared" si="5"/>
        <v>6.62</v>
      </c>
      <c r="N73" s="453">
        <v>2E-3</v>
      </c>
      <c r="O73" s="441">
        <f t="shared" si="6"/>
        <v>6.73</v>
      </c>
    </row>
    <row r="74" spans="1:15" s="57" customFormat="1" ht="14.25" customHeight="1" x14ac:dyDescent="0.2">
      <c r="A74" s="414" t="s">
        <v>6</v>
      </c>
      <c r="B74" s="452" t="str">
        <f>DADOS!B85</f>
        <v xml:space="preserve">Salário Educação </v>
      </c>
      <c r="C74" s="452"/>
      <c r="D74" s="421"/>
      <c r="E74" s="421"/>
      <c r="F74" s="453">
        <f>DADOS!C85</f>
        <v>2.5000000000000001E-2</v>
      </c>
      <c r="G74" s="441">
        <f t="shared" si="1"/>
        <v>79.459999999999994</v>
      </c>
      <c r="H74" s="453">
        <f t="shared" si="2"/>
        <v>2.5000000000000001E-2</v>
      </c>
      <c r="I74" s="441">
        <f t="shared" si="1"/>
        <v>79.459999999999994</v>
      </c>
      <c r="J74" s="453">
        <f>DADOS!C85</f>
        <v>2.5000000000000001E-2</v>
      </c>
      <c r="K74" s="441">
        <f t="shared" si="3"/>
        <v>82.8</v>
      </c>
      <c r="L74" s="453">
        <f t="shared" si="4"/>
        <v>2.5000000000000001E-2</v>
      </c>
      <c r="M74" s="441">
        <f t="shared" si="5"/>
        <v>82.8</v>
      </c>
      <c r="N74" s="453">
        <v>2.5000000000000001E-2</v>
      </c>
      <c r="O74" s="441">
        <f t="shared" si="6"/>
        <v>84.17</v>
      </c>
    </row>
    <row r="75" spans="1:15" s="57" customFormat="1" ht="14.25" customHeight="1" x14ac:dyDescent="0.2">
      <c r="A75" s="414" t="s">
        <v>7</v>
      </c>
      <c r="B75" s="452" t="str">
        <f>DADOS!B86</f>
        <v>FGTS</v>
      </c>
      <c r="C75" s="452"/>
      <c r="D75" s="421"/>
      <c r="E75" s="421"/>
      <c r="F75" s="453">
        <f>DADOS!C86</f>
        <v>0.08</v>
      </c>
      <c r="G75" s="441">
        <f t="shared" si="1"/>
        <v>254.26</v>
      </c>
      <c r="H75" s="453">
        <f t="shared" si="2"/>
        <v>0.08</v>
      </c>
      <c r="I75" s="441">
        <f t="shared" si="1"/>
        <v>254.26</v>
      </c>
      <c r="J75" s="453">
        <f>DADOS!C86</f>
        <v>0.08</v>
      </c>
      <c r="K75" s="441">
        <f t="shared" si="3"/>
        <v>264.95999999999998</v>
      </c>
      <c r="L75" s="453">
        <f t="shared" si="4"/>
        <v>0.08</v>
      </c>
      <c r="M75" s="441">
        <f t="shared" si="5"/>
        <v>264.95999999999998</v>
      </c>
      <c r="N75" s="453">
        <v>0.08</v>
      </c>
      <c r="O75" s="441">
        <f t="shared" si="6"/>
        <v>269.33</v>
      </c>
    </row>
    <row r="76" spans="1:15" s="57" customFormat="1" ht="14.25" customHeight="1" x14ac:dyDescent="0.2">
      <c r="A76" s="414" t="s">
        <v>8</v>
      </c>
      <c r="B76" s="452" t="str">
        <f>DADOS!B87</f>
        <v>Seguro Acidente do Trabalho - RAT x FAP</v>
      </c>
      <c r="C76" s="452"/>
      <c r="D76" s="421"/>
      <c r="E76" s="421"/>
      <c r="F76" s="453">
        <f>DADOS!C87</f>
        <v>2.1299999999999999E-2</v>
      </c>
      <c r="G76" s="441">
        <f t="shared" si="1"/>
        <v>67.7</v>
      </c>
      <c r="H76" s="453">
        <f t="shared" si="2"/>
        <v>2.1299999999999999E-2</v>
      </c>
      <c r="I76" s="441">
        <f t="shared" si="1"/>
        <v>67.7</v>
      </c>
      <c r="J76" s="453">
        <f>DADOS!C87</f>
        <v>2.1299999999999999E-2</v>
      </c>
      <c r="K76" s="441">
        <f t="shared" si="3"/>
        <v>70.55</v>
      </c>
      <c r="L76" s="453">
        <f t="shared" si="4"/>
        <v>2.1299999999999999E-2</v>
      </c>
      <c r="M76" s="441">
        <f t="shared" si="5"/>
        <v>70.55</v>
      </c>
      <c r="N76" s="671">
        <v>2.4299999999999999E-2</v>
      </c>
      <c r="O76" s="441">
        <f t="shared" si="6"/>
        <v>81.81</v>
      </c>
    </row>
    <row r="77" spans="1:15" s="57" customFormat="1" ht="14.25" customHeight="1" x14ac:dyDescent="0.2">
      <c r="A77" s="414" t="s">
        <v>9</v>
      </c>
      <c r="B77" s="452" t="str">
        <f>DADOS!B88</f>
        <v>SEBRAE</v>
      </c>
      <c r="C77" s="452"/>
      <c r="D77" s="421"/>
      <c r="E77" s="421"/>
      <c r="F77" s="453">
        <f>DADOS!C88</f>
        <v>6.0000000000000001E-3</v>
      </c>
      <c r="G77" s="441">
        <f t="shared" si="1"/>
        <v>19.07</v>
      </c>
      <c r="H77" s="453">
        <f t="shared" si="2"/>
        <v>6.0000000000000001E-3</v>
      </c>
      <c r="I77" s="441">
        <f t="shared" si="1"/>
        <v>19.07</v>
      </c>
      <c r="J77" s="453">
        <f>DADOS!C88</f>
        <v>6.0000000000000001E-3</v>
      </c>
      <c r="K77" s="441">
        <f t="shared" si="3"/>
        <v>19.87</v>
      </c>
      <c r="L77" s="453">
        <f t="shared" si="4"/>
        <v>6.0000000000000001E-3</v>
      </c>
      <c r="M77" s="441">
        <f t="shared" si="5"/>
        <v>19.87</v>
      </c>
      <c r="N77" s="453">
        <v>6.0000000000000001E-3</v>
      </c>
      <c r="O77" s="441">
        <f>N77*$O$43</f>
        <v>20.2</v>
      </c>
    </row>
    <row r="78" spans="1:15" s="60" customFormat="1" ht="18" customHeight="1" x14ac:dyDescent="0.2">
      <c r="A78" s="892" t="s">
        <v>62</v>
      </c>
      <c r="B78" s="892"/>
      <c r="C78" s="892"/>
      <c r="D78" s="892"/>
      <c r="E78" s="892"/>
      <c r="F78" s="454">
        <f t="shared" ref="F78:M78" si="7">SUM(F70:F77)</f>
        <v>0.35930000000000001</v>
      </c>
      <c r="G78" s="450">
        <f t="shared" si="7"/>
        <v>1141.94</v>
      </c>
      <c r="H78" s="454">
        <f t="shared" si="7"/>
        <v>0.35930000000000001</v>
      </c>
      <c r="I78" s="450">
        <f t="shared" si="7"/>
        <v>1141.94</v>
      </c>
      <c r="J78" s="454">
        <f t="shared" si="7"/>
        <v>0.35930000000000001</v>
      </c>
      <c r="K78" s="450">
        <f t="shared" si="7"/>
        <v>1190.01</v>
      </c>
      <c r="L78" s="454">
        <f t="shared" si="7"/>
        <v>0.35930000000000001</v>
      </c>
      <c r="M78" s="450">
        <f t="shared" si="7"/>
        <v>1190.01</v>
      </c>
      <c r="N78" s="454">
        <f>SUM(N70:N77)</f>
        <v>0.36230000000000001</v>
      </c>
      <c r="O78" s="450">
        <f t="shared" ref="O78" si="8">SUM(O70:O77)</f>
        <v>1219.74</v>
      </c>
    </row>
    <row r="79" spans="1:15" s="26" customFormat="1" ht="18" customHeight="1" x14ac:dyDescent="0.2">
      <c r="A79" s="455"/>
      <c r="B79" s="455"/>
      <c r="C79" s="455"/>
      <c r="D79" s="455"/>
      <c r="E79" s="455"/>
      <c r="F79" s="440"/>
      <c r="G79" s="445"/>
      <c r="H79" s="445"/>
      <c r="I79" s="445"/>
      <c r="J79" s="440"/>
      <c r="K79" s="445"/>
      <c r="L79" s="440"/>
      <c r="M79" s="445"/>
      <c r="N79" s="440"/>
      <c r="O79" s="445"/>
    </row>
    <row r="80" spans="1:15" s="57" customFormat="1" x14ac:dyDescent="0.2">
      <c r="A80" s="880" t="s">
        <v>119</v>
      </c>
      <c r="B80" s="880"/>
      <c r="C80" s="880"/>
      <c r="D80" s="880"/>
      <c r="E80" s="880"/>
      <c r="F80" s="880"/>
      <c r="G80" s="880"/>
      <c r="H80" s="620"/>
      <c r="I80" s="620"/>
      <c r="J80" s="636"/>
      <c r="K80" s="636"/>
      <c r="L80" s="636"/>
      <c r="M80" s="636"/>
      <c r="N80" s="661"/>
      <c r="O80" s="661"/>
    </row>
    <row r="81" spans="1:15" s="61" customFormat="1" ht="18" customHeight="1" x14ac:dyDescent="0.2">
      <c r="A81" s="429" t="s">
        <v>70</v>
      </c>
      <c r="B81" s="884" t="s">
        <v>121</v>
      </c>
      <c r="C81" s="884"/>
      <c r="D81" s="884"/>
      <c r="E81" s="884"/>
      <c r="F81" s="429" t="s">
        <v>12</v>
      </c>
      <c r="G81" s="429" t="s">
        <v>103</v>
      </c>
      <c r="H81" s="616" t="s">
        <v>12</v>
      </c>
      <c r="I81" s="616" t="s">
        <v>103</v>
      </c>
      <c r="J81" s="634" t="s">
        <v>12</v>
      </c>
      <c r="K81" s="634" t="s">
        <v>103</v>
      </c>
      <c r="L81" s="634" t="s">
        <v>12</v>
      </c>
      <c r="M81" s="634" t="s">
        <v>103</v>
      </c>
      <c r="N81" s="658" t="s">
        <v>12</v>
      </c>
      <c r="O81" s="658" t="s">
        <v>103</v>
      </c>
    </row>
    <row r="82" spans="1:15" s="57" customFormat="1" ht="14.25" customHeight="1" x14ac:dyDescent="0.2">
      <c r="A82" s="414" t="s">
        <v>1</v>
      </c>
      <c r="B82" s="452" t="str">
        <f>DADOS!B91</f>
        <v xml:space="preserve">13º (décimo terceiro) Salário </v>
      </c>
      <c r="C82" s="452"/>
      <c r="D82" s="421"/>
      <c r="E82" s="421"/>
      <c r="F82" s="453">
        <f>DADOS!C91</f>
        <v>8.3299999999999999E-2</v>
      </c>
      <c r="G82" s="441">
        <f>F82*$G$43</f>
        <v>264.75</v>
      </c>
      <c r="H82" s="453">
        <f>F82</f>
        <v>8.3299999999999999E-2</v>
      </c>
      <c r="I82" s="441">
        <f>H82*$I$43</f>
        <v>264.75</v>
      </c>
      <c r="J82" s="453">
        <f>DADOS!C91</f>
        <v>8.3299999999999999E-2</v>
      </c>
      <c r="K82" s="441">
        <f>J82*$K$43</f>
        <v>275.89</v>
      </c>
      <c r="L82" s="453">
        <f>H82</f>
        <v>8.3299999999999999E-2</v>
      </c>
      <c r="M82" s="441">
        <f>L82*$M$43</f>
        <v>275.89</v>
      </c>
      <c r="N82" s="453">
        <v>8.3299999999999999E-2</v>
      </c>
      <c r="O82" s="441">
        <f>N82*$O$43</f>
        <v>280.44</v>
      </c>
    </row>
    <row r="83" spans="1:15" s="57" customFormat="1" ht="14.25" customHeight="1" x14ac:dyDescent="0.2">
      <c r="A83" s="414" t="s">
        <v>2</v>
      </c>
      <c r="B83" s="452" t="str">
        <f>DADOS!B92</f>
        <v>Adicional de férias</v>
      </c>
      <c r="C83" s="452"/>
      <c r="D83" s="421"/>
      <c r="E83" s="421"/>
      <c r="F83" s="453">
        <f>DADOS!C92</f>
        <v>2.7799999999999998E-2</v>
      </c>
      <c r="G83" s="441">
        <f>F83*$G$43</f>
        <v>88.35</v>
      </c>
      <c r="H83" s="453">
        <f>F83</f>
        <v>2.7799999999999998E-2</v>
      </c>
      <c r="I83" s="441">
        <f>H83*$I$43</f>
        <v>88.35</v>
      </c>
      <c r="J83" s="453">
        <f>DADOS!C92</f>
        <v>2.7799999999999998E-2</v>
      </c>
      <c r="K83" s="441">
        <f>J83*$K$43</f>
        <v>92.08</v>
      </c>
      <c r="L83" s="453">
        <f>H83</f>
        <v>2.7799999999999998E-2</v>
      </c>
      <c r="M83" s="441">
        <f>L83*$M$43</f>
        <v>92.08</v>
      </c>
      <c r="N83" s="453">
        <v>2.7799999999999998E-2</v>
      </c>
      <c r="O83" s="441">
        <f>N83*$O$43</f>
        <v>93.59</v>
      </c>
    </row>
    <row r="84" spans="1:15" s="57" customFormat="1" ht="14.25" customHeight="1" x14ac:dyDescent="0.2">
      <c r="A84" s="892" t="s">
        <v>108</v>
      </c>
      <c r="B84" s="892"/>
      <c r="C84" s="892"/>
      <c r="D84" s="892"/>
      <c r="E84" s="892"/>
      <c r="F84" s="454">
        <f t="shared" ref="F84:K84" si="9">SUM(F82:F83)</f>
        <v>0.1111</v>
      </c>
      <c r="G84" s="448">
        <f t="shared" si="9"/>
        <v>353.1</v>
      </c>
      <c r="H84" s="454">
        <f t="shared" si="9"/>
        <v>0.1111</v>
      </c>
      <c r="I84" s="448">
        <f t="shared" si="9"/>
        <v>353.1</v>
      </c>
      <c r="J84" s="454">
        <f t="shared" si="9"/>
        <v>0.1111</v>
      </c>
      <c r="K84" s="448">
        <f t="shared" si="9"/>
        <v>367.97</v>
      </c>
      <c r="L84" s="643">
        <f>H84</f>
        <v>0.1111</v>
      </c>
      <c r="M84" s="448">
        <f>L84*$M$43</f>
        <v>367.97</v>
      </c>
      <c r="N84" s="454">
        <f t="shared" ref="N84" si="10">SUM(N82:N83)</f>
        <v>0.1111</v>
      </c>
      <c r="O84" s="448">
        <f>SUM(O82:O83)</f>
        <v>374.03</v>
      </c>
    </row>
    <row r="85" spans="1:15" s="57" customFormat="1" ht="28.5" customHeight="1" x14ac:dyDescent="0.2">
      <c r="A85" s="414" t="s">
        <v>2</v>
      </c>
      <c r="B85" s="869" t="str">
        <f>DADOS!B94</f>
        <v xml:space="preserve">Incidência dos encargos previstos no Submódulo 4.1 sobre 13° (décimo terceiro) salário </v>
      </c>
      <c r="C85" s="869"/>
      <c r="D85" s="869"/>
      <c r="E85" s="869"/>
      <c r="F85" s="453">
        <f>F78*F84</f>
        <v>3.9899999999999998E-2</v>
      </c>
      <c r="G85" s="441">
        <f>F85*$G$43</f>
        <v>126.81</v>
      </c>
      <c r="H85" s="453">
        <f>H78*H84</f>
        <v>3.9899999999999998E-2</v>
      </c>
      <c r="I85" s="441">
        <f>H85*$I$43</f>
        <v>126.81</v>
      </c>
      <c r="J85" s="453">
        <f>J78*J84</f>
        <v>3.9899999999999998E-2</v>
      </c>
      <c r="K85" s="441">
        <f>J85*$K$43</f>
        <v>132.15</v>
      </c>
      <c r="L85" s="453">
        <f>H85</f>
        <v>3.9899999999999998E-2</v>
      </c>
      <c r="M85" s="441">
        <f>L85*$M$43</f>
        <v>132.15</v>
      </c>
      <c r="N85" s="453">
        <f>N78*N84</f>
        <v>4.0300000000000002E-2</v>
      </c>
      <c r="O85" s="441">
        <f>N85*$O$43</f>
        <v>135.68</v>
      </c>
    </row>
    <row r="86" spans="1:15" s="60" customFormat="1" ht="18" customHeight="1" x14ac:dyDescent="0.2">
      <c r="A86" s="892" t="s">
        <v>62</v>
      </c>
      <c r="B86" s="892"/>
      <c r="C86" s="892"/>
      <c r="D86" s="892"/>
      <c r="E86" s="892"/>
      <c r="F86" s="454">
        <f t="shared" ref="F86:N86" si="11">SUM(F84:F85)</f>
        <v>0.151</v>
      </c>
      <c r="G86" s="450">
        <f t="shared" si="11"/>
        <v>479.91</v>
      </c>
      <c r="H86" s="454">
        <f t="shared" si="11"/>
        <v>0.151</v>
      </c>
      <c r="I86" s="450">
        <f t="shared" si="11"/>
        <v>479.91</v>
      </c>
      <c r="J86" s="454">
        <f t="shared" si="11"/>
        <v>0.151</v>
      </c>
      <c r="K86" s="450">
        <f t="shared" si="11"/>
        <v>500.12</v>
      </c>
      <c r="L86" s="454">
        <f t="shared" si="11"/>
        <v>0.151</v>
      </c>
      <c r="M86" s="450">
        <f t="shared" si="11"/>
        <v>500.12</v>
      </c>
      <c r="N86" s="454">
        <f t="shared" si="11"/>
        <v>0.15140000000000001</v>
      </c>
      <c r="O86" s="450">
        <f>SUM(O84:O85)</f>
        <v>509.71</v>
      </c>
    </row>
    <row r="87" spans="1:15" s="60" customFormat="1" x14ac:dyDescent="0.2">
      <c r="A87" s="456"/>
      <c r="B87" s="456"/>
      <c r="C87" s="456"/>
      <c r="D87" s="456"/>
      <c r="E87" s="456"/>
      <c r="F87" s="440"/>
      <c r="G87" s="445"/>
      <c r="H87" s="440"/>
      <c r="I87" s="445"/>
      <c r="J87" s="440"/>
      <c r="K87" s="445"/>
      <c r="L87" s="440"/>
      <c r="M87" s="445"/>
      <c r="N87" s="440"/>
      <c r="O87" s="445"/>
    </row>
    <row r="88" spans="1:15" s="57" customFormat="1" x14ac:dyDescent="0.2">
      <c r="A88" s="880" t="s">
        <v>109</v>
      </c>
      <c r="B88" s="880"/>
      <c r="C88" s="880"/>
      <c r="D88" s="880"/>
      <c r="E88" s="880"/>
      <c r="F88" s="880"/>
      <c r="G88" s="880"/>
      <c r="H88" s="620"/>
      <c r="I88" s="620"/>
      <c r="J88" s="636"/>
      <c r="K88" s="636"/>
      <c r="L88" s="636"/>
      <c r="M88" s="636"/>
      <c r="N88" s="661"/>
      <c r="O88" s="661"/>
    </row>
    <row r="89" spans="1:15" s="57" customFormat="1" ht="27" customHeight="1" x14ac:dyDescent="0.2">
      <c r="A89" s="429" t="s">
        <v>63</v>
      </c>
      <c r="B89" s="884" t="s">
        <v>26</v>
      </c>
      <c r="C89" s="884"/>
      <c r="D89" s="884"/>
      <c r="E89" s="884"/>
      <c r="F89" s="429" t="s">
        <v>12</v>
      </c>
      <c r="G89" s="429" t="s">
        <v>103</v>
      </c>
      <c r="H89" s="616" t="s">
        <v>12</v>
      </c>
      <c r="I89" s="616" t="s">
        <v>103</v>
      </c>
      <c r="J89" s="634" t="s">
        <v>12</v>
      </c>
      <c r="K89" s="634" t="s">
        <v>103</v>
      </c>
      <c r="L89" s="634" t="s">
        <v>12</v>
      </c>
      <c r="M89" s="634" t="s">
        <v>103</v>
      </c>
      <c r="N89" s="658" t="s">
        <v>12</v>
      </c>
      <c r="O89" s="658" t="s">
        <v>103</v>
      </c>
    </row>
    <row r="90" spans="1:15" s="57" customFormat="1" ht="14.25" customHeight="1" x14ac:dyDescent="0.2">
      <c r="A90" s="414" t="s">
        <v>1</v>
      </c>
      <c r="B90" s="452" t="str">
        <f>DADOS!B97</f>
        <v>Afastamento Maternidade</v>
      </c>
      <c r="C90" s="452"/>
      <c r="D90" s="421"/>
      <c r="E90" s="421"/>
      <c r="F90" s="453">
        <f>DADOS!C97</f>
        <v>0</v>
      </c>
      <c r="G90" s="441">
        <f>F90*$G$43</f>
        <v>0</v>
      </c>
      <c r="H90" s="453">
        <f>DADOS!C97</f>
        <v>0</v>
      </c>
      <c r="I90" s="441">
        <f>H90*$K$43</f>
        <v>0</v>
      </c>
      <c r="J90" s="453">
        <f>DADOS!G97</f>
        <v>0</v>
      </c>
      <c r="K90" s="441">
        <f>J90*$I$43</f>
        <v>0</v>
      </c>
      <c r="L90" s="453">
        <f>DADOS!I97</f>
        <v>0</v>
      </c>
      <c r="M90" s="441">
        <f>L90*$M$43</f>
        <v>0</v>
      </c>
      <c r="N90" s="453">
        <f>DADOS!K97</f>
        <v>0</v>
      </c>
      <c r="O90" s="441">
        <f>N90*$K$43</f>
        <v>0</v>
      </c>
    </row>
    <row r="91" spans="1:15" s="57" customFormat="1" ht="14.25" customHeight="1" x14ac:dyDescent="0.2">
      <c r="A91" s="414" t="s">
        <v>2</v>
      </c>
      <c r="B91" s="452" t="str">
        <f>DADOS!B98</f>
        <v>Incidência dos encargos do Submódulo 4.1 sobre o afastamento maternidade</v>
      </c>
      <c r="C91" s="452"/>
      <c r="D91" s="421"/>
      <c r="E91" s="421"/>
      <c r="F91" s="453">
        <f>DADOS!C98</f>
        <v>0</v>
      </c>
      <c r="G91" s="441">
        <f>F91*$G$43</f>
        <v>0</v>
      </c>
      <c r="H91" s="453">
        <f>DADOS!C98</f>
        <v>0</v>
      </c>
      <c r="I91" s="441">
        <f>H91*$K$43</f>
        <v>0</v>
      </c>
      <c r="J91" s="453">
        <f>DADOS!G98</f>
        <v>0</v>
      </c>
      <c r="K91" s="441">
        <f>J91*$I$43</f>
        <v>0</v>
      </c>
      <c r="L91" s="453">
        <f>DADOS!I98</f>
        <v>0</v>
      </c>
      <c r="M91" s="441">
        <f>L91*$M$43</f>
        <v>0</v>
      </c>
      <c r="N91" s="453">
        <f>DADOS!K98</f>
        <v>0</v>
      </c>
      <c r="O91" s="441">
        <f>N91*$K$43</f>
        <v>0</v>
      </c>
    </row>
    <row r="92" spans="1:15" s="60" customFormat="1" ht="18" customHeight="1" x14ac:dyDescent="0.2">
      <c r="A92" s="892" t="s">
        <v>62</v>
      </c>
      <c r="B92" s="892"/>
      <c r="C92" s="892"/>
      <c r="D92" s="892"/>
      <c r="E92" s="892"/>
      <c r="F92" s="454">
        <f t="shared" ref="F92:O92" si="12">SUM(F90:F91)</f>
        <v>0</v>
      </c>
      <c r="G92" s="450">
        <f t="shared" si="12"/>
        <v>0</v>
      </c>
      <c r="H92" s="454">
        <f t="shared" si="12"/>
        <v>0</v>
      </c>
      <c r="I92" s="477">
        <f t="shared" si="12"/>
        <v>0</v>
      </c>
      <c r="J92" s="454">
        <f t="shared" si="12"/>
        <v>0</v>
      </c>
      <c r="K92" s="450">
        <f t="shared" si="12"/>
        <v>0</v>
      </c>
      <c r="L92" s="454">
        <f t="shared" si="12"/>
        <v>0</v>
      </c>
      <c r="M92" s="450">
        <f t="shared" si="12"/>
        <v>0</v>
      </c>
      <c r="N92" s="454">
        <f t="shared" si="12"/>
        <v>0</v>
      </c>
      <c r="O92" s="450">
        <f t="shared" si="12"/>
        <v>0</v>
      </c>
    </row>
    <row r="93" spans="1:15" s="60" customFormat="1" ht="18" customHeight="1" x14ac:dyDescent="0.2">
      <c r="A93" s="456"/>
      <c r="B93" s="456"/>
      <c r="C93" s="456"/>
      <c r="D93" s="456"/>
      <c r="E93" s="456"/>
      <c r="F93" s="440"/>
      <c r="G93" s="445"/>
      <c r="H93" s="440"/>
      <c r="I93" s="445"/>
      <c r="J93" s="440"/>
      <c r="K93" s="445"/>
      <c r="L93" s="440"/>
      <c r="M93" s="445"/>
      <c r="N93" s="440"/>
      <c r="O93" s="445"/>
    </row>
    <row r="94" spans="1:15" s="57" customFormat="1" x14ac:dyDescent="0.2">
      <c r="A94" s="880" t="s">
        <v>110</v>
      </c>
      <c r="B94" s="880"/>
      <c r="C94" s="880"/>
      <c r="D94" s="880"/>
      <c r="E94" s="880"/>
      <c r="F94" s="880"/>
      <c r="G94" s="880"/>
      <c r="H94" s="620"/>
      <c r="I94" s="620"/>
      <c r="J94" s="636"/>
      <c r="K94" s="636"/>
      <c r="L94" s="636"/>
      <c r="M94" s="636"/>
      <c r="N94" s="661"/>
      <c r="O94" s="661"/>
    </row>
    <row r="95" spans="1:15" s="57" customFormat="1" ht="47.25" customHeight="1" x14ac:dyDescent="0.2">
      <c r="A95" s="429" t="s">
        <v>74</v>
      </c>
      <c r="B95" s="884" t="s">
        <v>111</v>
      </c>
      <c r="C95" s="884"/>
      <c r="D95" s="884"/>
      <c r="E95" s="884"/>
      <c r="F95" s="429" t="s">
        <v>12</v>
      </c>
      <c r="G95" s="429" t="s">
        <v>103</v>
      </c>
      <c r="H95" s="616" t="s">
        <v>12</v>
      </c>
      <c r="I95" s="616" t="s">
        <v>103</v>
      </c>
      <c r="J95" s="634" t="s">
        <v>12</v>
      </c>
      <c r="K95" s="634" t="s">
        <v>103</v>
      </c>
      <c r="L95" s="634" t="s">
        <v>12</v>
      </c>
      <c r="M95" s="634" t="s">
        <v>103</v>
      </c>
      <c r="N95" s="658" t="s">
        <v>12</v>
      </c>
      <c r="O95" s="658" t="s">
        <v>103</v>
      </c>
    </row>
    <row r="96" spans="1:15" s="57" customFormat="1" ht="14.25" customHeight="1" x14ac:dyDescent="0.2">
      <c r="A96" s="414" t="s">
        <v>1</v>
      </c>
      <c r="B96" s="452" t="str">
        <f>DADOS!B101</f>
        <v>Aviso Prévio Indenizado </v>
      </c>
      <c r="C96" s="452"/>
      <c r="D96" s="421"/>
      <c r="E96" s="421"/>
      <c r="F96" s="453">
        <f>DADOS!C101</f>
        <v>4.1999999999999997E-3</v>
      </c>
      <c r="G96" s="441">
        <f t="shared" ref="G96:G101" si="13">F96*$G$43</f>
        <v>13.35</v>
      </c>
      <c r="H96" s="457">
        <v>4.0000000000000002E-4</v>
      </c>
      <c r="I96" s="441">
        <f t="shared" ref="I96:I101" si="14">ROUND(H96*$I$43,2)</f>
        <v>1.27</v>
      </c>
      <c r="J96" s="453">
        <v>4.1999999999999997E-3</v>
      </c>
      <c r="K96" s="441">
        <f t="shared" ref="K96:K101" si="15">J96*$K$43</f>
        <v>13.91</v>
      </c>
      <c r="L96" s="457">
        <f t="shared" ref="L96:L101" si="16">H96</f>
        <v>4.0000000000000002E-4</v>
      </c>
      <c r="M96" s="441">
        <f t="shared" ref="M96:M101" si="17">ROUND(L96*$M$43,2)</f>
        <v>1.32</v>
      </c>
      <c r="N96" s="613">
        <v>4.0000000000000002E-4</v>
      </c>
      <c r="O96" s="441">
        <f>N96*$O$43</f>
        <v>1.35</v>
      </c>
    </row>
    <row r="97" spans="1:15" s="57" customFormat="1" ht="14.25" customHeight="1" x14ac:dyDescent="0.2">
      <c r="A97" s="414" t="s">
        <v>2</v>
      </c>
      <c r="B97" s="452" t="str">
        <f>DADOS!B102</f>
        <v>Incidência dos encargos do submódulo 4.1 sobre aviso prévio indenizado</v>
      </c>
      <c r="C97" s="452"/>
      <c r="D97" s="421"/>
      <c r="E97" s="421"/>
      <c r="F97" s="453">
        <f>DADOS!C102</f>
        <v>1.5E-3</v>
      </c>
      <c r="G97" s="441">
        <f t="shared" si="13"/>
        <v>4.7699999999999996</v>
      </c>
      <c r="H97" s="457">
        <v>1E-4</v>
      </c>
      <c r="I97" s="441">
        <f t="shared" si="14"/>
        <v>0.32</v>
      </c>
      <c r="J97" s="453">
        <v>1.5E-3</v>
      </c>
      <c r="K97" s="441">
        <f t="shared" si="15"/>
        <v>4.97</v>
      </c>
      <c r="L97" s="457">
        <f t="shared" si="16"/>
        <v>1E-4</v>
      </c>
      <c r="M97" s="441">
        <f t="shared" si="17"/>
        <v>0.33</v>
      </c>
      <c r="N97" s="613">
        <v>1E-4</v>
      </c>
      <c r="O97" s="441">
        <f t="shared" ref="O97:O101" si="18">N97*$O$43</f>
        <v>0.34</v>
      </c>
    </row>
    <row r="98" spans="1:15" s="57" customFormat="1" ht="14.25" customHeight="1" x14ac:dyDescent="0.2">
      <c r="A98" s="414" t="s">
        <v>4</v>
      </c>
      <c r="B98" s="452" t="str">
        <f>DADOS!B103</f>
        <v xml:space="preserve">Multa do FGTS e contribuições sociais sobre o aviso prévio indenizado </v>
      </c>
      <c r="C98" s="452"/>
      <c r="D98" s="421"/>
      <c r="E98" s="421"/>
      <c r="F98" s="453">
        <f>DADOS!C103</f>
        <v>4.3499999999999997E-2</v>
      </c>
      <c r="G98" s="441">
        <f t="shared" si="13"/>
        <v>138.25</v>
      </c>
      <c r="H98" s="453">
        <f>F98</f>
        <v>4.3499999999999997E-2</v>
      </c>
      <c r="I98" s="441">
        <f t="shared" si="14"/>
        <v>138.25</v>
      </c>
      <c r="J98" s="453">
        <v>4.3499999999999997E-2</v>
      </c>
      <c r="K98" s="441">
        <f t="shared" si="15"/>
        <v>144.07</v>
      </c>
      <c r="L98" s="453">
        <f t="shared" si="16"/>
        <v>4.3499999999999997E-2</v>
      </c>
      <c r="M98" s="441">
        <f t="shared" si="17"/>
        <v>144.07</v>
      </c>
      <c r="N98" s="453">
        <v>4.3499999999999997E-2</v>
      </c>
      <c r="O98" s="441">
        <f t="shared" si="18"/>
        <v>146.44999999999999</v>
      </c>
    </row>
    <row r="99" spans="1:15" s="57" customFormat="1" ht="14.25" customHeight="1" x14ac:dyDescent="0.2">
      <c r="A99" s="414" t="s">
        <v>5</v>
      </c>
      <c r="B99" s="452" t="str">
        <f>DADOS!B104</f>
        <v>Aviso Prévio trabalhado</v>
      </c>
      <c r="C99" s="452"/>
      <c r="D99" s="421"/>
      <c r="E99" s="421"/>
      <c r="F99" s="453">
        <f>DADOS!C104</f>
        <v>1.9400000000000001E-2</v>
      </c>
      <c r="G99" s="441">
        <f t="shared" si="13"/>
        <v>61.66</v>
      </c>
      <c r="H99" s="457">
        <v>0</v>
      </c>
      <c r="I99" s="441">
        <f t="shared" si="14"/>
        <v>0</v>
      </c>
      <c r="J99" s="453">
        <v>1.9400000000000001E-2</v>
      </c>
      <c r="K99" s="441">
        <f t="shared" si="15"/>
        <v>64.25</v>
      </c>
      <c r="L99" s="457">
        <f t="shared" si="16"/>
        <v>0</v>
      </c>
      <c r="M99" s="441">
        <f t="shared" si="17"/>
        <v>0</v>
      </c>
      <c r="N99" s="613">
        <v>0</v>
      </c>
      <c r="O99" s="441">
        <f t="shared" si="18"/>
        <v>0</v>
      </c>
    </row>
    <row r="100" spans="1:15" s="57" customFormat="1" ht="14.25" customHeight="1" x14ac:dyDescent="0.2">
      <c r="A100" s="414" t="s">
        <v>6</v>
      </c>
      <c r="B100" s="452" t="str">
        <f>DADOS!B105</f>
        <v>Incidência dos encargos do submódulo 4.1 sobre aviso prévio trabalhado</v>
      </c>
      <c r="C100" s="452"/>
      <c r="D100" s="421"/>
      <c r="E100" s="421"/>
      <c r="F100" s="453">
        <f>DADOS!C105</f>
        <v>7.0000000000000001E-3</v>
      </c>
      <c r="G100" s="441">
        <f t="shared" si="13"/>
        <v>22.25</v>
      </c>
      <c r="H100" s="457">
        <v>0</v>
      </c>
      <c r="I100" s="441">
        <f t="shared" si="14"/>
        <v>0</v>
      </c>
      <c r="J100" s="453">
        <v>7.0000000000000001E-3</v>
      </c>
      <c r="K100" s="441">
        <f t="shared" si="15"/>
        <v>23.18</v>
      </c>
      <c r="L100" s="457">
        <f t="shared" si="16"/>
        <v>0</v>
      </c>
      <c r="M100" s="441">
        <f t="shared" si="17"/>
        <v>0</v>
      </c>
      <c r="N100" s="613">
        <v>0</v>
      </c>
      <c r="O100" s="441">
        <f t="shared" si="18"/>
        <v>0</v>
      </c>
    </row>
    <row r="101" spans="1:15" s="57" customFormat="1" ht="14.25" customHeight="1" x14ac:dyDescent="0.2">
      <c r="A101" s="414" t="s">
        <v>7</v>
      </c>
      <c r="B101" s="452" t="str">
        <f>DADOS!B106</f>
        <v>Multa do FGTS e contribuições sociais sobre o aviso prévio trabalhado</v>
      </c>
      <c r="C101" s="452"/>
      <c r="D101" s="421"/>
      <c r="E101" s="421"/>
      <c r="F101" s="453">
        <f>DADOS!C106</f>
        <v>6.4999999999999997E-3</v>
      </c>
      <c r="G101" s="441">
        <f t="shared" si="13"/>
        <v>20.66</v>
      </c>
      <c r="H101" s="453">
        <v>6.4999999999999997E-3</v>
      </c>
      <c r="I101" s="441">
        <f t="shared" si="14"/>
        <v>20.66</v>
      </c>
      <c r="J101" s="453">
        <v>6.4999999999999997E-3</v>
      </c>
      <c r="K101" s="441">
        <f t="shared" si="15"/>
        <v>21.53</v>
      </c>
      <c r="L101" s="453">
        <f t="shared" si="16"/>
        <v>6.4999999999999997E-3</v>
      </c>
      <c r="M101" s="441">
        <f t="shared" si="17"/>
        <v>21.53</v>
      </c>
      <c r="N101" s="453">
        <v>6.4999999999999997E-3</v>
      </c>
      <c r="O101" s="441">
        <f t="shared" si="18"/>
        <v>21.88</v>
      </c>
    </row>
    <row r="102" spans="1:15" s="60" customFormat="1" ht="18" customHeight="1" x14ac:dyDescent="0.2">
      <c r="A102" s="892" t="s">
        <v>62</v>
      </c>
      <c r="B102" s="892"/>
      <c r="C102" s="892"/>
      <c r="D102" s="892"/>
      <c r="E102" s="892"/>
      <c r="F102" s="454">
        <f t="shared" ref="F102:M102" si="19">SUM(F96:F101)</f>
        <v>8.2100000000000006E-2</v>
      </c>
      <c r="G102" s="450">
        <f t="shared" si="19"/>
        <v>260.94</v>
      </c>
      <c r="H102" s="454">
        <f t="shared" si="19"/>
        <v>5.0500000000000003E-2</v>
      </c>
      <c r="I102" s="450">
        <f t="shared" si="19"/>
        <v>160.5</v>
      </c>
      <c r="J102" s="454">
        <f t="shared" si="19"/>
        <v>8.2100000000000006E-2</v>
      </c>
      <c r="K102" s="450">
        <f t="shared" si="19"/>
        <v>271.91000000000003</v>
      </c>
      <c r="L102" s="454">
        <f t="shared" si="19"/>
        <v>5.0500000000000003E-2</v>
      </c>
      <c r="M102" s="450">
        <f t="shared" si="19"/>
        <v>167.25</v>
      </c>
      <c r="N102" s="454">
        <f t="shared" ref="N102:O102" si="20">SUM(N96:N101)</f>
        <v>5.0500000000000003E-2</v>
      </c>
      <c r="O102" s="450">
        <f t="shared" si="20"/>
        <v>170.02</v>
      </c>
    </row>
    <row r="103" spans="1:15" s="60" customFormat="1" ht="18" customHeight="1" x14ac:dyDescent="0.2">
      <c r="A103" s="456"/>
      <c r="B103" s="456"/>
      <c r="C103" s="456"/>
      <c r="D103" s="456"/>
      <c r="E103" s="456"/>
      <c r="F103" s="440"/>
      <c r="G103" s="445"/>
      <c r="H103" s="445"/>
      <c r="I103" s="445"/>
      <c r="J103" s="440"/>
      <c r="K103" s="445"/>
      <c r="L103" s="440"/>
      <c r="M103" s="445"/>
      <c r="N103" s="440"/>
      <c r="O103" s="445"/>
    </row>
    <row r="104" spans="1:15" s="57" customFormat="1" x14ac:dyDescent="0.2">
      <c r="A104" s="880" t="s">
        <v>112</v>
      </c>
      <c r="B104" s="880"/>
      <c r="C104" s="880"/>
      <c r="D104" s="880"/>
      <c r="E104" s="880"/>
      <c r="F104" s="880"/>
      <c r="G104" s="880"/>
      <c r="H104" s="620"/>
      <c r="I104" s="620"/>
      <c r="J104" s="636"/>
      <c r="K104" s="636"/>
      <c r="L104" s="636"/>
      <c r="M104" s="636"/>
      <c r="N104" s="661"/>
      <c r="O104" s="661"/>
    </row>
    <row r="105" spans="1:15" s="57" customFormat="1" ht="32.25" customHeight="1" x14ac:dyDescent="0.2">
      <c r="A105" s="429" t="s">
        <v>77</v>
      </c>
      <c r="B105" s="884" t="s">
        <v>123</v>
      </c>
      <c r="C105" s="884"/>
      <c r="D105" s="884"/>
      <c r="E105" s="884"/>
      <c r="F105" s="429" t="s">
        <v>12</v>
      </c>
      <c r="G105" s="429" t="s">
        <v>103</v>
      </c>
      <c r="H105" s="616" t="s">
        <v>12</v>
      </c>
      <c r="I105" s="616" t="s">
        <v>103</v>
      </c>
      <c r="J105" s="634" t="s">
        <v>12</v>
      </c>
      <c r="K105" s="634" t="s">
        <v>103</v>
      </c>
      <c r="L105" s="634" t="s">
        <v>12</v>
      </c>
      <c r="M105" s="634" t="s">
        <v>103</v>
      </c>
      <c r="N105" s="658" t="s">
        <v>12</v>
      </c>
      <c r="O105" s="658" t="s">
        <v>103</v>
      </c>
    </row>
    <row r="106" spans="1:15" s="57" customFormat="1" ht="14.25" customHeight="1" x14ac:dyDescent="0.2">
      <c r="A106" s="414" t="s">
        <v>1</v>
      </c>
      <c r="B106" s="452" t="str">
        <f>DADOS!B109</f>
        <v xml:space="preserve">Férias </v>
      </c>
      <c r="C106" s="452"/>
      <c r="D106" s="421"/>
      <c r="E106" s="421"/>
      <c r="F106" s="453">
        <f>DADOS!C109</f>
        <v>8.3299999999999999E-2</v>
      </c>
      <c r="G106" s="445">
        <f t="shared" ref="G106:G113" si="21">F106*$G$43</f>
        <v>264.75</v>
      </c>
      <c r="H106" s="453">
        <f t="shared" ref="H106:H111" si="22">F106</f>
        <v>8.3299999999999999E-2</v>
      </c>
      <c r="I106" s="441">
        <f t="shared" ref="I106:I113" si="23">ROUND(H106*$I$43,2)</f>
        <v>264.75</v>
      </c>
      <c r="J106" s="453">
        <f>DADOS!C109</f>
        <v>8.3299999999999999E-2</v>
      </c>
      <c r="K106" s="445">
        <f t="shared" ref="K106:K111" si="24">J106*$K$43</f>
        <v>275.89</v>
      </c>
      <c r="L106" s="453">
        <f t="shared" ref="L106:L111" si="25">H106</f>
        <v>8.3299999999999999E-2</v>
      </c>
      <c r="M106" s="445">
        <f t="shared" ref="M106:M111" si="26">L106*$M$43</f>
        <v>275.89</v>
      </c>
      <c r="N106" s="453">
        <v>8.3299999999999999E-2</v>
      </c>
      <c r="O106" s="445">
        <f>N106*$O$43</f>
        <v>280.44</v>
      </c>
    </row>
    <row r="107" spans="1:15" s="57" customFormat="1" ht="14.25" customHeight="1" x14ac:dyDescent="0.2">
      <c r="A107" s="414" t="s">
        <v>2</v>
      </c>
      <c r="B107" s="452" t="str">
        <f>DADOS!B110</f>
        <v>Ausência por doença</v>
      </c>
      <c r="C107" s="452"/>
      <c r="D107" s="421"/>
      <c r="E107" s="421"/>
      <c r="F107" s="453">
        <f>DADOS!C110</f>
        <v>1.3899999999999999E-2</v>
      </c>
      <c r="G107" s="445">
        <f t="shared" si="21"/>
        <v>44.18</v>
      </c>
      <c r="H107" s="453">
        <f t="shared" si="22"/>
        <v>1.3899999999999999E-2</v>
      </c>
      <c r="I107" s="441">
        <f t="shared" si="23"/>
        <v>44.18</v>
      </c>
      <c r="J107" s="453">
        <f>DADOS!C110</f>
        <v>1.3899999999999999E-2</v>
      </c>
      <c r="K107" s="445">
        <f t="shared" si="24"/>
        <v>46.04</v>
      </c>
      <c r="L107" s="453">
        <f t="shared" si="25"/>
        <v>1.3899999999999999E-2</v>
      </c>
      <c r="M107" s="445">
        <f t="shared" si="26"/>
        <v>46.04</v>
      </c>
      <c r="N107" s="453">
        <v>1.3899999999999999E-2</v>
      </c>
      <c r="O107" s="445">
        <f t="shared" ref="O107:O111" si="27">N107*$O$43</f>
        <v>46.8</v>
      </c>
    </row>
    <row r="108" spans="1:15" s="57" customFormat="1" ht="14.25" customHeight="1" x14ac:dyDescent="0.2">
      <c r="A108" s="414" t="s">
        <v>4</v>
      </c>
      <c r="B108" s="452" t="str">
        <f>DADOS!B111</f>
        <v>Licença Paternidade</v>
      </c>
      <c r="C108" s="452"/>
      <c r="D108" s="421"/>
      <c r="E108" s="421"/>
      <c r="F108" s="453">
        <f>DADOS!C111</f>
        <v>1.2999999999999999E-3</v>
      </c>
      <c r="G108" s="445">
        <f t="shared" si="21"/>
        <v>4.13</v>
      </c>
      <c r="H108" s="453">
        <f t="shared" si="22"/>
        <v>1.2999999999999999E-3</v>
      </c>
      <c r="I108" s="441">
        <f t="shared" si="23"/>
        <v>4.13</v>
      </c>
      <c r="J108" s="453">
        <f>DADOS!C111</f>
        <v>1.2999999999999999E-3</v>
      </c>
      <c r="K108" s="445">
        <f t="shared" si="24"/>
        <v>4.3099999999999996</v>
      </c>
      <c r="L108" s="453">
        <f t="shared" si="25"/>
        <v>1.2999999999999999E-3</v>
      </c>
      <c r="M108" s="445">
        <f t="shared" si="26"/>
        <v>4.3099999999999996</v>
      </c>
      <c r="N108" s="453">
        <v>1.2999999999999999E-3</v>
      </c>
      <c r="O108" s="445">
        <f t="shared" si="27"/>
        <v>4.38</v>
      </c>
    </row>
    <row r="109" spans="1:15" s="57" customFormat="1" ht="14.25" customHeight="1" x14ac:dyDescent="0.2">
      <c r="A109" s="414" t="s">
        <v>5</v>
      </c>
      <c r="B109" s="452" t="str">
        <f>DADOS!B112</f>
        <v>Ausências legais</v>
      </c>
      <c r="C109" s="452"/>
      <c r="D109" s="421"/>
      <c r="E109" s="421"/>
      <c r="F109" s="453">
        <f>DADOS!C112</f>
        <v>2.8E-3</v>
      </c>
      <c r="G109" s="445">
        <f t="shared" si="21"/>
        <v>8.9</v>
      </c>
      <c r="H109" s="453">
        <f t="shared" si="22"/>
        <v>2.8E-3</v>
      </c>
      <c r="I109" s="441">
        <f t="shared" si="23"/>
        <v>8.9</v>
      </c>
      <c r="J109" s="453">
        <f>DADOS!C112</f>
        <v>2.8E-3</v>
      </c>
      <c r="K109" s="445">
        <f t="shared" si="24"/>
        <v>9.27</v>
      </c>
      <c r="L109" s="453">
        <f t="shared" si="25"/>
        <v>2.8E-3</v>
      </c>
      <c r="M109" s="445">
        <f t="shared" si="26"/>
        <v>9.27</v>
      </c>
      <c r="N109" s="453">
        <v>2.8E-3</v>
      </c>
      <c r="O109" s="445">
        <f t="shared" si="27"/>
        <v>9.43</v>
      </c>
    </row>
    <row r="110" spans="1:15" s="57" customFormat="1" ht="14.25" customHeight="1" x14ac:dyDescent="0.2">
      <c r="A110" s="414" t="s">
        <v>6</v>
      </c>
      <c r="B110" s="452" t="str">
        <f>DADOS!B113</f>
        <v>Ausência por Acidente de trabalho</v>
      </c>
      <c r="C110" s="452"/>
      <c r="D110" s="421"/>
      <c r="E110" s="421"/>
      <c r="F110" s="453">
        <f>DADOS!C113</f>
        <v>3.3E-3</v>
      </c>
      <c r="G110" s="445">
        <f t="shared" si="21"/>
        <v>10.49</v>
      </c>
      <c r="H110" s="453">
        <f t="shared" si="22"/>
        <v>3.3E-3</v>
      </c>
      <c r="I110" s="441">
        <f t="shared" si="23"/>
        <v>10.49</v>
      </c>
      <c r="J110" s="453">
        <f>DADOS!C113</f>
        <v>3.3E-3</v>
      </c>
      <c r="K110" s="445">
        <f t="shared" si="24"/>
        <v>10.93</v>
      </c>
      <c r="L110" s="453">
        <f t="shared" si="25"/>
        <v>3.3E-3</v>
      </c>
      <c r="M110" s="445">
        <f t="shared" si="26"/>
        <v>10.93</v>
      </c>
      <c r="N110" s="453">
        <v>3.3E-3</v>
      </c>
      <c r="O110" s="445">
        <f t="shared" si="27"/>
        <v>11.11</v>
      </c>
    </row>
    <row r="111" spans="1:15" s="57" customFormat="1" ht="14.25" customHeight="1" x14ac:dyDescent="0.2">
      <c r="A111" s="414" t="s">
        <v>7</v>
      </c>
      <c r="B111" s="452" t="str">
        <f>DADOS!B114</f>
        <v>Outros (especificar)</v>
      </c>
      <c r="C111" s="452"/>
      <c r="D111" s="421"/>
      <c r="E111" s="421"/>
      <c r="F111" s="453">
        <f>DADOS!C114</f>
        <v>0</v>
      </c>
      <c r="G111" s="445">
        <f t="shared" si="21"/>
        <v>0</v>
      </c>
      <c r="H111" s="453">
        <f t="shared" si="22"/>
        <v>0</v>
      </c>
      <c r="I111" s="441">
        <f t="shared" si="23"/>
        <v>0</v>
      </c>
      <c r="J111" s="453">
        <f>DADOS!C114</f>
        <v>0</v>
      </c>
      <c r="K111" s="445">
        <f t="shared" si="24"/>
        <v>0</v>
      </c>
      <c r="L111" s="453">
        <f t="shared" si="25"/>
        <v>0</v>
      </c>
      <c r="M111" s="445">
        <f t="shared" si="26"/>
        <v>0</v>
      </c>
      <c r="N111" s="453">
        <v>0</v>
      </c>
      <c r="O111" s="445">
        <f t="shared" si="27"/>
        <v>0</v>
      </c>
    </row>
    <row r="112" spans="1:15" s="57" customFormat="1" ht="15" customHeight="1" x14ac:dyDescent="0.2">
      <c r="A112" s="892" t="s">
        <v>108</v>
      </c>
      <c r="B112" s="892"/>
      <c r="C112" s="892"/>
      <c r="D112" s="892"/>
      <c r="E112" s="892"/>
      <c r="F112" s="454">
        <f t="shared" ref="F112:M112" si="28">SUM(F106:F111)</f>
        <v>0.1046</v>
      </c>
      <c r="G112" s="448">
        <f t="shared" si="28"/>
        <v>332.45</v>
      </c>
      <c r="H112" s="454">
        <f t="shared" si="28"/>
        <v>0.1046</v>
      </c>
      <c r="I112" s="448">
        <f t="shared" si="28"/>
        <v>332.45</v>
      </c>
      <c r="J112" s="454">
        <f t="shared" si="28"/>
        <v>0.1046</v>
      </c>
      <c r="K112" s="448">
        <f t="shared" si="28"/>
        <v>346.44</v>
      </c>
      <c r="L112" s="454">
        <f t="shared" si="28"/>
        <v>0.1046</v>
      </c>
      <c r="M112" s="448">
        <f t="shared" si="28"/>
        <v>346.44</v>
      </c>
      <c r="N112" s="454">
        <f t="shared" ref="N112" si="29">SUM(N106:N111)</f>
        <v>0.1046</v>
      </c>
      <c r="O112" s="448">
        <f>SUM(O106:O111)</f>
        <v>352.16</v>
      </c>
    </row>
    <row r="113" spans="1:15" s="57" customFormat="1" ht="28.5" customHeight="1" x14ac:dyDescent="0.2">
      <c r="A113" s="414" t="s">
        <v>8</v>
      </c>
      <c r="B113" s="869" t="str">
        <f>DADOS!B116</f>
        <v>Incidência dos encargos previstos no Submódulo 4.1 sobre o custo de reposição do profissional ausente</v>
      </c>
      <c r="C113" s="869"/>
      <c r="D113" s="869"/>
      <c r="E113" s="869"/>
      <c r="F113" s="453">
        <f>DADOS!C116</f>
        <v>3.7600000000000001E-2</v>
      </c>
      <c r="G113" s="445">
        <f t="shared" si="21"/>
        <v>119.5</v>
      </c>
      <c r="H113" s="453">
        <f>F113</f>
        <v>3.7600000000000001E-2</v>
      </c>
      <c r="I113" s="441">
        <f t="shared" si="23"/>
        <v>119.5</v>
      </c>
      <c r="J113" s="453">
        <f>DADOS!C116</f>
        <v>3.7600000000000001E-2</v>
      </c>
      <c r="K113" s="445">
        <f>J113*$K$43</f>
        <v>124.53</v>
      </c>
      <c r="L113" s="453">
        <f>H113</f>
        <v>3.7600000000000001E-2</v>
      </c>
      <c r="M113" s="445">
        <f>L113*$M$43</f>
        <v>124.53</v>
      </c>
      <c r="N113" s="453">
        <f>N112*N78</f>
        <v>3.7900000000000003E-2</v>
      </c>
      <c r="O113" s="445">
        <f>N113*$O$43</f>
        <v>127.6</v>
      </c>
    </row>
    <row r="114" spans="1:15" s="63" customFormat="1" ht="18" customHeight="1" x14ac:dyDescent="0.2">
      <c r="A114" s="892" t="s">
        <v>62</v>
      </c>
      <c r="B114" s="892"/>
      <c r="C114" s="892"/>
      <c r="D114" s="892"/>
      <c r="E114" s="892"/>
      <c r="F114" s="454">
        <f t="shared" ref="F114:M114" si="30">SUM(F112:F113)</f>
        <v>0.14219999999999999</v>
      </c>
      <c r="G114" s="450">
        <f t="shared" si="30"/>
        <v>451.95</v>
      </c>
      <c r="H114" s="454">
        <f t="shared" si="30"/>
        <v>0.14219999999999999</v>
      </c>
      <c r="I114" s="450">
        <f t="shared" si="30"/>
        <v>451.95</v>
      </c>
      <c r="J114" s="454">
        <f t="shared" si="30"/>
        <v>0.14219999999999999</v>
      </c>
      <c r="K114" s="450">
        <f t="shared" si="30"/>
        <v>470.97</v>
      </c>
      <c r="L114" s="454">
        <f t="shared" si="30"/>
        <v>0.14219999999999999</v>
      </c>
      <c r="M114" s="450">
        <f t="shared" si="30"/>
        <v>470.97</v>
      </c>
      <c r="N114" s="454">
        <f t="shared" ref="N114" si="31">SUM(N112:N113)</f>
        <v>0.14249999999999999</v>
      </c>
      <c r="O114" s="450">
        <f>SUM(O112:O113)</f>
        <v>479.76</v>
      </c>
    </row>
    <row r="115" spans="1:15" s="60" customFormat="1" ht="18" customHeight="1" x14ac:dyDescent="0.2">
      <c r="A115" s="456"/>
      <c r="B115" s="456"/>
      <c r="C115" s="456"/>
      <c r="D115" s="456"/>
      <c r="E115" s="456"/>
      <c r="F115" s="440"/>
      <c r="G115" s="445"/>
      <c r="H115" s="445"/>
      <c r="I115" s="445"/>
      <c r="J115" s="440"/>
      <c r="K115" s="445"/>
      <c r="L115" s="440"/>
      <c r="M115" s="445"/>
      <c r="N115" s="440"/>
      <c r="O115" s="445"/>
    </row>
    <row r="116" spans="1:15" s="57" customFormat="1" x14ac:dyDescent="0.2">
      <c r="A116" s="881" t="s">
        <v>143</v>
      </c>
      <c r="B116" s="881"/>
      <c r="C116" s="881"/>
      <c r="D116" s="881"/>
      <c r="E116" s="881"/>
      <c r="F116" s="881"/>
      <c r="G116" s="881"/>
      <c r="H116" s="617"/>
      <c r="I116" s="617"/>
      <c r="J116" s="635"/>
      <c r="K116" s="635"/>
      <c r="L116" s="635"/>
      <c r="M116" s="635"/>
      <c r="N116" s="662"/>
      <c r="O116" s="662"/>
    </row>
    <row r="117" spans="1:15" s="57" customFormat="1" ht="18" customHeight="1" x14ac:dyDescent="0.2">
      <c r="A117" s="429">
        <v>4</v>
      </c>
      <c r="B117" s="884" t="s">
        <v>113</v>
      </c>
      <c r="C117" s="884"/>
      <c r="D117" s="884"/>
      <c r="E117" s="884"/>
      <c r="F117" s="429" t="s">
        <v>12</v>
      </c>
      <c r="G117" s="429" t="s">
        <v>103</v>
      </c>
      <c r="H117" s="616" t="s">
        <v>12</v>
      </c>
      <c r="I117" s="616" t="s">
        <v>103</v>
      </c>
      <c r="J117" s="634" t="s">
        <v>12</v>
      </c>
      <c r="K117" s="634" t="s">
        <v>103</v>
      </c>
      <c r="L117" s="634" t="s">
        <v>12</v>
      </c>
      <c r="M117" s="634" t="s">
        <v>103</v>
      </c>
      <c r="N117" s="658" t="s">
        <v>12</v>
      </c>
      <c r="O117" s="658" t="s">
        <v>103</v>
      </c>
    </row>
    <row r="118" spans="1:15" s="57" customFormat="1" ht="14.25" customHeight="1" x14ac:dyDescent="0.2">
      <c r="A118" s="414" t="s">
        <v>63</v>
      </c>
      <c r="B118" s="452" t="str">
        <f>B69</f>
        <v>Encargos previdenciários, FGTS e outras contribuições</v>
      </c>
      <c r="C118" s="452"/>
      <c r="D118" s="421"/>
      <c r="E118" s="421"/>
      <c r="F118" s="453">
        <f t="shared" ref="F118:K118" si="32">F78</f>
        <v>0.35930000000000001</v>
      </c>
      <c r="G118" s="441">
        <f t="shared" si="32"/>
        <v>1141.94</v>
      </c>
      <c r="H118" s="453">
        <f t="shared" si="32"/>
        <v>0.35930000000000001</v>
      </c>
      <c r="I118" s="441">
        <f t="shared" si="32"/>
        <v>1141.94</v>
      </c>
      <c r="J118" s="453">
        <f t="shared" si="32"/>
        <v>0.35930000000000001</v>
      </c>
      <c r="K118" s="441">
        <f t="shared" si="32"/>
        <v>1190.01</v>
      </c>
      <c r="L118" s="453">
        <f t="shared" ref="L118:L123" si="33">H118</f>
        <v>0.35930000000000001</v>
      </c>
      <c r="M118" s="441">
        <f>M78</f>
        <v>1190.01</v>
      </c>
      <c r="N118" s="453">
        <f t="shared" ref="N118:O118" si="34">N78</f>
        <v>0.36230000000000001</v>
      </c>
      <c r="O118" s="441">
        <f t="shared" si="34"/>
        <v>1219.74</v>
      </c>
    </row>
    <row r="119" spans="1:15" s="57" customFormat="1" ht="14.25" customHeight="1" x14ac:dyDescent="0.2">
      <c r="A119" s="414" t="s">
        <v>70</v>
      </c>
      <c r="B119" s="452" t="str">
        <f>B81</f>
        <v xml:space="preserve">13º (décimo terceiro) Salário </v>
      </c>
      <c r="C119" s="452"/>
      <c r="D119" s="421"/>
      <c r="E119" s="421"/>
      <c r="F119" s="453">
        <f t="shared" ref="F119:K119" si="35">F86</f>
        <v>0.151</v>
      </c>
      <c r="G119" s="441">
        <f t="shared" si="35"/>
        <v>479.91</v>
      </c>
      <c r="H119" s="453">
        <f t="shared" si="35"/>
        <v>0.151</v>
      </c>
      <c r="I119" s="441">
        <f t="shared" si="35"/>
        <v>479.91</v>
      </c>
      <c r="J119" s="453">
        <f t="shared" si="35"/>
        <v>0.151</v>
      </c>
      <c r="K119" s="441">
        <f t="shared" si="35"/>
        <v>500.12</v>
      </c>
      <c r="L119" s="453">
        <f t="shared" si="33"/>
        <v>0.151</v>
      </c>
      <c r="M119" s="441">
        <f>M86</f>
        <v>500.12</v>
      </c>
      <c r="N119" s="453">
        <f t="shared" ref="N119:O119" si="36">N86</f>
        <v>0.15140000000000001</v>
      </c>
      <c r="O119" s="441">
        <f t="shared" si="36"/>
        <v>509.71</v>
      </c>
    </row>
    <row r="120" spans="1:15" s="57" customFormat="1" ht="14.25" customHeight="1" x14ac:dyDescent="0.2">
      <c r="A120" s="414" t="s">
        <v>72</v>
      </c>
      <c r="B120" s="452" t="str">
        <f>B89</f>
        <v>Afastamento Maternidade</v>
      </c>
      <c r="C120" s="452"/>
      <c r="D120" s="421"/>
      <c r="E120" s="421"/>
      <c r="F120" s="453">
        <f t="shared" ref="F120:K120" si="37">F92</f>
        <v>0</v>
      </c>
      <c r="G120" s="441">
        <f t="shared" si="37"/>
        <v>0</v>
      </c>
      <c r="H120" s="453">
        <f t="shared" si="37"/>
        <v>0</v>
      </c>
      <c r="I120" s="441">
        <f t="shared" si="37"/>
        <v>0</v>
      </c>
      <c r="J120" s="453">
        <f t="shared" si="37"/>
        <v>0</v>
      </c>
      <c r="K120" s="441">
        <f t="shared" si="37"/>
        <v>0</v>
      </c>
      <c r="L120" s="453">
        <f t="shared" si="33"/>
        <v>0</v>
      </c>
      <c r="M120" s="441">
        <f>M92</f>
        <v>0</v>
      </c>
      <c r="N120" s="453">
        <f t="shared" ref="N120:O120" si="38">N92</f>
        <v>0</v>
      </c>
      <c r="O120" s="441">
        <f t="shared" si="38"/>
        <v>0</v>
      </c>
    </row>
    <row r="121" spans="1:15" s="57" customFormat="1" ht="14.25" customHeight="1" x14ac:dyDescent="0.2">
      <c r="A121" s="414" t="s">
        <v>74</v>
      </c>
      <c r="B121" s="452" t="str">
        <f>B95</f>
        <v>Provisão para Rescisão</v>
      </c>
      <c r="C121" s="452"/>
      <c r="D121" s="421"/>
      <c r="E121" s="421"/>
      <c r="F121" s="453">
        <f t="shared" ref="F121:K121" si="39">F102</f>
        <v>8.2100000000000006E-2</v>
      </c>
      <c r="G121" s="441">
        <f t="shared" si="39"/>
        <v>260.94</v>
      </c>
      <c r="H121" s="453">
        <f t="shared" si="39"/>
        <v>5.0500000000000003E-2</v>
      </c>
      <c r="I121" s="441">
        <f t="shared" si="39"/>
        <v>160.5</v>
      </c>
      <c r="J121" s="453">
        <f t="shared" si="39"/>
        <v>8.2100000000000006E-2</v>
      </c>
      <c r="K121" s="441">
        <f t="shared" si="39"/>
        <v>271.91000000000003</v>
      </c>
      <c r="L121" s="453">
        <f t="shared" si="33"/>
        <v>5.0500000000000003E-2</v>
      </c>
      <c r="M121" s="441">
        <f>M102</f>
        <v>167.25</v>
      </c>
      <c r="N121" s="453">
        <f t="shared" ref="N121:O121" si="40">N102</f>
        <v>5.0500000000000003E-2</v>
      </c>
      <c r="O121" s="441">
        <f t="shared" si="40"/>
        <v>170.02</v>
      </c>
    </row>
    <row r="122" spans="1:15" s="57" customFormat="1" ht="14.25" customHeight="1" x14ac:dyDescent="0.2">
      <c r="A122" s="414" t="s">
        <v>77</v>
      </c>
      <c r="B122" s="415" t="str">
        <f>B105</f>
        <v>Composição do Custo de Reposição do Profissional Ausente</v>
      </c>
      <c r="C122" s="415"/>
      <c r="D122" s="421"/>
      <c r="E122" s="421"/>
      <c r="F122" s="453">
        <f t="shared" ref="F122:K122" si="41">F114</f>
        <v>0.14219999999999999</v>
      </c>
      <c r="G122" s="441">
        <f t="shared" si="41"/>
        <v>451.95</v>
      </c>
      <c r="H122" s="453">
        <f t="shared" si="41"/>
        <v>0.14219999999999999</v>
      </c>
      <c r="I122" s="441">
        <f t="shared" si="41"/>
        <v>451.95</v>
      </c>
      <c r="J122" s="453">
        <f t="shared" si="41"/>
        <v>0.14219999999999999</v>
      </c>
      <c r="K122" s="441">
        <f t="shared" si="41"/>
        <v>470.97</v>
      </c>
      <c r="L122" s="453">
        <f t="shared" si="33"/>
        <v>0.14219999999999999</v>
      </c>
      <c r="M122" s="441">
        <f>M114</f>
        <v>470.97</v>
      </c>
      <c r="N122" s="453">
        <f t="shared" ref="N122:O122" si="42">N114</f>
        <v>0.14249999999999999</v>
      </c>
      <c r="O122" s="441">
        <f t="shared" si="42"/>
        <v>479.76</v>
      </c>
    </row>
    <row r="123" spans="1:15" s="57" customFormat="1" ht="14.25" customHeight="1" x14ac:dyDescent="0.2">
      <c r="A123" s="414" t="s">
        <v>131</v>
      </c>
      <c r="B123" s="415" t="s">
        <v>81</v>
      </c>
      <c r="C123" s="415"/>
      <c r="D123" s="421"/>
      <c r="E123" s="421"/>
      <c r="F123" s="453">
        <f>F116</f>
        <v>0</v>
      </c>
      <c r="G123" s="441"/>
      <c r="H123" s="453">
        <f>H116</f>
        <v>0</v>
      </c>
      <c r="I123" s="441"/>
      <c r="J123" s="453">
        <f>J116</f>
        <v>0</v>
      </c>
      <c r="K123" s="441"/>
      <c r="L123" s="453">
        <f t="shared" si="33"/>
        <v>0</v>
      </c>
      <c r="M123" s="441"/>
      <c r="N123" s="453">
        <f>N116</f>
        <v>0</v>
      </c>
      <c r="O123" s="441"/>
    </row>
    <row r="124" spans="1:15" s="57" customFormat="1" ht="18" customHeight="1" x14ac:dyDescent="0.2">
      <c r="A124" s="458"/>
      <c r="B124" s="883" t="s">
        <v>144</v>
      </c>
      <c r="C124" s="883"/>
      <c r="D124" s="883"/>
      <c r="E124" s="883"/>
      <c r="F124" s="454">
        <f t="shared" ref="F124:M124" si="43">SUM(F118:F123)</f>
        <v>0.73460000000000003</v>
      </c>
      <c r="G124" s="450">
        <f t="shared" si="43"/>
        <v>2334.7399999999998</v>
      </c>
      <c r="H124" s="454">
        <f t="shared" si="43"/>
        <v>0.70299999999999996</v>
      </c>
      <c r="I124" s="450">
        <f t="shared" si="43"/>
        <v>2234.3000000000002</v>
      </c>
      <c r="J124" s="454">
        <f t="shared" si="43"/>
        <v>0.73460000000000003</v>
      </c>
      <c r="K124" s="450">
        <f t="shared" si="43"/>
        <v>2433.0100000000002</v>
      </c>
      <c r="L124" s="454">
        <f t="shared" si="43"/>
        <v>0.70299999999999996</v>
      </c>
      <c r="M124" s="450">
        <f t="shared" si="43"/>
        <v>2328.35</v>
      </c>
      <c r="N124" s="454">
        <f t="shared" ref="N124:O124" si="44">SUM(N118:N123)</f>
        <v>0.70669999999999999</v>
      </c>
      <c r="O124" s="450">
        <f t="shared" si="44"/>
        <v>2379.23</v>
      </c>
    </row>
    <row r="125" spans="1:15" s="57" customFormat="1" x14ac:dyDescent="0.2">
      <c r="A125" s="414"/>
      <c r="B125" s="421"/>
      <c r="C125" s="421"/>
      <c r="D125" s="421"/>
      <c r="E125" s="421"/>
      <c r="F125" s="440"/>
      <c r="G125" s="441"/>
      <c r="H125" s="441"/>
      <c r="I125" s="441"/>
      <c r="J125" s="440"/>
      <c r="K125" s="441"/>
      <c r="L125" s="440"/>
      <c r="M125" s="441"/>
      <c r="N125" s="440"/>
      <c r="O125" s="441"/>
    </row>
    <row r="126" spans="1:15" s="57" customFormat="1" x14ac:dyDescent="0.2">
      <c r="A126" s="881" t="s">
        <v>40</v>
      </c>
      <c r="B126" s="881"/>
      <c r="C126" s="881"/>
      <c r="D126" s="881"/>
      <c r="E126" s="881"/>
      <c r="F126" s="881"/>
      <c r="G126" s="881"/>
      <c r="H126" s="617"/>
      <c r="I126" s="617"/>
      <c r="J126" s="635"/>
      <c r="K126" s="635"/>
      <c r="L126" s="635"/>
      <c r="M126" s="635"/>
      <c r="N126" s="662"/>
      <c r="O126" s="662"/>
    </row>
    <row r="127" spans="1:15" s="57" customFormat="1" ht="18" customHeight="1" x14ac:dyDescent="0.2">
      <c r="A127" s="429">
        <v>5</v>
      </c>
      <c r="B127" s="884" t="s">
        <v>29</v>
      </c>
      <c r="C127" s="884"/>
      <c r="D127" s="884"/>
      <c r="E127" s="884"/>
      <c r="F127" s="429" t="s">
        <v>12</v>
      </c>
      <c r="G127" s="429" t="s">
        <v>103</v>
      </c>
      <c r="H127" s="616" t="s">
        <v>12</v>
      </c>
      <c r="I127" s="616" t="s">
        <v>103</v>
      </c>
      <c r="J127" s="634" t="s">
        <v>12</v>
      </c>
      <c r="K127" s="634" t="s">
        <v>103</v>
      </c>
      <c r="L127" s="634" t="s">
        <v>12</v>
      </c>
      <c r="M127" s="634" t="s">
        <v>103</v>
      </c>
      <c r="N127" s="658" t="s">
        <v>12</v>
      </c>
      <c r="O127" s="658" t="s">
        <v>103</v>
      </c>
    </row>
    <row r="128" spans="1:15" s="57" customFormat="1" x14ac:dyDescent="0.2">
      <c r="A128" s="414" t="s">
        <v>1</v>
      </c>
      <c r="B128" s="421" t="s">
        <v>30</v>
      </c>
      <c r="C128" s="421"/>
      <c r="D128" s="421"/>
      <c r="E128" s="421"/>
      <c r="F128" s="453">
        <f>DADOS!G60</f>
        <v>6.9000000000000006E-2</v>
      </c>
      <c r="G128" s="459">
        <f>G141*F128</f>
        <v>439.16</v>
      </c>
      <c r="H128" s="457">
        <v>6.6699999999999995E-2</v>
      </c>
      <c r="I128" s="459">
        <f>I141*H128</f>
        <v>417.82</v>
      </c>
      <c r="J128" s="453">
        <v>6.9000000000000006E-2</v>
      </c>
      <c r="K128" s="459">
        <f>K141*J128</f>
        <v>456.91</v>
      </c>
      <c r="L128" s="457">
        <f>H128</f>
        <v>6.6699999999999995E-2</v>
      </c>
      <c r="M128" s="459">
        <f>M141*L128</f>
        <v>434.55</v>
      </c>
      <c r="N128" s="613">
        <v>6.6299999999999998E-2</v>
      </c>
      <c r="O128" s="459">
        <f>O141*N128</f>
        <v>439.51</v>
      </c>
    </row>
    <row r="129" spans="1:15" s="57" customFormat="1" x14ac:dyDescent="0.2">
      <c r="A129" s="885" t="s">
        <v>2</v>
      </c>
      <c r="B129" s="421" t="s">
        <v>23</v>
      </c>
      <c r="C129" s="421"/>
      <c r="D129" s="421"/>
      <c r="E129" s="421"/>
      <c r="F129" s="453">
        <f>SUM(F130:F131)</f>
        <v>8.6499999999999994E-2</v>
      </c>
      <c r="G129" s="459"/>
      <c r="H129" s="453">
        <v>8.6499999999999994E-2</v>
      </c>
      <c r="I129" s="459"/>
      <c r="J129" s="453">
        <f>SUM(J130:J131)</f>
        <v>8.6499999999999994E-2</v>
      </c>
      <c r="K129" s="459"/>
      <c r="L129" s="453">
        <f>H129</f>
        <v>8.6499999999999994E-2</v>
      </c>
      <c r="M129" s="459"/>
      <c r="N129" s="453">
        <f>SUM(N130:N131)</f>
        <v>8.6499999999999994E-2</v>
      </c>
      <c r="O129" s="459"/>
    </row>
    <row r="130" spans="1:15" s="57" customFormat="1" x14ac:dyDescent="0.2">
      <c r="A130" s="885"/>
      <c r="B130" s="452" t="s">
        <v>338</v>
      </c>
      <c r="C130" s="452"/>
      <c r="D130" s="421"/>
      <c r="E130" s="421"/>
      <c r="F130" s="453">
        <f>DADOS!C75+DADOS!C74</f>
        <v>3.6499999999999998E-2</v>
      </c>
      <c r="G130" s="461">
        <f>($G$141+$G$128+$G$132)/DADOS!C$77*F130</f>
        <v>282.32</v>
      </c>
      <c r="H130" s="453">
        <f>F130</f>
        <v>3.6499999999999998E-2</v>
      </c>
      <c r="I130" s="461">
        <f>($I$141+$I$128+$I$132)/(1-H$129)*H130</f>
        <v>275</v>
      </c>
      <c r="J130" s="453">
        <f>DADOS!C75+DADOS!C74</f>
        <v>3.6499999999999998E-2</v>
      </c>
      <c r="K130" s="461">
        <f>($K$141+$K$128+$K$132)/(1-J129)*J130</f>
        <v>293.73</v>
      </c>
      <c r="L130" s="453">
        <f>H130</f>
        <v>3.6499999999999998E-2</v>
      </c>
      <c r="M130" s="461">
        <f>($M$141+$M$128+$M$132)/(1-L129)*L130</f>
        <v>286.01</v>
      </c>
      <c r="N130" s="453">
        <v>3.6499999999999998E-2</v>
      </c>
      <c r="O130" s="461">
        <f>($O$141+$O$128+$O$132)/(1-$N$129)*N130</f>
        <v>290.91000000000003</v>
      </c>
    </row>
    <row r="131" spans="1:15" s="57" customFormat="1" x14ac:dyDescent="0.2">
      <c r="A131" s="885"/>
      <c r="B131" s="452" t="s">
        <v>339</v>
      </c>
      <c r="C131" s="452"/>
      <c r="D131" s="421"/>
      <c r="E131" s="421"/>
      <c r="F131" s="453">
        <f>DADOS!C73</f>
        <v>0.05</v>
      </c>
      <c r="G131" s="461">
        <f>($G$141+$G$128+$G$132)/DADOS!C$77*F131</f>
        <v>386.74</v>
      </c>
      <c r="H131" s="453">
        <f>F131</f>
        <v>0.05</v>
      </c>
      <c r="I131" s="461">
        <f>($I$141+$I$128+$I$132)/(1-H$129)*H131</f>
        <v>376.71</v>
      </c>
      <c r="J131" s="453">
        <f>DADOS!C73</f>
        <v>0.05</v>
      </c>
      <c r="K131" s="461">
        <f>($K$141+$K$128+$K$132)/(1-J129)*J131</f>
        <v>402.38</v>
      </c>
      <c r="L131" s="453">
        <f>H131</f>
        <v>0.05</v>
      </c>
      <c r="M131" s="461">
        <f>($M$141+$M$128+$M$132)/(1-L129)*L131</f>
        <v>391.79</v>
      </c>
      <c r="N131" s="453">
        <v>0.05</v>
      </c>
      <c r="O131" s="461">
        <f>($O$141+$O$128+$O$132)/(1-$N$129)*N131</f>
        <v>398.5</v>
      </c>
    </row>
    <row r="132" spans="1:15" s="57" customFormat="1" x14ac:dyDescent="0.2">
      <c r="A132" s="414" t="s">
        <v>2</v>
      </c>
      <c r="B132" s="421" t="s">
        <v>20</v>
      </c>
      <c r="C132" s="421"/>
      <c r="D132" s="421"/>
      <c r="E132" s="421"/>
      <c r="F132" s="453">
        <f>DADOS!G61</f>
        <v>3.85E-2</v>
      </c>
      <c r="G132" s="462">
        <f>(G141+G128)*F132</f>
        <v>261.94</v>
      </c>
      <c r="H132" s="633">
        <v>0.03</v>
      </c>
      <c r="I132" s="462">
        <f>(I141+I128)*H132</f>
        <v>200.46</v>
      </c>
      <c r="J132" s="453">
        <v>3.85E-2</v>
      </c>
      <c r="K132" s="462">
        <f>(K141+K128)*J132</f>
        <v>272.54000000000002</v>
      </c>
      <c r="L132" s="457">
        <f>H132</f>
        <v>0.03</v>
      </c>
      <c r="M132" s="462">
        <f>(M141+M128)*L132</f>
        <v>208.49</v>
      </c>
      <c r="N132" s="613">
        <v>0.03</v>
      </c>
      <c r="O132" s="462">
        <f>(O141+O128)*N132</f>
        <v>212.06</v>
      </c>
    </row>
    <row r="133" spans="1:15" s="57" customFormat="1" ht="18" customHeight="1" x14ac:dyDescent="0.2">
      <c r="A133" s="892" t="s">
        <v>337</v>
      </c>
      <c r="B133" s="892"/>
      <c r="C133" s="892"/>
      <c r="D133" s="892"/>
      <c r="E133" s="892"/>
      <c r="F133" s="892"/>
      <c r="G133" s="463">
        <f>G128+G130+G131+G132</f>
        <v>1370.16</v>
      </c>
      <c r="H133" s="463"/>
      <c r="I133" s="463">
        <f>I128+I130+I131+I132</f>
        <v>1269.99</v>
      </c>
      <c r="J133" s="463"/>
      <c r="K133" s="463">
        <f>K128+K130+K131+K132</f>
        <v>1425.56</v>
      </c>
      <c r="L133" s="463"/>
      <c r="M133" s="463">
        <f>M128+M130+M131+M132</f>
        <v>1320.84</v>
      </c>
      <c r="N133" s="463"/>
      <c r="O133" s="463">
        <f>O128+O130+O131+O132</f>
        <v>1340.98</v>
      </c>
    </row>
    <row r="134" spans="1:15" s="57" customFormat="1" x14ac:dyDescent="0.2">
      <c r="A134" s="416"/>
      <c r="B134" s="416"/>
      <c r="C134" s="416"/>
      <c r="D134" s="416"/>
      <c r="E134" s="416"/>
      <c r="F134" s="416"/>
      <c r="G134" s="464"/>
      <c r="H134" s="464"/>
      <c r="I134" s="464"/>
      <c r="J134" s="637"/>
      <c r="K134" s="464"/>
      <c r="L134" s="637"/>
      <c r="M134" s="464"/>
      <c r="N134" s="657"/>
      <c r="O134" s="464"/>
    </row>
    <row r="135" spans="1:15" s="57" customFormat="1" x14ac:dyDescent="0.2">
      <c r="A135" s="881" t="s">
        <v>340</v>
      </c>
      <c r="B135" s="881"/>
      <c r="C135" s="881"/>
      <c r="D135" s="881"/>
      <c r="E135" s="881"/>
      <c r="F135" s="881"/>
      <c r="G135" s="881"/>
      <c r="H135" s="617"/>
      <c r="I135" s="617"/>
      <c r="J135" s="635"/>
      <c r="K135" s="635"/>
      <c r="L135" s="635"/>
      <c r="M135" s="635"/>
      <c r="N135" s="662"/>
      <c r="O135" s="662"/>
    </row>
    <row r="136" spans="1:15" s="57" customFormat="1" ht="16.5" customHeight="1" x14ac:dyDescent="0.2">
      <c r="A136" s="881" t="s">
        <v>341</v>
      </c>
      <c r="B136" s="881"/>
      <c r="C136" s="881"/>
      <c r="D136" s="881"/>
      <c r="E136" s="881"/>
      <c r="F136" s="881"/>
      <c r="G136" s="429" t="s">
        <v>162</v>
      </c>
      <c r="H136" s="616"/>
      <c r="I136" s="616" t="s">
        <v>162</v>
      </c>
      <c r="J136" s="634"/>
      <c r="K136" s="634" t="s">
        <v>162</v>
      </c>
      <c r="L136" s="634"/>
      <c r="M136" s="634" t="s">
        <v>162</v>
      </c>
      <c r="N136" s="658"/>
      <c r="O136" s="658" t="s">
        <v>162</v>
      </c>
    </row>
    <row r="137" spans="1:15" s="57" customFormat="1" ht="14.25" customHeight="1" x14ac:dyDescent="0.2">
      <c r="A137" s="414" t="s">
        <v>1</v>
      </c>
      <c r="B137" s="415" t="s">
        <v>31</v>
      </c>
      <c r="C137" s="415"/>
      <c r="D137" s="416"/>
      <c r="E137" s="416"/>
      <c r="F137" s="440"/>
      <c r="G137" s="441">
        <f>G43</f>
        <v>3178.22</v>
      </c>
      <c r="H137" s="440"/>
      <c r="I137" s="441">
        <f>I43</f>
        <v>3178.22</v>
      </c>
      <c r="J137" s="440"/>
      <c r="K137" s="441">
        <f>K43</f>
        <v>3312.06</v>
      </c>
      <c r="L137" s="440"/>
      <c r="M137" s="441">
        <f>M43</f>
        <v>3312.06</v>
      </c>
      <c r="N137" s="440"/>
      <c r="O137" s="441">
        <f>O43</f>
        <v>3366.64</v>
      </c>
    </row>
    <row r="138" spans="1:15" s="57" customFormat="1" ht="14.25" customHeight="1" x14ac:dyDescent="0.2">
      <c r="A138" s="414" t="s">
        <v>2</v>
      </c>
      <c r="B138" s="415" t="s">
        <v>32</v>
      </c>
      <c r="C138" s="415"/>
      <c r="D138" s="416"/>
      <c r="E138" s="416"/>
      <c r="F138" s="440"/>
      <c r="G138" s="441">
        <f>G58</f>
        <v>575.83000000000004</v>
      </c>
      <c r="H138" s="440"/>
      <c r="I138" s="441">
        <f>I58</f>
        <v>575.83000000000004</v>
      </c>
      <c r="J138" s="440"/>
      <c r="K138" s="441">
        <f>K58</f>
        <v>601.09</v>
      </c>
      <c r="L138" s="440"/>
      <c r="M138" s="441">
        <f>M58</f>
        <v>601.09</v>
      </c>
      <c r="N138" s="440"/>
      <c r="O138" s="441">
        <f>O58</f>
        <v>609.64</v>
      </c>
    </row>
    <row r="139" spans="1:15" s="57" customFormat="1" ht="14.25" customHeight="1" x14ac:dyDescent="0.2">
      <c r="A139" s="414" t="s">
        <v>4</v>
      </c>
      <c r="B139" s="415" t="s">
        <v>33</v>
      </c>
      <c r="C139" s="415"/>
      <c r="D139" s="416"/>
      <c r="E139" s="416"/>
      <c r="F139" s="440"/>
      <c r="G139" s="441">
        <f>G65</f>
        <v>275.79000000000002</v>
      </c>
      <c r="H139" s="440"/>
      <c r="I139" s="441">
        <f>I65</f>
        <v>275.79000000000002</v>
      </c>
      <c r="J139" s="440"/>
      <c r="K139" s="441">
        <f>K65</f>
        <v>275.79000000000002</v>
      </c>
      <c r="L139" s="440"/>
      <c r="M139" s="441">
        <f>M65</f>
        <v>273.55</v>
      </c>
      <c r="N139" s="440"/>
      <c r="O139" s="441">
        <f>O65</f>
        <v>273.55</v>
      </c>
    </row>
    <row r="140" spans="1:15" s="57" customFormat="1" ht="14.25" customHeight="1" x14ac:dyDescent="0.2">
      <c r="A140" s="414" t="s">
        <v>5</v>
      </c>
      <c r="B140" s="415" t="s">
        <v>34</v>
      </c>
      <c r="C140" s="415"/>
      <c r="D140" s="416"/>
      <c r="E140" s="416"/>
      <c r="F140" s="440"/>
      <c r="G140" s="441">
        <f>G124</f>
        <v>2334.7399999999998</v>
      </c>
      <c r="H140" s="440"/>
      <c r="I140" s="441">
        <f>I124</f>
        <v>2234.3000000000002</v>
      </c>
      <c r="J140" s="440"/>
      <c r="K140" s="441">
        <f>K124</f>
        <v>2433.0100000000002</v>
      </c>
      <c r="L140" s="440"/>
      <c r="M140" s="441">
        <f>M124</f>
        <v>2328.35</v>
      </c>
      <c r="N140" s="440"/>
      <c r="O140" s="441">
        <f>O124</f>
        <v>2379.23</v>
      </c>
    </row>
    <row r="141" spans="1:15" s="57" customFormat="1" x14ac:dyDescent="0.2">
      <c r="A141" s="926" t="s">
        <v>114</v>
      </c>
      <c r="B141" s="926"/>
      <c r="C141" s="926"/>
      <c r="D141" s="926"/>
      <c r="E141" s="926"/>
      <c r="F141" s="926"/>
      <c r="G141" s="441">
        <f>SUM(G137:G140)</f>
        <v>6364.58</v>
      </c>
      <c r="H141" s="441"/>
      <c r="I141" s="441">
        <f>SUM(I137:I140)</f>
        <v>6264.14</v>
      </c>
      <c r="J141" s="441"/>
      <c r="K141" s="441">
        <f>SUM(K137:K140)</f>
        <v>6621.95</v>
      </c>
      <c r="L141" s="441"/>
      <c r="M141" s="441">
        <f>SUM(M137:M140)</f>
        <v>6515.05</v>
      </c>
      <c r="N141" s="441"/>
      <c r="O141" s="441">
        <f>SUM(O137:O140)</f>
        <v>6629.06</v>
      </c>
    </row>
    <row r="142" spans="1:15" s="57" customFormat="1" ht="14.25" customHeight="1" x14ac:dyDescent="0.2">
      <c r="A142" s="414" t="s">
        <v>6</v>
      </c>
      <c r="B142" s="415" t="s">
        <v>35</v>
      </c>
      <c r="C142" s="415"/>
      <c r="D142" s="416"/>
      <c r="E142" s="416"/>
      <c r="F142" s="440"/>
      <c r="G142" s="441">
        <f>G133</f>
        <v>1370.16</v>
      </c>
      <c r="H142" s="440"/>
      <c r="I142" s="441">
        <f>I133</f>
        <v>1269.99</v>
      </c>
      <c r="J142" s="440"/>
      <c r="K142" s="441">
        <f>K133</f>
        <v>1425.56</v>
      </c>
      <c r="L142" s="440"/>
      <c r="M142" s="441">
        <f>M133</f>
        <v>1320.84</v>
      </c>
      <c r="N142" s="440"/>
      <c r="O142" s="441">
        <f>O133</f>
        <v>1340.98</v>
      </c>
    </row>
    <row r="143" spans="1:15" s="57" customFormat="1" ht="15.75" customHeight="1" x14ac:dyDescent="0.2">
      <c r="A143" s="892" t="s">
        <v>342</v>
      </c>
      <c r="B143" s="892"/>
      <c r="C143" s="892"/>
      <c r="D143" s="892"/>
      <c r="E143" s="892"/>
      <c r="F143" s="892"/>
      <c r="G143" s="465">
        <f>SUM(G141:G142)</f>
        <v>7734.74</v>
      </c>
      <c r="H143" s="465"/>
      <c r="I143" s="465">
        <f>SUM(I141:I142)</f>
        <v>7534.13</v>
      </c>
      <c r="J143" s="465"/>
      <c r="K143" s="465">
        <f>SUM(K141:K142)</f>
        <v>8047.51</v>
      </c>
      <c r="L143" s="465"/>
      <c r="M143" s="465">
        <f>SUM(M141:M142)</f>
        <v>7835.89</v>
      </c>
      <c r="N143" s="465"/>
      <c r="O143" s="465">
        <f>SUM(O141:O142)</f>
        <v>7970.04</v>
      </c>
    </row>
    <row r="144" spans="1:15" s="60" customFormat="1" x14ac:dyDescent="0.2">
      <c r="A144" s="24"/>
      <c r="B144" s="34"/>
      <c r="C144" s="34"/>
      <c r="D144" s="34"/>
      <c r="E144" s="34"/>
      <c r="F144" s="35"/>
      <c r="G144" s="36"/>
      <c r="H144" s="36"/>
      <c r="I144" s="36"/>
      <c r="J144" s="36"/>
      <c r="K144" s="36"/>
      <c r="L144" s="36"/>
    </row>
    <row r="145" spans="1:12" s="57" customFormat="1" x14ac:dyDescent="0.2">
      <c r="A145" s="22"/>
      <c r="B145" s="22"/>
      <c r="C145" s="22"/>
      <c r="D145" s="22"/>
      <c r="E145" s="22"/>
      <c r="F145" s="22"/>
      <c r="G145" s="23"/>
      <c r="H145" s="23"/>
      <c r="I145" s="23"/>
      <c r="J145" s="23"/>
      <c r="K145" s="23"/>
      <c r="L145" s="23"/>
    </row>
    <row r="146" spans="1:12" s="57" customFormat="1" x14ac:dyDescent="0.2">
      <c r="A146" s="22"/>
      <c r="B146" s="22"/>
      <c r="C146" s="22"/>
      <c r="D146" s="22"/>
      <c r="E146" s="22"/>
      <c r="F146" s="22"/>
      <c r="G146" s="23"/>
      <c r="H146" s="23"/>
      <c r="I146" s="23"/>
      <c r="J146" s="23"/>
      <c r="K146" s="23"/>
      <c r="L146" s="23"/>
    </row>
    <row r="147" spans="1:12" s="57" customFormat="1" x14ac:dyDescent="0.2">
      <c r="A147" s="22"/>
      <c r="B147" s="22"/>
      <c r="C147" s="22"/>
      <c r="D147" s="22"/>
      <c r="E147" s="22"/>
      <c r="F147" s="22"/>
      <c r="G147" s="23"/>
      <c r="H147" s="23"/>
      <c r="I147" s="23"/>
      <c r="J147" s="23"/>
      <c r="K147" s="23"/>
      <c r="L147" s="23"/>
    </row>
    <row r="148" spans="1:12" s="57" customFormat="1" x14ac:dyDescent="0.2">
      <c r="A148" s="22"/>
      <c r="B148" s="22"/>
      <c r="C148" s="22"/>
      <c r="D148" s="22"/>
      <c r="E148" s="22"/>
      <c r="F148" s="22"/>
      <c r="G148" s="23"/>
      <c r="H148" s="23"/>
      <c r="I148" s="23"/>
      <c r="J148" s="23"/>
      <c r="K148" s="23"/>
      <c r="L148" s="23"/>
    </row>
    <row r="149" spans="1:12" s="57" customFormat="1" x14ac:dyDescent="0.2">
      <c r="A149" s="22"/>
      <c r="B149" s="22"/>
      <c r="C149" s="22"/>
      <c r="D149" s="22"/>
      <c r="E149" s="22"/>
      <c r="F149" s="22"/>
      <c r="G149" s="23"/>
      <c r="H149" s="23"/>
      <c r="I149" s="23"/>
      <c r="J149" s="23"/>
      <c r="K149" s="23"/>
      <c r="L149" s="23"/>
    </row>
    <row r="150" spans="1:12" s="57" customFormat="1" x14ac:dyDescent="0.2">
      <c r="A150" s="22"/>
      <c r="B150" s="22"/>
      <c r="C150" s="22"/>
      <c r="D150" s="22"/>
      <c r="E150" s="22"/>
      <c r="F150" s="22"/>
      <c r="G150" s="23"/>
      <c r="H150" s="23"/>
      <c r="I150" s="23"/>
      <c r="J150" s="23"/>
      <c r="K150" s="23"/>
      <c r="L150" s="23"/>
    </row>
    <row r="151" spans="1:12" s="57" customFormat="1" x14ac:dyDescent="0.2">
      <c r="A151" s="22"/>
      <c r="B151" s="22"/>
      <c r="C151" s="22"/>
      <c r="D151" s="22"/>
      <c r="E151" s="22"/>
      <c r="F151" s="22"/>
      <c r="G151" s="23"/>
      <c r="H151" s="23"/>
      <c r="I151" s="23"/>
      <c r="J151" s="23"/>
      <c r="K151" s="23"/>
      <c r="L151" s="23"/>
    </row>
  </sheetData>
  <mergeCells count="121">
    <mergeCell ref="J8:M8"/>
    <mergeCell ref="J9:K10"/>
    <mergeCell ref="L9:M10"/>
    <mergeCell ref="H11:I11"/>
    <mergeCell ref="J11:K11"/>
    <mergeCell ref="L11:M11"/>
    <mergeCell ref="A11:E11"/>
    <mergeCell ref="H15:I15"/>
    <mergeCell ref="H16:I16"/>
    <mergeCell ref="H12:I12"/>
    <mergeCell ref="H13:I13"/>
    <mergeCell ref="H14:I14"/>
    <mergeCell ref="J15:K15"/>
    <mergeCell ref="F16:G16"/>
    <mergeCell ref="H24:I24"/>
    <mergeCell ref="H25:I25"/>
    <mergeCell ref="H26:I26"/>
    <mergeCell ref="H27:I27"/>
    <mergeCell ref="J12:K12"/>
    <mergeCell ref="L12:M12"/>
    <mergeCell ref="J13:K13"/>
    <mergeCell ref="L13:M13"/>
    <mergeCell ref="J14:K14"/>
    <mergeCell ref="L14:M14"/>
    <mergeCell ref="L15:M15"/>
    <mergeCell ref="J16:K16"/>
    <mergeCell ref="L16:M16"/>
    <mergeCell ref="J24:K24"/>
    <mergeCell ref="L24:M24"/>
    <mergeCell ref="J25:K25"/>
    <mergeCell ref="L25:M25"/>
    <mergeCell ref="J26:K26"/>
    <mergeCell ref="L26:M26"/>
    <mergeCell ref="J27:K27"/>
    <mergeCell ref="L27:M27"/>
    <mergeCell ref="A4:G4"/>
    <mergeCell ref="A5:G5"/>
    <mergeCell ref="F12:G12"/>
    <mergeCell ref="F13:G13"/>
    <mergeCell ref="A14:A15"/>
    <mergeCell ref="B14:E15"/>
    <mergeCell ref="F14:G14"/>
    <mergeCell ref="F15:G15"/>
    <mergeCell ref="F11:G11"/>
    <mergeCell ref="A17:G17"/>
    <mergeCell ref="B18:D18"/>
    <mergeCell ref="B19:D19"/>
    <mergeCell ref="A21:G21"/>
    <mergeCell ref="A22:G22"/>
    <mergeCell ref="A23:G23"/>
    <mergeCell ref="B24:E24"/>
    <mergeCell ref="F24:G24"/>
    <mergeCell ref="B25:E25"/>
    <mergeCell ref="F25:G25"/>
    <mergeCell ref="B26:E26"/>
    <mergeCell ref="F26:G26"/>
    <mergeCell ref="B27:E27"/>
    <mergeCell ref="F27:G27"/>
    <mergeCell ref="A29:G29"/>
    <mergeCell ref="B30:E30"/>
    <mergeCell ref="B36:E36"/>
    <mergeCell ref="B41:E41"/>
    <mergeCell ref="B42:E42"/>
    <mergeCell ref="A80:G80"/>
    <mergeCell ref="B105:E105"/>
    <mergeCell ref="B81:E81"/>
    <mergeCell ref="A84:E84"/>
    <mergeCell ref="B85:E85"/>
    <mergeCell ref="A86:E86"/>
    <mergeCell ref="B43:F43"/>
    <mergeCell ref="A45:G45"/>
    <mergeCell ref="B46:E46"/>
    <mergeCell ref="A47:A48"/>
    <mergeCell ref="B49:E49"/>
    <mergeCell ref="B51:E51"/>
    <mergeCell ref="B52:E52"/>
    <mergeCell ref="A88:G88"/>
    <mergeCell ref="B55:E55"/>
    <mergeCell ref="B58:F58"/>
    <mergeCell ref="A60:G60"/>
    <mergeCell ref="B61:E61"/>
    <mergeCell ref="B65:F65"/>
    <mergeCell ref="A67:G67"/>
    <mergeCell ref="A49:A50"/>
    <mergeCell ref="B50:E50"/>
    <mergeCell ref="A141:F141"/>
    <mergeCell ref="A143:F143"/>
    <mergeCell ref="B38:E38"/>
    <mergeCell ref="A126:G126"/>
    <mergeCell ref="B127:E127"/>
    <mergeCell ref="A129:A131"/>
    <mergeCell ref="A133:F133"/>
    <mergeCell ref="A135:G135"/>
    <mergeCell ref="A136:F136"/>
    <mergeCell ref="B89:E89"/>
    <mergeCell ref="B113:E113"/>
    <mergeCell ref="A114:E114"/>
    <mergeCell ref="A116:G116"/>
    <mergeCell ref="B117:E117"/>
    <mergeCell ref="B124:E124"/>
    <mergeCell ref="A92:E92"/>
    <mergeCell ref="A94:G94"/>
    <mergeCell ref="B95:E95"/>
    <mergeCell ref="A112:E112"/>
    <mergeCell ref="A104:G104"/>
    <mergeCell ref="A102:E102"/>
    <mergeCell ref="A68:G68"/>
    <mergeCell ref="B69:E69"/>
    <mergeCell ref="A78:E78"/>
    <mergeCell ref="N8:O8"/>
    <mergeCell ref="N26:O26"/>
    <mergeCell ref="N27:O27"/>
    <mergeCell ref="N11:O11"/>
    <mergeCell ref="N12:O12"/>
    <mergeCell ref="N13:O13"/>
    <mergeCell ref="N14:O14"/>
    <mergeCell ref="N15:O15"/>
    <mergeCell ref="N9:O10"/>
    <mergeCell ref="N16:O16"/>
    <mergeCell ref="N24:O24"/>
    <mergeCell ref="N25:O25"/>
  </mergeCells>
  <printOptions horizontalCentered="1"/>
  <pageMargins left="0.55118110236220474" right="0.55118110236220474" top="1.7716535433070868" bottom="0.43307086614173229" header="0.15748031496062992" footer="0.23622047244094491"/>
  <pageSetup paperSize="9" scale="40" fitToHeight="0" orientation="portrait" r:id="rId1"/>
  <headerFooter alignWithMargins="0">
    <oddHeader>&amp;L&amp;"Cambria,Negrito"&amp;8PROPOSTA Nº 011/2017 - MME</oddHeader>
  </headerFooter>
  <rowBreaks count="1" manualBreakCount="1">
    <brk id="78" max="16" man="1"/>
  </rowBreaks>
  <colBreaks count="1" manualBreakCount="1">
    <brk id="15" max="138" man="1"/>
  </colBreaks>
  <ignoredErrors>
    <ignoredError sqref="F12:G16 F19:G19 F25:G26 C41:F41 B42:F42 A27:G30 A44:G46 A43:F43 G39:G40 A87:G96 A54:E54 G54 A129:G129 A128:E128 G128 A133:G143 A132:E132 G132 A55:G82 A84:E84 A85:E85 A86:E86 A35:G36 A34:F34 A51:G53 A47:F47 A131:G131 A130:F130 A144:E144 A98:G127 A97:E97 G97 A48:G4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>
    <tabColor theme="5" tint="0.79998168889431442"/>
    <pageSetUpPr fitToPage="1"/>
  </sheetPr>
  <dimension ref="A2:I53"/>
  <sheetViews>
    <sheetView view="pageBreakPreview" topLeftCell="A35" zoomScale="120" zoomScaleNormal="100" zoomScaleSheetLayoutView="120" workbookViewId="0">
      <selection activeCell="I33" sqref="I33"/>
    </sheetView>
  </sheetViews>
  <sheetFormatPr defaultRowHeight="14.25" x14ac:dyDescent="0.2"/>
  <cols>
    <col min="1" max="1" width="6" style="76" customWidth="1"/>
    <col min="2" max="2" width="28.5703125" style="77" customWidth="1"/>
    <col min="3" max="3" width="36.85546875" style="77" customWidth="1"/>
    <col min="4" max="4" width="11.42578125" style="78" customWidth="1"/>
    <col min="5" max="5" width="17.140625" style="78" customWidth="1"/>
    <col min="6" max="6" width="16" style="77" customWidth="1"/>
    <col min="7" max="7" width="17.28515625" style="77" customWidth="1"/>
    <col min="8" max="8" width="11.28515625" style="38" bestFit="1" customWidth="1"/>
    <col min="9" max="9" width="12" style="38" bestFit="1" customWidth="1"/>
    <col min="10" max="10" width="7.7109375" style="53" customWidth="1"/>
    <col min="11" max="11" width="9.7109375" style="53" bestFit="1" customWidth="1"/>
    <col min="12" max="16384" width="9.140625" style="53"/>
  </cols>
  <sheetData>
    <row r="2" spans="1:9" x14ac:dyDescent="0.2">
      <c r="A2" s="934" t="str">
        <f>DADOS!A16</f>
        <v>MINISTÉRIO DE MINAS E ENERGIA - MME</v>
      </c>
      <c r="B2" s="934"/>
      <c r="C2" s="934"/>
      <c r="D2" s="934"/>
      <c r="E2" s="934"/>
      <c r="F2" s="934"/>
      <c r="G2" s="934"/>
    </row>
    <row r="3" spans="1:9" x14ac:dyDescent="0.2">
      <c r="A3" s="934" t="str">
        <f>DADOS!A18</f>
        <v>PREGÃO ELETRÔNICO Nº 001/2017 - MME</v>
      </c>
      <c r="B3" s="934"/>
      <c r="C3" s="934"/>
      <c r="D3" s="934"/>
      <c r="E3" s="934"/>
      <c r="F3" s="934"/>
      <c r="G3" s="934"/>
    </row>
    <row r="4" spans="1:9" ht="10.5" customHeight="1" x14ac:dyDescent="0.2">
      <c r="A4" s="83"/>
      <c r="B4" s="84"/>
      <c r="C4" s="84"/>
      <c r="D4" s="85"/>
      <c r="E4" s="85"/>
      <c r="F4" s="84"/>
      <c r="G4" s="84"/>
    </row>
    <row r="5" spans="1:9" x14ac:dyDescent="0.2">
      <c r="A5" s="935" t="s">
        <v>246</v>
      </c>
      <c r="B5" s="935"/>
      <c r="C5" s="935"/>
      <c r="D5" s="935"/>
      <c r="E5" s="935"/>
      <c r="F5" s="935"/>
      <c r="G5" s="935"/>
    </row>
    <row r="6" spans="1:9" s="54" customFormat="1" x14ac:dyDescent="0.2">
      <c r="A6" s="935" t="s">
        <v>247</v>
      </c>
      <c r="B6" s="935"/>
      <c r="C6" s="935"/>
      <c r="D6" s="935"/>
      <c r="E6" s="935"/>
      <c r="F6" s="935"/>
      <c r="G6" s="935"/>
      <c r="H6" s="38"/>
      <c r="I6" s="38"/>
    </row>
    <row r="7" spans="1:9" s="54" customFormat="1" ht="9.75" customHeight="1" x14ac:dyDescent="0.2">
      <c r="A7" s="86"/>
      <c r="B7" s="411"/>
      <c r="C7" s="411"/>
      <c r="D7" s="411"/>
      <c r="E7" s="411"/>
      <c r="F7" s="411"/>
      <c r="G7" s="411"/>
      <c r="H7" s="38"/>
      <c r="I7" s="38"/>
    </row>
    <row r="8" spans="1:9" s="54" customFormat="1" x14ac:dyDescent="0.2">
      <c r="A8" s="936" t="s">
        <v>248</v>
      </c>
      <c r="B8" s="936"/>
      <c r="C8" s="936"/>
      <c r="D8" s="936"/>
      <c r="E8" s="936"/>
      <c r="F8" s="936"/>
      <c r="G8" s="936"/>
      <c r="H8" s="38"/>
      <c r="I8" s="38"/>
    </row>
    <row r="9" spans="1:9" s="54" customFormat="1" ht="9.75" customHeight="1" x14ac:dyDescent="0.2">
      <c r="A9" s="478"/>
      <c r="B9" s="478"/>
      <c r="C9" s="478"/>
      <c r="D9" s="478"/>
      <c r="E9" s="478"/>
      <c r="F9" s="478"/>
      <c r="G9" s="478"/>
      <c r="H9" s="38"/>
      <c r="I9" s="38"/>
    </row>
    <row r="10" spans="1:9" s="54" customFormat="1" x14ac:dyDescent="0.2">
      <c r="A10" s="941" t="s">
        <v>411</v>
      </c>
      <c r="B10" s="941"/>
      <c r="C10" s="941"/>
      <c r="D10" s="941"/>
      <c r="E10" s="941"/>
      <c r="F10" s="941"/>
      <c r="G10" s="941"/>
      <c r="H10" s="38"/>
      <c r="I10" s="38"/>
    </row>
    <row r="11" spans="1:9" s="15" customFormat="1" x14ac:dyDescent="0.2">
      <c r="A11" s="933" t="s">
        <v>94</v>
      </c>
      <c r="B11" s="933" t="s">
        <v>245</v>
      </c>
      <c r="C11" s="933"/>
      <c r="D11" s="933" t="s">
        <v>96</v>
      </c>
      <c r="E11" s="933" t="s">
        <v>258</v>
      </c>
      <c r="F11" s="932" t="s">
        <v>249</v>
      </c>
      <c r="G11" s="933" t="s">
        <v>257</v>
      </c>
      <c r="H11" s="68"/>
      <c r="I11" s="68"/>
    </row>
    <row r="12" spans="1:9" s="15" customFormat="1" x14ac:dyDescent="0.2">
      <c r="A12" s="933"/>
      <c r="B12" s="933"/>
      <c r="C12" s="933"/>
      <c r="D12" s="933"/>
      <c r="E12" s="933"/>
      <c r="F12" s="932"/>
      <c r="G12" s="933"/>
      <c r="H12" s="68"/>
      <c r="I12" s="68"/>
    </row>
    <row r="13" spans="1:9" s="15" customFormat="1" ht="4.5" customHeight="1" x14ac:dyDescent="0.2">
      <c r="A13" s="933"/>
      <c r="B13" s="933"/>
      <c r="C13" s="933"/>
      <c r="D13" s="933"/>
      <c r="E13" s="933"/>
      <c r="F13" s="932"/>
      <c r="G13" s="933"/>
      <c r="H13" s="68"/>
      <c r="I13" s="68"/>
    </row>
    <row r="14" spans="1:9" s="15" customFormat="1" ht="0.75" customHeight="1" x14ac:dyDescent="0.2">
      <c r="A14" s="933"/>
      <c r="B14" s="933"/>
      <c r="C14" s="933"/>
      <c r="D14" s="933"/>
      <c r="E14" s="933"/>
      <c r="F14" s="932"/>
      <c r="G14" s="933"/>
      <c r="H14" s="79" t="s">
        <v>365</v>
      </c>
      <c r="I14" s="79" t="s">
        <v>366</v>
      </c>
    </row>
    <row r="15" spans="1:9" s="15" customFormat="1" ht="23.25" customHeight="1" x14ac:dyDescent="0.2">
      <c r="A15" s="486">
        <v>1</v>
      </c>
      <c r="B15" s="937" t="s">
        <v>250</v>
      </c>
      <c r="C15" s="937"/>
      <c r="D15" s="87" t="s">
        <v>96</v>
      </c>
      <c r="E15" s="88">
        <v>4</v>
      </c>
      <c r="F15" s="89">
        <f>183.12*DADOS!$D$53</f>
        <v>291.16000000000003</v>
      </c>
      <c r="G15" s="90">
        <f t="shared" ref="G15:G20" si="0">F15*E15</f>
        <v>1164.6400000000001</v>
      </c>
      <c r="H15" s="80"/>
      <c r="I15" s="80"/>
    </row>
    <row r="16" spans="1:9" s="15" customFormat="1" x14ac:dyDescent="0.2">
      <c r="A16" s="486">
        <v>2</v>
      </c>
      <c r="B16" s="937" t="s">
        <v>251</v>
      </c>
      <c r="C16" s="937"/>
      <c r="D16" s="87" t="s">
        <v>96</v>
      </c>
      <c r="E16" s="88">
        <v>4</v>
      </c>
      <c r="F16" s="89">
        <f>19*DADOS!$D$53</f>
        <v>30.21</v>
      </c>
      <c r="G16" s="90">
        <f t="shared" si="0"/>
        <v>120.84</v>
      </c>
      <c r="H16" s="80"/>
      <c r="I16" s="80"/>
    </row>
    <row r="17" spans="1:9" ht="22.5" customHeight="1" x14ac:dyDescent="0.2">
      <c r="A17" s="486">
        <v>3</v>
      </c>
      <c r="B17" s="937" t="s">
        <v>252</v>
      </c>
      <c r="C17" s="937"/>
      <c r="D17" s="87" t="s">
        <v>96</v>
      </c>
      <c r="E17" s="88">
        <v>10</v>
      </c>
      <c r="F17" s="89">
        <f>69*DADOS!$D$53</f>
        <v>109.71</v>
      </c>
      <c r="G17" s="90">
        <f t="shared" si="0"/>
        <v>1097.0999999999999</v>
      </c>
      <c r="H17" s="81"/>
      <c r="I17" s="81"/>
    </row>
    <row r="18" spans="1:9" s="55" customFormat="1" ht="25.5" customHeight="1" x14ac:dyDescent="0.2">
      <c r="A18" s="486">
        <v>4</v>
      </c>
      <c r="B18" s="937" t="s">
        <v>253</v>
      </c>
      <c r="C18" s="937"/>
      <c r="D18" s="87" t="s">
        <v>97</v>
      </c>
      <c r="E18" s="88">
        <v>4</v>
      </c>
      <c r="F18" s="89">
        <f>51.9*DADOS!$D$53</f>
        <v>82.52</v>
      </c>
      <c r="G18" s="90">
        <f t="shared" si="0"/>
        <v>330.08</v>
      </c>
      <c r="H18" s="82"/>
      <c r="I18" s="82"/>
    </row>
    <row r="19" spans="1:9" s="55" customFormat="1" ht="12.75" x14ac:dyDescent="0.2">
      <c r="A19" s="486">
        <v>5</v>
      </c>
      <c r="B19" s="937" t="s">
        <v>254</v>
      </c>
      <c r="C19" s="937"/>
      <c r="D19" s="87" t="s">
        <v>97</v>
      </c>
      <c r="E19" s="88">
        <v>10</v>
      </c>
      <c r="F19" s="89">
        <f>2.62*DADOS!$D$53</f>
        <v>4.17</v>
      </c>
      <c r="G19" s="90">
        <f t="shared" si="0"/>
        <v>41.7</v>
      </c>
      <c r="H19" s="82"/>
      <c r="I19" s="82"/>
    </row>
    <row r="20" spans="1:9" s="55" customFormat="1" ht="12.75" x14ac:dyDescent="0.2">
      <c r="A20" s="486">
        <v>6</v>
      </c>
      <c r="B20" s="937" t="s">
        <v>255</v>
      </c>
      <c r="C20" s="937"/>
      <c r="D20" s="87" t="s">
        <v>96</v>
      </c>
      <c r="E20" s="88">
        <v>2</v>
      </c>
      <c r="F20" s="89">
        <f>40*DADOS!$D$53</f>
        <v>63.6</v>
      </c>
      <c r="G20" s="90">
        <f t="shared" si="0"/>
        <v>127.2</v>
      </c>
      <c r="H20" s="82"/>
      <c r="I20" s="82"/>
    </row>
    <row r="21" spans="1:9" s="55" customFormat="1" ht="16.5" customHeight="1" x14ac:dyDescent="0.2">
      <c r="A21" s="930" t="s">
        <v>407</v>
      </c>
      <c r="B21" s="931"/>
      <c r="C21" s="931"/>
      <c r="D21" s="931"/>
      <c r="E21" s="931"/>
      <c r="F21" s="932"/>
      <c r="G21" s="487">
        <f>SUM(G15:G20)</f>
        <v>2881.56</v>
      </c>
      <c r="H21" s="69"/>
      <c r="I21" s="69"/>
    </row>
    <row r="22" spans="1:9" ht="15" customHeight="1" x14ac:dyDescent="0.2">
      <c r="A22" s="930" t="s">
        <v>408</v>
      </c>
      <c r="B22" s="931"/>
      <c r="C22" s="931"/>
      <c r="D22" s="931"/>
      <c r="E22" s="931"/>
      <c r="F22" s="932"/>
      <c r="G22" s="488">
        <f>G21/DADOS!C13</f>
        <v>240.13</v>
      </c>
    </row>
    <row r="23" spans="1:9" ht="15" customHeight="1" x14ac:dyDescent="0.2">
      <c r="A23" s="930" t="s">
        <v>409</v>
      </c>
      <c r="B23" s="931"/>
      <c r="C23" s="931"/>
      <c r="D23" s="931"/>
      <c r="E23" s="931"/>
      <c r="F23" s="932"/>
      <c r="G23" s="488">
        <f>G21*DADOS!L76</f>
        <v>43223.4</v>
      </c>
    </row>
    <row r="24" spans="1:9" ht="9" customHeight="1" x14ac:dyDescent="0.2"/>
    <row r="25" spans="1:9" x14ac:dyDescent="0.2">
      <c r="A25" s="943" t="s">
        <v>402</v>
      </c>
      <c r="B25" s="943"/>
      <c r="C25" s="943"/>
      <c r="D25" s="943"/>
      <c r="E25" s="943"/>
      <c r="F25" s="943"/>
      <c r="G25" s="943"/>
    </row>
    <row r="26" spans="1:9" ht="10.5" customHeight="1" x14ac:dyDescent="0.2">
      <c r="A26" s="944" t="s">
        <v>94</v>
      </c>
      <c r="B26" s="944" t="s">
        <v>245</v>
      </c>
      <c r="C26" s="944"/>
      <c r="D26" s="944" t="s">
        <v>96</v>
      </c>
      <c r="E26" s="944" t="s">
        <v>258</v>
      </c>
      <c r="F26" s="940" t="s">
        <v>249</v>
      </c>
      <c r="G26" s="944" t="s">
        <v>257</v>
      </c>
    </row>
    <row r="27" spans="1:9" ht="9" customHeight="1" x14ac:dyDescent="0.2">
      <c r="A27" s="944"/>
      <c r="B27" s="944"/>
      <c r="C27" s="944"/>
      <c r="D27" s="944"/>
      <c r="E27" s="944"/>
      <c r="F27" s="940"/>
      <c r="G27" s="944"/>
    </row>
    <row r="28" spans="1:9" ht="10.5" customHeight="1" x14ac:dyDescent="0.2">
      <c r="A28" s="944"/>
      <c r="B28" s="944"/>
      <c r="C28" s="944"/>
      <c r="D28" s="944"/>
      <c r="E28" s="944"/>
      <c r="F28" s="940"/>
      <c r="G28" s="944"/>
    </row>
    <row r="29" spans="1:9" ht="5.25" customHeight="1" x14ac:dyDescent="0.2">
      <c r="A29" s="944"/>
      <c r="B29" s="944"/>
      <c r="C29" s="944"/>
      <c r="D29" s="944"/>
      <c r="E29" s="944"/>
      <c r="F29" s="940"/>
      <c r="G29" s="944"/>
    </row>
    <row r="30" spans="1:9" ht="24" customHeight="1" x14ac:dyDescent="0.2">
      <c r="A30" s="479">
        <v>1</v>
      </c>
      <c r="B30" s="942" t="s">
        <v>250</v>
      </c>
      <c r="C30" s="942"/>
      <c r="D30" s="480" t="s">
        <v>96</v>
      </c>
      <c r="E30" s="481">
        <v>4</v>
      </c>
      <c r="F30" s="482">
        <f>183.12*DADOS!$D$53</f>
        <v>291.16000000000003</v>
      </c>
      <c r="G30" s="483">
        <f t="shared" ref="G30:G35" si="1">F30*E30</f>
        <v>1164.6400000000001</v>
      </c>
    </row>
    <row r="31" spans="1:9" ht="16.5" customHeight="1" x14ac:dyDescent="0.2">
      <c r="A31" s="479">
        <v>2</v>
      </c>
      <c r="B31" s="942" t="s">
        <v>251</v>
      </c>
      <c r="C31" s="942"/>
      <c r="D31" s="480" t="s">
        <v>96</v>
      </c>
      <c r="E31" s="481">
        <v>4</v>
      </c>
      <c r="F31" s="482">
        <f>19*DADOS!$D$53</f>
        <v>30.21</v>
      </c>
      <c r="G31" s="483">
        <f t="shared" si="1"/>
        <v>120.84</v>
      </c>
    </row>
    <row r="32" spans="1:9" ht="24" customHeight="1" x14ac:dyDescent="0.2">
      <c r="A32" s="479">
        <v>3</v>
      </c>
      <c r="B32" s="942" t="s">
        <v>252</v>
      </c>
      <c r="C32" s="942"/>
      <c r="D32" s="480" t="s">
        <v>96</v>
      </c>
      <c r="E32" s="481">
        <v>10</v>
      </c>
      <c r="F32" s="482">
        <f>69*DADOS!$D$53</f>
        <v>109.71</v>
      </c>
      <c r="G32" s="483">
        <f t="shared" si="1"/>
        <v>1097.0999999999999</v>
      </c>
    </row>
    <row r="33" spans="1:7" ht="22.5" customHeight="1" x14ac:dyDescent="0.2">
      <c r="A33" s="479">
        <v>4</v>
      </c>
      <c r="B33" s="942" t="s">
        <v>253</v>
      </c>
      <c r="C33" s="942"/>
      <c r="D33" s="480" t="s">
        <v>97</v>
      </c>
      <c r="E33" s="481">
        <v>4</v>
      </c>
      <c r="F33" s="482">
        <f>51.9*DADOS!$D$53</f>
        <v>82.52</v>
      </c>
      <c r="G33" s="483">
        <f t="shared" si="1"/>
        <v>330.08</v>
      </c>
    </row>
    <row r="34" spans="1:7" x14ac:dyDescent="0.2">
      <c r="A34" s="479">
        <v>5</v>
      </c>
      <c r="B34" s="942" t="s">
        <v>254</v>
      </c>
      <c r="C34" s="942"/>
      <c r="D34" s="480" t="s">
        <v>97</v>
      </c>
      <c r="E34" s="481">
        <v>10</v>
      </c>
      <c r="F34" s="482">
        <f>2.62*DADOS!$D$53</f>
        <v>4.17</v>
      </c>
      <c r="G34" s="483">
        <f t="shared" si="1"/>
        <v>41.7</v>
      </c>
    </row>
    <row r="35" spans="1:7" x14ac:dyDescent="0.2">
      <c r="A35" s="479">
        <v>6</v>
      </c>
      <c r="B35" s="942" t="s">
        <v>255</v>
      </c>
      <c r="C35" s="942"/>
      <c r="D35" s="480" t="s">
        <v>96</v>
      </c>
      <c r="E35" s="481">
        <v>2</v>
      </c>
      <c r="F35" s="482">
        <f>40*DADOS!$D$53</f>
        <v>63.6</v>
      </c>
      <c r="G35" s="483">
        <f t="shared" si="1"/>
        <v>127.2</v>
      </c>
    </row>
    <row r="36" spans="1:7" x14ac:dyDescent="0.2">
      <c r="A36" s="938" t="s">
        <v>404</v>
      </c>
      <c r="B36" s="939"/>
      <c r="C36" s="939"/>
      <c r="D36" s="939"/>
      <c r="E36" s="939"/>
      <c r="F36" s="940"/>
      <c r="G36" s="484">
        <f>SUM(G30:G35)</f>
        <v>2881.56</v>
      </c>
    </row>
    <row r="37" spans="1:7" x14ac:dyDescent="0.2">
      <c r="A37" s="938" t="s">
        <v>405</v>
      </c>
      <c r="B37" s="939"/>
      <c r="C37" s="939"/>
      <c r="D37" s="939"/>
      <c r="E37" s="939"/>
      <c r="F37" s="940"/>
      <c r="G37" s="485">
        <f>G21/DADOS!C13</f>
        <v>240.13</v>
      </c>
    </row>
    <row r="38" spans="1:7" x14ac:dyDescent="0.2">
      <c r="A38" s="938" t="s">
        <v>406</v>
      </c>
      <c r="B38" s="939"/>
      <c r="C38" s="939"/>
      <c r="D38" s="939"/>
      <c r="E38" s="939"/>
      <c r="F38" s="940"/>
      <c r="G38" s="485">
        <f>G21*DADOS!L96</f>
        <v>43223.4</v>
      </c>
    </row>
    <row r="39" spans="1:7" ht="8.25" customHeight="1" x14ac:dyDescent="0.2"/>
    <row r="40" spans="1:7" x14ac:dyDescent="0.2">
      <c r="A40" s="943" t="s">
        <v>403</v>
      </c>
      <c r="B40" s="943"/>
      <c r="C40" s="943"/>
      <c r="D40" s="943"/>
      <c r="E40" s="943"/>
      <c r="F40" s="943"/>
      <c r="G40" s="943"/>
    </row>
    <row r="41" spans="1:7" x14ac:dyDescent="0.2">
      <c r="A41" s="944" t="s">
        <v>94</v>
      </c>
      <c r="B41" s="944" t="s">
        <v>245</v>
      </c>
      <c r="C41" s="944"/>
      <c r="D41" s="944" t="s">
        <v>96</v>
      </c>
      <c r="E41" s="944" t="s">
        <v>258</v>
      </c>
      <c r="F41" s="940" t="s">
        <v>249</v>
      </c>
      <c r="G41" s="944" t="s">
        <v>257</v>
      </c>
    </row>
    <row r="42" spans="1:7" x14ac:dyDescent="0.2">
      <c r="A42" s="944"/>
      <c r="B42" s="944"/>
      <c r="C42" s="944"/>
      <c r="D42" s="944"/>
      <c r="E42" s="944"/>
      <c r="F42" s="940"/>
      <c r="G42" s="944"/>
    </row>
    <row r="43" spans="1:7" x14ac:dyDescent="0.2">
      <c r="A43" s="944"/>
      <c r="B43" s="944"/>
      <c r="C43" s="944"/>
      <c r="D43" s="944"/>
      <c r="E43" s="944"/>
      <c r="F43" s="940"/>
      <c r="G43" s="944"/>
    </row>
    <row r="44" spans="1:7" x14ac:dyDescent="0.2">
      <c r="A44" s="944"/>
      <c r="B44" s="944"/>
      <c r="C44" s="944"/>
      <c r="D44" s="944"/>
      <c r="E44" s="944"/>
      <c r="F44" s="940"/>
      <c r="G44" s="944"/>
    </row>
    <row r="45" spans="1:7" x14ac:dyDescent="0.2">
      <c r="A45" s="479">
        <v>1</v>
      </c>
      <c r="B45" s="942" t="s">
        <v>250</v>
      </c>
      <c r="C45" s="942"/>
      <c r="D45" s="480" t="s">
        <v>96</v>
      </c>
      <c r="E45" s="481">
        <v>4</v>
      </c>
      <c r="F45" s="482">
        <f>183.12*DADOS!$D$53</f>
        <v>291.16000000000003</v>
      </c>
      <c r="G45" s="483">
        <f t="shared" ref="G45:G50" si="2">F45*E45</f>
        <v>1164.6400000000001</v>
      </c>
    </row>
    <row r="46" spans="1:7" x14ac:dyDescent="0.2">
      <c r="A46" s="479">
        <v>2</v>
      </c>
      <c r="B46" s="942" t="s">
        <v>251</v>
      </c>
      <c r="C46" s="942"/>
      <c r="D46" s="480" t="s">
        <v>96</v>
      </c>
      <c r="E46" s="481">
        <v>4</v>
      </c>
      <c r="F46" s="482">
        <f>19*DADOS!$D$53</f>
        <v>30.21</v>
      </c>
      <c r="G46" s="483">
        <f t="shared" si="2"/>
        <v>120.84</v>
      </c>
    </row>
    <row r="47" spans="1:7" x14ac:dyDescent="0.2">
      <c r="A47" s="479">
        <v>3</v>
      </c>
      <c r="B47" s="942" t="s">
        <v>252</v>
      </c>
      <c r="C47" s="942"/>
      <c r="D47" s="480" t="s">
        <v>96</v>
      </c>
      <c r="E47" s="481">
        <v>10</v>
      </c>
      <c r="F47" s="482">
        <f>69*DADOS!$D$53</f>
        <v>109.71</v>
      </c>
      <c r="G47" s="483">
        <f t="shared" si="2"/>
        <v>1097.0999999999999</v>
      </c>
    </row>
    <row r="48" spans="1:7" x14ac:dyDescent="0.2">
      <c r="A48" s="479">
        <v>4</v>
      </c>
      <c r="B48" s="942" t="s">
        <v>253</v>
      </c>
      <c r="C48" s="942"/>
      <c r="D48" s="480" t="s">
        <v>97</v>
      </c>
      <c r="E48" s="481">
        <v>4</v>
      </c>
      <c r="F48" s="482">
        <f>51.9*DADOS!$D$53</f>
        <v>82.52</v>
      </c>
      <c r="G48" s="483">
        <f t="shared" si="2"/>
        <v>330.08</v>
      </c>
    </row>
    <row r="49" spans="1:7" x14ac:dyDescent="0.2">
      <c r="A49" s="479">
        <v>5</v>
      </c>
      <c r="B49" s="942" t="s">
        <v>254</v>
      </c>
      <c r="C49" s="942"/>
      <c r="D49" s="480" t="s">
        <v>97</v>
      </c>
      <c r="E49" s="481">
        <v>10</v>
      </c>
      <c r="F49" s="482">
        <f>2.62*DADOS!$D$53</f>
        <v>4.17</v>
      </c>
      <c r="G49" s="483">
        <f t="shared" si="2"/>
        <v>41.7</v>
      </c>
    </row>
    <row r="50" spans="1:7" x14ac:dyDescent="0.2">
      <c r="A50" s="479">
        <v>6</v>
      </c>
      <c r="B50" s="942" t="s">
        <v>255</v>
      </c>
      <c r="C50" s="942"/>
      <c r="D50" s="480" t="s">
        <v>96</v>
      </c>
      <c r="E50" s="481">
        <v>2</v>
      </c>
      <c r="F50" s="482">
        <f>40*DADOS!$D$53</f>
        <v>63.6</v>
      </c>
      <c r="G50" s="483">
        <f t="shared" si="2"/>
        <v>127.2</v>
      </c>
    </row>
    <row r="51" spans="1:7" x14ac:dyDescent="0.2">
      <c r="A51" s="938" t="s">
        <v>404</v>
      </c>
      <c r="B51" s="939"/>
      <c r="C51" s="939"/>
      <c r="D51" s="939"/>
      <c r="E51" s="939"/>
      <c r="F51" s="940"/>
      <c r="G51" s="484">
        <f>SUM(G45:G50)</f>
        <v>2881.56</v>
      </c>
    </row>
    <row r="52" spans="1:7" x14ac:dyDescent="0.2">
      <c r="A52" s="938" t="s">
        <v>405</v>
      </c>
      <c r="B52" s="939"/>
      <c r="C52" s="939"/>
      <c r="D52" s="939"/>
      <c r="E52" s="939"/>
      <c r="F52" s="940"/>
      <c r="G52" s="485">
        <f>G21/DADOS!C13</f>
        <v>240.13</v>
      </c>
    </row>
    <row r="53" spans="1:7" x14ac:dyDescent="0.2">
      <c r="A53" s="938" t="s">
        <v>406</v>
      </c>
      <c r="B53" s="939"/>
      <c r="C53" s="939"/>
      <c r="D53" s="939"/>
      <c r="E53" s="939"/>
      <c r="F53" s="940"/>
      <c r="G53" s="485">
        <f>G36*DADOS!L104</f>
        <v>46104.959999999999</v>
      </c>
    </row>
  </sheetData>
  <mergeCells count="53">
    <mergeCell ref="A51:F51"/>
    <mergeCell ref="A52:F52"/>
    <mergeCell ref="A53:F53"/>
    <mergeCell ref="B45:C45"/>
    <mergeCell ref="B46:C46"/>
    <mergeCell ref="B47:C47"/>
    <mergeCell ref="B48:C48"/>
    <mergeCell ref="B49:C49"/>
    <mergeCell ref="B50:C50"/>
    <mergeCell ref="A38:F38"/>
    <mergeCell ref="A40:G40"/>
    <mergeCell ref="A41:A44"/>
    <mergeCell ref="B41:C44"/>
    <mergeCell ref="D41:D44"/>
    <mergeCell ref="E41:E44"/>
    <mergeCell ref="F41:F44"/>
    <mergeCell ref="G41:G44"/>
    <mergeCell ref="E26:E29"/>
    <mergeCell ref="F26:F29"/>
    <mergeCell ref="B34:C34"/>
    <mergeCell ref="B35:C35"/>
    <mergeCell ref="A36:F36"/>
    <mergeCell ref="A37:F37"/>
    <mergeCell ref="F11:F14"/>
    <mergeCell ref="A10:G10"/>
    <mergeCell ref="B30:C30"/>
    <mergeCell ref="B31:C31"/>
    <mergeCell ref="B32:C32"/>
    <mergeCell ref="B33:C33"/>
    <mergeCell ref="A25:G25"/>
    <mergeCell ref="A26:A29"/>
    <mergeCell ref="B26:C29"/>
    <mergeCell ref="D26:D29"/>
    <mergeCell ref="E11:E14"/>
    <mergeCell ref="B15:C15"/>
    <mergeCell ref="B20:C20"/>
    <mergeCell ref="G26:G29"/>
    <mergeCell ref="A23:F23"/>
    <mergeCell ref="A21:F21"/>
    <mergeCell ref="A22:F22"/>
    <mergeCell ref="G11:G14"/>
    <mergeCell ref="A2:G2"/>
    <mergeCell ref="A3:G3"/>
    <mergeCell ref="A6:G6"/>
    <mergeCell ref="A11:A14"/>
    <mergeCell ref="B11:C14"/>
    <mergeCell ref="A8:G8"/>
    <mergeCell ref="A5:G5"/>
    <mergeCell ref="B18:C18"/>
    <mergeCell ref="B19:C19"/>
    <mergeCell ref="B17:C17"/>
    <mergeCell ref="B16:C16"/>
    <mergeCell ref="D11:D14"/>
  </mergeCells>
  <printOptions horizontalCentered="1"/>
  <pageMargins left="0.51181102362204722" right="0.39370078740157483" top="1.6929133858267718" bottom="0.35433070866141736" header="0.19685039370078741" footer="0.27559055118110237"/>
  <pageSetup paperSize="9" scale="71" fitToHeight="0" orientation="portrait" r:id="rId1"/>
  <headerFooter>
    <oddHeader>&amp;L&amp;"Cambria,Negrito"&amp;8PROPOSTA N° 011/2017 - MME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>
    <tabColor theme="5" tint="0.79998168889431442"/>
    <pageSetUpPr fitToPage="1"/>
  </sheetPr>
  <dimension ref="A1:J56"/>
  <sheetViews>
    <sheetView view="pageBreakPreview" zoomScale="120" zoomScaleNormal="100" zoomScaleSheetLayoutView="120" workbookViewId="0">
      <selection activeCell="I44" sqref="I44"/>
    </sheetView>
  </sheetViews>
  <sheetFormatPr defaultRowHeight="14.25" x14ac:dyDescent="0.2"/>
  <cols>
    <col min="1" max="1" width="6" style="86" customWidth="1"/>
    <col min="2" max="2" width="26.5703125" style="91" customWidth="1"/>
    <col min="3" max="3" width="28.28515625" style="91" customWidth="1"/>
    <col min="4" max="4" width="11.42578125" style="92" customWidth="1"/>
    <col min="5" max="6" width="11.140625" style="92" customWidth="1"/>
    <col min="7" max="7" width="16" style="91" customWidth="1"/>
    <col min="8" max="8" width="17.28515625" style="91" customWidth="1"/>
    <col min="9" max="9" width="11.28515625" style="38" bestFit="1" customWidth="1"/>
    <col min="10" max="10" width="12.28515625" style="38" bestFit="1" customWidth="1"/>
    <col min="11" max="11" width="12.5703125" style="53" bestFit="1" customWidth="1"/>
    <col min="12" max="12" width="9.7109375" style="53" bestFit="1" customWidth="1"/>
    <col min="13" max="16384" width="9.140625" style="53"/>
  </cols>
  <sheetData>
    <row r="1" spans="1:10" ht="10.5" customHeight="1" x14ac:dyDescent="0.2"/>
    <row r="2" spans="1:10" x14ac:dyDescent="0.2">
      <c r="A2" s="934" t="str">
        <f>DADOS!A16</f>
        <v>MINISTÉRIO DE MINAS E ENERGIA - MME</v>
      </c>
      <c r="B2" s="934"/>
      <c r="C2" s="934"/>
      <c r="D2" s="934"/>
      <c r="E2" s="934"/>
      <c r="F2" s="934"/>
      <c r="G2" s="934"/>
      <c r="H2" s="934"/>
    </row>
    <row r="3" spans="1:10" x14ac:dyDescent="0.2">
      <c r="A3" s="934" t="str">
        <f>DADOS!A18</f>
        <v>PREGÃO ELETRÔNICO Nº 001/2017 - MME</v>
      </c>
      <c r="B3" s="934"/>
      <c r="C3" s="934"/>
      <c r="D3" s="934"/>
      <c r="E3" s="934"/>
      <c r="F3" s="934"/>
      <c r="G3" s="934"/>
      <c r="H3" s="934"/>
    </row>
    <row r="4" spans="1:10" ht="10.5" customHeight="1" x14ac:dyDescent="0.2">
      <c r="A4" s="83"/>
      <c r="B4" s="84"/>
      <c r="C4" s="84"/>
      <c r="D4" s="85"/>
      <c r="E4" s="85"/>
      <c r="F4" s="85"/>
      <c r="G4" s="84"/>
      <c r="H4" s="84"/>
    </row>
    <row r="5" spans="1:10" x14ac:dyDescent="0.2">
      <c r="A5" s="947" t="s">
        <v>256</v>
      </c>
      <c r="B5" s="947"/>
      <c r="C5" s="947"/>
      <c r="D5" s="947"/>
      <c r="E5" s="947"/>
      <c r="F5" s="947"/>
      <c r="G5" s="947"/>
      <c r="H5" s="947"/>
    </row>
    <row r="6" spans="1:10" s="54" customFormat="1" x14ac:dyDescent="0.2">
      <c r="A6" s="947" t="s">
        <v>259</v>
      </c>
      <c r="B6" s="947"/>
      <c r="C6" s="947"/>
      <c r="D6" s="947"/>
      <c r="E6" s="947"/>
      <c r="F6" s="947"/>
      <c r="G6" s="947"/>
      <c r="H6" s="947"/>
      <c r="I6" s="38"/>
      <c r="J6" s="38"/>
    </row>
    <row r="7" spans="1:10" s="54" customFormat="1" x14ac:dyDescent="0.2">
      <c r="A7" s="497"/>
      <c r="B7" s="498"/>
      <c r="C7" s="498"/>
      <c r="D7" s="498"/>
      <c r="E7" s="498"/>
      <c r="F7" s="498"/>
      <c r="G7" s="498"/>
      <c r="H7" s="498"/>
      <c r="I7" s="38"/>
      <c r="J7" s="38"/>
    </row>
    <row r="8" spans="1:10" s="54" customFormat="1" x14ac:dyDescent="0.2">
      <c r="A8" s="945" t="s">
        <v>260</v>
      </c>
      <c r="B8" s="945"/>
      <c r="C8" s="945"/>
      <c r="D8" s="945"/>
      <c r="E8" s="945"/>
      <c r="F8" s="945"/>
      <c r="G8" s="945"/>
      <c r="H8" s="945"/>
      <c r="I8" s="38"/>
      <c r="J8" s="38"/>
    </row>
    <row r="9" spans="1:10" s="54" customFormat="1" x14ac:dyDescent="0.2">
      <c r="A9" s="945" t="s">
        <v>261</v>
      </c>
      <c r="B9" s="945"/>
      <c r="C9" s="945"/>
      <c r="D9" s="945"/>
      <c r="E9" s="945"/>
      <c r="F9" s="945"/>
      <c r="G9" s="945"/>
      <c r="H9" s="945"/>
      <c r="I9" s="38"/>
      <c r="J9" s="38"/>
    </row>
    <row r="10" spans="1:10" s="15" customFormat="1" ht="14.25" customHeight="1" x14ac:dyDescent="0.2">
      <c r="A10" s="946" t="s">
        <v>94</v>
      </c>
      <c r="B10" s="946" t="s">
        <v>278</v>
      </c>
      <c r="C10" s="946"/>
      <c r="D10" s="946" t="s">
        <v>96</v>
      </c>
      <c r="E10" s="946" t="s">
        <v>262</v>
      </c>
      <c r="F10" s="946"/>
      <c r="G10" s="946" t="s">
        <v>263</v>
      </c>
      <c r="H10" s="946"/>
      <c r="I10" s="68"/>
      <c r="J10" s="68"/>
    </row>
    <row r="11" spans="1:10" s="15" customFormat="1" ht="9.75" customHeight="1" x14ac:dyDescent="0.2">
      <c r="A11" s="946"/>
      <c r="B11" s="946"/>
      <c r="C11" s="946"/>
      <c r="D11" s="946"/>
      <c r="E11" s="946" t="s">
        <v>266</v>
      </c>
      <c r="F11" s="946" t="s">
        <v>267</v>
      </c>
      <c r="G11" s="946" t="s">
        <v>264</v>
      </c>
      <c r="H11" s="946" t="s">
        <v>265</v>
      </c>
      <c r="I11" s="68"/>
      <c r="J11" s="68"/>
    </row>
    <row r="12" spans="1:10" s="15" customFormat="1" ht="12.75" customHeight="1" x14ac:dyDescent="0.2">
      <c r="A12" s="946"/>
      <c r="B12" s="946"/>
      <c r="C12" s="946"/>
      <c r="D12" s="946"/>
      <c r="E12" s="946"/>
      <c r="F12" s="946"/>
      <c r="G12" s="946"/>
      <c r="H12" s="946"/>
      <c r="I12" s="492"/>
      <c r="J12" s="492"/>
    </row>
    <row r="13" spans="1:10" s="15" customFormat="1" ht="20.25" customHeight="1" x14ac:dyDescent="0.2">
      <c r="A13" s="499">
        <v>1</v>
      </c>
      <c r="B13" s="951" t="s">
        <v>271</v>
      </c>
      <c r="C13" s="951"/>
      <c r="D13" s="500" t="s">
        <v>96</v>
      </c>
      <c r="E13" s="501">
        <v>1</v>
      </c>
      <c r="F13" s="502">
        <f>E13*DADOS!$C$13</f>
        <v>12</v>
      </c>
      <c r="G13" s="503">
        <f>8.4*DADOS!$D$54</f>
        <v>8.4</v>
      </c>
      <c r="H13" s="504">
        <f>G13*F13</f>
        <v>100.8</v>
      </c>
      <c r="I13" s="493"/>
      <c r="J13" s="493"/>
    </row>
    <row r="14" spans="1:10" s="15" customFormat="1" x14ac:dyDescent="0.2">
      <c r="A14" s="499">
        <v>2</v>
      </c>
      <c r="B14" s="951" t="s">
        <v>272</v>
      </c>
      <c r="C14" s="951"/>
      <c r="D14" s="500" t="s">
        <v>96</v>
      </c>
      <c r="E14" s="501">
        <v>15</v>
      </c>
      <c r="F14" s="502">
        <f>E14*DADOS!$C$13</f>
        <v>180</v>
      </c>
      <c r="G14" s="503">
        <f>1*DADOS!$D$54</f>
        <v>1</v>
      </c>
      <c r="H14" s="504">
        <f>G14*F14</f>
        <v>180</v>
      </c>
      <c r="I14" s="493"/>
      <c r="J14" s="493"/>
    </row>
    <row r="15" spans="1:10" ht="12.75" x14ac:dyDescent="0.2">
      <c r="A15" s="499">
        <v>3</v>
      </c>
      <c r="B15" s="951" t="s">
        <v>273</v>
      </c>
      <c r="C15" s="951"/>
      <c r="D15" s="500" t="s">
        <v>96</v>
      </c>
      <c r="E15" s="501">
        <v>1</v>
      </c>
      <c r="F15" s="502">
        <f>E15*DADOS!$C$13</f>
        <v>12</v>
      </c>
      <c r="G15" s="503">
        <f>14.5*DADOS!$D$54</f>
        <v>14.5</v>
      </c>
      <c r="H15" s="504">
        <f>G15*F15</f>
        <v>174</v>
      </c>
      <c r="I15" s="494"/>
      <c r="J15" s="494"/>
    </row>
    <row r="16" spans="1:10" s="55" customFormat="1" ht="12.75" x14ac:dyDescent="0.2">
      <c r="A16" s="499">
        <v>4</v>
      </c>
      <c r="B16" s="951" t="s">
        <v>274</v>
      </c>
      <c r="C16" s="951"/>
      <c r="D16" s="500" t="s">
        <v>96</v>
      </c>
      <c r="E16" s="501">
        <v>15</v>
      </c>
      <c r="F16" s="502">
        <f>E16*DADOS!$C$13</f>
        <v>180</v>
      </c>
      <c r="G16" s="503">
        <f>6*DADOS!$D$54</f>
        <v>6</v>
      </c>
      <c r="H16" s="504">
        <f>G16*F16</f>
        <v>1080</v>
      </c>
      <c r="I16" s="495"/>
      <c r="J16" s="495"/>
    </row>
    <row r="17" spans="1:10" s="55" customFormat="1" ht="14.25" customHeight="1" x14ac:dyDescent="0.2">
      <c r="A17" s="948" t="s">
        <v>268</v>
      </c>
      <c r="B17" s="949"/>
      <c r="C17" s="949"/>
      <c r="D17" s="949"/>
      <c r="E17" s="949"/>
      <c r="F17" s="949"/>
      <c r="G17" s="950"/>
      <c r="H17" s="505">
        <f>SUM(H13:H16)</f>
        <v>1534.8</v>
      </c>
      <c r="I17" s="496"/>
      <c r="J17" s="496"/>
    </row>
    <row r="18" spans="1:10" ht="15" customHeight="1" x14ac:dyDescent="0.2">
      <c r="A18" s="948" t="s">
        <v>269</v>
      </c>
      <c r="B18" s="949"/>
      <c r="C18" s="949"/>
      <c r="D18" s="949"/>
      <c r="E18" s="949"/>
      <c r="F18" s="949"/>
      <c r="G18" s="950"/>
      <c r="H18" s="506">
        <f>H17/DADOS!$C$13</f>
        <v>127.9</v>
      </c>
      <c r="I18" s="76"/>
      <c r="J18" s="76"/>
    </row>
    <row r="19" spans="1:10" ht="13.5" customHeight="1" x14ac:dyDescent="0.2">
      <c r="A19" s="948" t="s">
        <v>270</v>
      </c>
      <c r="B19" s="949"/>
      <c r="C19" s="949"/>
      <c r="D19" s="949"/>
      <c r="E19" s="949"/>
      <c r="F19" s="949"/>
      <c r="G19" s="950"/>
      <c r="H19" s="506">
        <f>H18/DADOS!$L$76</f>
        <v>8.5299999999999994</v>
      </c>
      <c r="I19" s="76"/>
      <c r="J19" s="76"/>
    </row>
    <row r="20" spans="1:10" ht="9" customHeight="1" x14ac:dyDescent="0.2">
      <c r="A20" s="497"/>
      <c r="B20" s="507"/>
      <c r="C20" s="507"/>
      <c r="D20" s="508"/>
      <c r="E20" s="508"/>
      <c r="F20" s="508"/>
      <c r="G20" s="507"/>
      <c r="H20" s="507"/>
      <c r="I20" s="76"/>
      <c r="J20" s="76"/>
    </row>
    <row r="21" spans="1:10" ht="16.5" customHeight="1" x14ac:dyDescent="0.2">
      <c r="A21" s="945" t="s">
        <v>275</v>
      </c>
      <c r="B21" s="945"/>
      <c r="C21" s="945"/>
      <c r="D21" s="945"/>
      <c r="E21" s="945"/>
      <c r="F21" s="945"/>
      <c r="G21" s="945"/>
      <c r="H21" s="945"/>
      <c r="I21" s="76"/>
      <c r="J21" s="76"/>
    </row>
    <row r="22" spans="1:10" ht="13.5" customHeight="1" x14ac:dyDescent="0.2">
      <c r="A22" s="946" t="s">
        <v>94</v>
      </c>
      <c r="B22" s="946" t="s">
        <v>116</v>
      </c>
      <c r="C22" s="946"/>
      <c r="D22" s="946" t="s">
        <v>96</v>
      </c>
      <c r="E22" s="952" t="s">
        <v>262</v>
      </c>
      <c r="F22" s="953"/>
      <c r="G22" s="946" t="s">
        <v>263</v>
      </c>
      <c r="H22" s="946"/>
      <c r="I22" s="76"/>
      <c r="J22" s="76"/>
    </row>
    <row r="23" spans="1:10" ht="9.75" customHeight="1" x14ac:dyDescent="0.2">
      <c r="A23" s="946"/>
      <c r="B23" s="946"/>
      <c r="C23" s="946"/>
      <c r="D23" s="946"/>
      <c r="E23" s="946" t="s">
        <v>266</v>
      </c>
      <c r="F23" s="946" t="s">
        <v>267</v>
      </c>
      <c r="G23" s="946" t="s">
        <v>264</v>
      </c>
      <c r="H23" s="946" t="s">
        <v>265</v>
      </c>
      <c r="I23" s="76"/>
      <c r="J23" s="76"/>
    </row>
    <row r="24" spans="1:10" ht="12.75" x14ac:dyDescent="0.2">
      <c r="A24" s="946"/>
      <c r="B24" s="946"/>
      <c r="C24" s="946"/>
      <c r="D24" s="946"/>
      <c r="E24" s="946"/>
      <c r="F24" s="946"/>
      <c r="G24" s="946"/>
      <c r="H24" s="946"/>
      <c r="I24" s="492"/>
      <c r="J24" s="492"/>
    </row>
    <row r="25" spans="1:10" ht="43.5" customHeight="1" x14ac:dyDescent="0.2">
      <c r="A25" s="499">
        <v>1</v>
      </c>
      <c r="B25" s="951" t="s">
        <v>410</v>
      </c>
      <c r="C25" s="951"/>
      <c r="D25" s="500" t="s">
        <v>96</v>
      </c>
      <c r="E25" s="501">
        <v>6</v>
      </c>
      <c r="F25" s="502">
        <f>E25*DADOS!$C$13</f>
        <v>72</v>
      </c>
      <c r="G25" s="503">
        <f>33.15*DADOS!$D$55</f>
        <v>33.15</v>
      </c>
      <c r="H25" s="504">
        <f>G25*F25</f>
        <v>2386.8000000000002</v>
      </c>
      <c r="I25" s="493"/>
      <c r="J25" s="493"/>
    </row>
    <row r="26" spans="1:10" ht="36" customHeight="1" x14ac:dyDescent="0.2">
      <c r="A26" s="499">
        <v>2</v>
      </c>
      <c r="B26" s="951" t="s">
        <v>276</v>
      </c>
      <c r="C26" s="951"/>
      <c r="D26" s="500" t="s">
        <v>96</v>
      </c>
      <c r="E26" s="501">
        <v>5</v>
      </c>
      <c r="F26" s="502">
        <f>E26</f>
        <v>5</v>
      </c>
      <c r="G26" s="503">
        <f>65*DADOS!$D$55</f>
        <v>65</v>
      </c>
      <c r="H26" s="504">
        <f>G26*F26</f>
        <v>325</v>
      </c>
      <c r="I26" s="493"/>
      <c r="J26" s="493"/>
    </row>
    <row r="27" spans="1:10" ht="26.25" customHeight="1" x14ac:dyDescent="0.2">
      <c r="A27" s="499">
        <v>3</v>
      </c>
      <c r="B27" s="951" t="s">
        <v>277</v>
      </c>
      <c r="C27" s="951"/>
      <c r="D27" s="500" t="s">
        <v>96</v>
      </c>
      <c r="E27" s="501">
        <v>20</v>
      </c>
      <c r="F27" s="502">
        <f>E27</f>
        <v>20</v>
      </c>
      <c r="G27" s="503">
        <f>108.58*DADOS!$D$55</f>
        <v>108.58</v>
      </c>
      <c r="H27" s="504">
        <f>G27*F27</f>
        <v>2171.6</v>
      </c>
      <c r="I27" s="493"/>
      <c r="J27" s="494"/>
    </row>
    <row r="28" spans="1:10" x14ac:dyDescent="0.2">
      <c r="A28" s="948" t="s">
        <v>268</v>
      </c>
      <c r="B28" s="949"/>
      <c r="C28" s="949"/>
      <c r="D28" s="949"/>
      <c r="E28" s="949"/>
      <c r="F28" s="949"/>
      <c r="G28" s="950"/>
      <c r="H28" s="505">
        <f>SUM(H25:H27)</f>
        <v>4883.3999999999996</v>
      </c>
    </row>
    <row r="29" spans="1:10" x14ac:dyDescent="0.2">
      <c r="A29" s="948" t="s">
        <v>269</v>
      </c>
      <c r="B29" s="949"/>
      <c r="C29" s="949"/>
      <c r="D29" s="949"/>
      <c r="E29" s="949"/>
      <c r="F29" s="949"/>
      <c r="G29" s="950"/>
      <c r="H29" s="506">
        <f>H28/DADOS!$C$13</f>
        <v>406.95</v>
      </c>
    </row>
    <row r="30" spans="1:10" x14ac:dyDescent="0.2">
      <c r="A30" s="948" t="s">
        <v>270</v>
      </c>
      <c r="B30" s="949"/>
      <c r="C30" s="949"/>
      <c r="D30" s="949"/>
      <c r="E30" s="949"/>
      <c r="F30" s="949"/>
      <c r="G30" s="950"/>
      <c r="H30" s="506">
        <f>H29/DADOS!$L$76</f>
        <v>27.13</v>
      </c>
    </row>
    <row r="31" spans="1:10" x14ac:dyDescent="0.2">
      <c r="A31" s="614"/>
      <c r="B31" s="614"/>
      <c r="C31" s="614"/>
      <c r="D31" s="614"/>
      <c r="E31" s="614"/>
      <c r="F31" s="614"/>
      <c r="G31" s="614"/>
      <c r="H31" s="615"/>
    </row>
    <row r="32" spans="1:10" x14ac:dyDescent="0.2">
      <c r="A32" s="954" t="s">
        <v>417</v>
      </c>
      <c r="B32" s="954"/>
      <c r="C32" s="954"/>
      <c r="D32" s="954"/>
      <c r="E32" s="954"/>
      <c r="F32" s="954"/>
      <c r="G32" s="954"/>
      <c r="H32" s="954"/>
    </row>
    <row r="33" spans="1:8" ht="8.25" customHeight="1" x14ac:dyDescent="0.2"/>
    <row r="34" spans="1:8" x14ac:dyDescent="0.2">
      <c r="A34" s="945" t="s">
        <v>260</v>
      </c>
      <c r="B34" s="945"/>
      <c r="C34" s="945"/>
      <c r="D34" s="945"/>
      <c r="E34" s="945"/>
      <c r="F34" s="945"/>
      <c r="G34" s="945"/>
      <c r="H34" s="945"/>
    </row>
    <row r="35" spans="1:8" x14ac:dyDescent="0.2">
      <c r="A35" s="945" t="s">
        <v>261</v>
      </c>
      <c r="B35" s="945"/>
      <c r="C35" s="945"/>
      <c r="D35" s="945"/>
      <c r="E35" s="945"/>
      <c r="F35" s="945"/>
      <c r="G35" s="945"/>
      <c r="H35" s="945"/>
    </row>
    <row r="36" spans="1:8" x14ac:dyDescent="0.2">
      <c r="A36" s="946" t="s">
        <v>94</v>
      </c>
      <c r="B36" s="946" t="s">
        <v>278</v>
      </c>
      <c r="C36" s="946"/>
      <c r="D36" s="946" t="s">
        <v>96</v>
      </c>
      <c r="E36" s="946" t="s">
        <v>262</v>
      </c>
      <c r="F36" s="946"/>
      <c r="G36" s="946" t="s">
        <v>263</v>
      </c>
      <c r="H36" s="946"/>
    </row>
    <row r="37" spans="1:8" x14ac:dyDescent="0.2">
      <c r="A37" s="946"/>
      <c r="B37" s="946"/>
      <c r="C37" s="946"/>
      <c r="D37" s="946"/>
      <c r="E37" s="946" t="s">
        <v>266</v>
      </c>
      <c r="F37" s="946" t="s">
        <v>267</v>
      </c>
      <c r="G37" s="946" t="s">
        <v>264</v>
      </c>
      <c r="H37" s="946" t="s">
        <v>265</v>
      </c>
    </row>
    <row r="38" spans="1:8" x14ac:dyDescent="0.2">
      <c r="A38" s="946"/>
      <c r="B38" s="946"/>
      <c r="C38" s="946"/>
      <c r="D38" s="946"/>
      <c r="E38" s="946"/>
      <c r="F38" s="946"/>
      <c r="G38" s="946"/>
      <c r="H38" s="946"/>
    </row>
    <row r="39" spans="1:8" x14ac:dyDescent="0.2">
      <c r="A39" s="499">
        <v>1</v>
      </c>
      <c r="B39" s="951" t="s">
        <v>271</v>
      </c>
      <c r="C39" s="951"/>
      <c r="D39" s="500" t="s">
        <v>96</v>
      </c>
      <c r="E39" s="501">
        <v>1</v>
      </c>
      <c r="F39" s="502">
        <f>E39*DADOS!$C$13</f>
        <v>12</v>
      </c>
      <c r="G39" s="503">
        <f>8.4*DADOS!$D$54</f>
        <v>8.4</v>
      </c>
      <c r="H39" s="504">
        <f>G39*F39</f>
        <v>100.8</v>
      </c>
    </row>
    <row r="40" spans="1:8" x14ac:dyDescent="0.2">
      <c r="A40" s="499">
        <v>2</v>
      </c>
      <c r="B40" s="951" t="s">
        <v>272</v>
      </c>
      <c r="C40" s="951"/>
      <c r="D40" s="500" t="s">
        <v>96</v>
      </c>
      <c r="E40" s="501">
        <v>15</v>
      </c>
      <c r="F40" s="502">
        <f>E40*DADOS!$C$13</f>
        <v>180</v>
      </c>
      <c r="G40" s="503">
        <f>1*DADOS!$D$54</f>
        <v>1</v>
      </c>
      <c r="H40" s="504">
        <f>G40*F40</f>
        <v>180</v>
      </c>
    </row>
    <row r="41" spans="1:8" x14ac:dyDescent="0.2">
      <c r="A41" s="499">
        <v>3</v>
      </c>
      <c r="B41" s="951" t="s">
        <v>273</v>
      </c>
      <c r="C41" s="951"/>
      <c r="D41" s="500" t="s">
        <v>96</v>
      </c>
      <c r="E41" s="501">
        <v>1</v>
      </c>
      <c r="F41" s="502">
        <f>E41*DADOS!$C$13</f>
        <v>12</v>
      </c>
      <c r="G41" s="503">
        <f>14.5*DADOS!$D$54</f>
        <v>14.5</v>
      </c>
      <c r="H41" s="504">
        <f>G41*F41</f>
        <v>174</v>
      </c>
    </row>
    <row r="42" spans="1:8" x14ac:dyDescent="0.2">
      <c r="A42" s="499">
        <v>4</v>
      </c>
      <c r="B42" s="951" t="s">
        <v>274</v>
      </c>
      <c r="C42" s="951"/>
      <c r="D42" s="500" t="s">
        <v>96</v>
      </c>
      <c r="E42" s="501">
        <v>15</v>
      </c>
      <c r="F42" s="502">
        <f>E42*DADOS!$C$13</f>
        <v>180</v>
      </c>
      <c r="G42" s="503">
        <f>6*DADOS!$D$54</f>
        <v>6</v>
      </c>
      <c r="H42" s="504">
        <f>G42*F42</f>
        <v>1080</v>
      </c>
    </row>
    <row r="43" spans="1:8" x14ac:dyDescent="0.2">
      <c r="A43" s="948" t="s">
        <v>268</v>
      </c>
      <c r="B43" s="949"/>
      <c r="C43" s="949"/>
      <c r="D43" s="949"/>
      <c r="E43" s="949"/>
      <c r="F43" s="949"/>
      <c r="G43" s="950"/>
      <c r="H43" s="505">
        <f>SUM(H39:H42)</f>
        <v>1534.8</v>
      </c>
    </row>
    <row r="44" spans="1:8" x14ac:dyDescent="0.2">
      <c r="A44" s="948" t="s">
        <v>269</v>
      </c>
      <c r="B44" s="949"/>
      <c r="C44" s="949"/>
      <c r="D44" s="949"/>
      <c r="E44" s="949"/>
      <c r="F44" s="949"/>
      <c r="G44" s="950"/>
      <c r="H44" s="506">
        <f>H43/DADOS!$C$13</f>
        <v>127.9</v>
      </c>
    </row>
    <row r="45" spans="1:8" x14ac:dyDescent="0.2">
      <c r="A45" s="948" t="s">
        <v>270</v>
      </c>
      <c r="B45" s="949"/>
      <c r="C45" s="949"/>
      <c r="D45" s="949"/>
      <c r="E45" s="949"/>
      <c r="F45" s="949"/>
      <c r="G45" s="950"/>
      <c r="H45" s="506">
        <f>H44/16</f>
        <v>7.99</v>
      </c>
    </row>
    <row r="46" spans="1:8" ht="8.25" customHeight="1" x14ac:dyDescent="0.2">
      <c r="A46" s="497"/>
      <c r="B46" s="507"/>
      <c r="C46" s="507"/>
      <c r="D46" s="508"/>
      <c r="E46" s="508"/>
      <c r="F46" s="508"/>
      <c r="G46" s="507"/>
      <c r="H46" s="507"/>
    </row>
    <row r="47" spans="1:8" x14ac:dyDescent="0.2">
      <c r="A47" s="945" t="s">
        <v>275</v>
      </c>
      <c r="B47" s="945"/>
      <c r="C47" s="945"/>
      <c r="D47" s="945"/>
      <c r="E47" s="945"/>
      <c r="F47" s="945"/>
      <c r="G47" s="945"/>
      <c r="H47" s="945"/>
    </row>
    <row r="48" spans="1:8" x14ac:dyDescent="0.2">
      <c r="A48" s="946" t="s">
        <v>94</v>
      </c>
      <c r="B48" s="946" t="s">
        <v>116</v>
      </c>
      <c r="C48" s="946"/>
      <c r="D48" s="946" t="s">
        <v>96</v>
      </c>
      <c r="E48" s="952" t="s">
        <v>262</v>
      </c>
      <c r="F48" s="953"/>
      <c r="G48" s="946" t="s">
        <v>263</v>
      </c>
      <c r="H48" s="946"/>
    </row>
    <row r="49" spans="1:8" x14ac:dyDescent="0.2">
      <c r="A49" s="946"/>
      <c r="B49" s="946"/>
      <c r="C49" s="946"/>
      <c r="D49" s="946"/>
      <c r="E49" s="946" t="s">
        <v>266</v>
      </c>
      <c r="F49" s="946" t="s">
        <v>267</v>
      </c>
      <c r="G49" s="946" t="s">
        <v>264</v>
      </c>
      <c r="H49" s="946" t="s">
        <v>265</v>
      </c>
    </row>
    <row r="50" spans="1:8" x14ac:dyDescent="0.2">
      <c r="A50" s="946"/>
      <c r="B50" s="946"/>
      <c r="C50" s="946"/>
      <c r="D50" s="946"/>
      <c r="E50" s="946"/>
      <c r="F50" s="946"/>
      <c r="G50" s="946"/>
      <c r="H50" s="946"/>
    </row>
    <row r="51" spans="1:8" x14ac:dyDescent="0.2">
      <c r="A51" s="499">
        <v>1</v>
      </c>
      <c r="B51" s="951" t="s">
        <v>410</v>
      </c>
      <c r="C51" s="951"/>
      <c r="D51" s="500" t="s">
        <v>96</v>
      </c>
      <c r="E51" s="501">
        <v>6</v>
      </c>
      <c r="F51" s="502">
        <f>E51*DADOS!$C$13</f>
        <v>72</v>
      </c>
      <c r="G51" s="503">
        <f>33.15*DADOS!$D$55</f>
        <v>33.15</v>
      </c>
      <c r="H51" s="504">
        <f>G51*F51</f>
        <v>2386.8000000000002</v>
      </c>
    </row>
    <row r="52" spans="1:8" x14ac:dyDescent="0.2">
      <c r="A52" s="499">
        <v>2</v>
      </c>
      <c r="B52" s="951" t="s">
        <v>276</v>
      </c>
      <c r="C52" s="951"/>
      <c r="D52" s="500" t="s">
        <v>96</v>
      </c>
      <c r="E52" s="501">
        <v>5</v>
      </c>
      <c r="F52" s="502">
        <f>E52</f>
        <v>5</v>
      </c>
      <c r="G52" s="503">
        <f>65*DADOS!$D$55</f>
        <v>65</v>
      </c>
      <c r="H52" s="504">
        <f>G52*F52</f>
        <v>325</v>
      </c>
    </row>
    <row r="53" spans="1:8" x14ac:dyDescent="0.2">
      <c r="A53" s="499">
        <v>3</v>
      </c>
      <c r="B53" s="951" t="s">
        <v>277</v>
      </c>
      <c r="C53" s="951"/>
      <c r="D53" s="500" t="s">
        <v>96</v>
      </c>
      <c r="E53" s="501">
        <v>20</v>
      </c>
      <c r="F53" s="502">
        <f>E53</f>
        <v>20</v>
      </c>
      <c r="G53" s="503">
        <f>108.58*DADOS!$D$55</f>
        <v>108.58</v>
      </c>
      <c r="H53" s="504">
        <f>G53*F53</f>
        <v>2171.6</v>
      </c>
    </row>
    <row r="54" spans="1:8" x14ac:dyDescent="0.2">
      <c r="A54" s="948" t="s">
        <v>268</v>
      </c>
      <c r="B54" s="949"/>
      <c r="C54" s="949"/>
      <c r="D54" s="949"/>
      <c r="E54" s="949"/>
      <c r="F54" s="949"/>
      <c r="G54" s="950"/>
      <c r="H54" s="505">
        <f>SUM(H51:H53)</f>
        <v>4883.3999999999996</v>
      </c>
    </row>
    <row r="55" spans="1:8" x14ac:dyDescent="0.2">
      <c r="A55" s="948" t="s">
        <v>269</v>
      </c>
      <c r="B55" s="949"/>
      <c r="C55" s="949"/>
      <c r="D55" s="949"/>
      <c r="E55" s="949"/>
      <c r="F55" s="949"/>
      <c r="G55" s="950"/>
      <c r="H55" s="506">
        <f>H54/DADOS!$C$13</f>
        <v>406.95</v>
      </c>
    </row>
    <row r="56" spans="1:8" x14ac:dyDescent="0.2">
      <c r="A56" s="948" t="s">
        <v>270</v>
      </c>
      <c r="B56" s="949"/>
      <c r="C56" s="949"/>
      <c r="D56" s="949"/>
      <c r="E56" s="949"/>
      <c r="F56" s="949"/>
      <c r="G56" s="950"/>
      <c r="H56" s="506">
        <f>H55/16</f>
        <v>25.43</v>
      </c>
    </row>
  </sheetData>
  <mergeCells count="73">
    <mergeCell ref="A32:H32"/>
    <mergeCell ref="A55:G55"/>
    <mergeCell ref="A56:G56"/>
    <mergeCell ref="G49:G50"/>
    <mergeCell ref="H49:H50"/>
    <mergeCell ref="B51:C51"/>
    <mergeCell ref="B52:C52"/>
    <mergeCell ref="B53:C53"/>
    <mergeCell ref="A54:G54"/>
    <mergeCell ref="A44:G44"/>
    <mergeCell ref="A45:G45"/>
    <mergeCell ref="A47:H47"/>
    <mergeCell ref="A48:A50"/>
    <mergeCell ref="B48:C50"/>
    <mergeCell ref="D48:D50"/>
    <mergeCell ref="E48:F48"/>
    <mergeCell ref="G48:H48"/>
    <mergeCell ref="E49:E50"/>
    <mergeCell ref="F49:F50"/>
    <mergeCell ref="H37:H38"/>
    <mergeCell ref="B39:C39"/>
    <mergeCell ref="B40:C40"/>
    <mergeCell ref="B41:C41"/>
    <mergeCell ref="B42:C42"/>
    <mergeCell ref="A43:G43"/>
    <mergeCell ref="A34:H34"/>
    <mergeCell ref="A35:H35"/>
    <mergeCell ref="A36:A38"/>
    <mergeCell ref="B36:C38"/>
    <mergeCell ref="D36:D38"/>
    <mergeCell ref="E36:F36"/>
    <mergeCell ref="G36:H36"/>
    <mergeCell ref="E37:E38"/>
    <mergeCell ref="F37:F38"/>
    <mergeCell ref="G37:G38"/>
    <mergeCell ref="A30:G30"/>
    <mergeCell ref="E22:F22"/>
    <mergeCell ref="B25:C25"/>
    <mergeCell ref="B26:C26"/>
    <mergeCell ref="B27:C27"/>
    <mergeCell ref="A28:G28"/>
    <mergeCell ref="A29:G29"/>
    <mergeCell ref="A22:A24"/>
    <mergeCell ref="B22:C24"/>
    <mergeCell ref="D22:D24"/>
    <mergeCell ref="G22:H22"/>
    <mergeCell ref="E23:E24"/>
    <mergeCell ref="F23:F24"/>
    <mergeCell ref="G23:G24"/>
    <mergeCell ref="H23:H24"/>
    <mergeCell ref="A21:H21"/>
    <mergeCell ref="E10:F10"/>
    <mergeCell ref="E11:E12"/>
    <mergeCell ref="F11:F12"/>
    <mergeCell ref="G11:G12"/>
    <mergeCell ref="A10:A12"/>
    <mergeCell ref="B10:C12"/>
    <mergeCell ref="D10:D12"/>
    <mergeCell ref="A17:G17"/>
    <mergeCell ref="A18:G18"/>
    <mergeCell ref="A19:G19"/>
    <mergeCell ref="B13:C13"/>
    <mergeCell ref="B14:C14"/>
    <mergeCell ref="B15:C15"/>
    <mergeCell ref="B16:C16"/>
    <mergeCell ref="A9:H9"/>
    <mergeCell ref="H11:H12"/>
    <mergeCell ref="A2:H2"/>
    <mergeCell ref="A3:H3"/>
    <mergeCell ref="A5:H5"/>
    <mergeCell ref="A6:H6"/>
    <mergeCell ref="A8:H8"/>
    <mergeCell ref="G10:H10"/>
  </mergeCells>
  <printOptions horizontalCentered="1"/>
  <pageMargins left="0.51181102362204722" right="0.39370078740157483" top="1.6929133858267718" bottom="0.35433070866141736" header="0.19685039370078741" footer="0.27559055118110237"/>
  <pageSetup paperSize="9" scale="74" fitToHeight="0" orientation="portrait" r:id="rId1"/>
  <headerFooter>
    <oddHeader>&amp;L&amp;"Cambria,Negrito"&amp;8PROPOSTA N° 011/2017 - MME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theme="5" tint="0.79998168889431442"/>
    <pageSetUpPr fitToPage="1"/>
  </sheetPr>
  <dimension ref="A1:L117"/>
  <sheetViews>
    <sheetView tabSelected="1" view="pageBreakPreview" topLeftCell="A91" zoomScale="120" zoomScaleNormal="100" zoomScaleSheetLayoutView="120" workbookViewId="0">
      <selection activeCell="C97" sqref="C97"/>
    </sheetView>
  </sheetViews>
  <sheetFormatPr defaultRowHeight="12.75" x14ac:dyDescent="0.2"/>
  <cols>
    <col min="1" max="1" width="6.5703125" style="75" customWidth="1"/>
    <col min="2" max="2" width="17.140625" style="75" customWidth="1"/>
    <col min="3" max="3" width="22.42578125" style="75" customWidth="1"/>
    <col min="4" max="4" width="16.5703125" style="75" customWidth="1"/>
    <col min="5" max="5" width="17" style="75" customWidth="1"/>
    <col min="6" max="6" width="14.5703125" style="75" customWidth="1"/>
    <col min="7" max="7" width="13" style="75" customWidth="1"/>
    <col min="8" max="8" width="14" style="75" customWidth="1"/>
    <col min="9" max="9" width="14.5703125" style="1" customWidth="1"/>
    <col min="10" max="10" width="24.42578125" style="1" customWidth="1"/>
    <col min="11" max="11" width="14.28515625" style="1" bestFit="1" customWidth="1"/>
    <col min="12" max="12" width="15.7109375" style="1" bestFit="1" customWidth="1"/>
    <col min="13" max="16384" width="9.140625" style="1"/>
  </cols>
  <sheetData>
    <row r="1" spans="1:8" x14ac:dyDescent="0.2">
      <c r="A1" s="1002" t="str">
        <f>DADOS!A16</f>
        <v>MINISTÉRIO DE MINAS E ENERGIA - MME</v>
      </c>
      <c r="B1" s="1002"/>
      <c r="C1" s="1002"/>
      <c r="D1" s="1002"/>
      <c r="E1" s="1002"/>
      <c r="F1" s="1002"/>
      <c r="G1" s="1002"/>
      <c r="H1" s="1002"/>
    </row>
    <row r="2" spans="1:8" x14ac:dyDescent="0.2">
      <c r="A2" s="1002" t="str">
        <f>DADOS!A18</f>
        <v>PREGÃO ELETRÔNICO Nº 001/2017 - MME</v>
      </c>
      <c r="B2" s="1002"/>
      <c r="C2" s="1002"/>
      <c r="D2" s="1002"/>
      <c r="E2" s="1002"/>
      <c r="F2" s="1002"/>
      <c r="G2" s="1002"/>
      <c r="H2" s="1002"/>
    </row>
    <row r="3" spans="1:8" x14ac:dyDescent="0.2">
      <c r="A3" s="1"/>
      <c r="B3" s="639"/>
      <c r="C3" s="639"/>
      <c r="D3" s="639"/>
      <c r="E3" s="639"/>
      <c r="F3" s="639"/>
      <c r="G3" s="639"/>
      <c r="H3" s="639"/>
    </row>
    <row r="4" spans="1:8" ht="27" customHeight="1" x14ac:dyDescent="0.2">
      <c r="A4" s="1004" t="s">
        <v>426</v>
      </c>
      <c r="B4" s="1004"/>
      <c r="C4" s="1004"/>
      <c r="D4" s="1004"/>
      <c r="E4" s="1004"/>
      <c r="F4" s="1004"/>
      <c r="G4" s="1004"/>
      <c r="H4" s="1004"/>
    </row>
    <row r="5" spans="1:8" s="12" customFormat="1" ht="14.25" customHeight="1" x14ac:dyDescent="0.2">
      <c r="A5" s="1003" t="s">
        <v>437</v>
      </c>
      <c r="B5" s="1003"/>
      <c r="C5" s="1003"/>
      <c r="D5" s="1003"/>
      <c r="E5" s="1003"/>
      <c r="F5" s="1003"/>
      <c r="G5" s="1003"/>
      <c r="H5" s="1003"/>
    </row>
    <row r="6" spans="1:8" s="13" customFormat="1" ht="24" customHeight="1" x14ac:dyDescent="0.2">
      <c r="A6" s="983" t="s">
        <v>169</v>
      </c>
      <c r="B6" s="983"/>
      <c r="C6" s="983"/>
      <c r="D6" s="516" t="s">
        <v>190</v>
      </c>
      <c r="E6" s="516" t="s">
        <v>191</v>
      </c>
      <c r="F6" s="516" t="s">
        <v>192</v>
      </c>
      <c r="G6" s="516" t="s">
        <v>95</v>
      </c>
      <c r="H6" s="516" t="s">
        <v>345</v>
      </c>
    </row>
    <row r="7" spans="1:8" s="13" customFormat="1" x14ac:dyDescent="0.2">
      <c r="A7" s="989" t="s">
        <v>166</v>
      </c>
      <c r="B7" s="990"/>
      <c r="C7" s="991"/>
      <c r="D7" s="509" t="s">
        <v>167</v>
      </c>
      <c r="E7" s="510" t="s">
        <v>183</v>
      </c>
      <c r="F7" s="509" t="s">
        <v>168</v>
      </c>
      <c r="G7" s="510" t="s">
        <v>188</v>
      </c>
      <c r="H7" s="509" t="s">
        <v>189</v>
      </c>
    </row>
    <row r="8" spans="1:8" s="46" customFormat="1" x14ac:dyDescent="0.2">
      <c r="A8" s="511" t="s">
        <v>145</v>
      </c>
      <c r="B8" s="985" t="str">
        <f>'SUPERVISOR - DIURNO - 44h'!$B$19</f>
        <v>Supervisor Diurno Desarmado - 44 h./semana</v>
      </c>
      <c r="C8" s="985"/>
      <c r="D8" s="512">
        <f>'SUPERVISOR - DIURNO - 44h'!K140</f>
        <v>7922.18</v>
      </c>
      <c r="E8" s="513">
        <f>DADOS!K73</f>
        <v>1</v>
      </c>
      <c r="F8" s="514">
        <f>D8*E8</f>
        <v>7922.18</v>
      </c>
      <c r="G8" s="513">
        <f>DADOS!J73</f>
        <v>1</v>
      </c>
      <c r="H8" s="514">
        <f>F8*G8</f>
        <v>7922.18</v>
      </c>
    </row>
    <row r="9" spans="1:8" s="46" customFormat="1" x14ac:dyDescent="0.2">
      <c r="A9" s="511" t="s">
        <v>343</v>
      </c>
      <c r="B9" s="985" t="str">
        <f>'VIGILANTE - DIURNO 12x36 DD'!B19</f>
        <v>Vigilante Diurno Desarmado - 12x36hs</v>
      </c>
      <c r="C9" s="985">
        <f>'VIGILANTE - DIURNO 12x36 DD'!F140</f>
        <v>0</v>
      </c>
      <c r="D9" s="512">
        <f>'VIGILANTE - DIURNO 12x36 DD'!K140</f>
        <v>7163.76</v>
      </c>
      <c r="E9" s="513">
        <f>DADOS!K74</f>
        <v>2</v>
      </c>
      <c r="F9" s="514">
        <f>D9*E9</f>
        <v>14327.52</v>
      </c>
      <c r="G9" s="513">
        <f>DADOS!J74</f>
        <v>6</v>
      </c>
      <c r="H9" s="514">
        <f>F9*G9</f>
        <v>85965.119999999995</v>
      </c>
    </row>
    <row r="10" spans="1:8" s="46" customFormat="1" x14ac:dyDescent="0.2">
      <c r="A10" s="511" t="s">
        <v>344</v>
      </c>
      <c r="B10" s="985" t="str">
        <f>'VIGILANTE - NOTURNO 12x36 ND'!B19:D19</f>
        <v>Vigilante Noturno Desarmado - 12x36hs</v>
      </c>
      <c r="C10" s="985"/>
      <c r="D10" s="512">
        <f>'VIGILANTE - NOTURNO 12x36 ND'!K143</f>
        <v>8047.51</v>
      </c>
      <c r="E10" s="513">
        <f>DADOS!K75</f>
        <v>2</v>
      </c>
      <c r="F10" s="514">
        <f>D10*E10</f>
        <v>16095.02</v>
      </c>
      <c r="G10" s="513">
        <f>DADOS!J75</f>
        <v>1</v>
      </c>
      <c r="H10" s="514">
        <f>F10*G10</f>
        <v>16095.02</v>
      </c>
    </row>
    <row r="11" spans="1:8" x14ac:dyDescent="0.2">
      <c r="A11" s="1"/>
      <c r="B11" s="974" t="s">
        <v>346</v>
      </c>
      <c r="C11" s="975"/>
      <c r="D11" s="975"/>
      <c r="E11" s="975"/>
      <c r="F11" s="975"/>
      <c r="G11" s="649"/>
      <c r="H11" s="515">
        <f>SUM(H8:H10)</f>
        <v>109982.32</v>
      </c>
    </row>
    <row r="12" spans="1:8" x14ac:dyDescent="0.2">
      <c r="A12" s="638"/>
      <c r="B12" s="974" t="s">
        <v>351</v>
      </c>
      <c r="C12" s="975"/>
      <c r="D12" s="975"/>
      <c r="E12" s="975"/>
      <c r="F12" s="975"/>
      <c r="G12" s="638"/>
      <c r="H12" s="648">
        <f>12*H11</f>
        <v>1319787.8400000001</v>
      </c>
    </row>
    <row r="13" spans="1:8" s="66" customFormat="1" ht="16.5" customHeight="1" x14ac:dyDescent="0.2">
      <c r="A13" s="986"/>
      <c r="B13" s="986"/>
      <c r="C13" s="986"/>
      <c r="D13" s="986"/>
      <c r="E13" s="986"/>
      <c r="F13" s="986"/>
      <c r="G13" s="986"/>
      <c r="H13" s="986"/>
    </row>
    <row r="14" spans="1:8" s="66" customFormat="1" x14ac:dyDescent="0.2">
      <c r="A14" s="987" t="s">
        <v>352</v>
      </c>
      <c r="B14" s="987"/>
      <c r="C14" s="987"/>
      <c r="D14" s="987"/>
      <c r="E14" s="987"/>
      <c r="F14" s="987"/>
      <c r="G14" s="987"/>
      <c r="H14" s="987"/>
    </row>
    <row r="15" spans="1:8" s="66" customFormat="1" x14ac:dyDescent="0.2">
      <c r="A15" s="984" t="s">
        <v>170</v>
      </c>
      <c r="B15" s="984"/>
      <c r="C15" s="984"/>
      <c r="D15" s="984"/>
      <c r="E15" s="984"/>
      <c r="F15" s="984"/>
      <c r="G15" s="984"/>
      <c r="H15" s="984"/>
    </row>
    <row r="16" spans="1:8" s="66" customFormat="1" ht="21" x14ac:dyDescent="0.2">
      <c r="A16" s="516" t="s">
        <v>353</v>
      </c>
      <c r="B16" s="992" t="s">
        <v>354</v>
      </c>
      <c r="C16" s="993"/>
      <c r="D16" s="994"/>
      <c r="E16" s="516" t="s">
        <v>355</v>
      </c>
      <c r="F16" s="516" t="s">
        <v>356</v>
      </c>
      <c r="G16" s="984" t="s">
        <v>357</v>
      </c>
      <c r="H16" s="984"/>
    </row>
    <row r="17" spans="1:8" s="66" customFormat="1" x14ac:dyDescent="0.2">
      <c r="A17" s="511" t="s">
        <v>145</v>
      </c>
      <c r="B17" s="977" t="s">
        <v>415</v>
      </c>
      <c r="C17" s="978"/>
      <c r="D17" s="979"/>
      <c r="E17" s="517">
        <f t="shared" ref="E17:F19" si="0">F8</f>
        <v>7922.18</v>
      </c>
      <c r="F17" s="518">
        <f t="shared" si="0"/>
        <v>1</v>
      </c>
      <c r="G17" s="995">
        <f>E17*F17</f>
        <v>7922.18</v>
      </c>
      <c r="H17" s="996"/>
    </row>
    <row r="18" spans="1:8" s="66" customFormat="1" ht="21" customHeight="1" x14ac:dyDescent="0.2">
      <c r="A18" s="511" t="s">
        <v>343</v>
      </c>
      <c r="B18" s="977" t="s">
        <v>235</v>
      </c>
      <c r="C18" s="978"/>
      <c r="D18" s="979"/>
      <c r="E18" s="517">
        <f t="shared" si="0"/>
        <v>14327.52</v>
      </c>
      <c r="F18" s="518">
        <f t="shared" si="0"/>
        <v>6</v>
      </c>
      <c r="G18" s="995">
        <f>E18*F18</f>
        <v>85965.119999999995</v>
      </c>
      <c r="H18" s="996"/>
    </row>
    <row r="19" spans="1:8" s="66" customFormat="1" ht="24" customHeight="1" x14ac:dyDescent="0.2">
      <c r="A19" s="511" t="s">
        <v>344</v>
      </c>
      <c r="B19" s="977" t="s">
        <v>236</v>
      </c>
      <c r="C19" s="978"/>
      <c r="D19" s="979"/>
      <c r="E19" s="517">
        <f t="shared" si="0"/>
        <v>16095.02</v>
      </c>
      <c r="F19" s="518">
        <f t="shared" si="0"/>
        <v>1</v>
      </c>
      <c r="G19" s="995">
        <f>E19*F19</f>
        <v>16095.02</v>
      </c>
      <c r="H19" s="996"/>
    </row>
    <row r="20" spans="1:8" s="66" customFormat="1" x14ac:dyDescent="0.2">
      <c r="A20" s="999" t="s">
        <v>62</v>
      </c>
      <c r="B20" s="1000"/>
      <c r="C20" s="1000"/>
      <c r="D20" s="1000"/>
      <c r="E20" s="1001"/>
      <c r="F20" s="511">
        <f>SUM(F17:F19)</f>
        <v>8</v>
      </c>
      <c r="G20" s="998">
        <f>SUM(G17:H19)</f>
        <v>109982.32</v>
      </c>
      <c r="H20" s="998"/>
    </row>
    <row r="21" spans="1:8" s="66" customFormat="1" ht="6.75" customHeight="1" x14ac:dyDescent="0.2">
      <c r="A21" s="986"/>
      <c r="B21" s="986"/>
      <c r="C21" s="986"/>
      <c r="D21" s="986"/>
      <c r="E21" s="986"/>
      <c r="F21" s="986"/>
      <c r="G21" s="986"/>
      <c r="H21" s="986"/>
    </row>
    <row r="22" spans="1:8" s="66" customFormat="1" x14ac:dyDescent="0.2">
      <c r="A22" s="987" t="s">
        <v>347</v>
      </c>
      <c r="B22" s="987"/>
      <c r="C22" s="987"/>
      <c r="D22" s="987"/>
      <c r="E22" s="987"/>
      <c r="F22" s="987"/>
      <c r="G22" s="987"/>
      <c r="H22" s="987"/>
    </row>
    <row r="23" spans="1:8" s="66" customFormat="1" x14ac:dyDescent="0.2">
      <c r="A23" s="983" t="s">
        <v>146</v>
      </c>
      <c r="B23" s="983"/>
      <c r="C23" s="983"/>
      <c r="D23" s="983"/>
      <c r="E23" s="983"/>
      <c r="F23" s="983"/>
      <c r="G23" s="983"/>
      <c r="H23" s="983"/>
    </row>
    <row r="24" spans="1:8" s="66" customFormat="1" x14ac:dyDescent="0.2">
      <c r="A24" s="519" t="s">
        <v>1</v>
      </c>
      <c r="B24" s="983" t="s">
        <v>116</v>
      </c>
      <c r="C24" s="983"/>
      <c r="D24" s="983"/>
      <c r="E24" s="983"/>
      <c r="F24" s="983"/>
      <c r="G24" s="984" t="s">
        <v>141</v>
      </c>
      <c r="H24" s="984"/>
    </row>
    <row r="25" spans="1:8" s="66" customFormat="1" x14ac:dyDescent="0.2">
      <c r="A25" s="513" t="s">
        <v>348</v>
      </c>
      <c r="B25" s="977" t="str">
        <f>B8</f>
        <v>Supervisor Diurno Desarmado - 44 h./semana</v>
      </c>
      <c r="C25" s="978"/>
      <c r="D25" s="978"/>
      <c r="E25" s="978"/>
      <c r="F25" s="979"/>
      <c r="G25" s="980">
        <f>G17</f>
        <v>7922.18</v>
      </c>
      <c r="H25" s="981"/>
    </row>
    <row r="26" spans="1:8" s="66" customFormat="1" x14ac:dyDescent="0.2">
      <c r="A26" s="513" t="s">
        <v>349</v>
      </c>
      <c r="B26" s="977" t="str">
        <f>B9</f>
        <v>Vigilante Diurno Desarmado - 12x36hs</v>
      </c>
      <c r="C26" s="978"/>
      <c r="D26" s="978"/>
      <c r="E26" s="978"/>
      <c r="F26" s="979"/>
      <c r="G26" s="980">
        <f>G18</f>
        <v>85965.119999999995</v>
      </c>
      <c r="H26" s="981"/>
    </row>
    <row r="27" spans="1:8" s="66" customFormat="1" x14ac:dyDescent="0.2">
      <c r="A27" s="513" t="s">
        <v>350</v>
      </c>
      <c r="B27" s="977" t="str">
        <f>B10</f>
        <v>Vigilante Noturno Desarmado - 12x36hs</v>
      </c>
      <c r="C27" s="978"/>
      <c r="D27" s="978"/>
      <c r="E27" s="978"/>
      <c r="F27" s="979"/>
      <c r="G27" s="980">
        <f>G19</f>
        <v>16095.02</v>
      </c>
      <c r="H27" s="981"/>
    </row>
    <row r="28" spans="1:8" s="66" customFormat="1" x14ac:dyDescent="0.2">
      <c r="A28" s="519" t="s">
        <v>2</v>
      </c>
      <c r="B28" s="974" t="s">
        <v>147</v>
      </c>
      <c r="C28" s="975"/>
      <c r="D28" s="975"/>
      <c r="E28" s="975"/>
      <c r="F28" s="982"/>
      <c r="G28" s="976">
        <f>SUM(G25:H27)</f>
        <v>109982.32</v>
      </c>
      <c r="H28" s="976"/>
    </row>
    <row r="29" spans="1:8" s="66" customFormat="1" x14ac:dyDescent="0.2">
      <c r="A29" s="519" t="s">
        <v>4</v>
      </c>
      <c r="B29" s="974" t="s">
        <v>351</v>
      </c>
      <c r="C29" s="975"/>
      <c r="D29" s="975"/>
      <c r="E29" s="975"/>
      <c r="F29" s="975"/>
      <c r="G29" s="976">
        <f>G28*12</f>
        <v>1319787.8400000001</v>
      </c>
      <c r="H29" s="976"/>
    </row>
    <row r="30" spans="1:8" s="66" customFormat="1" ht="6.75" customHeight="1" x14ac:dyDescent="0.2">
      <c r="A30" s="997"/>
      <c r="B30" s="997"/>
      <c r="C30" s="997"/>
      <c r="D30" s="997"/>
      <c r="E30" s="997"/>
      <c r="F30" s="997"/>
      <c r="G30" s="997"/>
      <c r="H30" s="997"/>
    </row>
    <row r="31" spans="1:8" x14ac:dyDescent="0.2">
      <c r="A31" s="1003" t="s">
        <v>436</v>
      </c>
      <c r="B31" s="1003"/>
      <c r="C31" s="1003"/>
      <c r="D31" s="1003"/>
      <c r="E31" s="1003"/>
      <c r="F31" s="1003"/>
      <c r="G31" s="1003"/>
      <c r="H31" s="1003"/>
    </row>
    <row r="32" spans="1:8" ht="21" x14ac:dyDescent="0.2">
      <c r="A32" s="983" t="s">
        <v>169</v>
      </c>
      <c r="B32" s="983"/>
      <c r="C32" s="983"/>
      <c r="D32" s="516" t="s">
        <v>190</v>
      </c>
      <c r="E32" s="516" t="s">
        <v>191</v>
      </c>
      <c r="F32" s="516" t="s">
        <v>192</v>
      </c>
      <c r="G32" s="516" t="s">
        <v>95</v>
      </c>
      <c r="H32" s="516" t="s">
        <v>345</v>
      </c>
    </row>
    <row r="33" spans="1:8" x14ac:dyDescent="0.2">
      <c r="A33" s="989" t="s">
        <v>166</v>
      </c>
      <c r="B33" s="990"/>
      <c r="C33" s="991"/>
      <c r="D33" s="509" t="s">
        <v>167</v>
      </c>
      <c r="E33" s="510" t="s">
        <v>183</v>
      </c>
      <c r="F33" s="509" t="s">
        <v>168</v>
      </c>
      <c r="G33" s="510" t="s">
        <v>188</v>
      </c>
      <c r="H33" s="509" t="s">
        <v>189</v>
      </c>
    </row>
    <row r="34" spans="1:8" ht="30.75" customHeight="1" x14ac:dyDescent="0.2">
      <c r="A34" s="511" t="s">
        <v>145</v>
      </c>
      <c r="B34" s="985" t="str">
        <f>B17</f>
        <v>Supervisor Diurno Desarmado - 44hs semanais envolvendo 1 (um) funcionário</v>
      </c>
      <c r="C34" s="985"/>
      <c r="D34" s="512">
        <f>'SUPERVISOR - DIURNO - 44h'!M140</f>
        <v>7713.4</v>
      </c>
      <c r="E34" s="513">
        <f>DADOS!K73</f>
        <v>1</v>
      </c>
      <c r="F34" s="514">
        <f>D34*E34</f>
        <v>7713.4</v>
      </c>
      <c r="G34" s="520">
        <v>2</v>
      </c>
      <c r="H34" s="514">
        <f>F34*G34</f>
        <v>15426.8</v>
      </c>
    </row>
    <row r="35" spans="1:8" ht="30.75" customHeight="1" x14ac:dyDescent="0.2">
      <c r="A35" s="511" t="s">
        <v>343</v>
      </c>
      <c r="B35" s="985" t="str">
        <f t="shared" ref="B35:B36" si="1">B18</f>
        <v>Vigilante Diurno Desarmado - 12 horas de segunda-feira a domingo, envolvendo 2 (dois) vigilantes em turnos de 12x36hs</v>
      </c>
      <c r="C35" s="985"/>
      <c r="D35" s="512">
        <f>'VIGILANTE - DIURNO 12x36 DD'!M140</f>
        <v>6974.57</v>
      </c>
      <c r="E35" s="513">
        <f>DADOS!K74</f>
        <v>2</v>
      </c>
      <c r="F35" s="514">
        <f>D35*E35</f>
        <v>13949.14</v>
      </c>
      <c r="G35" s="513">
        <v>6</v>
      </c>
      <c r="H35" s="514">
        <f>F35*G35</f>
        <v>83694.84</v>
      </c>
    </row>
    <row r="36" spans="1:8" ht="30.75" customHeight="1" x14ac:dyDescent="0.2">
      <c r="A36" s="511" t="s">
        <v>344</v>
      </c>
      <c r="B36" s="985" t="str">
        <f t="shared" si="1"/>
        <v>Vigilante Noturno Desarmado - 12 horas de segunda-feira a domingo, envolvendo 2 (dois) vigilantes em turnos de 12x36hs</v>
      </c>
      <c r="C36" s="985"/>
      <c r="D36" s="512">
        <f>'VIGILANTE - NOTURNO 12x36 ND'!M143</f>
        <v>7835.89</v>
      </c>
      <c r="E36" s="513">
        <f>DADOS!K75</f>
        <v>2</v>
      </c>
      <c r="F36" s="514">
        <f>D36*E36</f>
        <v>15671.78</v>
      </c>
      <c r="G36" s="513">
        <v>1</v>
      </c>
      <c r="H36" s="514">
        <f>F36*G36</f>
        <v>15671.78</v>
      </c>
    </row>
    <row r="37" spans="1:8" ht="12" customHeight="1" x14ac:dyDescent="0.2">
      <c r="A37" s="1"/>
      <c r="B37" s="974" t="s">
        <v>346</v>
      </c>
      <c r="C37" s="975"/>
      <c r="D37" s="975"/>
      <c r="E37" s="975"/>
      <c r="F37" s="975"/>
      <c r="G37" s="649"/>
      <c r="H37" s="515">
        <f>SUM(H34:H36)</f>
        <v>114793.42</v>
      </c>
    </row>
    <row r="38" spans="1:8" ht="15" customHeight="1" x14ac:dyDescent="0.2">
      <c r="A38" s="638"/>
      <c r="B38" s="974" t="s">
        <v>351</v>
      </c>
      <c r="C38" s="975"/>
      <c r="D38" s="975"/>
      <c r="E38" s="975"/>
      <c r="F38" s="975"/>
      <c r="G38" s="638"/>
      <c r="H38" s="648">
        <f>12*H37</f>
        <v>1377521.04</v>
      </c>
    </row>
    <row r="39" spans="1:8" ht="15" customHeight="1" x14ac:dyDescent="0.2">
      <c r="A39" s="638"/>
      <c r="B39" s="640"/>
      <c r="C39" s="641"/>
      <c r="D39" s="641"/>
      <c r="E39" s="641"/>
      <c r="F39" s="641"/>
      <c r="G39" s="638"/>
      <c r="H39" s="648"/>
    </row>
    <row r="40" spans="1:8" ht="12" customHeight="1" x14ac:dyDescent="0.2">
      <c r="A40" s="987" t="s">
        <v>352</v>
      </c>
      <c r="B40" s="987"/>
      <c r="C40" s="987"/>
      <c r="D40" s="987"/>
      <c r="E40" s="987"/>
      <c r="F40" s="987"/>
      <c r="G40" s="987"/>
      <c r="H40" s="987"/>
    </row>
    <row r="41" spans="1:8" ht="12" customHeight="1" x14ac:dyDescent="0.2">
      <c r="A41" s="984" t="s">
        <v>170</v>
      </c>
      <c r="B41" s="984"/>
      <c r="C41" s="984"/>
      <c r="D41" s="984"/>
      <c r="E41" s="984"/>
      <c r="F41" s="984"/>
      <c r="G41" s="984"/>
      <c r="H41" s="984"/>
    </row>
    <row r="42" spans="1:8" ht="21.75" customHeight="1" x14ac:dyDescent="0.2">
      <c r="A42" s="516" t="s">
        <v>353</v>
      </c>
      <c r="B42" s="992" t="s">
        <v>354</v>
      </c>
      <c r="C42" s="993"/>
      <c r="D42" s="994"/>
      <c r="E42" s="516" t="s">
        <v>355</v>
      </c>
      <c r="F42" s="516" t="s">
        <v>356</v>
      </c>
      <c r="G42" s="984" t="s">
        <v>357</v>
      </c>
      <c r="H42" s="984"/>
    </row>
    <row r="43" spans="1:8" ht="12" customHeight="1" x14ac:dyDescent="0.2">
      <c r="A43" s="511" t="s">
        <v>145</v>
      </c>
      <c r="B43" s="977" t="str">
        <f>DADOS!H99</f>
        <v>PERÍODO à partir de 06 de abril/2018</v>
      </c>
      <c r="C43" s="978"/>
      <c r="D43" s="979"/>
      <c r="E43" s="517">
        <f t="shared" ref="E43:F45" si="2">F34</f>
        <v>7713.4</v>
      </c>
      <c r="F43" s="518">
        <f t="shared" si="2"/>
        <v>2</v>
      </c>
      <c r="G43" s="995">
        <f>E43*F43</f>
        <v>15426.8</v>
      </c>
      <c r="H43" s="996"/>
    </row>
    <row r="44" spans="1:8" ht="12" customHeight="1" x14ac:dyDescent="0.2">
      <c r="A44" s="511" t="s">
        <v>343</v>
      </c>
      <c r="B44" s="977" t="str">
        <f>DADOS!H100</f>
        <v>CATEGORIA</v>
      </c>
      <c r="C44" s="978"/>
      <c r="D44" s="979"/>
      <c r="E44" s="517">
        <f t="shared" si="2"/>
        <v>13949.14</v>
      </c>
      <c r="F44" s="518">
        <f t="shared" si="2"/>
        <v>6</v>
      </c>
      <c r="G44" s="995">
        <f>E44*F44</f>
        <v>83694.84</v>
      </c>
      <c r="H44" s="996"/>
    </row>
    <row r="45" spans="1:8" ht="12" customHeight="1" x14ac:dyDescent="0.2">
      <c r="A45" s="511" t="s">
        <v>344</v>
      </c>
      <c r="B45" s="977" t="str">
        <f>DADOS!H101</f>
        <v>Supervisor Diurno Desarmado - 44hs semanais envolvendo 1 (um) funcionário</v>
      </c>
      <c r="C45" s="978"/>
      <c r="D45" s="979"/>
      <c r="E45" s="517">
        <f t="shared" si="2"/>
        <v>15671.78</v>
      </c>
      <c r="F45" s="518">
        <f t="shared" si="2"/>
        <v>1</v>
      </c>
      <c r="G45" s="995">
        <f>E45*F45</f>
        <v>15671.78</v>
      </c>
      <c r="H45" s="996"/>
    </row>
    <row r="46" spans="1:8" ht="12" customHeight="1" x14ac:dyDescent="0.2">
      <c r="A46" s="999" t="s">
        <v>62</v>
      </c>
      <c r="B46" s="1000"/>
      <c r="C46" s="1000"/>
      <c r="D46" s="1000"/>
      <c r="E46" s="1001"/>
      <c r="F46" s="511">
        <f>SUM(F43:F45)</f>
        <v>9</v>
      </c>
      <c r="G46" s="998">
        <f>SUM(G43:H45)</f>
        <v>114793.42</v>
      </c>
      <c r="H46" s="998"/>
    </row>
    <row r="47" spans="1:8" ht="12" customHeight="1" x14ac:dyDescent="0.2">
      <c r="A47" s="986"/>
      <c r="B47" s="986"/>
      <c r="C47" s="986"/>
      <c r="D47" s="986"/>
      <c r="E47" s="986"/>
      <c r="F47" s="986"/>
      <c r="G47" s="986"/>
      <c r="H47" s="986"/>
    </row>
    <row r="48" spans="1:8" ht="12" customHeight="1" x14ac:dyDescent="0.2">
      <c r="A48" s="987" t="s">
        <v>347</v>
      </c>
      <c r="B48" s="987"/>
      <c r="C48" s="987"/>
      <c r="D48" s="987"/>
      <c r="E48" s="987"/>
      <c r="F48" s="987"/>
      <c r="G48" s="987"/>
      <c r="H48" s="987"/>
    </row>
    <row r="49" spans="1:10" ht="12" customHeight="1" x14ac:dyDescent="0.2">
      <c r="A49" s="983" t="s">
        <v>146</v>
      </c>
      <c r="B49" s="983"/>
      <c r="C49" s="983"/>
      <c r="D49" s="983"/>
      <c r="E49" s="983"/>
      <c r="F49" s="983"/>
      <c r="G49" s="983"/>
      <c r="H49" s="983"/>
    </row>
    <row r="50" spans="1:10" ht="12" customHeight="1" x14ac:dyDescent="0.2">
      <c r="A50" s="519" t="s">
        <v>1</v>
      </c>
      <c r="B50" s="983" t="s">
        <v>116</v>
      </c>
      <c r="C50" s="983"/>
      <c r="D50" s="983"/>
      <c r="E50" s="983"/>
      <c r="F50" s="983"/>
      <c r="G50" s="984" t="s">
        <v>141</v>
      </c>
      <c r="H50" s="984"/>
    </row>
    <row r="51" spans="1:10" ht="12" customHeight="1" x14ac:dyDescent="0.2">
      <c r="A51" s="513" t="s">
        <v>348</v>
      </c>
      <c r="B51" s="977" t="str">
        <f>B34</f>
        <v>Supervisor Diurno Desarmado - 44hs semanais envolvendo 1 (um) funcionário</v>
      </c>
      <c r="C51" s="978"/>
      <c r="D51" s="978"/>
      <c r="E51" s="978"/>
      <c r="F51" s="979"/>
      <c r="G51" s="980">
        <f>G43</f>
        <v>15426.8</v>
      </c>
      <c r="H51" s="981"/>
    </row>
    <row r="52" spans="1:10" ht="12" customHeight="1" x14ac:dyDescent="0.2">
      <c r="A52" s="513" t="s">
        <v>349</v>
      </c>
      <c r="B52" s="977" t="str">
        <f>B35</f>
        <v>Vigilante Diurno Desarmado - 12 horas de segunda-feira a domingo, envolvendo 2 (dois) vigilantes em turnos de 12x36hs</v>
      </c>
      <c r="C52" s="978"/>
      <c r="D52" s="978"/>
      <c r="E52" s="978"/>
      <c r="F52" s="979"/>
      <c r="G52" s="980">
        <f>G44</f>
        <v>83694.84</v>
      </c>
      <c r="H52" s="981"/>
    </row>
    <row r="53" spans="1:10" ht="12" customHeight="1" x14ac:dyDescent="0.2">
      <c r="A53" s="513" t="s">
        <v>350</v>
      </c>
      <c r="B53" s="977" t="str">
        <f>B36</f>
        <v>Vigilante Noturno Desarmado - 12 horas de segunda-feira a domingo, envolvendo 2 (dois) vigilantes em turnos de 12x36hs</v>
      </c>
      <c r="C53" s="978"/>
      <c r="D53" s="978"/>
      <c r="E53" s="978"/>
      <c r="F53" s="979"/>
      <c r="G53" s="980">
        <f>G45</f>
        <v>15671.78</v>
      </c>
      <c r="H53" s="981"/>
    </row>
    <row r="54" spans="1:10" ht="12" customHeight="1" x14ac:dyDescent="0.2">
      <c r="A54" s="519" t="s">
        <v>2</v>
      </c>
      <c r="B54" s="974" t="s">
        <v>147</v>
      </c>
      <c r="C54" s="975"/>
      <c r="D54" s="975"/>
      <c r="E54" s="975"/>
      <c r="F54" s="982"/>
      <c r="G54" s="976">
        <f>SUM(G51:H53)</f>
        <v>114793.42</v>
      </c>
      <c r="H54" s="976"/>
    </row>
    <row r="55" spans="1:10" ht="12" customHeight="1" x14ac:dyDescent="0.2">
      <c r="A55" s="519" t="s">
        <v>4</v>
      </c>
      <c r="B55" s="974" t="s">
        <v>351</v>
      </c>
      <c r="C55" s="975"/>
      <c r="D55" s="975"/>
      <c r="E55" s="975"/>
      <c r="F55" s="975"/>
      <c r="G55" s="976">
        <f>G54*12</f>
        <v>1377521.04</v>
      </c>
      <c r="H55" s="976"/>
    </row>
    <row r="56" spans="1:10" ht="12" customHeight="1" x14ac:dyDescent="0.2"/>
    <row r="57" spans="1:10" ht="12" customHeight="1" x14ac:dyDescent="0.2">
      <c r="I57" s="75"/>
      <c r="J57" s="75"/>
    </row>
    <row r="58" spans="1:10" x14ac:dyDescent="0.2">
      <c r="A58" s="988" t="s">
        <v>434</v>
      </c>
      <c r="B58" s="988"/>
      <c r="C58" s="988"/>
      <c r="D58" s="988"/>
      <c r="E58" s="988"/>
      <c r="F58" s="988"/>
      <c r="G58" s="988"/>
      <c r="H58" s="988"/>
      <c r="I58" s="75"/>
      <c r="J58" s="75"/>
    </row>
    <row r="59" spans="1:10" ht="24.75" customHeight="1" x14ac:dyDescent="0.2">
      <c r="A59" s="983" t="s">
        <v>169</v>
      </c>
      <c r="B59" s="983"/>
      <c r="C59" s="983"/>
      <c r="D59" s="665" t="s">
        <v>190</v>
      </c>
      <c r="E59" s="665" t="s">
        <v>191</v>
      </c>
      <c r="F59" s="665" t="s">
        <v>192</v>
      </c>
      <c r="G59" s="665" t="s">
        <v>95</v>
      </c>
      <c r="H59" s="665" t="s">
        <v>345</v>
      </c>
      <c r="I59" s="75"/>
      <c r="J59" s="75"/>
    </row>
    <row r="60" spans="1:10" ht="12" customHeight="1" x14ac:dyDescent="0.2">
      <c r="A60" s="989" t="s">
        <v>166</v>
      </c>
      <c r="B60" s="990"/>
      <c r="C60" s="991"/>
      <c r="D60" s="509" t="s">
        <v>167</v>
      </c>
      <c r="E60" s="510" t="s">
        <v>183</v>
      </c>
      <c r="F60" s="509" t="s">
        <v>168</v>
      </c>
      <c r="G60" s="510" t="s">
        <v>188</v>
      </c>
      <c r="H60" s="509" t="s">
        <v>189</v>
      </c>
      <c r="I60" s="75"/>
      <c r="J60" s="75"/>
    </row>
    <row r="61" spans="1:10" ht="23.25" customHeight="1" x14ac:dyDescent="0.2">
      <c r="A61" s="511" t="s">
        <v>145</v>
      </c>
      <c r="B61" s="985" t="str">
        <f>B34</f>
        <v>Supervisor Diurno Desarmado - 44hs semanais envolvendo 1 (um) funcionário</v>
      </c>
      <c r="C61" s="985"/>
      <c r="D61" s="512">
        <f>'SUPERVISOR - DIURNO - 44h'!O140</f>
        <v>7874.54</v>
      </c>
      <c r="E61" s="513">
        <v>1</v>
      </c>
      <c r="F61" s="514">
        <f>D61*E61</f>
        <v>7874.54</v>
      </c>
      <c r="G61" s="520">
        <v>1</v>
      </c>
      <c r="H61" s="514">
        <f>F61*G61</f>
        <v>7874.54</v>
      </c>
      <c r="I61" s="75"/>
      <c r="J61" s="75"/>
    </row>
    <row r="62" spans="1:10" ht="23.25" customHeight="1" x14ac:dyDescent="0.2">
      <c r="A62" s="511" t="s">
        <v>343</v>
      </c>
      <c r="B62" s="985" t="str">
        <f t="shared" ref="B62:B63" si="3">B35</f>
        <v>Vigilante Diurno Desarmado - 12 horas de segunda-feira a domingo, envolvendo 2 (dois) vigilantes em turnos de 12x36hs</v>
      </c>
      <c r="C62" s="985"/>
      <c r="D62" s="512">
        <f>'VIGILANTE - DIURNO 12x36 DD'!Q140</f>
        <v>7120.57</v>
      </c>
      <c r="E62" s="513">
        <v>2</v>
      </c>
      <c r="F62" s="514">
        <f t="shared" ref="F62:F63" si="4">D62*E62</f>
        <v>14241.14</v>
      </c>
      <c r="G62" s="513">
        <v>6</v>
      </c>
      <c r="H62" s="514">
        <f t="shared" ref="H62:H63" si="5">F62*G62</f>
        <v>85446.84</v>
      </c>
      <c r="I62" s="75"/>
      <c r="J62" s="75"/>
    </row>
    <row r="63" spans="1:10" ht="23.25" customHeight="1" x14ac:dyDescent="0.2">
      <c r="A63" s="511" t="s">
        <v>344</v>
      </c>
      <c r="B63" s="985" t="str">
        <f t="shared" si="3"/>
        <v>Vigilante Noturno Desarmado - 12 horas de segunda-feira a domingo, envolvendo 2 (dois) vigilantes em turnos de 12x36hs</v>
      </c>
      <c r="C63" s="985"/>
      <c r="D63" s="512">
        <f>'VIGILANTE - NOTURNO 12x36 ND'!O143</f>
        <v>7970.04</v>
      </c>
      <c r="E63" s="513">
        <v>2</v>
      </c>
      <c r="F63" s="514">
        <f t="shared" si="4"/>
        <v>15940.08</v>
      </c>
      <c r="G63" s="513">
        <v>1</v>
      </c>
      <c r="H63" s="514">
        <f t="shared" si="5"/>
        <v>15940.08</v>
      </c>
      <c r="I63" s="75"/>
      <c r="J63" s="75"/>
    </row>
    <row r="64" spans="1:10" ht="12" customHeight="1" x14ac:dyDescent="0.2">
      <c r="A64" s="1"/>
      <c r="B64" s="974" t="s">
        <v>346</v>
      </c>
      <c r="C64" s="975"/>
      <c r="D64" s="975"/>
      <c r="E64" s="975"/>
      <c r="F64" s="975"/>
      <c r="G64" s="649"/>
      <c r="H64" s="515">
        <f>SUM(H61:H63)</f>
        <v>109261.46</v>
      </c>
      <c r="I64" s="75"/>
      <c r="J64" s="75"/>
    </row>
    <row r="65" spans="1:12" ht="12" customHeight="1" x14ac:dyDescent="0.2">
      <c r="A65" s="669"/>
      <c r="B65" s="974" t="s">
        <v>351</v>
      </c>
      <c r="C65" s="975"/>
      <c r="D65" s="975"/>
      <c r="E65" s="975"/>
      <c r="F65" s="975"/>
      <c r="G65" s="669"/>
      <c r="H65" s="648">
        <f>12*H64</f>
        <v>1311137.52</v>
      </c>
      <c r="I65" s="75"/>
      <c r="J65" s="75"/>
    </row>
    <row r="66" spans="1:12" ht="12" customHeight="1" x14ac:dyDescent="0.2">
      <c r="A66" s="669"/>
      <c r="B66" s="667"/>
      <c r="C66" s="668"/>
      <c r="D66" s="668"/>
      <c r="E66" s="668"/>
      <c r="F66" s="668"/>
      <c r="G66" s="669"/>
      <c r="H66" s="648"/>
      <c r="I66" s="75"/>
      <c r="J66" s="75"/>
    </row>
    <row r="67" spans="1:12" ht="12" customHeight="1" x14ac:dyDescent="0.2">
      <c r="A67" s="986"/>
      <c r="B67" s="986"/>
      <c r="C67" s="986"/>
      <c r="D67" s="986"/>
      <c r="E67" s="986"/>
      <c r="F67" s="986"/>
      <c r="G67" s="986"/>
      <c r="H67" s="986"/>
      <c r="I67" s="75"/>
      <c r="J67" s="75"/>
    </row>
    <row r="68" spans="1:12" ht="12" customHeight="1" x14ac:dyDescent="0.2">
      <c r="A68" s="987" t="s">
        <v>347</v>
      </c>
      <c r="B68" s="987"/>
      <c r="C68" s="987"/>
      <c r="D68" s="987"/>
      <c r="E68" s="987"/>
      <c r="F68" s="987"/>
      <c r="G68" s="987"/>
      <c r="H68" s="987"/>
      <c r="I68" s="75"/>
      <c r="J68" s="75"/>
    </row>
    <row r="69" spans="1:12" ht="12" customHeight="1" x14ac:dyDescent="0.2">
      <c r="A69" s="983" t="s">
        <v>146</v>
      </c>
      <c r="B69" s="983"/>
      <c r="C69" s="983"/>
      <c r="D69" s="983"/>
      <c r="E69" s="983"/>
      <c r="F69" s="983"/>
      <c r="G69" s="983"/>
      <c r="H69" s="983"/>
      <c r="I69" s="75"/>
      <c r="J69" s="75"/>
    </row>
    <row r="70" spans="1:12" ht="12" customHeight="1" x14ac:dyDescent="0.2">
      <c r="A70" s="666" t="s">
        <v>1</v>
      </c>
      <c r="B70" s="983" t="s">
        <v>116</v>
      </c>
      <c r="C70" s="983"/>
      <c r="D70" s="983"/>
      <c r="E70" s="983"/>
      <c r="F70" s="983"/>
      <c r="G70" s="984" t="s">
        <v>141</v>
      </c>
      <c r="H70" s="984"/>
    </row>
    <row r="71" spans="1:12" ht="12" customHeight="1" x14ac:dyDescent="0.2">
      <c r="A71" s="513" t="s">
        <v>348</v>
      </c>
      <c r="B71" s="977" t="str">
        <f>B61</f>
        <v>Supervisor Diurno Desarmado - 44hs semanais envolvendo 1 (um) funcionário</v>
      </c>
      <c r="C71" s="978"/>
      <c r="D71" s="978"/>
      <c r="E71" s="978"/>
      <c r="F71" s="979"/>
      <c r="G71" s="980">
        <f>H61</f>
        <v>7874.54</v>
      </c>
      <c r="H71" s="981"/>
    </row>
    <row r="72" spans="1:12" ht="12" customHeight="1" x14ac:dyDescent="0.2">
      <c r="A72" s="513" t="s">
        <v>349</v>
      </c>
      <c r="B72" s="977" t="str">
        <f>B62</f>
        <v>Vigilante Diurno Desarmado - 12 horas de segunda-feira a domingo, envolvendo 2 (dois) vigilantes em turnos de 12x36hs</v>
      </c>
      <c r="C72" s="978"/>
      <c r="D72" s="978"/>
      <c r="E72" s="978"/>
      <c r="F72" s="979"/>
      <c r="G72" s="980">
        <f t="shared" ref="G72:G73" si="6">H62</f>
        <v>85446.84</v>
      </c>
      <c r="H72" s="981"/>
    </row>
    <row r="73" spans="1:12" ht="12" customHeight="1" x14ac:dyDescent="0.2">
      <c r="A73" s="513" t="s">
        <v>350</v>
      </c>
      <c r="B73" s="977" t="str">
        <f>B63</f>
        <v>Vigilante Noturno Desarmado - 12 horas de segunda-feira a domingo, envolvendo 2 (dois) vigilantes em turnos de 12x36hs</v>
      </c>
      <c r="C73" s="978"/>
      <c r="D73" s="978"/>
      <c r="E73" s="978"/>
      <c r="F73" s="979"/>
      <c r="G73" s="980">
        <f t="shared" si="6"/>
        <v>15940.08</v>
      </c>
      <c r="H73" s="981"/>
      <c r="J73" s="690"/>
      <c r="K73" s="689"/>
      <c r="L73" s="689"/>
    </row>
    <row r="74" spans="1:12" ht="12" customHeight="1" x14ac:dyDescent="0.2">
      <c r="A74" s="666" t="s">
        <v>2</v>
      </c>
      <c r="B74" s="974" t="s">
        <v>147</v>
      </c>
      <c r="C74" s="975"/>
      <c r="D74" s="975"/>
      <c r="E74" s="975"/>
      <c r="F74" s="982"/>
      <c r="G74" s="976">
        <f>SUM(G71:H73)</f>
        <v>109261.46</v>
      </c>
      <c r="H74" s="976"/>
      <c r="J74" s="690"/>
      <c r="K74" s="689"/>
      <c r="L74" s="691"/>
    </row>
    <row r="75" spans="1:12" ht="12" customHeight="1" x14ac:dyDescent="0.2">
      <c r="A75" s="666" t="s">
        <v>4</v>
      </c>
      <c r="B75" s="974" t="s">
        <v>351</v>
      </c>
      <c r="C75" s="975"/>
      <c r="D75" s="975"/>
      <c r="E75" s="975"/>
      <c r="F75" s="975"/>
      <c r="G75" s="976">
        <f>G74*12</f>
        <v>1311137.52</v>
      </c>
      <c r="H75" s="976"/>
      <c r="L75" s="689"/>
    </row>
    <row r="76" spans="1:12" ht="12" customHeight="1" x14ac:dyDescent="0.2"/>
    <row r="77" spans="1:12" ht="12" customHeight="1" x14ac:dyDescent="0.2">
      <c r="A77" s="988" t="s">
        <v>435</v>
      </c>
      <c r="B77" s="988"/>
      <c r="C77" s="988"/>
      <c r="D77" s="988"/>
      <c r="E77" s="988"/>
      <c r="F77" s="988"/>
      <c r="G77" s="988"/>
      <c r="H77" s="988"/>
    </row>
    <row r="78" spans="1:12" ht="24" customHeight="1" x14ac:dyDescent="0.2">
      <c r="A78" s="983" t="s">
        <v>169</v>
      </c>
      <c r="B78" s="983"/>
      <c r="C78" s="983"/>
      <c r="D78" s="665" t="s">
        <v>190</v>
      </c>
      <c r="E78" s="665" t="s">
        <v>191</v>
      </c>
      <c r="F78" s="665" t="s">
        <v>192</v>
      </c>
      <c r="G78" s="665" t="s">
        <v>95</v>
      </c>
      <c r="H78" s="665" t="s">
        <v>345</v>
      </c>
    </row>
    <row r="79" spans="1:12" ht="12" customHeight="1" x14ac:dyDescent="0.2">
      <c r="A79" s="989" t="s">
        <v>166</v>
      </c>
      <c r="B79" s="990"/>
      <c r="C79" s="991"/>
      <c r="D79" s="509" t="s">
        <v>167</v>
      </c>
      <c r="E79" s="510" t="s">
        <v>183</v>
      </c>
      <c r="F79" s="509" t="s">
        <v>168</v>
      </c>
      <c r="G79" s="510" t="s">
        <v>188</v>
      </c>
      <c r="H79" s="509" t="s">
        <v>189</v>
      </c>
    </row>
    <row r="80" spans="1:12" ht="21" customHeight="1" x14ac:dyDescent="0.2">
      <c r="A80" s="511" t="s">
        <v>145</v>
      </c>
      <c r="B80" s="985" t="str">
        <f>B61</f>
        <v>Supervisor Diurno Desarmado - 44hs semanais envolvendo 1 (um) funcionário</v>
      </c>
      <c r="C80" s="985"/>
      <c r="D80" s="512">
        <f>'SUPERVISOR - DIURNO - 44h'!O140</f>
        <v>7874.54</v>
      </c>
      <c r="E80" s="513">
        <v>1</v>
      </c>
      <c r="F80" s="514">
        <f>D80*E80</f>
        <v>7874.54</v>
      </c>
      <c r="G80" s="520">
        <v>2</v>
      </c>
      <c r="H80" s="514">
        <f>F80*G80</f>
        <v>15749.08</v>
      </c>
      <c r="K80" s="691"/>
      <c r="L80" s="691"/>
    </row>
    <row r="81" spans="1:12" ht="21" customHeight="1" x14ac:dyDescent="0.2">
      <c r="A81" s="511" t="s">
        <v>343</v>
      </c>
      <c r="B81" s="985" t="str">
        <f t="shared" ref="B81:B82" si="7">B62</f>
        <v>Vigilante Diurno Desarmado - 12 horas de segunda-feira a domingo, envolvendo 2 (dois) vigilantes em turnos de 12x36hs</v>
      </c>
      <c r="C81" s="985"/>
      <c r="D81" s="512">
        <f>'VIGILANTE - DIURNO 12x36 DD'!Q140</f>
        <v>7120.57</v>
      </c>
      <c r="E81" s="513">
        <v>2</v>
      </c>
      <c r="F81" s="514">
        <f t="shared" ref="F81:F82" si="8">D81*E81</f>
        <v>14241.14</v>
      </c>
      <c r="G81" s="513">
        <v>6</v>
      </c>
      <c r="H81" s="514">
        <f t="shared" ref="H81:H82" si="9">F81*G81</f>
        <v>85446.84</v>
      </c>
      <c r="J81" s="690"/>
      <c r="K81" s="691"/>
      <c r="L81" s="691"/>
    </row>
    <row r="82" spans="1:12" ht="21" customHeight="1" x14ac:dyDescent="0.2">
      <c r="A82" s="511" t="s">
        <v>344</v>
      </c>
      <c r="B82" s="985" t="str">
        <f t="shared" si="7"/>
        <v>Vigilante Noturno Desarmado - 12 horas de segunda-feira a domingo, envolvendo 2 (dois) vigilantes em turnos de 12x36hs</v>
      </c>
      <c r="C82" s="985"/>
      <c r="D82" s="512">
        <f>'VIGILANTE - NOTURNO 12x36 ND'!O143</f>
        <v>7970.04</v>
      </c>
      <c r="E82" s="513">
        <v>2</v>
      </c>
      <c r="F82" s="514">
        <f t="shared" si="8"/>
        <v>15940.08</v>
      </c>
      <c r="G82" s="513">
        <v>1</v>
      </c>
      <c r="H82" s="514">
        <f t="shared" si="9"/>
        <v>15940.08</v>
      </c>
      <c r="K82" s="691"/>
      <c r="L82" s="691"/>
    </row>
    <row r="83" spans="1:12" ht="18" customHeight="1" x14ac:dyDescent="0.2">
      <c r="A83" s="1"/>
      <c r="B83" s="974" t="s">
        <v>346</v>
      </c>
      <c r="C83" s="975"/>
      <c r="D83" s="975"/>
      <c r="E83" s="975"/>
      <c r="F83" s="975"/>
      <c r="G83" s="649"/>
      <c r="H83" s="515">
        <f>SUM(H80:H82)</f>
        <v>117136</v>
      </c>
    </row>
    <row r="84" spans="1:12" x14ac:dyDescent="0.2">
      <c r="A84" s="669"/>
      <c r="B84" s="974" t="s">
        <v>351</v>
      </c>
      <c r="C84" s="975"/>
      <c r="D84" s="975"/>
      <c r="E84" s="975"/>
      <c r="F84" s="975"/>
      <c r="G84" s="669"/>
      <c r="H84" s="648">
        <f>12*H83</f>
        <v>1405632</v>
      </c>
      <c r="L84" s="692"/>
    </row>
    <row r="85" spans="1:12" x14ac:dyDescent="0.2">
      <c r="A85" s="669"/>
      <c r="B85" s="667"/>
      <c r="C85" s="668"/>
      <c r="D85" s="668"/>
      <c r="E85" s="668"/>
      <c r="F85" s="668"/>
      <c r="G85" s="669"/>
      <c r="H85" s="648"/>
    </row>
    <row r="86" spans="1:12" x14ac:dyDescent="0.2">
      <c r="A86" s="986"/>
      <c r="B86" s="986"/>
      <c r="C86" s="986"/>
      <c r="D86" s="986"/>
      <c r="E86" s="986"/>
      <c r="F86" s="986"/>
      <c r="G86" s="986"/>
      <c r="H86" s="986"/>
    </row>
    <row r="87" spans="1:12" x14ac:dyDescent="0.2">
      <c r="A87" s="987" t="s">
        <v>347</v>
      </c>
      <c r="B87" s="987"/>
      <c r="C87" s="987"/>
      <c r="D87" s="987"/>
      <c r="E87" s="987"/>
      <c r="F87" s="987"/>
      <c r="G87" s="987"/>
      <c r="H87" s="987"/>
    </row>
    <row r="88" spans="1:12" x14ac:dyDescent="0.2">
      <c r="A88" s="983" t="s">
        <v>146</v>
      </c>
      <c r="B88" s="983"/>
      <c r="C88" s="983"/>
      <c r="D88" s="983"/>
      <c r="E88" s="983"/>
      <c r="F88" s="983"/>
      <c r="G88" s="983"/>
      <c r="H88" s="983"/>
    </row>
    <row r="89" spans="1:12" x14ac:dyDescent="0.2">
      <c r="A89" s="666" t="s">
        <v>1</v>
      </c>
      <c r="B89" s="983" t="s">
        <v>116</v>
      </c>
      <c r="C89" s="983"/>
      <c r="D89" s="983"/>
      <c r="E89" s="983"/>
      <c r="F89" s="983"/>
      <c r="G89" s="984" t="s">
        <v>141</v>
      </c>
      <c r="H89" s="984"/>
    </row>
    <row r="90" spans="1:12" x14ac:dyDescent="0.2">
      <c r="A90" s="513" t="s">
        <v>348</v>
      </c>
      <c r="B90" s="977" t="str">
        <f>B80</f>
        <v>Supervisor Diurno Desarmado - 44hs semanais envolvendo 1 (um) funcionário</v>
      </c>
      <c r="C90" s="978"/>
      <c r="D90" s="978"/>
      <c r="E90" s="978"/>
      <c r="F90" s="979"/>
      <c r="G90" s="980">
        <f>H80</f>
        <v>15749.08</v>
      </c>
      <c r="H90" s="981"/>
    </row>
    <row r="91" spans="1:12" x14ac:dyDescent="0.2">
      <c r="A91" s="513" t="s">
        <v>349</v>
      </c>
      <c r="B91" s="977" t="str">
        <f>B81</f>
        <v>Vigilante Diurno Desarmado - 12 horas de segunda-feira a domingo, envolvendo 2 (dois) vigilantes em turnos de 12x36hs</v>
      </c>
      <c r="C91" s="978"/>
      <c r="D91" s="978"/>
      <c r="E91" s="978"/>
      <c r="F91" s="979"/>
      <c r="G91" s="980">
        <f t="shared" ref="G91:G92" si="10">H81</f>
        <v>85446.84</v>
      </c>
      <c r="H91" s="981"/>
    </row>
    <row r="92" spans="1:12" x14ac:dyDescent="0.2">
      <c r="A92" s="513" t="s">
        <v>350</v>
      </c>
      <c r="B92" s="977" t="str">
        <f>B82</f>
        <v>Vigilante Noturno Desarmado - 12 horas de segunda-feira a domingo, envolvendo 2 (dois) vigilantes em turnos de 12x36hs</v>
      </c>
      <c r="C92" s="978"/>
      <c r="D92" s="978"/>
      <c r="E92" s="978"/>
      <c r="F92" s="979"/>
      <c r="G92" s="980">
        <f t="shared" si="10"/>
        <v>15940.08</v>
      </c>
      <c r="H92" s="981"/>
    </row>
    <row r="93" spans="1:12" x14ac:dyDescent="0.2">
      <c r="A93" s="666" t="s">
        <v>2</v>
      </c>
      <c r="B93" s="974" t="s">
        <v>147</v>
      </c>
      <c r="C93" s="975"/>
      <c r="D93" s="975"/>
      <c r="E93" s="975"/>
      <c r="F93" s="982"/>
      <c r="G93" s="976">
        <f>SUM(G90:H92)</f>
        <v>117136</v>
      </c>
      <c r="H93" s="976"/>
    </row>
    <row r="94" spans="1:12" x14ac:dyDescent="0.2">
      <c r="A94" s="666" t="s">
        <v>4</v>
      </c>
      <c r="B94" s="974" t="s">
        <v>351</v>
      </c>
      <c r="C94" s="975"/>
      <c r="D94" s="975"/>
      <c r="E94" s="975"/>
      <c r="F94" s="975"/>
      <c r="G94" s="976">
        <f>G93*12</f>
        <v>1405632</v>
      </c>
      <c r="H94" s="976"/>
    </row>
    <row r="99" spans="1:11" x14ac:dyDescent="0.2">
      <c r="B99" s="705" t="s">
        <v>445</v>
      </c>
      <c r="C99" s="706"/>
      <c r="D99" s="706"/>
      <c r="E99" s="706"/>
      <c r="F99" s="706"/>
    </row>
    <row r="101" spans="1:11" x14ac:dyDescent="0.2">
      <c r="A101" s="970" t="s">
        <v>169</v>
      </c>
      <c r="B101" s="970"/>
      <c r="C101" s="971"/>
      <c r="D101" s="955" t="s">
        <v>443</v>
      </c>
      <c r="E101" s="956"/>
      <c r="F101" s="956"/>
      <c r="G101" s="957"/>
      <c r="H101" s="964" t="s">
        <v>444</v>
      </c>
      <c r="I101" s="964"/>
      <c r="J101" s="964"/>
      <c r="K101" s="964"/>
    </row>
    <row r="102" spans="1:11" ht="24" x14ac:dyDescent="0.2">
      <c r="A102" s="972"/>
      <c r="B102" s="972"/>
      <c r="C102" s="973"/>
      <c r="D102" s="694" t="s">
        <v>190</v>
      </c>
      <c r="E102" s="694" t="s">
        <v>192</v>
      </c>
      <c r="F102" s="694" t="s">
        <v>95</v>
      </c>
      <c r="G102" s="694" t="s">
        <v>345</v>
      </c>
      <c r="H102" s="694" t="s">
        <v>190</v>
      </c>
      <c r="I102" s="694" t="s">
        <v>192</v>
      </c>
      <c r="J102" s="694" t="s">
        <v>95</v>
      </c>
      <c r="K102" s="694" t="s">
        <v>345</v>
      </c>
    </row>
    <row r="103" spans="1:11" x14ac:dyDescent="0.2">
      <c r="A103" s="965" t="s">
        <v>438</v>
      </c>
      <c r="B103" s="966"/>
      <c r="C103" s="966"/>
      <c r="D103" s="966"/>
      <c r="E103" s="966"/>
      <c r="F103" s="966"/>
      <c r="G103" s="966"/>
      <c r="H103" s="966"/>
      <c r="I103" s="966"/>
      <c r="J103" s="966"/>
      <c r="K103" s="967"/>
    </row>
    <row r="104" spans="1:11" ht="12" customHeight="1" x14ac:dyDescent="0.2">
      <c r="A104" s="695" t="s">
        <v>145</v>
      </c>
      <c r="B104" s="958" t="s">
        <v>415</v>
      </c>
      <c r="C104" s="959"/>
      <c r="D104" s="696">
        <f>D8</f>
        <v>7922.18</v>
      </c>
      <c r="E104" s="697">
        <f>F8</f>
        <v>7922.18</v>
      </c>
      <c r="F104" s="695">
        <f>G8</f>
        <v>1</v>
      </c>
      <c r="G104" s="697">
        <f>H8</f>
        <v>7922.18</v>
      </c>
      <c r="H104" s="698">
        <f>D61</f>
        <v>7874.54</v>
      </c>
      <c r="I104" s="699">
        <f>F61</f>
        <v>7874.54</v>
      </c>
      <c r="J104" s="700">
        <f>G61</f>
        <v>1</v>
      </c>
      <c r="K104" s="699">
        <f>H61</f>
        <v>7874.54</v>
      </c>
    </row>
    <row r="105" spans="1:11" ht="12" customHeight="1" x14ac:dyDescent="0.2">
      <c r="A105" s="695" t="s">
        <v>343</v>
      </c>
      <c r="B105" s="958" t="s">
        <v>235</v>
      </c>
      <c r="C105" s="959"/>
      <c r="D105" s="696">
        <f t="shared" ref="D105:D106" si="11">D9</f>
        <v>7163.76</v>
      </c>
      <c r="E105" s="697">
        <f t="shared" ref="E105:G105" si="12">F9</f>
        <v>14327.52</v>
      </c>
      <c r="F105" s="695">
        <f t="shared" si="12"/>
        <v>6</v>
      </c>
      <c r="G105" s="697">
        <f t="shared" si="12"/>
        <v>85965.119999999995</v>
      </c>
      <c r="H105" s="698">
        <f t="shared" ref="H105:H106" si="13">D62</f>
        <v>7120.57</v>
      </c>
      <c r="I105" s="699">
        <f t="shared" ref="I105:I106" si="14">F62</f>
        <v>14241.14</v>
      </c>
      <c r="J105" s="700">
        <f t="shared" ref="J105:J106" si="15">G62</f>
        <v>6</v>
      </c>
      <c r="K105" s="699">
        <f t="shared" ref="K105:K106" si="16">H62</f>
        <v>85446.84</v>
      </c>
    </row>
    <row r="106" spans="1:11" ht="12" customHeight="1" x14ac:dyDescent="0.2">
      <c r="A106" s="695" t="s">
        <v>344</v>
      </c>
      <c r="B106" s="958" t="s">
        <v>236</v>
      </c>
      <c r="C106" s="959"/>
      <c r="D106" s="696">
        <f t="shared" si="11"/>
        <v>8047.51</v>
      </c>
      <c r="E106" s="697">
        <f t="shared" ref="E106:G106" si="17">F10</f>
        <v>16095.02</v>
      </c>
      <c r="F106" s="695">
        <f t="shared" si="17"/>
        <v>1</v>
      </c>
      <c r="G106" s="697">
        <f t="shared" si="17"/>
        <v>16095.02</v>
      </c>
      <c r="H106" s="698">
        <f t="shared" si="13"/>
        <v>7970.04</v>
      </c>
      <c r="I106" s="699">
        <f t="shared" si="14"/>
        <v>15940.08</v>
      </c>
      <c r="J106" s="700">
        <f t="shared" si="15"/>
        <v>1</v>
      </c>
      <c r="K106" s="699">
        <f t="shared" si="16"/>
        <v>15940.08</v>
      </c>
    </row>
    <row r="107" spans="1:11" s="13" customFormat="1" x14ac:dyDescent="0.2">
      <c r="A107" s="965" t="s">
        <v>442</v>
      </c>
      <c r="B107" s="966"/>
      <c r="C107" s="966"/>
      <c r="D107" s="966"/>
      <c r="E107" s="966"/>
      <c r="F107" s="967"/>
      <c r="G107" s="701">
        <f>SUM(G104:G106)</f>
        <v>109982.32</v>
      </c>
      <c r="H107" s="955"/>
      <c r="I107" s="956"/>
      <c r="J107" s="957"/>
      <c r="K107" s="701">
        <f>SUM(K104:K106)</f>
        <v>109261.46</v>
      </c>
    </row>
    <row r="108" spans="1:11" x14ac:dyDescent="0.2">
      <c r="A108" s="960"/>
      <c r="B108" s="960"/>
      <c r="C108" s="960"/>
      <c r="D108" s="960"/>
      <c r="E108" s="960"/>
      <c r="F108" s="960"/>
      <c r="G108" s="960"/>
      <c r="H108" s="968" t="s">
        <v>439</v>
      </c>
      <c r="I108" s="968"/>
      <c r="J108" s="968"/>
      <c r="K108" s="703">
        <f>K107-G107</f>
        <v>-720.86</v>
      </c>
    </row>
    <row r="109" spans="1:11" x14ac:dyDescent="0.2">
      <c r="A109" s="969"/>
      <c r="B109" s="969"/>
      <c r="C109" s="969"/>
      <c r="D109" s="969"/>
      <c r="E109" s="969"/>
      <c r="F109" s="969"/>
      <c r="G109" s="969"/>
      <c r="H109" s="968" t="s">
        <v>440</v>
      </c>
      <c r="I109" s="968"/>
      <c r="J109" s="968"/>
      <c r="K109" s="703">
        <f>K108*3+5/30*K108</f>
        <v>-2282.7199999999998</v>
      </c>
    </row>
    <row r="110" spans="1:11" x14ac:dyDescent="0.2">
      <c r="A110" s="965" t="s">
        <v>446</v>
      </c>
      <c r="B110" s="966"/>
      <c r="C110" s="966"/>
      <c r="D110" s="966"/>
      <c r="E110" s="966"/>
      <c r="F110" s="966"/>
      <c r="G110" s="966"/>
      <c r="H110" s="966"/>
      <c r="I110" s="966"/>
      <c r="J110" s="966"/>
      <c r="K110" s="967"/>
    </row>
    <row r="111" spans="1:11" x14ac:dyDescent="0.2">
      <c r="A111" s="695" t="s">
        <v>145</v>
      </c>
      <c r="B111" s="958" t="s">
        <v>415</v>
      </c>
      <c r="C111" s="959"/>
      <c r="D111" s="696">
        <f>D34</f>
        <v>7713.4</v>
      </c>
      <c r="E111" s="697">
        <f>F34</f>
        <v>7713.4</v>
      </c>
      <c r="F111" s="695">
        <f>G34</f>
        <v>2</v>
      </c>
      <c r="G111" s="697">
        <f>H34</f>
        <v>15426.8</v>
      </c>
      <c r="H111" s="698">
        <f>D80</f>
        <v>7874.54</v>
      </c>
      <c r="I111" s="699">
        <f>F80</f>
        <v>7874.54</v>
      </c>
      <c r="J111" s="700">
        <f>G80</f>
        <v>2</v>
      </c>
      <c r="K111" s="699">
        <f>H80</f>
        <v>15749.08</v>
      </c>
    </row>
    <row r="112" spans="1:11" x14ac:dyDescent="0.2">
      <c r="A112" s="695" t="s">
        <v>343</v>
      </c>
      <c r="B112" s="958" t="s">
        <v>235</v>
      </c>
      <c r="C112" s="959"/>
      <c r="D112" s="696">
        <f t="shared" ref="D112:D113" si="18">D35</f>
        <v>6974.57</v>
      </c>
      <c r="E112" s="697">
        <f t="shared" ref="E112:G112" si="19">F35</f>
        <v>13949.14</v>
      </c>
      <c r="F112" s="695">
        <f t="shared" si="19"/>
        <v>6</v>
      </c>
      <c r="G112" s="697">
        <f t="shared" si="19"/>
        <v>83694.84</v>
      </c>
      <c r="H112" s="698">
        <f t="shared" ref="H112:H113" si="20">D81</f>
        <v>7120.57</v>
      </c>
      <c r="I112" s="699">
        <f t="shared" ref="I112:K112" si="21">F81</f>
        <v>14241.14</v>
      </c>
      <c r="J112" s="700">
        <f t="shared" si="21"/>
        <v>6</v>
      </c>
      <c r="K112" s="699">
        <f t="shared" si="21"/>
        <v>85446.84</v>
      </c>
    </row>
    <row r="113" spans="1:11" x14ac:dyDescent="0.2">
      <c r="A113" s="695" t="s">
        <v>344</v>
      </c>
      <c r="B113" s="958" t="s">
        <v>236</v>
      </c>
      <c r="C113" s="959"/>
      <c r="D113" s="696">
        <f t="shared" si="18"/>
        <v>7835.89</v>
      </c>
      <c r="E113" s="697">
        <f t="shared" ref="E113:G113" si="22">F36</f>
        <v>15671.78</v>
      </c>
      <c r="F113" s="695">
        <f t="shared" si="22"/>
        <v>1</v>
      </c>
      <c r="G113" s="697">
        <f t="shared" si="22"/>
        <v>15671.78</v>
      </c>
      <c r="H113" s="698">
        <f t="shared" si="20"/>
        <v>7970.04</v>
      </c>
      <c r="I113" s="699">
        <f t="shared" ref="I113:K113" si="23">F82</f>
        <v>15940.08</v>
      </c>
      <c r="J113" s="700">
        <f t="shared" si="23"/>
        <v>1</v>
      </c>
      <c r="K113" s="699">
        <f t="shared" si="23"/>
        <v>15940.08</v>
      </c>
    </row>
    <row r="114" spans="1:11" s="13" customFormat="1" x14ac:dyDescent="0.2">
      <c r="A114" s="965" t="s">
        <v>442</v>
      </c>
      <c r="B114" s="966"/>
      <c r="C114" s="966"/>
      <c r="D114" s="966"/>
      <c r="E114" s="966"/>
      <c r="F114" s="967"/>
      <c r="G114" s="701">
        <f>SUM(G111:G113)</f>
        <v>114793.42</v>
      </c>
      <c r="H114" s="955"/>
      <c r="I114" s="956"/>
      <c r="J114" s="957"/>
      <c r="K114" s="702">
        <f>SUM(K111:K113)</f>
        <v>117136</v>
      </c>
    </row>
    <row r="115" spans="1:11" x14ac:dyDescent="0.2">
      <c r="A115" s="960"/>
      <c r="B115" s="960"/>
      <c r="C115" s="960"/>
      <c r="D115" s="960"/>
      <c r="E115" s="960"/>
      <c r="F115" s="960"/>
      <c r="G115" s="961"/>
      <c r="H115" s="968" t="s">
        <v>439</v>
      </c>
      <c r="I115" s="968"/>
      <c r="J115" s="968"/>
      <c r="K115" s="703">
        <f>K114-G114</f>
        <v>2342.58</v>
      </c>
    </row>
    <row r="116" spans="1:11" x14ac:dyDescent="0.2">
      <c r="A116" s="962"/>
      <c r="B116" s="962"/>
      <c r="C116" s="962"/>
      <c r="D116" s="962"/>
      <c r="E116" s="962"/>
      <c r="F116" s="962"/>
      <c r="G116" s="963"/>
      <c r="H116" s="968" t="s">
        <v>441</v>
      </c>
      <c r="I116" s="968"/>
      <c r="J116" s="968"/>
      <c r="K116" s="703">
        <f>K115*12</f>
        <v>28110.959999999999</v>
      </c>
    </row>
    <row r="117" spans="1:11" x14ac:dyDescent="0.2">
      <c r="A117" s="962"/>
      <c r="B117" s="962"/>
      <c r="C117" s="962"/>
      <c r="D117" s="962"/>
      <c r="E117" s="962"/>
      <c r="F117" s="962"/>
      <c r="G117" s="963"/>
      <c r="H117" s="968" t="s">
        <v>447</v>
      </c>
      <c r="I117" s="968"/>
      <c r="J117" s="968"/>
      <c r="K117" s="704">
        <f>K116+K109</f>
        <v>25828.240000000002</v>
      </c>
    </row>
  </sheetData>
  <mergeCells count="143">
    <mergeCell ref="B12:F12"/>
    <mergeCell ref="B11:F11"/>
    <mergeCell ref="B38:F38"/>
    <mergeCell ref="B37:F37"/>
    <mergeCell ref="B63:C63"/>
    <mergeCell ref="A31:H31"/>
    <mergeCell ref="A22:H22"/>
    <mergeCell ref="G18:H18"/>
    <mergeCell ref="B24:F24"/>
    <mergeCell ref="A15:H15"/>
    <mergeCell ref="G16:H16"/>
    <mergeCell ref="B27:F27"/>
    <mergeCell ref="A13:H13"/>
    <mergeCell ref="A21:H21"/>
    <mergeCell ref="B16:D16"/>
    <mergeCell ref="B17:D17"/>
    <mergeCell ref="B18:D18"/>
    <mergeCell ref="B19:D19"/>
    <mergeCell ref="A14:H14"/>
    <mergeCell ref="G24:H24"/>
    <mergeCell ref="B25:F25"/>
    <mergeCell ref="B26:F26"/>
    <mergeCell ref="A20:E20"/>
    <mergeCell ref="G17:H17"/>
    <mergeCell ref="A1:H1"/>
    <mergeCell ref="A2:H2"/>
    <mergeCell ref="B10:C10"/>
    <mergeCell ref="A6:C6"/>
    <mergeCell ref="A7:C7"/>
    <mergeCell ref="B8:C8"/>
    <mergeCell ref="B9:C9"/>
    <mergeCell ref="A5:H5"/>
    <mergeCell ref="A4:H4"/>
    <mergeCell ref="A30:H30"/>
    <mergeCell ref="G19:H19"/>
    <mergeCell ref="G20:H20"/>
    <mergeCell ref="G27:H27"/>
    <mergeCell ref="G28:H28"/>
    <mergeCell ref="A23:H23"/>
    <mergeCell ref="B51:F51"/>
    <mergeCell ref="G51:H51"/>
    <mergeCell ref="G53:H53"/>
    <mergeCell ref="A46:E46"/>
    <mergeCell ref="G46:H46"/>
    <mergeCell ref="A47:H47"/>
    <mergeCell ref="A48:H48"/>
    <mergeCell ref="A49:H49"/>
    <mergeCell ref="B52:F52"/>
    <mergeCell ref="G52:H52"/>
    <mergeCell ref="B53:F53"/>
    <mergeCell ref="G29:H29"/>
    <mergeCell ref="B29:F29"/>
    <mergeCell ref="B28:F28"/>
    <mergeCell ref="G25:H25"/>
    <mergeCell ref="G26:H26"/>
    <mergeCell ref="B50:F50"/>
    <mergeCell ref="G50:H50"/>
    <mergeCell ref="B43:D43"/>
    <mergeCell ref="G43:H43"/>
    <mergeCell ref="B44:D44"/>
    <mergeCell ref="G44:H44"/>
    <mergeCell ref="B45:D45"/>
    <mergeCell ref="G45:H45"/>
    <mergeCell ref="B55:F55"/>
    <mergeCell ref="G55:H55"/>
    <mergeCell ref="B54:F54"/>
    <mergeCell ref="G54:H54"/>
    <mergeCell ref="A40:H40"/>
    <mergeCell ref="A41:H41"/>
    <mergeCell ref="B42:D42"/>
    <mergeCell ref="G42:H42"/>
    <mergeCell ref="A32:C32"/>
    <mergeCell ref="A33:C33"/>
    <mergeCell ref="B34:C34"/>
    <mergeCell ref="B35:C35"/>
    <mergeCell ref="B36:C36"/>
    <mergeCell ref="A67:H67"/>
    <mergeCell ref="A68:H68"/>
    <mergeCell ref="A69:H69"/>
    <mergeCell ref="B64:F64"/>
    <mergeCell ref="B65:F65"/>
    <mergeCell ref="A58:H58"/>
    <mergeCell ref="A59:C59"/>
    <mergeCell ref="A60:C60"/>
    <mergeCell ref="B61:C61"/>
    <mergeCell ref="B62:C62"/>
    <mergeCell ref="B73:F73"/>
    <mergeCell ref="G73:H73"/>
    <mergeCell ref="B74:F74"/>
    <mergeCell ref="G74:H74"/>
    <mergeCell ref="B75:F75"/>
    <mergeCell ref="G75:H75"/>
    <mergeCell ref="B70:F70"/>
    <mergeCell ref="G70:H70"/>
    <mergeCell ref="B71:F71"/>
    <mergeCell ref="G71:H71"/>
    <mergeCell ref="B72:F72"/>
    <mergeCell ref="G72:H72"/>
    <mergeCell ref="B82:C82"/>
    <mergeCell ref="B83:F83"/>
    <mergeCell ref="B84:F84"/>
    <mergeCell ref="A86:H86"/>
    <mergeCell ref="A87:H87"/>
    <mergeCell ref="A77:H77"/>
    <mergeCell ref="A78:C78"/>
    <mergeCell ref="A79:C79"/>
    <mergeCell ref="B80:C80"/>
    <mergeCell ref="B81:C81"/>
    <mergeCell ref="B94:F94"/>
    <mergeCell ref="G94:H94"/>
    <mergeCell ref="B91:F91"/>
    <mergeCell ref="G91:H91"/>
    <mergeCell ref="B92:F92"/>
    <mergeCell ref="G92:H92"/>
    <mergeCell ref="B93:F93"/>
    <mergeCell ref="G93:H93"/>
    <mergeCell ref="A88:H88"/>
    <mergeCell ref="B89:F89"/>
    <mergeCell ref="G89:H89"/>
    <mergeCell ref="B90:F90"/>
    <mergeCell ref="G90:H90"/>
    <mergeCell ref="H114:J114"/>
    <mergeCell ref="B104:C104"/>
    <mergeCell ref="B105:C105"/>
    <mergeCell ref="B106:C106"/>
    <mergeCell ref="B111:C111"/>
    <mergeCell ref="B112:C112"/>
    <mergeCell ref="B113:C113"/>
    <mergeCell ref="A115:G117"/>
    <mergeCell ref="H101:K101"/>
    <mergeCell ref="D101:G101"/>
    <mergeCell ref="A103:K103"/>
    <mergeCell ref="A110:K110"/>
    <mergeCell ref="H108:J108"/>
    <mergeCell ref="H109:J109"/>
    <mergeCell ref="A108:G109"/>
    <mergeCell ref="A101:C102"/>
    <mergeCell ref="H115:J115"/>
    <mergeCell ref="H116:J116"/>
    <mergeCell ref="H117:J117"/>
    <mergeCell ref="A107:F107"/>
    <mergeCell ref="A114:F114"/>
    <mergeCell ref="H107:J107"/>
  </mergeCells>
  <printOptions horizontalCentered="1"/>
  <pageMargins left="0.43307086614173229" right="0.39370078740157483" top="2.31" bottom="0.35433070866141736" header="0.23622047244094491" footer="0.27559055118110237"/>
  <pageSetup paperSize="9" scale="55" fitToHeight="0" orientation="portrait" r:id="rId1"/>
  <headerFooter>
    <oddHeader>&amp;L&amp;"Cambria,Negrito"&amp;8PROPOSTA N° 011/2017 - MME</oddHeader>
  </headerFooter>
  <ignoredErrors>
    <ignoredError sqref="G8:G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rgb="FFFFFF99"/>
    <pageSetUpPr fitToPage="1"/>
  </sheetPr>
  <dimension ref="A1:I69"/>
  <sheetViews>
    <sheetView view="pageBreakPreview" zoomScale="120" zoomScaleNormal="100" zoomScaleSheetLayoutView="120" workbookViewId="0">
      <selection activeCell="F32" sqref="F32"/>
    </sheetView>
  </sheetViews>
  <sheetFormatPr defaultRowHeight="14.25" x14ac:dyDescent="0.2"/>
  <cols>
    <col min="1" max="1" width="8.140625" style="40" customWidth="1"/>
    <col min="2" max="2" width="12.7109375" style="40" customWidth="1"/>
    <col min="3" max="3" width="7.140625" style="40" customWidth="1"/>
    <col min="4" max="4" width="17.42578125" style="40" customWidth="1"/>
    <col min="5" max="5" width="18.85546875" style="40" customWidth="1"/>
    <col min="6" max="6" width="16.5703125" style="40" customWidth="1"/>
    <col min="7" max="7" width="14.28515625" style="40" customWidth="1"/>
    <col min="8" max="8" width="11.85546875" style="40" customWidth="1"/>
    <col min="9" max="9" width="11.5703125" style="40" customWidth="1"/>
    <col min="10" max="10" width="9.140625" style="40" customWidth="1"/>
    <col min="11" max="16384" width="9.140625" style="40"/>
  </cols>
  <sheetData>
    <row r="1" spans="1:9" s="39" customFormat="1" ht="14.25" customHeight="1" x14ac:dyDescent="0.2">
      <c r="A1" s="1005" t="str">
        <f>DADOS!A16</f>
        <v>MINISTÉRIO DE MINAS E ENERGIA - MME</v>
      </c>
      <c r="B1" s="1005"/>
      <c r="C1" s="1005"/>
      <c r="D1" s="1005"/>
      <c r="E1" s="1005"/>
      <c r="F1" s="1005"/>
      <c r="G1" s="1005"/>
      <c r="H1" s="1005"/>
      <c r="I1" s="1005"/>
    </row>
    <row r="2" spans="1:9" s="39" customFormat="1" ht="14.25" customHeight="1" x14ac:dyDescent="0.2">
      <c r="A2" s="1005" t="str">
        <f>DADOS!A18</f>
        <v>PREGÃO ELETRÔNICO Nº 001/2017 - MME</v>
      </c>
      <c r="B2" s="1005"/>
      <c r="C2" s="1005"/>
      <c r="D2" s="1005"/>
      <c r="E2" s="1005"/>
      <c r="F2" s="1005"/>
      <c r="G2" s="1005"/>
      <c r="H2" s="1005"/>
      <c r="I2" s="1005"/>
    </row>
    <row r="3" spans="1:9" s="39" customFormat="1" ht="14.25" customHeight="1" x14ac:dyDescent="0.2">
      <c r="A3" s="94"/>
      <c r="B3" s="94"/>
      <c r="C3" s="94"/>
      <c r="D3" s="94"/>
      <c r="E3" s="94"/>
      <c r="F3" s="94"/>
      <c r="G3" s="94"/>
      <c r="H3" s="94"/>
      <c r="I3" s="94"/>
    </row>
    <row r="4" spans="1:9" s="39" customFormat="1" ht="14.25" customHeight="1" x14ac:dyDescent="0.2">
      <c r="A4" s="94"/>
      <c r="B4" s="94"/>
      <c r="C4" s="94"/>
      <c r="D4" s="94"/>
      <c r="E4" s="94"/>
      <c r="F4" s="94"/>
      <c r="G4" s="94"/>
      <c r="H4" s="94"/>
      <c r="I4" s="94"/>
    </row>
    <row r="5" spans="1:9" s="39" customFormat="1" ht="14.25" customHeight="1" x14ac:dyDescent="0.2">
      <c r="A5" s="1005" t="s">
        <v>165</v>
      </c>
      <c r="B5" s="1005"/>
      <c r="C5" s="1005"/>
      <c r="D5" s="1005"/>
      <c r="E5" s="1005"/>
      <c r="F5" s="1005"/>
      <c r="G5" s="1005"/>
      <c r="H5" s="1005"/>
      <c r="I5" s="1005"/>
    </row>
    <row r="6" spans="1:9" s="39" customFormat="1" ht="14.25" customHeight="1" x14ac:dyDescent="0.2">
      <c r="A6" s="94"/>
      <c r="B6" s="94"/>
      <c r="C6" s="94"/>
      <c r="D6" s="94"/>
      <c r="E6" s="94"/>
      <c r="F6" s="94"/>
      <c r="G6" s="94"/>
      <c r="H6" s="94"/>
      <c r="I6" s="94"/>
    </row>
    <row r="7" spans="1:9" s="39" customFormat="1" ht="14.25" customHeight="1" x14ac:dyDescent="0.2">
      <c r="A7" s="95" t="s">
        <v>163</v>
      </c>
      <c r="B7" s="94"/>
      <c r="C7" s="94" t="s">
        <v>367</v>
      </c>
      <c r="D7" s="94"/>
      <c r="E7" s="94"/>
      <c r="F7" s="94"/>
      <c r="G7" s="94"/>
      <c r="H7" s="94"/>
      <c r="I7" s="94"/>
    </row>
    <row r="8" spans="1:9" s="39" customFormat="1" ht="10.5" customHeight="1" x14ac:dyDescent="0.2">
      <c r="A8" s="95"/>
      <c r="B8" s="94"/>
      <c r="C8" s="94"/>
      <c r="D8" s="94"/>
      <c r="E8" s="94"/>
      <c r="F8" s="94"/>
      <c r="G8" s="94"/>
      <c r="H8" s="94"/>
      <c r="I8" s="94"/>
    </row>
    <row r="9" spans="1:9" s="39" customFormat="1" x14ac:dyDescent="0.2">
      <c r="A9" s="96" t="s">
        <v>187</v>
      </c>
      <c r="B9" s="94"/>
      <c r="C9" s="94"/>
      <c r="D9" s="94"/>
      <c r="E9" s="94"/>
      <c r="F9" s="94"/>
      <c r="G9" s="94"/>
      <c r="H9" s="94"/>
      <c r="I9" s="94"/>
    </row>
    <row r="10" spans="1:9" s="39" customFormat="1" ht="14.25" customHeight="1" x14ac:dyDescent="0.2">
      <c r="A10" s="1007" t="s">
        <v>412</v>
      </c>
      <c r="B10" s="1007"/>
      <c r="C10" s="1007"/>
      <c r="D10" s="1007"/>
      <c r="E10" s="1007"/>
      <c r="F10" s="1007"/>
      <c r="G10" s="1007"/>
      <c r="H10" s="1007"/>
      <c r="I10" s="1007"/>
    </row>
    <row r="11" spans="1:9" s="39" customFormat="1" ht="14.25" customHeight="1" x14ac:dyDescent="0.2">
      <c r="A11" s="1007"/>
      <c r="B11" s="1007"/>
      <c r="C11" s="1007"/>
      <c r="D11" s="1007"/>
      <c r="E11" s="1007"/>
      <c r="F11" s="1007"/>
      <c r="G11" s="1007"/>
      <c r="H11" s="1007"/>
      <c r="I11" s="1007"/>
    </row>
    <row r="12" spans="1:9" s="39" customFormat="1" ht="8.25" customHeight="1" x14ac:dyDescent="0.2">
      <c r="A12" s="97"/>
      <c r="B12" s="97"/>
      <c r="C12" s="97"/>
      <c r="D12" s="97"/>
      <c r="E12" s="97"/>
      <c r="F12" s="97"/>
      <c r="G12" s="97"/>
      <c r="H12" s="97"/>
      <c r="I12" s="97"/>
    </row>
    <row r="13" spans="1:9" s="39" customFormat="1" ht="14.25" customHeight="1" x14ac:dyDescent="0.2">
      <c r="A13" s="1007" t="s">
        <v>413</v>
      </c>
      <c r="B13" s="1007"/>
      <c r="C13" s="1007"/>
      <c r="D13" s="1007"/>
      <c r="E13" s="1007"/>
      <c r="F13" s="1007"/>
      <c r="G13" s="1007"/>
      <c r="H13" s="1007"/>
      <c r="I13" s="1007"/>
    </row>
    <row r="14" spans="1:9" s="39" customFormat="1" ht="14.25" customHeight="1" x14ac:dyDescent="0.2">
      <c r="A14" s="1007"/>
      <c r="B14" s="1007"/>
      <c r="C14" s="1007"/>
      <c r="D14" s="1007"/>
      <c r="E14" s="1007"/>
      <c r="F14" s="1007"/>
      <c r="G14" s="1007"/>
      <c r="H14" s="1007"/>
      <c r="I14" s="1007"/>
    </row>
    <row r="15" spans="1:9" s="39" customFormat="1" ht="14.25" customHeight="1" x14ac:dyDescent="0.2">
      <c r="A15" s="97"/>
      <c r="B15" s="97"/>
      <c r="C15" s="97"/>
      <c r="D15" s="97"/>
      <c r="E15" s="97"/>
      <c r="F15" s="97"/>
      <c r="G15" s="97"/>
      <c r="H15" s="97"/>
      <c r="I15" s="97"/>
    </row>
    <row r="16" spans="1:9" s="39" customFormat="1" ht="14.25" customHeight="1" x14ac:dyDescent="0.2">
      <c r="A16" s="98" t="s">
        <v>316</v>
      </c>
      <c r="B16" s="97"/>
      <c r="C16" s="97"/>
      <c r="D16" s="97"/>
      <c r="E16" s="97"/>
      <c r="F16" s="97"/>
      <c r="G16" s="97"/>
      <c r="H16" s="97"/>
      <c r="I16" s="97"/>
    </row>
    <row r="17" spans="1:9" s="39" customFormat="1" ht="14.25" customHeight="1" x14ac:dyDescent="0.2">
      <c r="A17" s="94"/>
      <c r="B17" s="94"/>
      <c r="C17" s="94"/>
      <c r="D17" s="94"/>
      <c r="E17" s="94"/>
      <c r="F17" s="94"/>
      <c r="G17" s="94"/>
      <c r="H17" s="94"/>
      <c r="I17" s="94"/>
    </row>
    <row r="18" spans="1:9" s="39" customFormat="1" ht="14.25" customHeight="1" x14ac:dyDescent="0.2">
      <c r="A18" s="1006" t="s">
        <v>378</v>
      </c>
      <c r="B18" s="1006"/>
      <c r="C18" s="1006"/>
      <c r="D18" s="1006"/>
      <c r="E18" s="1006"/>
      <c r="F18" s="1006"/>
      <c r="G18" s="1006"/>
      <c r="H18" s="1006"/>
      <c r="I18" s="1006"/>
    </row>
    <row r="19" spans="1:9" s="39" customFormat="1" ht="4.5" customHeight="1" x14ac:dyDescent="0.2">
      <c r="A19" s="99"/>
      <c r="B19" s="99"/>
      <c r="C19" s="99"/>
      <c r="D19" s="99"/>
      <c r="E19" s="99"/>
      <c r="F19" s="99"/>
      <c r="G19" s="99"/>
      <c r="H19" s="99"/>
      <c r="I19" s="99"/>
    </row>
    <row r="20" spans="1:9" x14ac:dyDescent="0.2">
      <c r="A20" s="100"/>
      <c r="B20" s="101"/>
      <c r="C20" s="102" t="s">
        <v>214</v>
      </c>
      <c r="D20" s="103"/>
      <c r="E20" s="104"/>
      <c r="F20" s="104"/>
      <c r="G20" s="104"/>
      <c r="H20" s="104"/>
      <c r="I20" s="105"/>
    </row>
    <row r="21" spans="1:9" x14ac:dyDescent="0.2">
      <c r="A21" s="106"/>
      <c r="B21" s="101"/>
      <c r="C21" s="102" t="s">
        <v>215</v>
      </c>
      <c r="D21" s="103"/>
      <c r="E21" s="104"/>
      <c r="F21" s="104"/>
      <c r="G21" s="104"/>
      <c r="H21" s="104"/>
      <c r="I21" s="105"/>
    </row>
    <row r="22" spans="1:9" x14ac:dyDescent="0.2">
      <c r="A22" s="106"/>
      <c r="B22" s="101"/>
      <c r="C22" s="102" t="s">
        <v>216</v>
      </c>
      <c r="D22" s="103"/>
      <c r="E22" s="104"/>
      <c r="F22" s="104"/>
      <c r="G22" s="104"/>
      <c r="H22" s="104"/>
      <c r="I22" s="105"/>
    </row>
    <row r="23" spans="1:9" x14ac:dyDescent="0.2">
      <c r="A23" s="105"/>
      <c r="B23" s="101"/>
      <c r="C23" s="102" t="s">
        <v>217</v>
      </c>
      <c r="D23" s="103"/>
      <c r="E23" s="104"/>
      <c r="F23" s="104"/>
      <c r="G23" s="104"/>
      <c r="H23" s="104"/>
      <c r="I23" s="105"/>
    </row>
    <row r="24" spans="1:9" x14ac:dyDescent="0.2">
      <c r="A24" s="105"/>
      <c r="B24" s="101"/>
      <c r="C24" s="102" t="s">
        <v>218</v>
      </c>
      <c r="D24" s="103"/>
      <c r="E24" s="104"/>
      <c r="F24" s="104"/>
      <c r="G24" s="104"/>
      <c r="H24" s="104"/>
      <c r="I24" s="105"/>
    </row>
    <row r="25" spans="1:9" x14ac:dyDescent="0.2">
      <c r="A25" s="105"/>
      <c r="B25" s="101"/>
      <c r="C25" s="102" t="s">
        <v>219</v>
      </c>
      <c r="D25" s="103"/>
      <c r="E25" s="104"/>
      <c r="F25" s="104"/>
      <c r="G25" s="104"/>
      <c r="H25" s="104"/>
      <c r="I25" s="105"/>
    </row>
    <row r="26" spans="1:9" x14ac:dyDescent="0.2">
      <c r="A26" s="105"/>
      <c r="B26" s="101"/>
      <c r="C26" s="102" t="s">
        <v>220</v>
      </c>
      <c r="D26" s="103"/>
      <c r="E26" s="104"/>
      <c r="F26" s="104"/>
      <c r="G26" s="104"/>
      <c r="H26" s="104"/>
      <c r="I26" s="105"/>
    </row>
    <row r="27" spans="1:9" x14ac:dyDescent="0.2">
      <c r="A27" s="105"/>
      <c r="B27" s="101"/>
      <c r="C27" s="102" t="s">
        <v>221</v>
      </c>
      <c r="D27" s="103"/>
      <c r="E27" s="104"/>
      <c r="F27" s="104"/>
      <c r="G27" s="104"/>
      <c r="H27" s="104"/>
      <c r="I27" s="105"/>
    </row>
    <row r="28" spans="1:9" x14ac:dyDescent="0.2">
      <c r="A28" s="105"/>
      <c r="B28" s="105"/>
      <c r="C28" s="102" t="s">
        <v>384</v>
      </c>
      <c r="D28" s="105"/>
      <c r="E28" s="105"/>
      <c r="F28" s="105"/>
      <c r="G28" s="105"/>
      <c r="H28" s="105"/>
      <c r="I28" s="105"/>
    </row>
    <row r="29" spans="1:9" ht="12" customHeight="1" x14ac:dyDescent="0.2"/>
    <row r="30" spans="1:9" ht="12" customHeight="1" x14ac:dyDescent="0.2"/>
    <row r="31" spans="1:9" ht="12" customHeight="1" x14ac:dyDescent="0.2"/>
    <row r="32" spans="1:9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8" customHeight="1" x14ac:dyDescent="0.2"/>
  </sheetData>
  <mergeCells count="6">
    <mergeCell ref="A1:I1"/>
    <mergeCell ref="A2:I2"/>
    <mergeCell ref="A18:I18"/>
    <mergeCell ref="A5:I5"/>
    <mergeCell ref="A10:I11"/>
    <mergeCell ref="A13:I14"/>
  </mergeCells>
  <printOptions horizontalCentered="1"/>
  <pageMargins left="0.43307086614173229" right="0.35433070866141736" top="2.1653543307086616" bottom="0.35433070866141736" header="0.23622047244094491" footer="0.27559055118110237"/>
  <pageSetup paperSize="9" scale="82" fitToHeight="0" orientation="portrait" r:id="rId1"/>
  <headerFooter>
    <oddHeader>&amp;L&amp;"Cambria,Negrito"&amp;8PROPOSTA N° 011/2017 - MME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9</vt:i4>
      </vt:variant>
    </vt:vector>
  </HeadingPairs>
  <TitlesOfParts>
    <vt:vector size="18" baseType="lpstr">
      <vt:lpstr>DADOS</vt:lpstr>
      <vt:lpstr>PROPOSTA INICIAL</vt:lpstr>
      <vt:lpstr>SUPERVISOR - DIURNO - 44h</vt:lpstr>
      <vt:lpstr>VIGILANTE - DIURNO 12x36 DD</vt:lpstr>
      <vt:lpstr>VIGILANTE - NOTURNO 12x36 ND</vt:lpstr>
      <vt:lpstr>UNIFORMES</vt:lpstr>
      <vt:lpstr>MAT e EQUIPS</vt:lpstr>
      <vt:lpstr>RESUMO</vt:lpstr>
      <vt:lpstr>SÚMULA 444</vt:lpstr>
      <vt:lpstr>DADOS!Area_de_impressao</vt:lpstr>
      <vt:lpstr>'MAT e EQUIPS'!Area_de_impressao</vt:lpstr>
      <vt:lpstr>'PROPOSTA INICIAL'!Area_de_impressao</vt:lpstr>
      <vt:lpstr>RESUMO!Area_de_impressao</vt:lpstr>
      <vt:lpstr>'SÚMULA 444'!Area_de_impressao</vt:lpstr>
      <vt:lpstr>'SUPERVISOR - DIURNO - 44h'!Area_de_impressao</vt:lpstr>
      <vt:lpstr>UNIFORMES!Area_de_impressao</vt:lpstr>
      <vt:lpstr>'VIGILANTE - DIURNO 12x36 DD'!Area_de_impressao</vt:lpstr>
      <vt:lpstr>'VIGILANTE - NOTURNO 12x36 ND'!Area_de_impressao</vt:lpstr>
    </vt:vector>
  </TitlesOfParts>
  <Company>Dep Nac Prod Mineral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Ednaldo Rodrigues da Cunha</dc:creator>
  <cp:lastModifiedBy>Cleusa Costa de Jesus</cp:lastModifiedBy>
  <cp:lastPrinted>2017-03-15T19:43:48Z</cp:lastPrinted>
  <dcterms:created xsi:type="dcterms:W3CDTF">2003-01-09T15:21:37Z</dcterms:created>
  <dcterms:modified xsi:type="dcterms:W3CDTF">2020-03-26T13:24:36Z</dcterms:modified>
</cp:coreProperties>
</file>