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CGCC\CAC\DOCUMENTOS DO SETOR DE CONTRATOS\A - DOCS ESCANEADOS\G4F SOLUCOES CORPORATIVAS LTDA - CONTRATO Nº 33-2016\"/>
    </mc:Choice>
  </mc:AlternateContent>
  <bookViews>
    <workbookView xWindow="0" yWindow="0" windowWidth="28800" windowHeight="13590" activeTab="2"/>
  </bookViews>
  <sheets>
    <sheet name="Arquivista" sheetId="1" r:id="rId1"/>
    <sheet name="Assistente" sheetId="2" r:id="rId2"/>
    <sheet name="Resumo" sheetId="3" r:id="rId3"/>
  </sheets>
  <definedNames>
    <definedName name="_xlnm.Print_Area" localSheetId="0">Arquivista!$B$2:$G$132</definedName>
    <definedName name="_xlnm.Print_Area" localSheetId="1">Assistente!$B$2:$G$132</definedName>
    <definedName name="_xlnm.Print_Area" localSheetId="2">Resumo!$B$3:$H$20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7" i="3" l="1"/>
  <c r="H68" i="3"/>
  <c r="H55" i="3"/>
  <c r="H46" i="3"/>
  <c r="D67" i="3" l="1"/>
  <c r="F67" i="3" s="1"/>
  <c r="H67" i="3" s="1"/>
  <c r="D68" i="3"/>
  <c r="F68" i="3" s="1"/>
  <c r="H75" i="3" s="1"/>
  <c r="I97" i="2"/>
  <c r="I97" i="1"/>
  <c r="I82" i="2"/>
  <c r="I69" i="2"/>
  <c r="I71" i="2" s="1"/>
  <c r="I57" i="2"/>
  <c r="I70" i="1"/>
  <c r="I67" i="1"/>
  <c r="I68" i="1" s="1"/>
  <c r="I69" i="1" s="1"/>
  <c r="I71" i="1" s="1"/>
  <c r="I70" i="2"/>
  <c r="I68" i="2"/>
  <c r="I67" i="2"/>
  <c r="I56" i="2"/>
  <c r="I54" i="2"/>
  <c r="H85" i="2"/>
  <c r="H82" i="2"/>
  <c r="H84" i="2"/>
  <c r="H81" i="2"/>
  <c r="I76" i="1"/>
  <c r="I75" i="1"/>
  <c r="H85" i="1"/>
  <c r="H84" i="1"/>
  <c r="H82" i="1"/>
  <c r="H81" i="1"/>
  <c r="H74" i="3" l="1"/>
  <c r="H76" i="3" s="1"/>
  <c r="H69" i="3"/>
  <c r="E53" i="1"/>
  <c r="I41" i="1" l="1"/>
  <c r="I35" i="2" l="1"/>
  <c r="I16" i="2"/>
  <c r="H87" i="2"/>
  <c r="H87" i="1"/>
  <c r="I86" i="1" l="1"/>
  <c r="I85" i="1"/>
  <c r="I84" i="1"/>
  <c r="I83" i="1"/>
  <c r="I82" i="1"/>
  <c r="I81" i="1"/>
  <c r="I87" i="1" l="1"/>
  <c r="I61" i="1"/>
  <c r="I54" i="1"/>
  <c r="I55" i="1"/>
  <c r="I56" i="1"/>
  <c r="I57" i="1"/>
  <c r="I58" i="1"/>
  <c r="I59" i="1"/>
  <c r="I60" i="1"/>
  <c r="I53" i="1"/>
  <c r="D67" i="1"/>
  <c r="I35" i="1"/>
  <c r="I16" i="1"/>
  <c r="I48" i="2" l="1"/>
  <c r="I128" i="2" s="1"/>
  <c r="I36" i="2"/>
  <c r="H22" i="2"/>
  <c r="I48" i="1"/>
  <c r="I128" i="1" s="1"/>
  <c r="I36" i="1"/>
  <c r="H22" i="1"/>
  <c r="I22" i="1"/>
  <c r="I34" i="1" l="1"/>
  <c r="I127" i="1" s="1"/>
  <c r="I30" i="1"/>
  <c r="G16" i="2"/>
  <c r="I22" i="2" s="1"/>
  <c r="I30" i="2" s="1"/>
  <c r="I95" i="2" l="1"/>
  <c r="I85" i="2"/>
  <c r="I86" i="2"/>
  <c r="I83" i="2"/>
  <c r="I81" i="2"/>
  <c r="I84" i="2"/>
  <c r="I94" i="2"/>
  <c r="I34" i="2"/>
  <c r="I41" i="2" s="1"/>
  <c r="I127" i="2" s="1"/>
  <c r="I59" i="2"/>
  <c r="I93" i="2"/>
  <c r="I96" i="2"/>
  <c r="I60" i="2"/>
  <c r="I75" i="2"/>
  <c r="I58" i="2"/>
  <c r="I108" i="2"/>
  <c r="I126" i="2"/>
  <c r="I92" i="2"/>
  <c r="I53" i="2"/>
  <c r="I55" i="2"/>
  <c r="I96" i="1"/>
  <c r="I92" i="1"/>
  <c r="I95" i="1"/>
  <c r="I91" i="1"/>
  <c r="I126" i="1"/>
  <c r="I98" i="1"/>
  <c r="I94" i="1"/>
  <c r="I104" i="1"/>
  <c r="I108" i="1"/>
  <c r="I99" i="1"/>
  <c r="I107" i="1" s="1"/>
  <c r="I93" i="1"/>
  <c r="I77" i="1"/>
  <c r="I105" i="1" s="1"/>
  <c r="G16" i="1"/>
  <c r="G22" i="2"/>
  <c r="G34" i="2" s="1"/>
  <c r="I61" i="2" l="1"/>
  <c r="I103" i="2" s="1"/>
  <c r="I106" i="1"/>
  <c r="I103" i="1"/>
  <c r="G33" i="3"/>
  <c r="G36" i="2"/>
  <c r="G35" i="2"/>
  <c r="E35" i="2"/>
  <c r="G48" i="2"/>
  <c r="G128" i="2" s="1"/>
  <c r="F22" i="2"/>
  <c r="I109" i="1" l="1"/>
  <c r="G41" i="2"/>
  <c r="G127" i="2" s="1"/>
  <c r="G30" i="2"/>
  <c r="G53" i="2" s="1"/>
  <c r="I129" i="1" l="1"/>
  <c r="I130" i="1" s="1"/>
  <c r="I113" i="1"/>
  <c r="G94" i="2"/>
  <c r="G69" i="2"/>
  <c r="G58" i="2"/>
  <c r="G54" i="2"/>
  <c r="G108" i="2"/>
  <c r="G95" i="2"/>
  <c r="G93" i="2"/>
  <c r="G75" i="2"/>
  <c r="G59" i="2"/>
  <c r="G57" i="2"/>
  <c r="G55" i="2"/>
  <c r="G126" i="2"/>
  <c r="G96" i="2"/>
  <c r="G92" i="2"/>
  <c r="G60" i="2"/>
  <c r="G56" i="2"/>
  <c r="I119" i="1" l="1"/>
  <c r="I115" i="1" s="1"/>
  <c r="G61" i="2"/>
  <c r="G103" i="2" s="1"/>
  <c r="I117" i="1" l="1"/>
  <c r="I118" i="1"/>
  <c r="I116" i="1"/>
  <c r="G36" i="1"/>
  <c r="G35" i="1"/>
  <c r="F22" i="1"/>
  <c r="G22" i="1"/>
  <c r="G34" i="1" s="1"/>
  <c r="E35" i="1"/>
  <c r="E22" i="1"/>
  <c r="E30" i="1" s="1"/>
  <c r="G48" i="1"/>
  <c r="G128" i="1" s="1"/>
  <c r="D119" i="2"/>
  <c r="D114" i="2"/>
  <c r="D91" i="2"/>
  <c r="I91" i="2" s="1"/>
  <c r="D84" i="2"/>
  <c r="D81" i="2"/>
  <c r="D67" i="2"/>
  <c r="E48" i="2"/>
  <c r="E36" i="2"/>
  <c r="E36" i="1"/>
  <c r="D114" i="1"/>
  <c r="D91" i="1"/>
  <c r="D97" i="1" s="1"/>
  <c r="D84" i="1"/>
  <c r="D86" i="1" s="1"/>
  <c r="D81" i="1"/>
  <c r="D83" i="1" s="1"/>
  <c r="D68" i="1"/>
  <c r="I120" i="1" l="1"/>
  <c r="I131" i="1" s="1"/>
  <c r="I132" i="1" s="1"/>
  <c r="D68" i="2"/>
  <c r="E34" i="1"/>
  <c r="E58" i="1"/>
  <c r="E68" i="1"/>
  <c r="E97" i="1"/>
  <c r="E126" i="1"/>
  <c r="E67" i="1"/>
  <c r="E94" i="1"/>
  <c r="E60" i="1"/>
  <c r="E56" i="1"/>
  <c r="E84" i="1"/>
  <c r="E93" i="1"/>
  <c r="E108" i="1"/>
  <c r="E54" i="1"/>
  <c r="E86" i="1"/>
  <c r="E95" i="1"/>
  <c r="E57" i="1"/>
  <c r="E75" i="1"/>
  <c r="E91" i="1"/>
  <c r="E59" i="1"/>
  <c r="E55" i="1"/>
  <c r="E69" i="1"/>
  <c r="E81" i="1"/>
  <c r="E83" i="1"/>
  <c r="E96" i="1"/>
  <c r="E92" i="1"/>
  <c r="G91" i="2"/>
  <c r="G67" i="2"/>
  <c r="D97" i="2"/>
  <c r="G81" i="2"/>
  <c r="G68" i="2"/>
  <c r="G84" i="2"/>
  <c r="G30" i="1"/>
  <c r="G81" i="1" s="1"/>
  <c r="D86" i="2"/>
  <c r="D83" i="2"/>
  <c r="G84" i="1" l="1"/>
  <c r="G91" i="1"/>
  <c r="G97" i="1"/>
  <c r="G67" i="1"/>
  <c r="G60" i="1"/>
  <c r="G69" i="1"/>
  <c r="G86" i="1"/>
  <c r="G92" i="1"/>
  <c r="G58" i="1"/>
  <c r="G55" i="1"/>
  <c r="G75" i="1"/>
  <c r="G86" i="2"/>
  <c r="G97" i="2"/>
  <c r="G83" i="2"/>
  <c r="G108" i="1"/>
  <c r="G94" i="1"/>
  <c r="G56" i="1"/>
  <c r="G93" i="1"/>
  <c r="G83" i="1"/>
  <c r="G54" i="1"/>
  <c r="G57" i="1"/>
  <c r="G126" i="1"/>
  <c r="G59" i="1"/>
  <c r="G96" i="1"/>
  <c r="G68" i="1"/>
  <c r="G95" i="1"/>
  <c r="G53" i="1"/>
  <c r="E48" i="1" l="1"/>
  <c r="E22" i="2" l="1"/>
  <c r="D128" i="2"/>
  <c r="D61" i="2"/>
  <c r="E34" i="2" l="1"/>
  <c r="E41" i="2" s="1"/>
  <c r="D127" i="2" s="1"/>
  <c r="E30" i="2"/>
  <c r="D82" i="2"/>
  <c r="D70" i="2"/>
  <c r="I104" i="2" s="1"/>
  <c r="D103" i="2"/>
  <c r="D76" i="2"/>
  <c r="I76" i="2" s="1"/>
  <c r="I77" i="2" s="1"/>
  <c r="I105" i="2" s="1"/>
  <c r="D85" i="2"/>
  <c r="D98" i="2"/>
  <c r="I98" i="2" s="1"/>
  <c r="I99" i="2" s="1"/>
  <c r="I107" i="2" s="1"/>
  <c r="D30" i="2"/>
  <c r="I87" i="2" l="1"/>
  <c r="I106" i="2" s="1"/>
  <c r="I109" i="2" s="1"/>
  <c r="G98" i="2"/>
  <c r="G99" i="2" s="1"/>
  <c r="G107" i="2" s="1"/>
  <c r="G70" i="2"/>
  <c r="G71" i="2" s="1"/>
  <c r="G104" i="2" s="1"/>
  <c r="E76" i="2"/>
  <c r="G76" i="2"/>
  <c r="G77" i="2" s="1"/>
  <c r="G105" i="2" s="1"/>
  <c r="E98" i="2"/>
  <c r="E93" i="2"/>
  <c r="E75" i="2"/>
  <c r="E59" i="2"/>
  <c r="E57" i="2"/>
  <c r="E92" i="2"/>
  <c r="E70" i="2"/>
  <c r="E58" i="2"/>
  <c r="E53" i="2"/>
  <c r="E108" i="2"/>
  <c r="E91" i="2"/>
  <c r="E56" i="2"/>
  <c r="E94" i="2"/>
  <c r="E69" i="2"/>
  <c r="E60" i="2"/>
  <c r="E54" i="2"/>
  <c r="E95" i="2"/>
  <c r="E55" i="2"/>
  <c r="E67" i="2"/>
  <c r="E68" i="2"/>
  <c r="E81" i="2"/>
  <c r="E84" i="2"/>
  <c r="E86" i="2"/>
  <c r="E83" i="2"/>
  <c r="E85" i="2"/>
  <c r="G85" i="2"/>
  <c r="E82" i="2"/>
  <c r="G82" i="2"/>
  <c r="D126" i="2"/>
  <c r="D87" i="2"/>
  <c r="D106" i="2" s="1"/>
  <c r="D99" i="2"/>
  <c r="D107" i="2" s="1"/>
  <c r="D77" i="2"/>
  <c r="D105" i="2" s="1"/>
  <c r="D71" i="2"/>
  <c r="D104" i="2" s="1"/>
  <c r="I129" i="2" l="1"/>
  <c r="I130" i="2" s="1"/>
  <c r="I113" i="2"/>
  <c r="I119" i="2" s="1"/>
  <c r="I118" i="2" s="1"/>
  <c r="E77" i="2"/>
  <c r="E105" i="2" s="1"/>
  <c r="E71" i="2"/>
  <c r="E104" i="2" s="1"/>
  <c r="G87" i="2"/>
  <c r="G106" i="2" s="1"/>
  <c r="G109" i="2" s="1"/>
  <c r="E87" i="2"/>
  <c r="E106" i="2" s="1"/>
  <c r="E97" i="2"/>
  <c r="E99" i="2" s="1"/>
  <c r="E107" i="2" s="1"/>
  <c r="D109" i="2"/>
  <c r="E61" i="2"/>
  <c r="E103" i="2" s="1"/>
  <c r="I115" i="2" l="1"/>
  <c r="I117" i="2"/>
  <c r="I116" i="2"/>
  <c r="G129" i="2"/>
  <c r="G130" i="2" s="1"/>
  <c r="G113" i="2"/>
  <c r="G119" i="2" s="1"/>
  <c r="E109" i="2"/>
  <c r="D129" i="2" s="1"/>
  <c r="D130" i="2" s="1"/>
  <c r="I120" i="2" l="1"/>
  <c r="I131" i="2" s="1"/>
  <c r="I132" i="2" s="1"/>
  <c r="G117" i="2"/>
  <c r="G116" i="2"/>
  <c r="G115" i="2"/>
  <c r="G118" i="2"/>
  <c r="E113" i="2"/>
  <c r="E119" i="2" s="1"/>
  <c r="E117" i="2" s="1"/>
  <c r="G120" i="2" l="1"/>
  <c r="G131" i="2" s="1"/>
  <c r="G132" i="2" s="1"/>
  <c r="E116" i="2"/>
  <c r="E115" i="2"/>
  <c r="E118" i="2"/>
  <c r="G28" i="3" l="1"/>
  <c r="G35" i="3" s="1"/>
  <c r="D46" i="3"/>
  <c r="F46" i="3" s="1"/>
  <c r="H53" i="3" s="1"/>
  <c r="E120" i="2"/>
  <c r="D131" i="2" s="1"/>
  <c r="D132" i="2" s="1"/>
  <c r="D9" i="3" s="1"/>
  <c r="F9" i="3" s="1"/>
  <c r="H9" i="3" s="1"/>
  <c r="E128" i="1"/>
  <c r="F28" i="3" l="1"/>
  <c r="F35" i="3" s="1"/>
  <c r="H17" i="3"/>
  <c r="D61" i="1"/>
  <c r="E41" i="1"/>
  <c r="D98" i="1" l="1"/>
  <c r="D82" i="1"/>
  <c r="D85" i="1"/>
  <c r="D76" i="1"/>
  <c r="D103" i="1"/>
  <c r="D70" i="1"/>
  <c r="D71" i="1" s="1"/>
  <c r="D104" i="1" s="1"/>
  <c r="E61" i="1"/>
  <c r="E103" i="1" s="1"/>
  <c r="E127" i="1"/>
  <c r="E85" i="1" l="1"/>
  <c r="G85" i="1"/>
  <c r="E76" i="1"/>
  <c r="E77" i="1" s="1"/>
  <c r="E105" i="1" s="1"/>
  <c r="G76" i="1"/>
  <c r="E70" i="1"/>
  <c r="E71" i="1" s="1"/>
  <c r="E104" i="1" s="1"/>
  <c r="G70" i="1"/>
  <c r="D87" i="1"/>
  <c r="D106" i="1" s="1"/>
  <c r="E82" i="1"/>
  <c r="G82" i="1"/>
  <c r="E98" i="1"/>
  <c r="E99" i="1" s="1"/>
  <c r="E107" i="1" s="1"/>
  <c r="G98" i="1"/>
  <c r="D99" i="1"/>
  <c r="D107" i="1" s="1"/>
  <c r="D77" i="1"/>
  <c r="D105" i="1" s="1"/>
  <c r="E87" i="1" l="1"/>
  <c r="E106" i="1" s="1"/>
  <c r="E109" i="1" s="1"/>
  <c r="D109" i="1"/>
  <c r="E129" i="1" l="1"/>
  <c r="E130" i="1" s="1"/>
  <c r="E113" i="1"/>
  <c r="E119" i="1" s="1"/>
  <c r="G41" i="1"/>
  <c r="E116" i="1" l="1"/>
  <c r="E118" i="1"/>
  <c r="E117" i="1"/>
  <c r="G127" i="1"/>
  <c r="E115" i="1"/>
  <c r="G77" i="1"/>
  <c r="G105" i="1" s="1"/>
  <c r="G87" i="1" l="1"/>
  <c r="G106" i="1" s="1"/>
  <c r="E120" i="1"/>
  <c r="E131" i="1" s="1"/>
  <c r="E132" i="1" s="1"/>
  <c r="D8" i="3" s="1"/>
  <c r="G61" i="1"/>
  <c r="G103" i="1" s="1"/>
  <c r="G99" i="1"/>
  <c r="G107" i="1" s="1"/>
  <c r="G71" i="1"/>
  <c r="G104" i="1" s="1"/>
  <c r="F8" i="3" l="1"/>
  <c r="H8" i="3" s="1"/>
  <c r="H10" i="3" s="1"/>
  <c r="F27" i="3"/>
  <c r="F34" i="3" s="1"/>
  <c r="F36" i="3" s="1"/>
  <c r="F37" i="3" s="1"/>
  <c r="G109" i="1"/>
  <c r="H16" i="3" l="1"/>
  <c r="H18" i="3" s="1"/>
  <c r="H19" i="3" s="1"/>
  <c r="G129" i="1"/>
  <c r="G130" i="1" s="1"/>
  <c r="G113" i="1"/>
  <c r="G119" i="1" s="1"/>
  <c r="G117" i="1" l="1"/>
  <c r="G118" i="1"/>
  <c r="G116" i="1"/>
  <c r="G115" i="1"/>
  <c r="G120" i="1" l="1"/>
  <c r="G131" i="1" s="1"/>
  <c r="G132" i="1" s="1"/>
  <c r="G27" i="3" l="1"/>
  <c r="G34" i="3" s="1"/>
  <c r="G36" i="3" s="1"/>
  <c r="G37" i="3" s="1"/>
  <c r="D45" i="3"/>
  <c r="F45" i="3" s="1"/>
  <c r="H45" i="3" s="1"/>
  <c r="H47" i="3" l="1"/>
  <c r="H52" i="3"/>
  <c r="H54" i="3" s="1"/>
  <c r="H57" i="3" l="1"/>
  <c r="H58" i="3" s="1"/>
  <c r="H59" i="3" s="1"/>
  <c r="H79" i="3"/>
  <c r="H80" i="3" s="1"/>
  <c r="H81" i="3" s="1"/>
</calcChain>
</file>

<file path=xl/sharedStrings.xml><?xml version="1.0" encoding="utf-8"?>
<sst xmlns="http://schemas.openxmlformats.org/spreadsheetml/2006/main" count="653" uniqueCount="239">
  <si>
    <t>Composição da Remuneração</t>
  </si>
  <si>
    <t>%</t>
  </si>
  <si>
    <t>Valor (R$)</t>
  </si>
  <si>
    <t>A</t>
  </si>
  <si>
    <t>Salário Base</t>
  </si>
  <si>
    <t>B</t>
  </si>
  <si>
    <t xml:space="preserve">Adicional  de periculosidade </t>
  </si>
  <si>
    <t>C</t>
  </si>
  <si>
    <t xml:space="preserve">Adicional  de insalubridade </t>
  </si>
  <si>
    <t>D</t>
  </si>
  <si>
    <t>Adicional noturno</t>
  </si>
  <si>
    <t>E</t>
  </si>
  <si>
    <t>Hora noturna adicional</t>
  </si>
  <si>
    <t>F</t>
  </si>
  <si>
    <t>Adicional de Hora Extra</t>
  </si>
  <si>
    <t>G</t>
  </si>
  <si>
    <t>Intervalo Intrajornada</t>
  </si>
  <si>
    <t>H</t>
  </si>
  <si>
    <t>Outros (especificar)</t>
  </si>
  <si>
    <t>Total da Remuneração</t>
  </si>
  <si>
    <t>MÓDULO 2:   BENEFÍCIOS MENSAIS E DIÁRIOS </t>
  </si>
  <si>
    <t> Benefícios Mensais e Diários</t>
  </si>
  <si>
    <t>Auxílio creche</t>
  </si>
  <si>
    <t>Total de Benefícios mensais e diários</t>
  </si>
  <si>
    <t>MÓDULO 3:   INSUMOS DIVERSOS </t>
  </si>
  <si>
    <t>Insumos Diversos</t>
  </si>
  <si>
    <t>Uniformes</t>
  </si>
  <si>
    <t>Ferramentas/Equipamentos</t>
  </si>
  <si>
    <t>Total de Insumos diversos</t>
  </si>
  <si>
    <t>MÓDULO 4:   ENCARGOS SOCIAIS E TRABALHISTAS </t>
  </si>
  <si>
    <t>Submódulo 4.1 – Encargos previdenciários e FGTS: </t>
  </si>
  <si>
    <t>4.1</t>
  </si>
  <si>
    <t>Encargos previdenciários e FGTS</t>
  </si>
  <si>
    <t>INSS</t>
  </si>
  <si>
    <t>SESI ou SESC</t>
  </si>
  <si>
    <t>SENAI ou SENAC</t>
  </si>
  <si>
    <t>INCRA</t>
  </si>
  <si>
    <t>Salário Educação</t>
  </si>
  <si>
    <t>FGTS</t>
  </si>
  <si>
    <t>SEBRAE</t>
  </si>
  <si>
    <t>TOTAL</t>
  </si>
  <si>
    <t>Submódulo 4.2 – 13º Salário e Adicional de Férias</t>
  </si>
  <si>
    <t>4.2</t>
  </si>
  <si>
    <t>13º Salário e Adicional de Férias</t>
  </si>
  <si>
    <t>13 º Salário  (8,33%)</t>
  </si>
  <si>
    <t>Adicional de Férias (2,78%)</t>
  </si>
  <si>
    <t>Subtotal</t>
  </si>
  <si>
    <t>Submódulo 4.3 - Afastamento Maternidade</t>
  </si>
  <si>
    <t>4.3</t>
  </si>
  <si>
    <t>Afastamento Maternidade:</t>
  </si>
  <si>
    <t>Afastamento maternidade (0,074%)</t>
  </si>
  <si>
    <t>Submódulo 4.4 -  Provisão para Rescisão </t>
  </si>
  <si>
    <t>4.4</t>
  </si>
  <si>
    <t>Provisão para Rescisão</t>
  </si>
  <si>
    <t>Submódulo  4.5  – Custo de Reposição do Profissional Ausente </t>
  </si>
  <si>
    <t>4.5</t>
  </si>
  <si>
    <t>Composição do Custo de Reposição do Profissional Ausente</t>
  </si>
  <si>
    <t xml:space="preserve">Férias </t>
  </si>
  <si>
    <t>Ausência por doença (Estatística - 5 faltas por/ano)</t>
  </si>
  <si>
    <t>Licença paternidade (Estatística 1,5 % trabalhadores/ano)</t>
  </si>
  <si>
    <t>Ausências legais (Estatística - 1/ano)</t>
  </si>
  <si>
    <t>Ausência por Acidente de trabalho (Estatística IBGE - 8% por ano - 15 dias pagos pela empresa)</t>
  </si>
  <si>
    <t>Quadro - resumo – Módulo 4 - Encargos sociais e trabalhistas </t>
  </si>
  <si>
    <t>Módulo 4 - Encargos sociais e trabalhistas</t>
  </si>
  <si>
    <t xml:space="preserve">13 º salário + Adicional de férias </t>
  </si>
  <si>
    <t>Afastamento maternidade</t>
  </si>
  <si>
    <t>Custo de rescisão</t>
  </si>
  <si>
    <t>Custo de reposição do profissional ausente</t>
  </si>
  <si>
    <t>4.6</t>
  </si>
  <si>
    <t> 5</t>
  </si>
  <si>
    <t>Custos Indiretos, Tributos e Lucro</t>
  </si>
  <si>
    <t>Custos Indiretos</t>
  </si>
  <si>
    <t>Tributos</t>
  </si>
  <si>
    <t>Total</t>
  </si>
  <si>
    <t>Mão-de-obra vinculada à execução contratual (valor por empregado)</t>
  </si>
  <si>
    <t>Subtotal (A + B +C+ D)</t>
  </si>
  <si>
    <t>Valor total por empregado</t>
  </si>
  <si>
    <t>Discriminação dos Serviços (dados referentes à contratação)</t>
  </si>
  <si>
    <t xml:space="preserve">Data de apresentação da proposta (dia/mês/ano) </t>
  </si>
  <si>
    <t xml:space="preserve">Município/UF </t>
  </si>
  <si>
    <t>Brasília/DF</t>
  </si>
  <si>
    <t>Identificação do Serviço </t>
  </si>
  <si>
    <t>Tipo de Serviço</t>
  </si>
  <si>
    <t>Unidade de Medida</t>
  </si>
  <si>
    <t xml:space="preserve">Prestador de Serviço na Operacionalização de GED/ECM (Arquivista Pleno - NS) </t>
  </si>
  <si>
    <t>Posto</t>
  </si>
  <si>
    <t>Mão-de-obra vinculada à execução contratual</t>
  </si>
  <si>
    <t>Dados complementares para composição dos custos referente à mão-de-obra</t>
  </si>
  <si>
    <t>Tipo de serviço (mesmo serviço com características distintas)</t>
  </si>
  <si>
    <t>Categoria profissional (40 hs/semanais)</t>
  </si>
  <si>
    <t>Data base da categoria (dia/mês/ano)</t>
  </si>
  <si>
    <t>Prestador de Serviço Especialista em GED/ECM (Assistente de Arquivo Pleno - NM)</t>
  </si>
  <si>
    <t xml:space="preserve"> Quadro-Resumo – VALOR MENSAL E ANUAL DOS SERVIÇOS</t>
  </si>
  <si>
    <t>Tipo de serviço</t>
  </si>
  <si>
    <t>Valor proposto por empregado (R$)</t>
  </si>
  <si>
    <t>Qtd de empregados por posto</t>
  </si>
  <si>
    <t>Valor proposto por posto (R$)</t>
  </si>
  <si>
    <t>Qtd de postos</t>
  </si>
  <si>
    <t>Valor total do serviço (R$)</t>
  </si>
  <si>
    <t>(A)</t>
  </si>
  <si>
    <t>(B)</t>
  </si>
  <si>
    <t>(C)</t>
  </si>
  <si>
    <t>(D) = (B x C)</t>
  </si>
  <si>
    <t>(E)</t>
  </si>
  <si>
    <t>(F) = (D x E)</t>
  </si>
  <si>
    <t>I</t>
  </si>
  <si>
    <t>II</t>
  </si>
  <si>
    <t>Prestador de Serviço Especialista em GED/ECM (Assistente de Arquivista Pleno- NM)</t>
  </si>
  <si>
    <t>VALOR MENSAL DOS SERVIÇOS (I + II )</t>
  </si>
  <si>
    <t>Quadro - Demonstrativo - VALOR GLOBAL DA PROPOSTA</t>
  </si>
  <si>
    <t>Valor Global da Proposta</t>
  </si>
  <si>
    <t>Descrição</t>
  </si>
  <si>
    <t>Valor proposto por unidade de medida *</t>
  </si>
  <si>
    <t>A1</t>
  </si>
  <si>
    <t>A2</t>
  </si>
  <si>
    <t>Valor mensal do serviço</t>
  </si>
  <si>
    <t>Valor global anual da proposta (valor mensal do serviço X 12 meses do contrato).</t>
  </si>
  <si>
    <t>Nota (1): Informar o valor da unidade de medida por tipo de serviço.</t>
  </si>
  <si>
    <t xml:space="preserve">Salário Normativo da Categoria Profissional </t>
  </si>
  <si>
    <t>2015/2016</t>
  </si>
  <si>
    <t xml:space="preserve">Transporte = [22 dias x 2(R$ 4,00 + R$ 2,25) - participação servidor 6% do salário base] </t>
  </si>
  <si>
    <t>Participação de 50% salários acima de R$3.167,10</t>
  </si>
  <si>
    <t>Reajuste de 4,08%</t>
  </si>
  <si>
    <t>Auxílio alimentação (21 dias x R$ 24,00)</t>
  </si>
  <si>
    <t>Participação de 60% salários entre R$1900,08 e R$3.167,69</t>
  </si>
  <si>
    <t>PROPOSTA VENCEDORA - PLANILJHA DO CONTRATO 33/2016-MME</t>
  </si>
  <si>
    <t>1º TERMO DE APOSTILAMENTO - CONTRATO 33/2016-MME</t>
  </si>
  <si>
    <t>PLANILHA DE CUSTOS E FORMAÇÃO DE PREÇOS PRESTAÇÃO DE SERVIÇOS DE GESTÃO DOCUMENTAL</t>
  </si>
  <si>
    <t>Valor proposto por empregado - 1º APOSTILAMENTO (R$)</t>
  </si>
  <si>
    <t>Valor proposto por empregado - (R$)</t>
  </si>
  <si>
    <t>CONFORME CONTRATO 33/2016-MME</t>
  </si>
  <si>
    <t>CONTRATO</t>
  </si>
  <si>
    <t>Valor proposto por empregado                            1º Apostilamento (R$)</t>
  </si>
  <si>
    <t>(Acréscimo de 02 Postos de Trabalho de Assistente de Arquivista Pleno- NM)</t>
  </si>
  <si>
    <t xml:space="preserve">2º TERMO ADITIVO - CONTRATO 33/2016-MME  </t>
  </si>
  <si>
    <t>12 MESES</t>
  </si>
  <si>
    <t>09 MESES</t>
  </si>
  <si>
    <t>01 MÊS</t>
  </si>
  <si>
    <t xml:space="preserve"> Quadro-Resumo – Quantidade de Empregados e Postos e VALOR POR EMPREGADO</t>
  </si>
  <si>
    <t>01.05 a 30.12.2017</t>
  </si>
  <si>
    <t>ORÇAMENTO                                                                                    2º TERMO ADITIVO</t>
  </si>
  <si>
    <r>
      <t>Prestador de Serviço na Operacionalização de GED/ECM (A</t>
    </r>
    <r>
      <rPr>
        <b/>
        <sz val="9"/>
        <color theme="1"/>
        <rFont val="Calibri"/>
        <family val="2"/>
        <scheme val="minor"/>
      </rPr>
      <t>rquivista Pleno - NS</t>
    </r>
    <r>
      <rPr>
        <sz val="9"/>
        <color theme="1"/>
        <rFont val="Calibri"/>
        <family val="2"/>
        <scheme val="minor"/>
      </rPr>
      <t xml:space="preserve">) </t>
    </r>
  </si>
  <si>
    <r>
      <t>Prestador de Serviço Especialista em GED/ECM (</t>
    </r>
    <r>
      <rPr>
        <b/>
        <sz val="9"/>
        <color theme="1"/>
        <rFont val="Calibri"/>
        <family val="2"/>
        <scheme val="minor"/>
      </rPr>
      <t>Assistente de Arquivista Pleno- NM</t>
    </r>
    <r>
      <rPr>
        <sz val="9"/>
        <color theme="1"/>
        <rFont val="Calibri"/>
        <family val="2"/>
        <scheme val="minor"/>
      </rPr>
      <t>)</t>
    </r>
  </si>
  <si>
    <r>
      <t xml:space="preserve">Prestador de Serviço na Operacionalização de GED/ECM </t>
    </r>
    <r>
      <rPr>
        <b/>
        <sz val="9"/>
        <color theme="1"/>
        <rFont val="Calibri"/>
        <family val="2"/>
        <scheme val="minor"/>
      </rPr>
      <t xml:space="preserve">(Arquivista Pleno - NS) </t>
    </r>
  </si>
  <si>
    <r>
      <t xml:space="preserve">Prestador de Serviço Especialista em GED/ECM </t>
    </r>
    <r>
      <rPr>
        <b/>
        <sz val="9"/>
        <color theme="1"/>
        <rFont val="Calibri"/>
        <family val="2"/>
        <scheme val="minor"/>
      </rPr>
      <t>(Assistente de Arquivista Pleno- NM)</t>
    </r>
  </si>
  <si>
    <t>Valor proposto por posto         (R$)</t>
  </si>
  <si>
    <r>
      <t> </t>
    </r>
    <r>
      <rPr>
        <b/>
        <sz val="9"/>
        <color rgb="FF000000"/>
        <rFont val="Times New Roman"/>
        <family val="1"/>
      </rPr>
      <t>MÓDULO 1 :   COMPOSIÇÃO DA REMUNERAÇÃO</t>
    </r>
    <r>
      <rPr>
        <sz val="9"/>
        <color rgb="FF000000"/>
        <rFont val="Times New Roman"/>
        <family val="1"/>
      </rPr>
      <t> </t>
    </r>
  </si>
  <si>
    <r>
      <rPr>
        <b/>
        <sz val="9"/>
        <color rgb="FF000000"/>
        <rFont val="Times New Roman"/>
        <family val="1"/>
      </rPr>
      <t xml:space="preserve">Nota: </t>
    </r>
    <r>
      <rPr>
        <sz val="9"/>
        <color rgb="FF000000"/>
        <rFont val="Times New Roman"/>
        <family val="1"/>
      </rPr>
      <t>o valor informado deverá ser o custo real do insumo (descontado o valor eventualmente pago pelo empregado).</t>
    </r>
    <r>
      <rPr>
        <sz val="10"/>
        <color rgb="FF000000"/>
        <rFont val="Times New Roman"/>
        <family val="1"/>
      </rPr>
      <t> </t>
    </r>
  </si>
  <si>
    <r>
      <rPr>
        <b/>
        <sz val="9"/>
        <color rgb="FF000000"/>
        <rFont val="Times New Roman"/>
        <family val="1"/>
      </rPr>
      <t xml:space="preserve">Nota (1) </t>
    </r>
    <r>
      <rPr>
        <sz val="9"/>
        <color rgb="FF000000"/>
        <rFont val="Times New Roman"/>
        <family val="1"/>
      </rPr>
      <t>- Os percentuais dos encargos previdenciários e FGTS são aqueles estabelecidos pela legislação vigente. </t>
    </r>
  </si>
  <si>
    <r>
      <rPr>
        <b/>
        <sz val="9"/>
        <color rgb="FF000000"/>
        <rFont val="Times New Roman"/>
        <family val="1"/>
      </rPr>
      <t>Nota (2)</t>
    </r>
    <r>
      <rPr>
        <sz val="9"/>
        <color rgb="FF000000"/>
        <rFont val="Times New Roman"/>
        <family val="1"/>
      </rPr>
      <t xml:space="preserve"> - Percentuais incidentes sobre a remuneração. </t>
    </r>
  </si>
  <si>
    <r>
      <t> </t>
    </r>
    <r>
      <rPr>
        <b/>
        <sz val="9"/>
        <color rgb="FF000000"/>
        <rFont val="Times New Roman"/>
        <family val="1"/>
      </rPr>
      <t>MÓDULO 5 - CUSTOS INDIRETOS, TRIBUTOS E LUCRO</t>
    </r>
    <r>
      <rPr>
        <sz val="9"/>
        <color rgb="FF000000"/>
        <rFont val="Times New Roman"/>
        <family val="1"/>
      </rPr>
      <t> </t>
    </r>
  </si>
  <si>
    <r>
      <t>Anexo III – B - Quadro-resumo do Custo por Empregado</t>
    </r>
    <r>
      <rPr>
        <sz val="9"/>
        <color theme="1"/>
        <rFont val="Times New Roman"/>
        <family val="1"/>
      </rPr>
      <t> </t>
    </r>
  </si>
  <si>
    <r>
      <rPr>
        <b/>
        <sz val="9"/>
        <color rgb="FF000000"/>
        <rFont val="Times New Roman"/>
        <family val="1"/>
      </rPr>
      <t xml:space="preserve">Nota: </t>
    </r>
    <r>
      <rPr>
        <sz val="9"/>
        <color rgb="FF000000"/>
        <rFont val="Times New Roman"/>
        <family val="1"/>
      </rPr>
      <t>Valores mensais por empregado. </t>
    </r>
  </si>
  <si>
    <r>
      <t>Processo nº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>48000.001216/2016-94</t>
    </r>
  </si>
  <si>
    <r>
      <t>Aviso prévio indenizado</t>
    </r>
    <r>
      <rPr>
        <sz val="9"/>
        <color rgb="FF000000"/>
        <rFont val="Times New Roman"/>
        <family val="1"/>
      </rPr>
      <t xml:space="preserve">                                                                </t>
    </r>
    <r>
      <rPr>
        <sz val="8"/>
        <color rgb="FF000000"/>
        <rFont val="Times New Roman"/>
        <family val="1"/>
      </rPr>
      <t xml:space="preserve">   (Estimativa: 5% dos empregados serão substituídos durante um ano)  </t>
    </r>
    <r>
      <rPr>
        <b/>
        <sz val="8"/>
        <color rgb="FF000000"/>
        <rFont val="Times New Roman"/>
        <family val="1"/>
      </rPr>
      <t xml:space="preserve">{[0,05x(1/12)]x100} = 0,4117 = 0,42% </t>
    </r>
    <r>
      <rPr>
        <sz val="8"/>
        <color rgb="FF000000"/>
        <rFont val="Times New Roman"/>
        <family val="1"/>
      </rPr>
      <t xml:space="preserve"> art.487 CLT - Sumula 305/TST, Ac.2.271/2010-TCU,  Lei nº 12506/2011.</t>
    </r>
  </si>
  <si>
    <r>
      <t>Multa do FGTS no Aviso Prévio Indenizado</t>
    </r>
    <r>
      <rPr>
        <sz val="9"/>
        <color rgb="FF000000"/>
        <rFont val="Times New Roman"/>
        <family val="1"/>
      </rPr>
      <t xml:space="preserve">                                                </t>
    </r>
    <r>
      <rPr>
        <sz val="8"/>
        <color rgb="FF000000"/>
        <rFont val="Times New Roman"/>
        <family val="1"/>
      </rPr>
      <t xml:space="preserve">  (multa de 40% FGTS + 10% contribuição) x o aviso o prévio indenizado (0,42)      </t>
    </r>
    <r>
      <rPr>
        <b/>
        <sz val="8"/>
        <color rgb="FF000000"/>
        <rFont val="Times New Roman"/>
        <family val="1"/>
      </rPr>
      <t>(0,42%)*0,50  =  0,21</t>
    </r>
    <r>
      <rPr>
        <sz val="8"/>
        <color rgb="FF000000"/>
        <rFont val="Times New Roman"/>
        <family val="1"/>
      </rPr>
      <t xml:space="preserve">  (Art. 18, § 1º da Lei nº 8.036/90,Art. 1º da Lei Complementar nº 110/2001)</t>
    </r>
  </si>
  <si>
    <r>
      <t>Aviso prévio trabalhado</t>
    </r>
    <r>
      <rPr>
        <sz val="9"/>
        <color rgb="FF000000"/>
        <rFont val="Times New Roman"/>
        <family val="1"/>
      </rPr>
      <t xml:space="preserve">                                                                 </t>
    </r>
    <r>
      <rPr>
        <sz val="8"/>
        <color rgb="FF000000"/>
        <rFont val="Times New Roman"/>
        <family val="1"/>
      </rPr>
      <t xml:space="preserve">  (redução de 7 dias ou de 2 horas por dia, percentual relativo a contrato de 12 meses)     </t>
    </r>
    <r>
      <rPr>
        <b/>
        <sz val="8"/>
        <color rgb="FF000000"/>
        <rFont val="Times New Roman"/>
        <family val="1"/>
      </rPr>
      <t xml:space="preserve"> [(100%/30) x 7]/12=1,94% </t>
    </r>
    <r>
      <rPr>
        <sz val="8"/>
        <color rgb="FF000000"/>
        <rFont val="Times New Roman"/>
        <family val="1"/>
      </rPr>
      <t xml:space="preserve"> (Ac.3006/2010-TCU; art.7º, XXI, CF/88, 477, 487 e 491 CLT)</t>
    </r>
  </si>
  <si>
    <r>
      <t>Incidência do submódulo 4.1</t>
    </r>
    <r>
      <rPr>
        <sz val="9"/>
        <color rgb="FF000000"/>
        <rFont val="Times New Roman"/>
        <family val="1"/>
      </rPr>
      <t xml:space="preserve"> sobre aviso prévio trabalhado</t>
    </r>
  </si>
  <si>
    <r>
      <rPr>
        <b/>
        <sz val="9"/>
        <color rgb="FF000000"/>
        <rFont val="Times New Roman"/>
        <family val="1"/>
      </rPr>
      <t xml:space="preserve">B.2  </t>
    </r>
    <r>
      <rPr>
        <sz val="9"/>
        <color rgb="FF000000"/>
        <rFont val="Times New Roman"/>
        <family val="1"/>
      </rPr>
      <t>Tributos Estaduais  - ISS (5%) (Distrito Federal)</t>
    </r>
  </si>
  <si>
    <r>
      <rPr>
        <b/>
        <sz val="9"/>
        <color rgb="FF000000"/>
        <rFont val="Times New Roman"/>
        <family val="1"/>
      </rPr>
      <t>B.4</t>
    </r>
    <r>
      <rPr>
        <sz val="9"/>
        <color rgb="FF000000"/>
        <rFont val="Times New Roman"/>
        <family val="1"/>
      </rPr>
      <t>   Outros tributos (CPRB - Lei 13.161/2015 (4,5%))</t>
    </r>
  </si>
  <si>
    <r>
      <rPr>
        <b/>
        <sz val="9"/>
        <color rgb="FF000000"/>
        <rFont val="Times New Roman"/>
        <family val="1"/>
      </rPr>
      <t>B.3  </t>
    </r>
    <r>
      <rPr>
        <sz val="9"/>
        <color rgb="FF000000"/>
        <rFont val="Times New Roman"/>
        <family val="1"/>
      </rPr>
      <t xml:space="preserve"> Tributos Municipais (especificar)</t>
    </r>
  </si>
  <si>
    <r>
      <rPr>
        <b/>
        <sz val="9"/>
        <color rgb="FF000000"/>
        <rFont val="Times New Roman"/>
        <family val="1"/>
      </rPr>
      <t xml:space="preserve">Lucro </t>
    </r>
    <r>
      <rPr>
        <sz val="9"/>
        <color rgb="FF000000"/>
        <rFont val="Times New Roman"/>
        <family val="1"/>
      </rPr>
      <t xml:space="preserve">(8,65%) - Estudo TCU - TC 025.990/2008-2 </t>
    </r>
  </si>
  <si>
    <r>
      <rPr>
        <b/>
        <sz val="8"/>
        <color rgb="FF000000"/>
        <rFont val="Times New Roman"/>
        <family val="1"/>
      </rPr>
      <t xml:space="preserve">Nota (1): </t>
    </r>
    <r>
      <rPr>
        <sz val="8"/>
        <color rgb="FF000000"/>
        <rFont val="Times New Roman"/>
        <family val="1"/>
      </rPr>
      <t>Custos Indiretos, Tributos e Lucro por empregado.</t>
    </r>
  </si>
  <si>
    <r>
      <t>Pregão Eletrônico nº 20/2016 - Data</t>
    </r>
    <r>
      <rPr>
        <sz val="10"/>
        <color theme="1"/>
        <rFont val="Times New Roman"/>
        <family val="1"/>
      </rPr>
      <t>: 11/11/2016 às 10:00h</t>
    </r>
  </si>
  <si>
    <r>
      <rPr>
        <b/>
        <sz val="9"/>
        <color rgb="FF000000"/>
        <rFont val="Times New Roman"/>
        <family val="1"/>
      </rPr>
      <t>Módulo 1</t>
    </r>
    <r>
      <rPr>
        <sz val="9"/>
        <color rgb="FF000000"/>
        <rFont val="Times New Roman"/>
        <family val="1"/>
      </rPr>
      <t xml:space="preserve"> – Composição da Remuneração</t>
    </r>
  </si>
  <si>
    <r>
      <rPr>
        <b/>
        <sz val="9"/>
        <color rgb="FF000000"/>
        <rFont val="Times New Roman"/>
        <family val="1"/>
      </rPr>
      <t xml:space="preserve">Módulo 2 </t>
    </r>
    <r>
      <rPr>
        <sz val="9"/>
        <color rgb="FF000000"/>
        <rFont val="Times New Roman"/>
        <family val="1"/>
      </rPr>
      <t>– Benefícios Mensais e Diários</t>
    </r>
  </si>
  <si>
    <r>
      <rPr>
        <b/>
        <sz val="9"/>
        <color rgb="FF000000"/>
        <rFont val="Times New Roman"/>
        <family val="1"/>
      </rPr>
      <t xml:space="preserve">Módulo 3 </t>
    </r>
    <r>
      <rPr>
        <sz val="9"/>
        <color rgb="FF000000"/>
        <rFont val="Times New Roman"/>
        <family val="1"/>
      </rPr>
      <t>– Insumos Diversos (uniformes, materiais, equipamentos e outros)</t>
    </r>
  </si>
  <si>
    <r>
      <rPr>
        <b/>
        <sz val="9"/>
        <color rgb="FF000000"/>
        <rFont val="Times New Roman"/>
        <family val="1"/>
      </rPr>
      <t xml:space="preserve">Módulo 4 </t>
    </r>
    <r>
      <rPr>
        <sz val="9"/>
        <color rgb="FF000000"/>
        <rFont val="Times New Roman"/>
        <family val="1"/>
      </rPr>
      <t>– Encargos Sociais e Trabalhistas</t>
    </r>
  </si>
  <si>
    <r>
      <rPr>
        <b/>
        <sz val="9"/>
        <color rgb="FF000000"/>
        <rFont val="Times New Roman"/>
        <family val="1"/>
      </rPr>
      <t xml:space="preserve">Módulo 5 </t>
    </r>
    <r>
      <rPr>
        <sz val="9"/>
        <color rgb="FF000000"/>
        <rFont val="Times New Roman"/>
        <family val="1"/>
      </rPr>
      <t>– Custos indiretos, tributos e lucro</t>
    </r>
  </si>
  <si>
    <r>
      <rPr>
        <b/>
        <sz val="8"/>
        <color rgb="FF000000"/>
        <rFont val="Times New Roman"/>
        <family val="1"/>
      </rPr>
      <t xml:space="preserve">Nota (2): </t>
    </r>
    <r>
      <rPr>
        <sz val="8"/>
        <color rgb="FF000000"/>
        <rFont val="Times New Roman"/>
        <family val="1"/>
      </rPr>
      <t>O valor referente a tributos é obtido aplicando-se o percentual sobre o valor do faturamento.</t>
    </r>
  </si>
  <si>
    <r>
      <rPr>
        <b/>
        <sz val="9"/>
        <color rgb="FF000000"/>
        <rFont val="Times New Roman"/>
        <family val="1"/>
      </rPr>
      <t>Auxílio alimentação</t>
    </r>
    <r>
      <rPr>
        <sz val="9"/>
        <color rgb="FF000000"/>
        <rFont val="Times New Roman"/>
        <family val="1"/>
      </rPr>
      <t xml:space="preserve">                                                                                                     </t>
    </r>
    <r>
      <rPr>
        <sz val="8"/>
        <color rgb="FF000000"/>
        <rFont val="Times New Roman"/>
        <family val="1"/>
      </rPr>
      <t xml:space="preserve">    (21 dias x R$ 20,00) - CLÁUSULA DÉCIMA SEGUNDA - VALE REFEIÇÃO/ALIMENTAÇÃO </t>
    </r>
  </si>
  <si>
    <r>
      <rPr>
        <b/>
        <sz val="9"/>
        <color rgb="FF000000"/>
        <rFont val="Times New Roman"/>
        <family val="1"/>
      </rPr>
      <t>Assistência médica e familiar</t>
    </r>
    <r>
      <rPr>
        <sz val="9"/>
        <color rgb="FF000000"/>
        <rFont val="Times New Roman"/>
        <family val="1"/>
      </rPr>
      <t xml:space="preserve">                                                                                          </t>
    </r>
    <r>
      <rPr>
        <sz val="8"/>
        <color rgb="FF000000"/>
        <rFont val="Times New Roman"/>
        <family val="1"/>
      </rPr>
      <t>CCT-CLÁUSULA DÉCIMA QUINTA - ASSISTÊNCIA MÉDICO-HOSPITALAR - Participação Patronal 50%</t>
    </r>
  </si>
  <si>
    <r>
      <rPr>
        <b/>
        <sz val="9"/>
        <color rgb="FF000000"/>
        <rFont val="Times New Roman"/>
        <family val="1"/>
      </rPr>
      <t xml:space="preserve">SEGURO DE VIDA                                                                                             </t>
    </r>
    <r>
      <rPr>
        <b/>
        <sz val="8"/>
        <color rgb="FF000000"/>
        <rFont val="Times New Roman"/>
        <family val="1"/>
      </rPr>
      <t xml:space="preserve">         </t>
    </r>
    <r>
      <rPr>
        <sz val="8"/>
        <color rgb="FF000000"/>
        <rFont val="Times New Roman"/>
        <family val="1"/>
      </rPr>
      <t xml:space="preserve"> CCT - CLÁUSULA DÉCIMA SEXTA -  INCLUI O AUXÍLIO FUNERAL</t>
    </r>
  </si>
  <si>
    <r>
      <rPr>
        <b/>
        <sz val="9"/>
        <color rgb="FF000000"/>
        <rFont val="Times New Roman"/>
        <family val="1"/>
      </rPr>
      <t>ASSISTÊNCIA ODONTOLÓGICA</t>
    </r>
    <r>
      <rPr>
        <sz val="9"/>
        <color rgb="FF000000"/>
        <rFont val="Times New Roman"/>
        <family val="1"/>
      </rPr>
      <t xml:space="preserve">                                                                      </t>
    </r>
    <r>
      <rPr>
        <sz val="8"/>
        <color rgb="FF000000"/>
        <rFont val="Times New Roman"/>
        <family val="1"/>
      </rPr>
      <t xml:space="preserve">  CCT CLÁUSULA QUADRAGÉSIMA OITAVA - CUSTEADO PELO EMPREGADO</t>
    </r>
  </si>
  <si>
    <t xml:space="preserve">Salário Família </t>
  </si>
  <si>
    <r>
      <rPr>
        <b/>
        <sz val="9"/>
        <color rgb="FF000000"/>
        <rFont val="Times New Roman"/>
        <family val="1"/>
      </rPr>
      <t xml:space="preserve">Transporte                                                                                                                      </t>
    </r>
    <r>
      <rPr>
        <b/>
        <sz val="8"/>
        <color rgb="FF000000"/>
        <rFont val="Times New Roman"/>
        <family val="1"/>
      </rPr>
      <t xml:space="preserve"> </t>
    </r>
    <r>
      <rPr>
        <sz val="8"/>
        <color rgb="FF000000"/>
        <rFont val="Times New Roman"/>
        <family val="1"/>
      </rPr>
      <t xml:space="preserve"> [22 dias x 2(R$ 4,00 + R$ 2,25) - participação empregado 6% do salário base]  Itinerário: Cidade Satélite/Rodoviária PP/Esplanada - Esplanada/Rodoviária PP/Cidade Satélite - CCT-CLÁUSULA DÉCIMA TERCEIRA - TRANSPORTE</t>
    </r>
  </si>
  <si>
    <r>
      <rPr>
        <b/>
        <sz val="9"/>
        <color rgb="FF000000"/>
        <rFont val="Times New Roman"/>
        <family val="1"/>
      </rPr>
      <t xml:space="preserve">Treinamento específico na área de atuação                                                                  </t>
    </r>
    <r>
      <rPr>
        <b/>
        <sz val="8"/>
        <color rgb="FF000000"/>
        <rFont val="Times New Roman"/>
        <family val="1"/>
      </rPr>
      <t xml:space="preserve"> (</t>
    </r>
    <r>
      <rPr>
        <sz val="8"/>
        <color rgb="FF000000"/>
        <rFont val="Times New Roman"/>
        <family val="1"/>
      </rPr>
      <t>conforme disposto no Item 11.8 do Termo de Referência - DAS OBRIGAÇÕES DA CONTRATADA (valor estimado com base em informações da CODES/CGRH para treinamento similares realizado pelo SENAI)</t>
    </r>
  </si>
  <si>
    <r>
      <rPr>
        <b/>
        <sz val="9"/>
        <color rgb="FF000000"/>
        <rFont val="Times New Roman"/>
        <family val="1"/>
      </rPr>
      <t xml:space="preserve">Incidência do Submódulo 4.1 </t>
    </r>
    <r>
      <rPr>
        <sz val="9"/>
        <color rgb="FF000000"/>
        <rFont val="Times New Roman"/>
        <family val="1"/>
      </rPr>
      <t>sobre 13º Salário e Adicional de Férias</t>
    </r>
  </si>
  <si>
    <r>
      <rPr>
        <b/>
        <sz val="9"/>
        <color rgb="FF000000"/>
        <rFont val="Times New Roman"/>
        <family val="1"/>
      </rPr>
      <t xml:space="preserve">Incidência do submódulo 4.1 </t>
    </r>
    <r>
      <rPr>
        <sz val="9"/>
        <color rgb="FF000000"/>
        <rFont val="Times New Roman"/>
        <family val="1"/>
      </rPr>
      <t>sobre afastamento maternidade</t>
    </r>
  </si>
  <si>
    <r>
      <t>Multa do FGTS no Aviso Prévio Trabalhado</t>
    </r>
    <r>
      <rPr>
        <sz val="9"/>
        <color rgb="FF000000"/>
        <rFont val="Times New Roman"/>
        <family val="1"/>
      </rPr>
      <t xml:space="preserve">                                            </t>
    </r>
    <r>
      <rPr>
        <sz val="8"/>
        <color rgb="FF000000"/>
        <rFont val="Times New Roman"/>
        <family val="1"/>
      </rPr>
      <t xml:space="preserve">(multa de 40% FGTS + 10% contribuição) x o aviso o prévio trabalhado) = (1,94)       </t>
    </r>
    <r>
      <rPr>
        <b/>
        <sz val="8"/>
        <color rgb="FF000000"/>
        <rFont val="Times New Roman"/>
        <family val="1"/>
      </rPr>
      <t xml:space="preserve">(1,94%)*0,50  =  0,97 </t>
    </r>
    <r>
      <rPr>
        <sz val="8"/>
        <color rgb="FF000000"/>
        <rFont val="Times New Roman"/>
        <family val="1"/>
      </rPr>
      <t>(art. 18, § 1º da Lei nº 8.036/90 com redação dada pela Lei nº 9.491/97)</t>
    </r>
  </si>
  <si>
    <t>Seguro Acidente do Trabalho</t>
  </si>
  <si>
    <r>
      <rPr>
        <b/>
        <sz val="9"/>
        <color rgb="FF000000"/>
        <rFont val="Times New Roman"/>
        <family val="1"/>
      </rPr>
      <t xml:space="preserve">Incidência do submódulo 4.1 </t>
    </r>
    <r>
      <rPr>
        <sz val="9"/>
        <color rgb="FF000000"/>
        <rFont val="Times New Roman"/>
        <family val="1"/>
      </rPr>
      <t xml:space="preserve">sobre o Custo de reposição </t>
    </r>
  </si>
  <si>
    <r>
      <rPr>
        <b/>
        <sz val="9"/>
        <color rgb="FF000000"/>
        <rFont val="Times New Roman"/>
        <family val="1"/>
      </rPr>
      <t xml:space="preserve">B.1 </t>
    </r>
    <r>
      <rPr>
        <sz val="9"/>
        <color rgb="FF000000"/>
        <rFont val="Times New Roman"/>
        <family val="1"/>
      </rPr>
      <t>Tributos Federais - PIS (0,65% ) + COFINS (3,00) = 3,65%</t>
    </r>
  </si>
  <si>
    <t>Mão-de-obra vinculada à execução contratual                                (valor por empregado)</t>
  </si>
  <si>
    <t> Quantidade total a contratar                     (em função da unidade de medida)</t>
  </si>
  <si>
    <r>
      <t>N</t>
    </r>
    <r>
      <rPr>
        <b/>
        <strike/>
        <sz val="9"/>
        <color rgb="FF000000"/>
        <rFont val="Times New Roman"/>
        <family val="1"/>
      </rPr>
      <t>º</t>
    </r>
    <r>
      <rPr>
        <b/>
        <sz val="9"/>
        <color rgb="FF000000"/>
        <rFont val="Times New Roman"/>
        <family val="1"/>
      </rPr>
      <t xml:space="preserve"> de meses de execução contratual</t>
    </r>
  </si>
  <si>
    <t>Auxílio alimentação        (21 dias x R$ 24,00)</t>
  </si>
  <si>
    <t xml:space="preserve">Transporte = [22 dias x 2(R$ 4,00 + R$ 2,25) - participação empreg. 6% do salário base] </t>
  </si>
  <si>
    <t>CONVENÇÃO COLETIVA DE TRABALHO 2015/2016 - SINDPD-DF/SIDESEI-DF (Data base: 1º de maio)</t>
  </si>
  <si>
    <t>A partir de 01/05/2017 até 30/12/2017                                         Conforme CCT 2016/2018 homologada</t>
  </si>
  <si>
    <t>1 (um)</t>
  </si>
  <si>
    <t>1º de maio de 2016</t>
  </si>
  <si>
    <t>1º de maio de 2017</t>
  </si>
  <si>
    <r>
      <rPr>
        <b/>
        <sz val="9"/>
        <color rgb="FF000000"/>
        <rFont val="Times New Roman"/>
        <family val="1"/>
      </rPr>
      <t>Nota:</t>
    </r>
    <r>
      <rPr>
        <sz val="9"/>
        <color rgb="FF000000"/>
        <rFont val="Times New Roman"/>
        <family val="1"/>
      </rPr>
      <t xml:space="preserve"> Valores mensais por empregado. </t>
    </r>
  </si>
  <si>
    <r>
      <rPr>
        <b/>
        <sz val="9"/>
        <color rgb="FF000000"/>
        <rFont val="Times New Roman"/>
        <family val="1"/>
      </rPr>
      <t>Treinamento específico na área de atuação                                                                   (</t>
    </r>
    <r>
      <rPr>
        <sz val="9"/>
        <color rgb="FF000000"/>
        <rFont val="Times New Roman"/>
        <family val="1"/>
      </rPr>
      <t>conforme disposto no Item 11.8 do Termo de Referência - DAS OBRIGAÇÕES DA CONTRATADA (valor estimado com base em informações da CODES/CGRH para treinamento similares realizado pelo SENAI)</t>
    </r>
  </si>
  <si>
    <r>
      <t>Processo nº</t>
    </r>
    <r>
      <rPr>
        <sz val="9"/>
        <color theme="1"/>
        <rFont val="Times New Roman"/>
        <family val="1"/>
      </rPr>
      <t xml:space="preserve"> </t>
    </r>
    <r>
      <rPr>
        <b/>
        <sz val="9"/>
        <color theme="1"/>
        <rFont val="Times New Roman"/>
        <family val="1"/>
      </rPr>
      <t>48000.001216/2016-94</t>
    </r>
  </si>
  <si>
    <r>
      <t>Pregão Eletrônico nº 20/2016 - Data</t>
    </r>
    <r>
      <rPr>
        <sz val="9"/>
        <color theme="1"/>
        <rFont val="Times New Roman"/>
        <family val="1"/>
      </rPr>
      <t>: 11/11/2016 às 10:00h</t>
    </r>
  </si>
  <si>
    <r>
      <rPr>
        <b/>
        <sz val="9"/>
        <color rgb="FF000000"/>
        <rFont val="Times New Roman"/>
        <family val="1"/>
      </rPr>
      <t xml:space="preserve">Transporte                                                                                                                       </t>
    </r>
    <r>
      <rPr>
        <sz val="9"/>
        <color rgb="FF000000"/>
        <rFont val="Times New Roman"/>
        <family val="1"/>
      </rPr>
      <t xml:space="preserve"> [22 dias x 2(R$ 4,00 + R$ 2,25) - participação empregado 6% do salário base]  Itinerário: Cidade Satélite/Rodoviária PP/Esplanada - Esplanada/Rodoviária PP/Cidade Satélite - CCT-CLÁUSULA DÉCIMA TERCEIRA - TRANSPORTE</t>
    </r>
  </si>
  <si>
    <r>
      <rPr>
        <b/>
        <sz val="9"/>
        <color rgb="FF000000"/>
        <rFont val="Times New Roman"/>
        <family val="1"/>
      </rPr>
      <t>Auxílio alimentação</t>
    </r>
    <r>
      <rPr>
        <sz val="9"/>
        <color rgb="FF000000"/>
        <rFont val="Times New Roman"/>
        <family val="1"/>
      </rPr>
      <t xml:space="preserve">                                                                                                         (21 dias x R$ 20,00) - CLÁUSULA DÉCIMA SEGUNDA - VALE REFEIÇÃO/ALIMENTAÇÃO </t>
    </r>
  </si>
  <si>
    <r>
      <rPr>
        <b/>
        <sz val="9"/>
        <color rgb="FF000000"/>
        <rFont val="Times New Roman"/>
        <family val="1"/>
      </rPr>
      <t>Assistência médica e familiar</t>
    </r>
    <r>
      <rPr>
        <sz val="9"/>
        <color rgb="FF000000"/>
        <rFont val="Times New Roman"/>
        <family val="1"/>
      </rPr>
      <t xml:space="preserve">                                                                                          CCT-CLÁUSULA DÉCIMA QUINTA - ASSISTÊNCIA MÉDICO-HOSPITALAR - Participação Patronal 50%</t>
    </r>
  </si>
  <si>
    <r>
      <rPr>
        <b/>
        <sz val="9"/>
        <color rgb="FF000000"/>
        <rFont val="Times New Roman"/>
        <family val="1"/>
      </rPr>
      <t xml:space="preserve">SEGURO DE VIDA                                                                                                      </t>
    </r>
    <r>
      <rPr>
        <sz val="9"/>
        <color rgb="FF000000"/>
        <rFont val="Times New Roman"/>
        <family val="1"/>
      </rPr>
      <t xml:space="preserve"> CCT - CLÁUSULA DÉCIMA SEXTA -  INCLUI O AUXÍLIO FUNERAL</t>
    </r>
  </si>
  <si>
    <r>
      <rPr>
        <b/>
        <sz val="9"/>
        <color rgb="FF000000"/>
        <rFont val="Times New Roman"/>
        <family val="1"/>
      </rPr>
      <t>ASSISTÊNCIA ODONTOLÓGICA</t>
    </r>
    <r>
      <rPr>
        <sz val="9"/>
        <color rgb="FF000000"/>
        <rFont val="Times New Roman"/>
        <family val="1"/>
      </rPr>
      <t xml:space="preserve">                                                                        CCT CLÁUSULA QUADRAGÉSIMA OITAVA - CUSTEADO PELO EMPREGADO</t>
    </r>
  </si>
  <si>
    <r>
      <rPr>
        <b/>
        <sz val="9"/>
        <color rgb="FF000000"/>
        <rFont val="Times New Roman"/>
        <family val="1"/>
      </rPr>
      <t xml:space="preserve">13 º Salário </t>
    </r>
    <r>
      <rPr>
        <sz val="9"/>
        <color rgb="FF000000"/>
        <rFont val="Times New Roman"/>
        <family val="1"/>
      </rPr>
      <t xml:space="preserve"> (8,33%)</t>
    </r>
  </si>
  <si>
    <r>
      <rPr>
        <b/>
        <sz val="9"/>
        <color rgb="FF000000"/>
        <rFont val="Times New Roman"/>
        <family val="1"/>
      </rPr>
      <t>Adicional de Férias</t>
    </r>
    <r>
      <rPr>
        <sz val="9"/>
        <color rgb="FF000000"/>
        <rFont val="Times New Roman"/>
        <family val="1"/>
      </rPr>
      <t xml:space="preserve"> (2,78%)</t>
    </r>
  </si>
  <si>
    <r>
      <rPr>
        <b/>
        <sz val="9"/>
        <color rgb="FF000000"/>
        <rFont val="Times New Roman"/>
        <family val="1"/>
      </rPr>
      <t>Incidência do submódulo 4.1</t>
    </r>
    <r>
      <rPr>
        <sz val="9"/>
        <color rgb="FF000000"/>
        <rFont val="Times New Roman"/>
        <family val="1"/>
      </rPr>
      <t xml:space="preserve"> sobre afastamento maternidade</t>
    </r>
  </si>
  <si>
    <r>
      <t>Aviso prévio indenizado</t>
    </r>
    <r>
      <rPr>
        <sz val="9"/>
        <color rgb="FF000000"/>
        <rFont val="Times New Roman"/>
        <family val="1"/>
      </rPr>
      <t xml:space="preserve">                                                                   (Estimativa: 5% dos empregados serão substituídos durante um ano)  </t>
    </r>
    <r>
      <rPr>
        <b/>
        <sz val="9"/>
        <color rgb="FF000000"/>
        <rFont val="Times New Roman"/>
        <family val="1"/>
      </rPr>
      <t xml:space="preserve">{[0,05x(1/12)]x100} = 0,4117 = 0,42% </t>
    </r>
    <r>
      <rPr>
        <sz val="9"/>
        <color rgb="FF000000"/>
        <rFont val="Times New Roman"/>
        <family val="1"/>
      </rPr>
      <t xml:space="preserve"> art.487 CLT - Sumula 305/TST, Ac.2.271/2010-TCU,  Lei nº 12506/2011.</t>
    </r>
  </si>
  <si>
    <r>
      <t>Multa do FGTS no Aviso Prévio Indenizado</t>
    </r>
    <r>
      <rPr>
        <sz val="9"/>
        <color rgb="FF000000"/>
        <rFont val="Times New Roman"/>
        <family val="1"/>
      </rPr>
      <t xml:space="preserve">                                                  (multa de 40% FGTS + 10% contribuição) x o aviso o prévio indenizado (0,42)      </t>
    </r>
    <r>
      <rPr>
        <b/>
        <sz val="9"/>
        <color rgb="FF000000"/>
        <rFont val="Times New Roman"/>
        <family val="1"/>
      </rPr>
      <t>(0,42%)*0,50  =  0,21</t>
    </r>
    <r>
      <rPr>
        <sz val="9"/>
        <color rgb="FF000000"/>
        <rFont val="Times New Roman"/>
        <family val="1"/>
      </rPr>
      <t xml:space="preserve">  (Art. 18, § 1º da Lei nº 8.036/90,Art. 1º da Lei Complementar nº 110/2001)</t>
    </r>
  </si>
  <si>
    <r>
      <t>Aviso prévio trabalhado</t>
    </r>
    <r>
      <rPr>
        <sz val="9"/>
        <color rgb="FF000000"/>
        <rFont val="Times New Roman"/>
        <family val="1"/>
      </rPr>
      <t xml:space="preserve">                                                                   (redução de 7 dias ou de 2 horas por dia, percentual relativo a contrato de 12 meses)     </t>
    </r>
    <r>
      <rPr>
        <b/>
        <sz val="9"/>
        <color rgb="FF000000"/>
        <rFont val="Times New Roman"/>
        <family val="1"/>
      </rPr>
      <t xml:space="preserve"> [(100%/30) x 7]/12=1,94% </t>
    </r>
    <r>
      <rPr>
        <sz val="9"/>
        <color rgb="FF000000"/>
        <rFont val="Times New Roman"/>
        <family val="1"/>
      </rPr>
      <t xml:space="preserve"> (Ac.3006/2010-TCU; art.7º, XXI, CF/88, 477, 487 e 491 CLT)</t>
    </r>
  </si>
  <si>
    <r>
      <t>Multa do FGTS no Aviso Prévio Trabalhado</t>
    </r>
    <r>
      <rPr>
        <sz val="9"/>
        <color rgb="FF000000"/>
        <rFont val="Times New Roman"/>
        <family val="1"/>
      </rPr>
      <t xml:space="preserve">                                            (multa de 40% FGTS + 10% contribuição) x o aviso o prévio trabalhado) = (1,94)       </t>
    </r>
    <r>
      <rPr>
        <b/>
        <sz val="9"/>
        <color rgb="FF000000"/>
        <rFont val="Times New Roman"/>
        <family val="1"/>
      </rPr>
      <t xml:space="preserve">(1,94%)*0,50  =  0,97 </t>
    </r>
    <r>
      <rPr>
        <sz val="9"/>
        <color rgb="FF000000"/>
        <rFont val="Times New Roman"/>
        <family val="1"/>
      </rPr>
      <t>(art. 18, § 1º da Lei nº 8.036/90 com redação dada pela Lei nº 9.491/97)</t>
    </r>
  </si>
  <si>
    <r>
      <rPr>
        <b/>
        <sz val="9"/>
        <color rgb="FF000000"/>
        <rFont val="Times New Roman"/>
        <family val="1"/>
      </rPr>
      <t>Nota (1):</t>
    </r>
    <r>
      <rPr>
        <sz val="9"/>
        <color rgb="FF000000"/>
        <rFont val="Times New Roman"/>
        <family val="1"/>
      </rPr>
      <t xml:space="preserve"> Custos Indiretos, Tributos e Lucro por empregado.</t>
    </r>
  </si>
  <si>
    <r>
      <rPr>
        <b/>
        <sz val="9"/>
        <color rgb="FF000000"/>
        <rFont val="Times New Roman"/>
        <family val="1"/>
      </rPr>
      <t xml:space="preserve">Nota (2): </t>
    </r>
    <r>
      <rPr>
        <sz val="9"/>
        <color rgb="FF000000"/>
        <rFont val="Times New Roman"/>
        <family val="1"/>
      </rPr>
      <t>O valor referente a tributos é obtido aplicando-se o percentual sobre o valor do faturamento.</t>
    </r>
  </si>
  <si>
    <r>
      <rPr>
        <b/>
        <sz val="9"/>
        <color rgb="FF000000"/>
        <rFont val="Times New Roman"/>
        <family val="1"/>
      </rPr>
      <t>B.2 </t>
    </r>
    <r>
      <rPr>
        <sz val="9"/>
        <color rgb="FF000000"/>
        <rFont val="Times New Roman"/>
        <family val="1"/>
      </rPr>
      <t xml:space="preserve"> Tributos Estaduais  - ISS (5%) (Distrito Federal)</t>
    </r>
  </si>
  <si>
    <r>
      <rPr>
        <b/>
        <sz val="9"/>
        <color rgb="FF000000"/>
        <rFont val="Times New Roman"/>
        <family val="1"/>
      </rPr>
      <t>B.3 </t>
    </r>
    <r>
      <rPr>
        <sz val="9"/>
        <color rgb="FF000000"/>
        <rFont val="Times New Roman"/>
        <family val="1"/>
      </rPr>
      <t>  Tributos Municipais (especificar)</t>
    </r>
  </si>
  <si>
    <r>
      <rPr>
        <b/>
        <sz val="9"/>
        <color rgb="FF000000"/>
        <rFont val="Times New Roman"/>
        <family val="1"/>
      </rPr>
      <t>B.4  </t>
    </r>
    <r>
      <rPr>
        <sz val="9"/>
        <color rgb="FF000000"/>
        <rFont val="Times New Roman"/>
        <family val="1"/>
      </rPr>
      <t xml:space="preserve"> Outros tributos (CPRB - Lei 13.161/2015 (4,5%))</t>
    </r>
  </si>
  <si>
    <r>
      <rPr>
        <b/>
        <sz val="9"/>
        <color rgb="FF000000"/>
        <rFont val="Times New Roman"/>
        <family val="1"/>
      </rPr>
      <t>Incidência do submódulo 4.1</t>
    </r>
    <r>
      <rPr>
        <sz val="9"/>
        <color rgb="FF000000"/>
        <rFont val="Times New Roman"/>
        <family val="1"/>
      </rPr>
      <t xml:space="preserve"> sobre o Custo de reposição </t>
    </r>
  </si>
  <si>
    <r>
      <rPr>
        <b/>
        <sz val="9"/>
        <color rgb="FF000000"/>
        <rFont val="Times New Roman"/>
        <family val="1"/>
      </rPr>
      <t xml:space="preserve">Módulo 1 </t>
    </r>
    <r>
      <rPr>
        <sz val="9"/>
        <color rgb="FF000000"/>
        <rFont val="Times New Roman"/>
        <family val="1"/>
      </rPr>
      <t>– Composição da Remuneração</t>
    </r>
  </si>
  <si>
    <r>
      <rPr>
        <b/>
        <sz val="9"/>
        <color rgb="FF000000"/>
        <rFont val="Times New Roman"/>
        <family val="1"/>
      </rPr>
      <t>Módulo 2</t>
    </r>
    <r>
      <rPr>
        <sz val="9"/>
        <color rgb="FF000000"/>
        <rFont val="Times New Roman"/>
        <family val="1"/>
      </rPr>
      <t xml:space="preserve"> – Benefícios Mensais e Diários</t>
    </r>
  </si>
  <si>
    <r>
      <rPr>
        <b/>
        <sz val="9"/>
        <color rgb="FF000000"/>
        <rFont val="Times New Roman"/>
        <family val="1"/>
      </rPr>
      <t>Módulo 3</t>
    </r>
    <r>
      <rPr>
        <sz val="9"/>
        <color rgb="FF000000"/>
        <rFont val="Times New Roman"/>
        <family val="1"/>
      </rPr>
      <t xml:space="preserve"> – Insumos Diversos (uniformes, materiais, equipamentos e outros)</t>
    </r>
  </si>
  <si>
    <r>
      <rPr>
        <b/>
        <sz val="9"/>
        <color rgb="FF000000"/>
        <rFont val="Times New Roman"/>
        <family val="1"/>
      </rPr>
      <t>Módulo 5</t>
    </r>
    <r>
      <rPr>
        <sz val="9"/>
        <color rgb="FF000000"/>
        <rFont val="Times New Roman"/>
        <family val="1"/>
      </rPr>
      <t xml:space="preserve"> – Custos indiretos, tributos e lucro</t>
    </r>
  </si>
  <si>
    <t>2017/2018</t>
  </si>
  <si>
    <t>Reajuste de 1,69%</t>
  </si>
  <si>
    <t>Auxílio alimentação        (21 dias x R$ 25,00)</t>
  </si>
  <si>
    <r>
      <rPr>
        <b/>
        <sz val="9"/>
        <color rgb="FF000000"/>
        <rFont val="Times New Roman"/>
        <family val="1"/>
      </rPr>
      <t xml:space="preserve">Incidência do submódulo 4.1 </t>
    </r>
    <r>
      <rPr>
        <sz val="9"/>
        <color rgb="FF000000"/>
        <rFont val="Times New Roman"/>
        <family val="1"/>
      </rPr>
      <t>sobre aviso prévio indenizado</t>
    </r>
  </si>
  <si>
    <t>A partir de 01/05/2018 até 30/12/2018                                       Conforme CCT 2018/2019 homologada</t>
  </si>
  <si>
    <t>1º de maio de 2018</t>
  </si>
  <si>
    <t>Auxílio alimentação (21 dias x R$ 25,00)</t>
  </si>
  <si>
    <t>Participação de 60% salários entre R$1.932,19 e R$3.221,22</t>
  </si>
  <si>
    <t>Participação de 50% salários acima de R$3.221,23</t>
  </si>
  <si>
    <r>
      <rPr>
        <b/>
        <sz val="9"/>
        <color rgb="FF000000"/>
        <rFont val="Times New Roman"/>
        <family val="1"/>
      </rPr>
      <t>Incidência do submódulo 4.1</t>
    </r>
    <r>
      <rPr>
        <sz val="9"/>
        <color rgb="FF000000"/>
        <rFont val="Times New Roman"/>
        <family val="1"/>
      </rPr>
      <t xml:space="preserve"> sobre aviso prévio indenizado</t>
    </r>
  </si>
  <si>
    <t xml:space="preserve">Transporte = [22 dias x 2(R$ 5,00 + R$ 2,50) - participação empreg. 6% do salário base] </t>
  </si>
  <si>
    <t xml:space="preserve">3º TERMO ADITIVO - CONTRATO 33/2016-MME  </t>
  </si>
  <si>
    <t>Valor total do serviço                  (R$)</t>
  </si>
  <si>
    <t>Valor proposto por empregado                         3º T. Aditivo (R$)</t>
  </si>
  <si>
    <t>Quantitativos requeridos no 3º Termo Aditivo ao Contrato Nº 33/2016-MME</t>
  </si>
  <si>
    <t>VALOR GLOBAL À PARTIR DE 01.05.2018</t>
  </si>
  <si>
    <t>ORÇAMENTO                                                                                  3º TERMO ADITIVO                                       DIFERENÇA REPAC - CCT 2018/2019</t>
  </si>
  <si>
    <t> Quantidade total a contratar                                        (em função da unidade de medida)</t>
  </si>
  <si>
    <r>
      <rPr>
        <sz val="9"/>
        <color rgb="FF000000"/>
        <rFont val="Times New Roman"/>
        <family val="1"/>
      </rPr>
      <t xml:space="preserve">Afastamento maternidade </t>
    </r>
    <r>
      <rPr>
        <b/>
        <sz val="9"/>
        <color rgb="FF000000"/>
        <rFont val="Times New Roman"/>
        <family val="1"/>
      </rPr>
      <t>(0,07%)</t>
    </r>
  </si>
  <si>
    <t>2018/2019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</si>
</sst>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R$&quot;\ #,##0.00;[Red]\-&quot;R$&quot;\ #,##0.00"/>
    <numFmt numFmtId="165" formatCode="&quot;R$&quot;#,##0.00"/>
  </numFmts>
  <fonts count="4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8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9"/>
      <color rgb="FFFFFFFF"/>
      <name val="Times New Roman"/>
      <family val="1"/>
    </font>
    <font>
      <b/>
      <sz val="7"/>
      <color rgb="FF000000"/>
      <name val="Times New Roman"/>
      <family val="1"/>
    </font>
    <font>
      <sz val="7"/>
      <color rgb="FF000000"/>
      <name val="Times New Roman"/>
      <family val="1"/>
    </font>
    <font>
      <b/>
      <strike/>
      <sz val="9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sz val="9"/>
      <color rgb="FFFF0000"/>
      <name val="Calibri"/>
      <family val="2"/>
      <scheme val="minor"/>
    </font>
    <font>
      <b/>
      <sz val="10"/>
      <color rgb="FFFF000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7"/>
      <name val="Times New Roman"/>
      <family val="1"/>
    </font>
    <font>
      <sz val="7"/>
      <name val="Times New Roman"/>
      <family val="1"/>
    </font>
    <font>
      <sz val="9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431">
    <xf numFmtId="0" fontId="0" fillId="0" borderId="0" xfId="0"/>
    <xf numFmtId="0" fontId="0" fillId="4" borderId="0" xfId="0" applyFill="1"/>
    <xf numFmtId="0" fontId="10" fillId="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0" xfId="0" applyFont="1" applyBorder="1"/>
    <xf numFmtId="0" fontId="11" fillId="0" borderId="6" xfId="0" applyFont="1" applyBorder="1"/>
    <xf numFmtId="0" fontId="10" fillId="5" borderId="10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4" fontId="11" fillId="0" borderId="10" xfId="0" applyNumberFormat="1" applyFont="1" applyBorder="1" applyAlignment="1">
      <alignment vertical="center" wrapText="1"/>
    </xf>
    <xf numFmtId="4" fontId="10" fillId="3" borderId="10" xfId="0" applyNumberFormat="1" applyFont="1" applyFill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0" xfId="0" applyFont="1" applyBorder="1"/>
    <xf numFmtId="0" fontId="1" fillId="0" borderId="6" xfId="0" applyFont="1" applyBorder="1"/>
    <xf numFmtId="0" fontId="10" fillId="5" borderId="10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vertical="center"/>
    </xf>
    <xf numFmtId="0" fontId="11" fillId="0" borderId="9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vertical="center"/>
    </xf>
    <xf numFmtId="4" fontId="11" fillId="0" borderId="10" xfId="0" applyNumberFormat="1" applyFont="1" applyBorder="1" applyAlignment="1">
      <alignment horizontal="center" vertical="center" wrapText="1"/>
    </xf>
    <xf numFmtId="4" fontId="10" fillId="0" borderId="1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4" fontId="10" fillId="0" borderId="10" xfId="0" applyNumberFormat="1" applyFont="1" applyBorder="1" applyAlignment="1">
      <alignment vertical="center" wrapText="1"/>
    </xf>
    <xf numFmtId="0" fontId="10" fillId="5" borderId="9" xfId="0" applyFont="1" applyFill="1" applyBorder="1" applyAlignment="1">
      <alignment vertical="center" wrapText="1"/>
    </xf>
    <xf numFmtId="4" fontId="10" fillId="0" borderId="1" xfId="0" applyNumberFormat="1" applyFont="1" applyBorder="1" applyAlignment="1">
      <alignment vertical="center" wrapText="1"/>
    </xf>
    <xf numFmtId="4" fontId="15" fillId="0" borderId="10" xfId="0" applyNumberFormat="1" applyFont="1" applyBorder="1" applyAlignment="1">
      <alignment horizontal="right" vertical="center" wrapText="1"/>
    </xf>
    <xf numFmtId="4" fontId="15" fillId="0" borderId="14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9" fontId="4" fillId="4" borderId="1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2" fontId="4" fillId="0" borderId="10" xfId="0" applyNumberFormat="1" applyFont="1" applyFill="1" applyBorder="1" applyAlignment="1">
      <alignment horizontal="center" vertical="center" wrapText="1"/>
    </xf>
    <xf numFmtId="2" fontId="4" fillId="4" borderId="10" xfId="0" applyNumberFormat="1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0" borderId="10" xfId="0" applyNumberFormat="1" applyFont="1" applyBorder="1" applyAlignment="1">
      <alignment vertical="center" wrapText="1"/>
    </xf>
    <xf numFmtId="2" fontId="4" fillId="0" borderId="10" xfId="0" applyNumberFormat="1" applyFont="1" applyBorder="1" applyAlignment="1">
      <alignment vertical="center" wrapText="1"/>
    </xf>
    <xf numFmtId="4" fontId="19" fillId="0" borderId="10" xfId="0" applyNumberFormat="1" applyFont="1" applyBorder="1" applyAlignment="1">
      <alignment vertical="center" wrapText="1"/>
    </xf>
    <xf numFmtId="0" fontId="0" fillId="0" borderId="1" xfId="0" applyBorder="1"/>
    <xf numFmtId="0" fontId="11" fillId="0" borderId="1" xfId="0" applyFont="1" applyBorder="1"/>
    <xf numFmtId="0" fontId="21" fillId="0" borderId="1" xfId="0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/>
    <xf numFmtId="2" fontId="19" fillId="7" borderId="10" xfId="0" applyNumberFormat="1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vertical="center" wrapText="1"/>
    </xf>
    <xf numFmtId="10" fontId="19" fillId="7" borderId="1" xfId="0" applyNumberFormat="1" applyFont="1" applyFill="1" applyBorder="1" applyAlignment="1">
      <alignment horizontal="center" vertical="center" wrapText="1"/>
    </xf>
    <xf numFmtId="4" fontId="19" fillId="7" borderId="10" xfId="0" applyNumberFormat="1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vertical="center" wrapText="1"/>
    </xf>
    <xf numFmtId="0" fontId="4" fillId="7" borderId="9" xfId="0" applyFont="1" applyFill="1" applyBorder="1" applyAlignment="1">
      <alignment vertical="center" wrapText="1"/>
    </xf>
    <xf numFmtId="0" fontId="11" fillId="7" borderId="18" xfId="0" applyFont="1" applyFill="1" applyBorder="1"/>
    <xf numFmtId="165" fontId="20" fillId="0" borderId="10" xfId="0" applyNumberFormat="1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165" fontId="19" fillId="7" borderId="10" xfId="0" applyNumberFormat="1" applyFont="1" applyFill="1" applyBorder="1" applyAlignment="1">
      <alignment vertical="center" wrapText="1"/>
    </xf>
    <xf numFmtId="165" fontId="19" fillId="7" borderId="14" xfId="0" applyNumberFormat="1" applyFont="1" applyFill="1" applyBorder="1" applyAlignment="1">
      <alignment vertical="center" wrapText="1"/>
    </xf>
    <xf numFmtId="165" fontId="19" fillId="4" borderId="1" xfId="0" applyNumberFormat="1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65" fontId="19" fillId="7" borderId="1" xfId="0" applyNumberFormat="1" applyFont="1" applyFill="1" applyBorder="1" applyAlignment="1">
      <alignment horizontal="center" vertical="center" wrapText="1"/>
    </xf>
    <xf numFmtId="4" fontId="19" fillId="7" borderId="1" xfId="0" applyNumberFormat="1" applyFont="1" applyFill="1" applyBorder="1" applyAlignment="1">
      <alignment vertical="center" wrapText="1"/>
    </xf>
    <xf numFmtId="2" fontId="4" fillId="8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19" fillId="7" borderId="1" xfId="0" applyNumberFormat="1" applyFont="1" applyFill="1" applyBorder="1" applyAlignment="1">
      <alignment horizontal="center" vertical="center" wrapText="1"/>
    </xf>
    <xf numFmtId="4" fontId="19" fillId="7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4" fontId="19" fillId="0" borderId="1" xfId="0" applyNumberFormat="1" applyFont="1" applyBorder="1" applyAlignment="1">
      <alignment vertical="center" wrapText="1"/>
    </xf>
    <xf numFmtId="0" fontId="0" fillId="0" borderId="10" xfId="0" applyBorder="1"/>
    <xf numFmtId="0" fontId="19" fillId="0" borderId="9" xfId="0" applyFont="1" applyBorder="1" applyAlignment="1">
      <alignment vertical="center" wrapText="1"/>
    </xf>
    <xf numFmtId="165" fontId="19" fillId="7" borderId="18" xfId="0" applyNumberFormat="1" applyFont="1" applyFill="1" applyBorder="1" applyAlignment="1">
      <alignment vertical="center" wrapText="1"/>
    </xf>
    <xf numFmtId="4" fontId="19" fillId="7" borderId="18" xfId="0" applyNumberFormat="1" applyFont="1" applyFill="1" applyBorder="1" applyAlignment="1">
      <alignment vertical="center" wrapText="1"/>
    </xf>
    <xf numFmtId="10" fontId="19" fillId="8" borderId="1" xfId="0" applyNumberFormat="1" applyFont="1" applyFill="1" applyBorder="1" applyAlignment="1">
      <alignment horizontal="center" vertical="center" wrapText="1"/>
    </xf>
    <xf numFmtId="164" fontId="19" fillId="4" borderId="1" xfId="0" applyNumberFormat="1" applyFont="1" applyFill="1" applyBorder="1" applyAlignment="1">
      <alignment horizontal="center" vertical="center" wrapText="1"/>
    </xf>
    <xf numFmtId="0" fontId="21" fillId="7" borderId="9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2" fontId="3" fillId="7" borderId="1" xfId="0" applyNumberFormat="1" applyFont="1" applyFill="1" applyBorder="1" applyAlignment="1">
      <alignment horizontal="center" vertical="center" wrapText="1"/>
    </xf>
    <xf numFmtId="2" fontId="3" fillId="7" borderId="10" xfId="0" applyNumberFormat="1" applyFont="1" applyFill="1" applyBorder="1" applyAlignment="1">
      <alignment horizontal="center" vertical="center" wrapText="1"/>
    </xf>
    <xf numFmtId="2" fontId="5" fillId="7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165" fontId="19" fillId="7" borderId="10" xfId="0" applyNumberFormat="1" applyFont="1" applyFill="1" applyBorder="1" applyAlignment="1">
      <alignment horizontal="center" vertical="center" wrapText="1"/>
    </xf>
    <xf numFmtId="10" fontId="4" fillId="7" borderId="1" xfId="0" applyNumberFormat="1" applyFont="1" applyFill="1" applyBorder="1" applyAlignment="1">
      <alignment horizontal="center" vertical="center" wrapText="1"/>
    </xf>
    <xf numFmtId="10" fontId="4" fillId="8" borderId="1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0" fillId="0" borderId="9" xfId="0" applyBorder="1"/>
    <xf numFmtId="0" fontId="11" fillId="0" borderId="10" xfId="0" applyFont="1" applyBorder="1"/>
    <xf numFmtId="0" fontId="2" fillId="7" borderId="9" xfId="0" applyFont="1" applyFill="1" applyBorder="1" applyAlignment="1">
      <alignment horizontal="center" vertical="center" wrapText="1"/>
    </xf>
    <xf numFmtId="0" fontId="25" fillId="0" borderId="0" xfId="0" applyFont="1"/>
    <xf numFmtId="2" fontId="27" fillId="0" borderId="1" xfId="0" applyNumberFormat="1" applyFont="1" applyFill="1" applyBorder="1" applyAlignment="1">
      <alignment horizontal="center" vertical="center" wrapText="1"/>
    </xf>
    <xf numFmtId="2" fontId="28" fillId="7" borderId="1" xfId="0" applyNumberFormat="1" applyFont="1" applyFill="1" applyBorder="1" applyAlignment="1">
      <alignment horizontal="center" vertical="center" wrapText="1"/>
    </xf>
    <xf numFmtId="2" fontId="27" fillId="4" borderId="1" xfId="0" applyNumberFormat="1" applyFont="1" applyFill="1" applyBorder="1" applyAlignment="1">
      <alignment horizontal="center" vertical="center" wrapText="1"/>
    </xf>
    <xf numFmtId="4" fontId="27" fillId="0" borderId="1" xfId="0" applyNumberFormat="1" applyFont="1" applyBorder="1" applyAlignment="1">
      <alignment horizontal="center" vertical="center" wrapText="1"/>
    </xf>
    <xf numFmtId="4" fontId="28" fillId="7" borderId="1" xfId="0" applyNumberFormat="1" applyFont="1" applyFill="1" applyBorder="1" applyAlignment="1">
      <alignment horizontal="center" vertical="center" wrapText="1"/>
    </xf>
    <xf numFmtId="4" fontId="27" fillId="0" borderId="1" xfId="0" applyNumberFormat="1" applyFont="1" applyBorder="1" applyAlignment="1">
      <alignment vertical="center" wrapText="1"/>
    </xf>
    <xf numFmtId="2" fontId="27" fillId="0" borderId="1" xfId="0" applyNumberFormat="1" applyFont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4" fontId="28" fillId="0" borderId="1" xfId="0" applyNumberFormat="1" applyFont="1" applyBorder="1" applyAlignment="1">
      <alignment vertical="center" wrapText="1"/>
    </xf>
    <xf numFmtId="4" fontId="28" fillId="7" borderId="18" xfId="0" applyNumberFormat="1" applyFont="1" applyFill="1" applyBorder="1" applyAlignment="1">
      <alignment vertical="center" wrapText="1"/>
    </xf>
    <xf numFmtId="0" fontId="25" fillId="0" borderId="1" xfId="0" applyFont="1" applyBorder="1"/>
    <xf numFmtId="0" fontId="25" fillId="0" borderId="10" xfId="0" applyFont="1" applyBorder="1"/>
    <xf numFmtId="0" fontId="29" fillId="0" borderId="1" xfId="0" applyFont="1" applyBorder="1"/>
    <xf numFmtId="0" fontId="29" fillId="0" borderId="10" xfId="0" applyFont="1" applyBorder="1"/>
    <xf numFmtId="2" fontId="30" fillId="7" borderId="1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19" fillId="7" borderId="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10" fontId="38" fillId="8" borderId="1" xfId="1" applyNumberFormat="1" applyFont="1" applyFill="1" applyBorder="1" applyAlignment="1">
      <alignment horizontal="center" vertical="center" wrapText="1"/>
    </xf>
    <xf numFmtId="164" fontId="32" fillId="8" borderId="10" xfId="0" applyNumberFormat="1" applyFont="1" applyFill="1" applyBorder="1" applyAlignment="1">
      <alignment horizontal="right" vertical="center" wrapText="1"/>
    </xf>
    <xf numFmtId="165" fontId="32" fillId="8" borderId="10" xfId="0" applyNumberFormat="1" applyFont="1" applyFill="1" applyBorder="1" applyAlignment="1">
      <alignment horizontal="right" vertical="center" wrapText="1"/>
    </xf>
    <xf numFmtId="0" fontId="31" fillId="0" borderId="1" xfId="0" applyFont="1" applyBorder="1" applyAlignment="1">
      <alignment horizontal="center" vertical="center" wrapText="1"/>
    </xf>
    <xf numFmtId="165" fontId="31" fillId="0" borderId="10" xfId="0" applyNumberFormat="1" applyFont="1" applyBorder="1" applyAlignment="1">
      <alignment horizontal="center" vertical="center" wrapText="1"/>
    </xf>
    <xf numFmtId="4" fontId="32" fillId="7" borderId="1" xfId="0" applyNumberFormat="1" applyFont="1" applyFill="1" applyBorder="1" applyAlignment="1">
      <alignment vertical="center" wrapText="1"/>
    </xf>
    <xf numFmtId="165" fontId="32" fillId="7" borderId="10" xfId="0" applyNumberFormat="1" applyFont="1" applyFill="1" applyBorder="1" applyAlignment="1">
      <alignment vertical="center" wrapText="1"/>
    </xf>
    <xf numFmtId="2" fontId="39" fillId="8" borderId="1" xfId="0" applyNumberFormat="1" applyFont="1" applyFill="1" applyBorder="1" applyAlignment="1">
      <alignment horizontal="center" vertical="center" wrapText="1"/>
    </xf>
    <xf numFmtId="2" fontId="31" fillId="8" borderId="10" xfId="0" applyNumberFormat="1" applyFont="1" applyFill="1" applyBorder="1" applyAlignment="1">
      <alignment horizontal="center" vertical="center" wrapText="1"/>
    </xf>
    <xf numFmtId="2" fontId="31" fillId="0" borderId="1" xfId="0" applyNumberFormat="1" applyFont="1" applyBorder="1" applyAlignment="1">
      <alignment horizontal="center" vertical="center" wrapText="1"/>
    </xf>
    <xf numFmtId="2" fontId="31" fillId="0" borderId="10" xfId="0" applyNumberFormat="1" applyFont="1" applyBorder="1" applyAlignment="1">
      <alignment horizontal="center" vertical="center" wrapText="1"/>
    </xf>
    <xf numFmtId="2" fontId="31" fillId="0" borderId="1" xfId="0" applyNumberFormat="1" applyFont="1" applyFill="1" applyBorder="1" applyAlignment="1">
      <alignment horizontal="center" vertical="center" wrapText="1"/>
    </xf>
    <xf numFmtId="2" fontId="31" fillId="0" borderId="10" xfId="0" applyNumberFormat="1" applyFont="1" applyFill="1" applyBorder="1" applyAlignment="1">
      <alignment horizontal="center" vertical="center" wrapText="1"/>
    </xf>
    <xf numFmtId="2" fontId="32" fillId="7" borderId="1" xfId="0" applyNumberFormat="1" applyFont="1" applyFill="1" applyBorder="1" applyAlignment="1">
      <alignment horizontal="center" vertical="center" wrapText="1"/>
    </xf>
    <xf numFmtId="2" fontId="32" fillId="7" borderId="10" xfId="0" applyNumberFormat="1" applyFont="1" applyFill="1" applyBorder="1" applyAlignment="1">
      <alignment horizontal="center" vertical="center" wrapText="1"/>
    </xf>
    <xf numFmtId="2" fontId="31" fillId="4" borderId="1" xfId="0" applyNumberFormat="1" applyFont="1" applyFill="1" applyBorder="1" applyAlignment="1">
      <alignment horizontal="center" vertical="center" wrapText="1"/>
    </xf>
    <xf numFmtId="2" fontId="31" fillId="4" borderId="10" xfId="0" applyNumberFormat="1" applyFont="1" applyFill="1" applyBorder="1" applyAlignment="1">
      <alignment horizontal="center" vertical="center" wrapText="1"/>
    </xf>
    <xf numFmtId="4" fontId="31" fillId="0" borderId="10" xfId="0" applyNumberFormat="1" applyFont="1" applyBorder="1" applyAlignment="1">
      <alignment horizontal="center" vertical="center" wrapText="1"/>
    </xf>
    <xf numFmtId="4" fontId="32" fillId="7" borderId="10" xfId="0" applyNumberFormat="1" applyFont="1" applyFill="1" applyBorder="1" applyAlignment="1">
      <alignment horizontal="center" vertical="center" wrapText="1"/>
    </xf>
    <xf numFmtId="10" fontId="32" fillId="7" borderId="1" xfId="0" applyNumberFormat="1" applyFont="1" applyFill="1" applyBorder="1" applyAlignment="1">
      <alignment horizontal="center" vertical="center" wrapText="1"/>
    </xf>
    <xf numFmtId="10" fontId="3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31" fillId="0" borderId="1" xfId="0" applyNumberFormat="1" applyFont="1" applyBorder="1" applyAlignment="1">
      <alignment vertical="center" wrapText="1"/>
    </xf>
    <xf numFmtId="4" fontId="31" fillId="0" borderId="10" xfId="0" applyNumberFormat="1" applyFont="1" applyBorder="1" applyAlignment="1">
      <alignment vertical="center" wrapText="1"/>
    </xf>
    <xf numFmtId="2" fontId="31" fillId="0" borderId="1" xfId="0" applyNumberFormat="1" applyFont="1" applyBorder="1" applyAlignment="1">
      <alignment vertical="center" wrapText="1"/>
    </xf>
    <xf numFmtId="2" fontId="31" fillId="0" borderId="10" xfId="0" applyNumberFormat="1" applyFont="1" applyBorder="1" applyAlignment="1">
      <alignment vertical="center" wrapText="1"/>
    </xf>
    <xf numFmtId="0" fontId="31" fillId="0" borderId="1" xfId="0" applyFont="1" applyBorder="1" applyAlignment="1">
      <alignment vertical="center" wrapText="1"/>
    </xf>
    <xf numFmtId="4" fontId="32" fillId="0" borderId="1" xfId="0" applyNumberFormat="1" applyFont="1" applyBorder="1" applyAlignment="1">
      <alignment vertical="center" wrapText="1"/>
    </xf>
    <xf numFmtId="4" fontId="32" fillId="0" borderId="10" xfId="0" applyNumberFormat="1" applyFont="1" applyBorder="1" applyAlignment="1">
      <alignment vertical="center" wrapText="1"/>
    </xf>
    <xf numFmtId="4" fontId="32" fillId="7" borderId="18" xfId="0" applyNumberFormat="1" applyFont="1" applyFill="1" applyBorder="1" applyAlignment="1">
      <alignment vertical="center" wrapText="1"/>
    </xf>
    <xf numFmtId="165" fontId="32" fillId="7" borderId="14" xfId="0" applyNumberFormat="1" applyFont="1" applyFill="1" applyBorder="1" applyAlignment="1">
      <alignment vertical="center" wrapText="1"/>
    </xf>
    <xf numFmtId="10" fontId="31" fillId="0" borderId="1" xfId="0" applyNumberFormat="1" applyFont="1" applyFill="1" applyBorder="1" applyAlignment="1">
      <alignment horizontal="center" vertical="center" wrapText="1"/>
    </xf>
    <xf numFmtId="0" fontId="33" fillId="0" borderId="0" xfId="0" applyFont="1" applyBorder="1"/>
    <xf numFmtId="0" fontId="33" fillId="0" borderId="6" xfId="0" applyFont="1" applyBorder="1"/>
    <xf numFmtId="0" fontId="25" fillId="0" borderId="0" xfId="0" applyFont="1" applyBorder="1"/>
    <xf numFmtId="0" fontId="25" fillId="0" borderId="6" xfId="0" applyFont="1" applyBorder="1"/>
    <xf numFmtId="10" fontId="16" fillId="0" borderId="1" xfId="1" applyNumberFormat="1" applyFont="1" applyFill="1" applyBorder="1" applyAlignment="1">
      <alignment horizontal="center" vertical="center" wrapText="1"/>
    </xf>
    <xf numFmtId="164" fontId="19" fillId="0" borderId="10" xfId="0" applyNumberFormat="1" applyFont="1" applyFill="1" applyBorder="1" applyAlignment="1">
      <alignment horizontal="right" vertical="center" wrapText="1"/>
    </xf>
    <xf numFmtId="165" fontId="19" fillId="0" borderId="10" xfId="0" applyNumberFormat="1" applyFont="1" applyFill="1" applyBorder="1" applyAlignment="1">
      <alignment horizontal="right" vertical="center" wrapText="1"/>
    </xf>
    <xf numFmtId="2" fontId="17" fillId="0" borderId="1" xfId="0" applyNumberFormat="1" applyFont="1" applyFill="1" applyBorder="1" applyAlignment="1">
      <alignment horizontal="center" vertical="center" wrapText="1"/>
    </xf>
    <xf numFmtId="10" fontId="19" fillId="0" borderId="1" xfId="1" applyNumberFormat="1" applyFont="1" applyFill="1" applyBorder="1" applyAlignment="1">
      <alignment horizontal="center" vertical="center" wrapText="1"/>
    </xf>
    <xf numFmtId="164" fontId="19" fillId="0" borderId="10" xfId="0" applyNumberFormat="1" applyFont="1" applyFill="1" applyBorder="1" applyAlignment="1">
      <alignment horizontal="center" vertical="center" wrapText="1"/>
    </xf>
    <xf numFmtId="165" fontId="19" fillId="0" borderId="10" xfId="0" applyNumberFormat="1" applyFont="1" applyFill="1" applyBorder="1" applyAlignment="1">
      <alignment horizontal="center" vertical="center" wrapText="1"/>
    </xf>
    <xf numFmtId="10" fontId="32" fillId="8" borderId="1" xfId="1" applyNumberFormat="1" applyFont="1" applyFill="1" applyBorder="1" applyAlignment="1">
      <alignment horizontal="center" vertical="center" wrapText="1"/>
    </xf>
    <xf numFmtId="164" fontId="32" fillId="8" borderId="10" xfId="0" applyNumberFormat="1" applyFont="1" applyFill="1" applyBorder="1" applyAlignment="1">
      <alignment horizontal="center" vertical="center" wrapText="1"/>
    </xf>
    <xf numFmtId="2" fontId="40" fillId="7" borderId="10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0" fontId="19" fillId="2" borderId="1" xfId="0" applyNumberFormat="1" applyFont="1" applyFill="1" applyBorder="1" applyAlignment="1">
      <alignment horizontal="center" vertical="center" wrapText="1"/>
    </xf>
    <xf numFmtId="4" fontId="32" fillId="0" borderId="10" xfId="0" applyNumberFormat="1" applyFont="1" applyBorder="1" applyAlignment="1">
      <alignment horizontal="center" vertical="center" wrapText="1"/>
    </xf>
    <xf numFmtId="0" fontId="10" fillId="9" borderId="10" xfId="0" applyFont="1" applyFill="1" applyBorder="1" applyAlignment="1">
      <alignment horizontal="center" vertical="center" wrapText="1"/>
    </xf>
    <xf numFmtId="4" fontId="10" fillId="9" borderId="10" xfId="0" applyNumberFormat="1" applyFont="1" applyFill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5" fillId="5" borderId="27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10" fillId="5" borderId="28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41" fillId="8" borderId="1" xfId="0" applyFont="1" applyFill="1" applyBorder="1" applyAlignment="1">
      <alignment horizontal="left" vertical="center" wrapText="1"/>
    </xf>
    <xf numFmtId="4" fontId="41" fillId="8" borderId="1" xfId="0" applyNumberFormat="1" applyFont="1" applyFill="1" applyBorder="1" applyAlignment="1">
      <alignment horizontal="right" vertical="center" wrapText="1"/>
    </xf>
    <xf numFmtId="0" fontId="31" fillId="0" borderId="10" xfId="0" applyFont="1" applyBorder="1" applyAlignment="1">
      <alignment horizontal="right" vertical="center" wrapText="1"/>
    </xf>
    <xf numFmtId="165" fontId="32" fillId="7" borderId="10" xfId="0" applyNumberFormat="1" applyFont="1" applyFill="1" applyBorder="1" applyAlignment="1">
      <alignment horizontal="right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9" fillId="7" borderId="18" xfId="0" applyFont="1" applyFill="1" applyBorder="1" applyAlignment="1">
      <alignment horizontal="center" vertical="center" wrapText="1"/>
    </xf>
    <xf numFmtId="0" fontId="17" fillId="0" borderId="9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9" fillId="7" borderId="9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0" fontId="19" fillId="7" borderId="9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7" borderId="9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11" fillId="7" borderId="10" xfId="0" applyFont="1" applyFill="1" applyBorder="1" applyAlignment="1">
      <alignment horizontal="center"/>
    </xf>
    <xf numFmtId="0" fontId="19" fillId="7" borderId="10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5" fillId="7" borderId="9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0" fontId="21" fillId="7" borderId="10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5" fillId="7" borderId="23" xfId="0" applyFont="1" applyFill="1" applyBorder="1" applyAlignment="1">
      <alignment horizontal="center" vertical="center" wrapText="1"/>
    </xf>
    <xf numFmtId="0" fontId="15" fillId="7" borderId="24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left" vertical="center"/>
    </xf>
    <xf numFmtId="0" fontId="5" fillId="7" borderId="16" xfId="0" applyFont="1" applyFill="1" applyBorder="1" applyAlignment="1">
      <alignment horizontal="left" vertical="center"/>
    </xf>
    <xf numFmtId="0" fontId="5" fillId="7" borderId="25" xfId="0" applyFont="1" applyFill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16" fillId="7" borderId="9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/>
    </xf>
    <xf numFmtId="0" fontId="18" fillId="7" borderId="10" xfId="0" applyFont="1" applyFill="1" applyBorder="1" applyAlignment="1">
      <alignment horizontal="center"/>
    </xf>
    <xf numFmtId="0" fontId="11" fillId="7" borderId="2" xfId="0" applyFont="1" applyFill="1" applyBorder="1" applyAlignment="1">
      <alignment horizontal="center"/>
    </xf>
    <xf numFmtId="0" fontId="11" fillId="7" borderId="12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9" xfId="0" applyFont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5" fillId="8" borderId="23" xfId="0" applyFont="1" applyFill="1" applyBorder="1" applyAlignment="1">
      <alignment horizontal="center" vertical="center" wrapText="1"/>
    </xf>
    <xf numFmtId="0" fontId="15" fillId="8" borderId="24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5" fillId="8" borderId="10" xfId="0" applyFont="1" applyFill="1" applyBorder="1" applyAlignment="1">
      <alignment horizontal="center" vertical="center" wrapText="1"/>
    </xf>
    <xf numFmtId="14" fontId="31" fillId="0" borderId="1" xfId="0" applyNumberFormat="1" applyFont="1" applyBorder="1" applyAlignment="1">
      <alignment horizontal="center" vertical="center" wrapText="1"/>
    </xf>
    <xf numFmtId="14" fontId="31" fillId="0" borderId="10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4" fillId="7" borderId="1" xfId="0" applyFont="1" applyFill="1" applyBorder="1" applyAlignment="1">
      <alignment horizontal="center"/>
    </xf>
    <xf numFmtId="0" fontId="34" fillId="7" borderId="10" xfId="0" applyFont="1" applyFill="1" applyBorder="1" applyAlignment="1">
      <alignment horizontal="center"/>
    </xf>
    <xf numFmtId="0" fontId="35" fillId="7" borderId="1" xfId="0" applyFont="1" applyFill="1" applyBorder="1" applyAlignment="1">
      <alignment horizontal="center" vertical="center" wrapText="1"/>
    </xf>
    <xf numFmtId="0" fontId="35" fillId="7" borderId="10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7" fillId="7" borderId="2" xfId="0" applyFont="1" applyFill="1" applyBorder="1" applyAlignment="1">
      <alignment horizontal="center"/>
    </xf>
    <xf numFmtId="0" fontId="37" fillId="7" borderId="12" xfId="0" applyFont="1" applyFill="1" applyBorder="1" applyAlignment="1">
      <alignment horizontal="center"/>
    </xf>
    <xf numFmtId="0" fontId="37" fillId="7" borderId="1" xfId="0" applyFont="1" applyFill="1" applyBorder="1" applyAlignment="1">
      <alignment horizontal="center"/>
    </xf>
    <xf numFmtId="0" fontId="37" fillId="7" borderId="10" xfId="0" applyFont="1" applyFill="1" applyBorder="1" applyAlignment="1">
      <alignment horizontal="center"/>
    </xf>
    <xf numFmtId="0" fontId="32" fillId="7" borderId="1" xfId="0" applyFont="1" applyFill="1" applyBorder="1" applyAlignment="1">
      <alignment horizontal="center" vertical="center" wrapText="1"/>
    </xf>
    <xf numFmtId="0" fontId="32" fillId="7" borderId="10" xfId="0" applyFont="1" applyFill="1" applyBorder="1" applyAlignment="1">
      <alignment horizontal="center" vertical="center" wrapText="1"/>
    </xf>
    <xf numFmtId="0" fontId="29" fillId="7" borderId="1" xfId="0" applyFont="1" applyFill="1" applyBorder="1" applyAlignment="1">
      <alignment horizontal="center"/>
    </xf>
    <xf numFmtId="0" fontId="29" fillId="7" borderId="10" xfId="0" applyFont="1" applyFill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12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9" fillId="7" borderId="2" xfId="0" applyFont="1" applyFill="1" applyBorder="1" applyAlignment="1">
      <alignment horizontal="center"/>
    </xf>
    <xf numFmtId="0" fontId="29" fillId="7" borderId="12" xfId="0" applyFont="1" applyFill="1" applyBorder="1" applyAlignment="1">
      <alignment horizontal="center"/>
    </xf>
    <xf numFmtId="0" fontId="26" fillId="0" borderId="0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165" fontId="19" fillId="7" borderId="18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0" fontId="12" fillId="7" borderId="26" xfId="0" applyFont="1" applyFill="1" applyBorder="1" applyAlignment="1">
      <alignment horizontal="left" vertical="center"/>
    </xf>
    <xf numFmtId="0" fontId="12" fillId="7" borderId="23" xfId="0" applyFont="1" applyFill="1" applyBorder="1" applyAlignment="1">
      <alignment horizontal="left" vertical="center"/>
    </xf>
    <xf numFmtId="0" fontId="12" fillId="7" borderId="9" xfId="0" applyFont="1" applyFill="1" applyBorder="1" applyAlignment="1">
      <alignment horizontal="left" vertical="center"/>
    </xf>
    <xf numFmtId="0" fontId="12" fillId="7" borderId="1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12" fillId="7" borderId="1" xfId="0" applyFont="1" applyFill="1" applyBorder="1" applyAlignment="1">
      <alignment horizontal="center"/>
    </xf>
    <xf numFmtId="0" fontId="12" fillId="7" borderId="10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6" fillId="7" borderId="1" xfId="0" applyFont="1" applyFill="1" applyBorder="1" applyAlignment="1">
      <alignment horizontal="center"/>
    </xf>
    <xf numFmtId="0" fontId="6" fillId="7" borderId="10" xfId="0" applyFont="1" applyFill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28" fillId="7" borderId="1" xfId="0" applyFont="1" applyFill="1" applyBorder="1" applyAlignment="1">
      <alignment horizontal="center" vertical="center" wrapText="1"/>
    </xf>
    <xf numFmtId="0" fontId="28" fillId="7" borderId="10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7" borderId="1" xfId="0" applyFont="1" applyFill="1" applyBorder="1" applyAlignment="1">
      <alignment horizontal="center"/>
    </xf>
    <xf numFmtId="0" fontId="27" fillId="7" borderId="10" xfId="0" applyFont="1" applyFill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3" fillId="7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19" fillId="7" borderId="2" xfId="0" applyFont="1" applyFill="1" applyBorder="1" applyAlignment="1">
      <alignment horizontal="center" vertical="center" wrapText="1"/>
    </xf>
    <xf numFmtId="0" fontId="19" fillId="7" borderId="12" xfId="0" applyFont="1" applyFill="1" applyBorder="1" applyAlignment="1">
      <alignment horizontal="center" vertical="center" wrapText="1"/>
    </xf>
    <xf numFmtId="0" fontId="32" fillId="7" borderId="1" xfId="0" applyFont="1" applyFill="1" applyBorder="1" applyAlignment="1">
      <alignment horizontal="center"/>
    </xf>
    <xf numFmtId="0" fontId="32" fillId="7" borderId="10" xfId="0" applyFont="1" applyFill="1" applyBorder="1" applyAlignment="1">
      <alignment horizontal="center"/>
    </xf>
    <xf numFmtId="0" fontId="10" fillId="0" borderId="18" xfId="0" applyFont="1" applyBorder="1" applyAlignment="1">
      <alignment horizontal="left" vertical="center" wrapText="1"/>
    </xf>
    <xf numFmtId="0" fontId="9" fillId="6" borderId="20" xfId="0" applyFont="1" applyFill="1" applyBorder="1" applyAlignment="1">
      <alignment horizontal="center" vertical="center"/>
    </xf>
    <xf numFmtId="0" fontId="9" fillId="6" borderId="21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/>
    </xf>
    <xf numFmtId="0" fontId="15" fillId="8" borderId="7" xfId="0" applyFont="1" applyFill="1" applyBorder="1" applyAlignment="1">
      <alignment horizontal="center" vertical="center"/>
    </xf>
    <xf numFmtId="0" fontId="15" fillId="8" borderId="19" xfId="0" applyFont="1" applyFill="1" applyBorder="1" applyAlignment="1">
      <alignment horizontal="center" vertical="center"/>
    </xf>
    <xf numFmtId="0" fontId="15" fillId="8" borderId="8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12" xfId="0" applyNumberFormat="1" applyFont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3" fillId="7" borderId="12" xfId="0" applyFont="1" applyFill="1" applyBorder="1" applyAlignment="1">
      <alignment horizontal="center" vertical="center" wrapText="1"/>
    </xf>
    <xf numFmtId="4" fontId="11" fillId="7" borderId="1" xfId="0" applyNumberFormat="1" applyFont="1" applyFill="1" applyBorder="1" applyAlignment="1">
      <alignment horizontal="center" vertical="center" wrapText="1"/>
    </xf>
    <xf numFmtId="4" fontId="11" fillId="7" borderId="10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4" fontId="10" fillId="7" borderId="1" xfId="0" applyNumberFormat="1" applyFont="1" applyFill="1" applyBorder="1" applyAlignment="1">
      <alignment horizontal="center" vertical="center"/>
    </xf>
    <xf numFmtId="4" fontId="10" fillId="7" borderId="10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41" fillId="8" borderId="1" xfId="0" applyFont="1" applyFill="1" applyBorder="1" applyAlignment="1">
      <alignment horizontal="center" vertical="center" wrapText="1"/>
    </xf>
    <xf numFmtId="0" fontId="9" fillId="8" borderId="20" xfId="0" applyFont="1" applyFill="1" applyBorder="1" applyAlignment="1">
      <alignment horizontal="center" vertical="center"/>
    </xf>
    <xf numFmtId="0" fontId="9" fillId="8" borderId="21" xfId="0" applyFont="1" applyFill="1" applyBorder="1" applyAlignment="1">
      <alignment horizontal="center" vertical="center"/>
    </xf>
    <xf numFmtId="0" fontId="9" fillId="8" borderId="22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8" borderId="20" xfId="0" applyFont="1" applyFill="1" applyBorder="1" applyAlignment="1">
      <alignment horizontal="center" vertical="center"/>
    </xf>
    <xf numFmtId="0" fontId="10" fillId="8" borderId="21" xfId="0" applyFont="1" applyFill="1" applyBorder="1" applyAlignment="1">
      <alignment horizontal="center" vertical="center"/>
    </xf>
    <xf numFmtId="0" fontId="10" fillId="8" borderId="22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 wrapText="1"/>
    </xf>
    <xf numFmtId="0" fontId="10" fillId="5" borderId="32" xfId="0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FFFF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2"/>
  <sheetViews>
    <sheetView showGridLines="0" zoomScaleNormal="100" zoomScaleSheetLayoutView="80" workbookViewId="0">
      <selection activeCell="H7" sqref="H7:I7"/>
    </sheetView>
  </sheetViews>
  <sheetFormatPr defaultRowHeight="15" x14ac:dyDescent="0.25"/>
  <cols>
    <col min="1" max="1" width="2.5703125" customWidth="1"/>
    <col min="2" max="2" width="18.140625" customWidth="1"/>
    <col min="3" max="3" width="45.42578125" customWidth="1"/>
    <col min="4" max="4" width="8.28515625" customWidth="1"/>
    <col min="5" max="5" width="18.85546875" customWidth="1"/>
    <col min="6" max="6" width="17.140625" customWidth="1"/>
    <col min="7" max="7" width="12.5703125" customWidth="1"/>
    <col min="8" max="8" width="17.140625" style="110" customWidth="1"/>
    <col min="9" max="9" width="12.5703125" style="110" customWidth="1"/>
  </cols>
  <sheetData>
    <row r="1" spans="2:9" ht="15.75" thickBot="1" x14ac:dyDescent="0.3"/>
    <row r="2" spans="2:9" ht="15" customHeight="1" x14ac:dyDescent="0.25">
      <c r="B2" s="254" t="s">
        <v>153</v>
      </c>
      <c r="C2" s="255"/>
      <c r="D2" s="255"/>
      <c r="E2" s="256"/>
      <c r="F2" s="250" t="s">
        <v>189</v>
      </c>
      <c r="G2" s="251"/>
      <c r="H2" s="273" t="s">
        <v>223</v>
      </c>
      <c r="I2" s="274"/>
    </row>
    <row r="3" spans="2:9" ht="15.75" customHeight="1" x14ac:dyDescent="0.25">
      <c r="B3" s="238" t="s">
        <v>163</v>
      </c>
      <c r="C3" s="239"/>
      <c r="D3" s="239"/>
      <c r="E3" s="239"/>
      <c r="F3" s="252"/>
      <c r="G3" s="253"/>
      <c r="H3" s="275"/>
      <c r="I3" s="276"/>
    </row>
    <row r="4" spans="2:9" x14ac:dyDescent="0.25">
      <c r="B4" s="260" t="s">
        <v>77</v>
      </c>
      <c r="C4" s="261"/>
      <c r="D4" s="261"/>
      <c r="E4" s="261"/>
      <c r="F4" s="252"/>
      <c r="G4" s="253"/>
      <c r="H4" s="252"/>
      <c r="I4" s="253"/>
    </row>
    <row r="5" spans="2:9" x14ac:dyDescent="0.25">
      <c r="B5" s="142" t="s">
        <v>3</v>
      </c>
      <c r="C5" s="248" t="s">
        <v>78</v>
      </c>
      <c r="D5" s="248"/>
      <c r="E5" s="134">
        <v>42685</v>
      </c>
      <c r="F5" s="240">
        <v>42965</v>
      </c>
      <c r="G5" s="241"/>
      <c r="H5" s="277">
        <v>43031</v>
      </c>
      <c r="I5" s="278"/>
    </row>
    <row r="6" spans="2:9" x14ac:dyDescent="0.25">
      <c r="B6" s="142" t="s">
        <v>5</v>
      </c>
      <c r="C6" s="248" t="s">
        <v>79</v>
      </c>
      <c r="D6" s="248"/>
      <c r="E6" s="131" t="s">
        <v>80</v>
      </c>
      <c r="F6" s="242" t="s">
        <v>80</v>
      </c>
      <c r="G6" s="243"/>
      <c r="H6" s="279" t="s">
        <v>80</v>
      </c>
      <c r="I6" s="280"/>
    </row>
    <row r="7" spans="2:9" ht="24" customHeight="1" x14ac:dyDescent="0.25">
      <c r="B7" s="142" t="s">
        <v>7</v>
      </c>
      <c r="C7" s="262" t="s">
        <v>188</v>
      </c>
      <c r="D7" s="262"/>
      <c r="E7" s="129" t="s">
        <v>119</v>
      </c>
      <c r="F7" s="248" t="s">
        <v>219</v>
      </c>
      <c r="G7" s="249"/>
      <c r="H7" s="281" t="s">
        <v>238</v>
      </c>
      <c r="I7" s="282"/>
    </row>
    <row r="8" spans="2:9" x14ac:dyDescent="0.25">
      <c r="B8" s="142" t="s">
        <v>9</v>
      </c>
      <c r="C8" s="248" t="s">
        <v>185</v>
      </c>
      <c r="D8" s="248"/>
      <c r="E8" s="131">
        <v>12</v>
      </c>
      <c r="F8" s="242">
        <v>12</v>
      </c>
      <c r="G8" s="243"/>
      <c r="H8" s="279">
        <v>12</v>
      </c>
      <c r="I8" s="280"/>
    </row>
    <row r="9" spans="2:9" ht="9" customHeight="1" x14ac:dyDescent="0.25">
      <c r="B9" s="222"/>
      <c r="C9" s="223"/>
      <c r="D9" s="223"/>
      <c r="E9" s="223"/>
      <c r="F9" s="223"/>
      <c r="G9" s="224"/>
      <c r="H9" s="175"/>
      <c r="I9" s="176"/>
    </row>
    <row r="10" spans="2:9" x14ac:dyDescent="0.25">
      <c r="B10" s="258" t="s">
        <v>81</v>
      </c>
      <c r="C10" s="259"/>
      <c r="D10" s="259"/>
      <c r="E10" s="259"/>
      <c r="F10" s="263"/>
      <c r="G10" s="264"/>
      <c r="H10" s="283"/>
      <c r="I10" s="284"/>
    </row>
    <row r="11" spans="2:9" ht="39" customHeight="1" x14ac:dyDescent="0.25">
      <c r="B11" s="94" t="s">
        <v>82</v>
      </c>
      <c r="C11" s="244" t="s">
        <v>83</v>
      </c>
      <c r="D11" s="244"/>
      <c r="E11" s="135" t="s">
        <v>184</v>
      </c>
      <c r="F11" s="244"/>
      <c r="G11" s="245"/>
      <c r="H11" s="285"/>
      <c r="I11" s="286"/>
    </row>
    <row r="12" spans="2:9" ht="40.5" customHeight="1" x14ac:dyDescent="0.25">
      <c r="B12" s="66" t="s">
        <v>84</v>
      </c>
      <c r="C12" s="257" t="s">
        <v>85</v>
      </c>
      <c r="D12" s="257"/>
      <c r="E12" s="136" t="s">
        <v>190</v>
      </c>
      <c r="F12" s="246"/>
      <c r="G12" s="247"/>
      <c r="H12" s="287"/>
      <c r="I12" s="288"/>
    </row>
    <row r="13" spans="2:9" x14ac:dyDescent="0.25">
      <c r="B13" s="212" t="s">
        <v>86</v>
      </c>
      <c r="C13" s="213"/>
      <c r="D13" s="213"/>
      <c r="E13" s="213"/>
      <c r="F13" s="265"/>
      <c r="G13" s="266"/>
      <c r="H13" s="289"/>
      <c r="I13" s="290"/>
    </row>
    <row r="14" spans="2:9" ht="15.75" customHeight="1" x14ac:dyDescent="0.25">
      <c r="B14" s="214" t="s">
        <v>87</v>
      </c>
      <c r="C14" s="215"/>
      <c r="D14" s="215"/>
      <c r="E14" s="215"/>
      <c r="F14" s="225"/>
      <c r="G14" s="226"/>
      <c r="H14" s="291"/>
      <c r="I14" s="292"/>
    </row>
    <row r="15" spans="2:9" ht="37.5" customHeight="1" x14ac:dyDescent="0.25">
      <c r="B15" s="142">
        <v>1</v>
      </c>
      <c r="C15" s="235" t="s">
        <v>88</v>
      </c>
      <c r="D15" s="235"/>
      <c r="E15" s="57" t="s">
        <v>84</v>
      </c>
      <c r="F15" s="248"/>
      <c r="G15" s="249"/>
      <c r="H15" s="281"/>
      <c r="I15" s="282"/>
    </row>
    <row r="16" spans="2:9" x14ac:dyDescent="0.25">
      <c r="B16" s="142">
        <v>2</v>
      </c>
      <c r="C16" s="235" t="s">
        <v>118</v>
      </c>
      <c r="D16" s="235"/>
      <c r="E16" s="93">
        <v>3420.33</v>
      </c>
      <c r="F16" s="179" t="s">
        <v>122</v>
      </c>
      <c r="G16" s="180">
        <f>(1+4.08/100)*E16</f>
        <v>3559.8794639999996</v>
      </c>
      <c r="H16" s="143" t="s">
        <v>220</v>
      </c>
      <c r="I16" s="144">
        <f>(1+1.69/100)*G16</f>
        <v>3620.0414269415992</v>
      </c>
    </row>
    <row r="17" spans="1:9" ht="36.75" customHeight="1" x14ac:dyDescent="0.25">
      <c r="B17" s="142">
        <v>3</v>
      </c>
      <c r="C17" s="235" t="s">
        <v>89</v>
      </c>
      <c r="D17" s="235"/>
      <c r="E17" s="57" t="s">
        <v>84</v>
      </c>
      <c r="F17" s="248"/>
      <c r="G17" s="249"/>
      <c r="H17" s="281"/>
      <c r="I17" s="282"/>
    </row>
    <row r="18" spans="1:9" ht="15" customHeight="1" x14ac:dyDescent="0.25">
      <c r="B18" s="142">
        <v>4</v>
      </c>
      <c r="C18" s="235" t="s">
        <v>90</v>
      </c>
      <c r="D18" s="235"/>
      <c r="E18" s="129" t="s">
        <v>191</v>
      </c>
      <c r="F18" s="248" t="s">
        <v>192</v>
      </c>
      <c r="G18" s="249"/>
      <c r="H18" s="281" t="s">
        <v>224</v>
      </c>
      <c r="I18" s="282"/>
    </row>
    <row r="19" spans="1:9" ht="9" customHeight="1" x14ac:dyDescent="0.25">
      <c r="B19" s="222"/>
      <c r="C19" s="223"/>
      <c r="D19" s="223"/>
      <c r="E19" s="223"/>
      <c r="F19" s="223"/>
      <c r="G19" s="224"/>
      <c r="H19" s="175"/>
      <c r="I19" s="176"/>
    </row>
    <row r="20" spans="1:9" x14ac:dyDescent="0.25">
      <c r="B20" s="220" t="s">
        <v>146</v>
      </c>
      <c r="C20" s="221"/>
      <c r="D20" s="221"/>
      <c r="E20" s="221"/>
      <c r="F20" s="265"/>
      <c r="G20" s="266"/>
      <c r="H20" s="289"/>
      <c r="I20" s="290"/>
    </row>
    <row r="21" spans="1:9" x14ac:dyDescent="0.25">
      <c r="B21" s="137">
        <v>1</v>
      </c>
      <c r="C21" s="58" t="s">
        <v>0</v>
      </c>
      <c r="D21" s="59" t="s">
        <v>1</v>
      </c>
      <c r="E21" s="128" t="s">
        <v>2</v>
      </c>
      <c r="F21" s="215" t="s">
        <v>2</v>
      </c>
      <c r="G21" s="227"/>
      <c r="H21" s="293" t="s">
        <v>2</v>
      </c>
      <c r="I21" s="294"/>
    </row>
    <row r="22" spans="1:9" x14ac:dyDescent="0.25">
      <c r="A22" s="1"/>
      <c r="B22" s="67" t="s">
        <v>3</v>
      </c>
      <c r="C22" s="41" t="s">
        <v>4</v>
      </c>
      <c r="D22" s="42">
        <v>1</v>
      </c>
      <c r="E22" s="75">
        <f>E16</f>
        <v>3420.33</v>
      </c>
      <c r="F22" s="179" t="str">
        <f>F16</f>
        <v>Reajuste de 4,08%</v>
      </c>
      <c r="G22" s="181">
        <f t="shared" ref="G22" si="0">G16</f>
        <v>3559.8794639999996</v>
      </c>
      <c r="H22" s="143" t="str">
        <f>H16</f>
        <v>Reajuste de 1,69%</v>
      </c>
      <c r="I22" s="145">
        <f t="shared" ref="I22" si="1">I16</f>
        <v>3620.0414269415992</v>
      </c>
    </row>
    <row r="23" spans="1:9" x14ac:dyDescent="0.25">
      <c r="A23" s="1"/>
      <c r="B23" s="67" t="s">
        <v>5</v>
      </c>
      <c r="C23" s="41" t="s">
        <v>6</v>
      </c>
      <c r="D23" s="42">
        <v>0</v>
      </c>
      <c r="E23" s="76"/>
      <c r="F23" s="77"/>
      <c r="G23" s="71"/>
      <c r="H23" s="146"/>
      <c r="I23" s="147"/>
    </row>
    <row r="24" spans="1:9" x14ac:dyDescent="0.25">
      <c r="B24" s="142" t="s">
        <v>7</v>
      </c>
      <c r="C24" s="138" t="s">
        <v>8</v>
      </c>
      <c r="D24" s="43">
        <v>0</v>
      </c>
      <c r="E24" s="77"/>
      <c r="F24" s="77"/>
      <c r="G24" s="71"/>
      <c r="H24" s="146"/>
      <c r="I24" s="147"/>
    </row>
    <row r="25" spans="1:9" x14ac:dyDescent="0.25">
      <c r="B25" s="142" t="s">
        <v>9</v>
      </c>
      <c r="C25" s="138" t="s">
        <v>10</v>
      </c>
      <c r="D25" s="43">
        <v>0</v>
      </c>
      <c r="E25" s="131"/>
      <c r="F25" s="131"/>
      <c r="G25" s="72"/>
      <c r="H25" s="146"/>
      <c r="I25" s="147"/>
    </row>
    <row r="26" spans="1:9" x14ac:dyDescent="0.25">
      <c r="B26" s="142" t="s">
        <v>11</v>
      </c>
      <c r="C26" s="138" t="s">
        <v>12</v>
      </c>
      <c r="D26" s="43">
        <v>0</v>
      </c>
      <c r="E26" s="131"/>
      <c r="F26" s="131"/>
      <c r="G26" s="72"/>
      <c r="H26" s="146"/>
      <c r="I26" s="147"/>
    </row>
    <row r="27" spans="1:9" x14ac:dyDescent="0.25">
      <c r="B27" s="142" t="s">
        <v>13</v>
      </c>
      <c r="C27" s="138" t="s">
        <v>14</v>
      </c>
      <c r="D27" s="43">
        <v>0</v>
      </c>
      <c r="E27" s="131"/>
      <c r="F27" s="131"/>
      <c r="G27" s="72"/>
      <c r="H27" s="146"/>
      <c r="I27" s="147"/>
    </row>
    <row r="28" spans="1:9" x14ac:dyDescent="0.25">
      <c r="B28" s="142" t="s">
        <v>15</v>
      </c>
      <c r="C28" s="138" t="s">
        <v>16</v>
      </c>
      <c r="D28" s="43">
        <v>0</v>
      </c>
      <c r="E28" s="131"/>
      <c r="F28" s="131"/>
      <c r="G28" s="72"/>
      <c r="H28" s="146"/>
      <c r="I28" s="147"/>
    </row>
    <row r="29" spans="1:9" x14ac:dyDescent="0.25">
      <c r="B29" s="142" t="s">
        <v>17</v>
      </c>
      <c r="C29" s="138" t="s">
        <v>18</v>
      </c>
      <c r="D29" s="43">
        <v>0</v>
      </c>
      <c r="E29" s="131"/>
      <c r="F29" s="131"/>
      <c r="G29" s="72"/>
      <c r="H29" s="146"/>
      <c r="I29" s="147"/>
    </row>
    <row r="30" spans="1:9" x14ac:dyDescent="0.25">
      <c r="B30" s="65"/>
      <c r="C30" s="128" t="s">
        <v>19</v>
      </c>
      <c r="D30" s="60"/>
      <c r="E30" s="78">
        <f>SUM(E22:E29)</f>
        <v>3420.33</v>
      </c>
      <c r="F30" s="79"/>
      <c r="G30" s="73">
        <f t="shared" ref="G30" si="2">SUM(G22:G29)</f>
        <v>3559.8794639999996</v>
      </c>
      <c r="H30" s="148"/>
      <c r="I30" s="149">
        <f t="shared" ref="I30" si="3">SUM(I22:I29)</f>
        <v>3620.0414269415992</v>
      </c>
    </row>
    <row r="31" spans="1:9" ht="9" customHeight="1" x14ac:dyDescent="0.25">
      <c r="B31" s="267"/>
      <c r="C31" s="268"/>
      <c r="D31" s="268"/>
      <c r="E31" s="268"/>
      <c r="F31" s="268"/>
      <c r="G31" s="269"/>
      <c r="H31" s="177"/>
      <c r="I31" s="178"/>
    </row>
    <row r="32" spans="1:9" x14ac:dyDescent="0.25">
      <c r="B32" s="212" t="s">
        <v>20</v>
      </c>
      <c r="C32" s="213"/>
      <c r="D32" s="213"/>
      <c r="E32" s="213"/>
      <c r="F32" s="225"/>
      <c r="G32" s="226"/>
      <c r="H32" s="295"/>
      <c r="I32" s="296"/>
    </row>
    <row r="33" spans="2:9" ht="20.25" customHeight="1" x14ac:dyDescent="0.25">
      <c r="B33" s="137">
        <v>2</v>
      </c>
      <c r="C33" s="215" t="s">
        <v>21</v>
      </c>
      <c r="D33" s="215"/>
      <c r="E33" s="128" t="s">
        <v>2</v>
      </c>
      <c r="F33" s="215" t="s">
        <v>2</v>
      </c>
      <c r="G33" s="227"/>
      <c r="H33" s="293" t="s">
        <v>2</v>
      </c>
      <c r="I33" s="294"/>
    </row>
    <row r="34" spans="2:9" ht="47.25" customHeight="1" x14ac:dyDescent="0.25">
      <c r="B34" s="142" t="s">
        <v>3</v>
      </c>
      <c r="C34" s="237" t="s">
        <v>175</v>
      </c>
      <c r="D34" s="237"/>
      <c r="E34" s="80">
        <f>((4+2.25)*44)-E22*6%</f>
        <v>69.780200000000008</v>
      </c>
      <c r="F34" s="182" t="s">
        <v>187</v>
      </c>
      <c r="G34" s="45">
        <f>((5+2.5)*44)-G22*6%</f>
        <v>116.40723216000004</v>
      </c>
      <c r="H34" s="150" t="s">
        <v>229</v>
      </c>
      <c r="I34" s="151">
        <f>((5+2.5)*44)-I22*6%</f>
        <v>112.79751438350405</v>
      </c>
    </row>
    <row r="35" spans="2:9" ht="34.5" customHeight="1" x14ac:dyDescent="0.25">
      <c r="B35" s="142" t="s">
        <v>5</v>
      </c>
      <c r="C35" s="234" t="s">
        <v>170</v>
      </c>
      <c r="D35" s="234"/>
      <c r="E35" s="81">
        <f>(21*20)-(21*20*7.5%)</f>
        <v>388.5</v>
      </c>
      <c r="F35" s="182" t="s">
        <v>186</v>
      </c>
      <c r="G35" s="45">
        <f>(21*24)-(21*24*7.5%)</f>
        <v>466.2</v>
      </c>
      <c r="H35" s="150" t="s">
        <v>221</v>
      </c>
      <c r="I35" s="151">
        <f>(21*25)-(21*25*7.5%)</f>
        <v>485.625</v>
      </c>
    </row>
    <row r="36" spans="2:9" ht="33.75" x14ac:dyDescent="0.25">
      <c r="B36" s="142" t="s">
        <v>7</v>
      </c>
      <c r="C36" s="235" t="s">
        <v>171</v>
      </c>
      <c r="D36" s="235"/>
      <c r="E36" s="141">
        <f>400*50%</f>
        <v>200</v>
      </c>
      <c r="F36" s="182" t="s">
        <v>121</v>
      </c>
      <c r="G36" s="45">
        <f>400*50%</f>
        <v>200</v>
      </c>
      <c r="H36" s="150" t="s">
        <v>227</v>
      </c>
      <c r="I36" s="151">
        <f>400*50%</f>
        <v>200</v>
      </c>
    </row>
    <row r="37" spans="2:9" x14ac:dyDescent="0.25">
      <c r="B37" s="142" t="s">
        <v>9</v>
      </c>
      <c r="C37" s="236" t="s">
        <v>22</v>
      </c>
      <c r="D37" s="236"/>
      <c r="E37" s="141">
        <v>0</v>
      </c>
      <c r="F37" s="141"/>
      <c r="G37" s="44">
        <v>0</v>
      </c>
      <c r="H37" s="152"/>
      <c r="I37" s="153">
        <v>0</v>
      </c>
    </row>
    <row r="38" spans="2:9" ht="25.5" customHeight="1" x14ac:dyDescent="0.25">
      <c r="B38" s="142" t="s">
        <v>11</v>
      </c>
      <c r="C38" s="235" t="s">
        <v>172</v>
      </c>
      <c r="D38" s="235"/>
      <c r="E38" s="82">
        <v>6</v>
      </c>
      <c r="F38" s="82"/>
      <c r="G38" s="45">
        <v>6</v>
      </c>
      <c r="H38" s="154"/>
      <c r="I38" s="155">
        <v>6</v>
      </c>
    </row>
    <row r="39" spans="2:9" x14ac:dyDescent="0.25">
      <c r="B39" s="142" t="s">
        <v>13</v>
      </c>
      <c r="C39" s="236" t="s">
        <v>174</v>
      </c>
      <c r="D39" s="236"/>
      <c r="E39" s="141">
        <v>0</v>
      </c>
      <c r="F39" s="141"/>
      <c r="G39" s="44">
        <v>0</v>
      </c>
      <c r="H39" s="152"/>
      <c r="I39" s="153">
        <v>0</v>
      </c>
    </row>
    <row r="40" spans="2:9" ht="33" customHeight="1" x14ac:dyDescent="0.25">
      <c r="B40" s="142" t="s">
        <v>15</v>
      </c>
      <c r="C40" s="235" t="s">
        <v>173</v>
      </c>
      <c r="D40" s="235"/>
      <c r="E40" s="82">
        <v>0</v>
      </c>
      <c r="F40" s="82"/>
      <c r="G40" s="45">
        <v>0</v>
      </c>
      <c r="H40" s="154"/>
      <c r="I40" s="155">
        <v>0</v>
      </c>
    </row>
    <row r="41" spans="2:9" x14ac:dyDescent="0.25">
      <c r="B41" s="65"/>
      <c r="C41" s="215" t="s">
        <v>23</v>
      </c>
      <c r="D41" s="215"/>
      <c r="E41" s="83">
        <f>SUM(E34:E40)</f>
        <v>664.28020000000004</v>
      </c>
      <c r="F41" s="83"/>
      <c r="G41" s="61">
        <f>SUM(G34:G40)</f>
        <v>788.60723215999997</v>
      </c>
      <c r="H41" s="156"/>
      <c r="I41" s="157">
        <f>SUM(I34:I40)</f>
        <v>804.42251438350399</v>
      </c>
    </row>
    <row r="42" spans="2:9" ht="18" customHeight="1" x14ac:dyDescent="0.25">
      <c r="B42" s="270" t="s">
        <v>147</v>
      </c>
      <c r="C42" s="235"/>
      <c r="D42" s="235"/>
      <c r="E42" s="235"/>
      <c r="F42" s="271"/>
      <c r="G42" s="269"/>
      <c r="H42" s="297"/>
      <c r="I42" s="298"/>
    </row>
    <row r="43" spans="2:9" x14ac:dyDescent="0.25">
      <c r="B43" s="212" t="s">
        <v>24</v>
      </c>
      <c r="C43" s="213"/>
      <c r="D43" s="213"/>
      <c r="E43" s="213"/>
      <c r="F43" s="225"/>
      <c r="G43" s="226"/>
      <c r="H43" s="295"/>
      <c r="I43" s="296"/>
    </row>
    <row r="44" spans="2:9" x14ac:dyDescent="0.25">
      <c r="B44" s="137">
        <v>3</v>
      </c>
      <c r="C44" s="215" t="s">
        <v>25</v>
      </c>
      <c r="D44" s="215"/>
      <c r="E44" s="128" t="s">
        <v>2</v>
      </c>
      <c r="F44" s="215" t="s">
        <v>2</v>
      </c>
      <c r="G44" s="227"/>
      <c r="H44" s="293" t="s">
        <v>2</v>
      </c>
      <c r="I44" s="294"/>
    </row>
    <row r="45" spans="2:9" x14ac:dyDescent="0.25">
      <c r="B45" s="142" t="s">
        <v>3</v>
      </c>
      <c r="C45" s="236" t="s">
        <v>26</v>
      </c>
      <c r="D45" s="236"/>
      <c r="E45" s="82">
        <v>0</v>
      </c>
      <c r="F45" s="82"/>
      <c r="G45" s="45">
        <v>0</v>
      </c>
      <c r="H45" s="154"/>
      <c r="I45" s="155">
        <v>0</v>
      </c>
    </row>
    <row r="46" spans="2:9" x14ac:dyDescent="0.25">
      <c r="B46" s="142" t="s">
        <v>5</v>
      </c>
      <c r="C46" s="236" t="s">
        <v>27</v>
      </c>
      <c r="D46" s="236"/>
      <c r="E46" s="82">
        <v>0</v>
      </c>
      <c r="F46" s="82"/>
      <c r="G46" s="45">
        <v>0</v>
      </c>
      <c r="H46" s="154"/>
      <c r="I46" s="155">
        <v>0</v>
      </c>
    </row>
    <row r="47" spans="2:9" s="1" customFormat="1" ht="50.25" customHeight="1" x14ac:dyDescent="0.25">
      <c r="B47" s="67" t="s">
        <v>7</v>
      </c>
      <c r="C47" s="234" t="s">
        <v>176</v>
      </c>
      <c r="D47" s="234"/>
      <c r="E47" s="81">
        <v>42</v>
      </c>
      <c r="F47" s="81"/>
      <c r="G47" s="46">
        <v>42</v>
      </c>
      <c r="H47" s="158"/>
      <c r="I47" s="159">
        <v>42</v>
      </c>
    </row>
    <row r="48" spans="2:9" x14ac:dyDescent="0.25">
      <c r="B48" s="65"/>
      <c r="C48" s="215" t="s">
        <v>28</v>
      </c>
      <c r="D48" s="215"/>
      <c r="E48" s="83">
        <f>E47</f>
        <v>42</v>
      </c>
      <c r="F48" s="83"/>
      <c r="G48" s="61">
        <f>G47</f>
        <v>42</v>
      </c>
      <c r="H48" s="156"/>
      <c r="I48" s="157">
        <f>I47</f>
        <v>42</v>
      </c>
    </row>
    <row r="49" spans="2:9" ht="15.75" customHeight="1" x14ac:dyDescent="0.25">
      <c r="B49" s="270" t="s">
        <v>152</v>
      </c>
      <c r="C49" s="235"/>
      <c r="D49" s="235"/>
      <c r="E49" s="235"/>
      <c r="F49" s="272"/>
      <c r="G49" s="230"/>
      <c r="H49" s="299"/>
      <c r="I49" s="300"/>
    </row>
    <row r="50" spans="2:9" x14ac:dyDescent="0.25">
      <c r="B50" s="212" t="s">
        <v>29</v>
      </c>
      <c r="C50" s="213"/>
      <c r="D50" s="213"/>
      <c r="E50" s="213"/>
      <c r="F50" s="225"/>
      <c r="G50" s="226"/>
      <c r="H50" s="295"/>
      <c r="I50" s="296"/>
    </row>
    <row r="51" spans="2:9" x14ac:dyDescent="0.25">
      <c r="B51" s="214" t="s">
        <v>30</v>
      </c>
      <c r="C51" s="215"/>
      <c r="D51" s="215"/>
      <c r="E51" s="215"/>
      <c r="F51" s="225"/>
      <c r="G51" s="226"/>
      <c r="H51" s="295"/>
      <c r="I51" s="296"/>
    </row>
    <row r="52" spans="2:9" x14ac:dyDescent="0.25">
      <c r="B52" s="137" t="s">
        <v>31</v>
      </c>
      <c r="C52" s="62" t="s">
        <v>32</v>
      </c>
      <c r="D52" s="128" t="s">
        <v>1</v>
      </c>
      <c r="E52" s="128" t="s">
        <v>2</v>
      </c>
      <c r="F52" s="215" t="s">
        <v>2</v>
      </c>
      <c r="G52" s="227"/>
      <c r="H52" s="293" t="s">
        <v>2</v>
      </c>
      <c r="I52" s="294"/>
    </row>
    <row r="53" spans="2:9" x14ac:dyDescent="0.25">
      <c r="B53" s="142" t="s">
        <v>3</v>
      </c>
      <c r="C53" s="138" t="s">
        <v>33</v>
      </c>
      <c r="D53" s="47">
        <v>0</v>
      </c>
      <c r="E53" s="164">
        <f t="shared" ref="E53:G60" si="4">ROUNDDOWN(E$30*$D53,2)</f>
        <v>0</v>
      </c>
      <c r="F53" s="140"/>
      <c r="G53" s="48">
        <f t="shared" ref="G53" si="5">ROUNDDOWN(G$30*$D53,2)</f>
        <v>0</v>
      </c>
      <c r="H53" s="47"/>
      <c r="I53" s="160">
        <f>ROUNDDOWN(I$30*$D53,2)</f>
        <v>0</v>
      </c>
    </row>
    <row r="54" spans="2:9" x14ac:dyDescent="0.25">
      <c r="B54" s="142" t="s">
        <v>5</v>
      </c>
      <c r="C54" s="138" t="s">
        <v>34</v>
      </c>
      <c r="D54" s="47">
        <v>1.4999999999999999E-2</v>
      </c>
      <c r="E54" s="140">
        <f t="shared" si="4"/>
        <v>51.3</v>
      </c>
      <c r="F54" s="140"/>
      <c r="G54" s="48">
        <f t="shared" si="4"/>
        <v>53.39</v>
      </c>
      <c r="H54" s="47"/>
      <c r="I54" s="160">
        <f t="shared" ref="I54:I60" si="6">ROUNDDOWN(I$30*$D54,2)</f>
        <v>54.3</v>
      </c>
    </row>
    <row r="55" spans="2:9" x14ac:dyDescent="0.25">
      <c r="B55" s="142" t="s">
        <v>7</v>
      </c>
      <c r="C55" s="138" t="s">
        <v>35</v>
      </c>
      <c r="D55" s="47">
        <v>0.01</v>
      </c>
      <c r="E55" s="140">
        <f t="shared" si="4"/>
        <v>34.200000000000003</v>
      </c>
      <c r="F55" s="140"/>
      <c r="G55" s="48">
        <f t="shared" si="4"/>
        <v>35.590000000000003</v>
      </c>
      <c r="H55" s="47"/>
      <c r="I55" s="160">
        <f t="shared" si="6"/>
        <v>36.200000000000003</v>
      </c>
    </row>
    <row r="56" spans="2:9" x14ac:dyDescent="0.25">
      <c r="B56" s="142" t="s">
        <v>9</v>
      </c>
      <c r="C56" s="138" t="s">
        <v>36</v>
      </c>
      <c r="D56" s="47">
        <v>2E-3</v>
      </c>
      <c r="E56" s="140">
        <f t="shared" si="4"/>
        <v>6.84</v>
      </c>
      <c r="F56" s="140"/>
      <c r="G56" s="48">
        <f t="shared" si="4"/>
        <v>7.11</v>
      </c>
      <c r="H56" s="47"/>
      <c r="I56" s="160">
        <f t="shared" si="6"/>
        <v>7.24</v>
      </c>
    </row>
    <row r="57" spans="2:9" x14ac:dyDescent="0.25">
      <c r="B57" s="142" t="s">
        <v>11</v>
      </c>
      <c r="C57" s="138" t="s">
        <v>37</v>
      </c>
      <c r="D57" s="47">
        <v>2.5000000000000001E-2</v>
      </c>
      <c r="E57" s="140">
        <f t="shared" si="4"/>
        <v>85.5</v>
      </c>
      <c r="F57" s="140"/>
      <c r="G57" s="48">
        <f t="shared" si="4"/>
        <v>88.99</v>
      </c>
      <c r="H57" s="47"/>
      <c r="I57" s="160">
        <f t="shared" si="6"/>
        <v>90.5</v>
      </c>
    </row>
    <row r="58" spans="2:9" x14ac:dyDescent="0.25">
      <c r="B58" s="142" t="s">
        <v>13</v>
      </c>
      <c r="C58" s="138" t="s">
        <v>38</v>
      </c>
      <c r="D58" s="47">
        <v>0.08</v>
      </c>
      <c r="E58" s="140">
        <f t="shared" si="4"/>
        <v>273.62</v>
      </c>
      <c r="F58" s="140"/>
      <c r="G58" s="48">
        <f t="shared" si="4"/>
        <v>284.79000000000002</v>
      </c>
      <c r="H58" s="47"/>
      <c r="I58" s="160">
        <f t="shared" si="6"/>
        <v>289.60000000000002</v>
      </c>
    </row>
    <row r="59" spans="2:9" x14ac:dyDescent="0.25">
      <c r="B59" s="142" t="s">
        <v>15</v>
      </c>
      <c r="C59" s="138" t="s">
        <v>180</v>
      </c>
      <c r="D59" s="47">
        <v>0.01</v>
      </c>
      <c r="E59" s="140">
        <f t="shared" si="4"/>
        <v>34.200000000000003</v>
      </c>
      <c r="F59" s="140"/>
      <c r="G59" s="48">
        <f t="shared" si="4"/>
        <v>35.590000000000003</v>
      </c>
      <c r="H59" s="47"/>
      <c r="I59" s="160">
        <f t="shared" si="6"/>
        <v>36.200000000000003</v>
      </c>
    </row>
    <row r="60" spans="2:9" x14ac:dyDescent="0.25">
      <c r="B60" s="142" t="s">
        <v>17</v>
      </c>
      <c r="C60" s="138" t="s">
        <v>39</v>
      </c>
      <c r="D60" s="47">
        <v>6.0000000000000001E-3</v>
      </c>
      <c r="E60" s="140">
        <f t="shared" si="4"/>
        <v>20.52</v>
      </c>
      <c r="F60" s="140"/>
      <c r="G60" s="48">
        <f t="shared" si="4"/>
        <v>21.35</v>
      </c>
      <c r="H60" s="47"/>
      <c r="I60" s="160">
        <f t="shared" si="6"/>
        <v>21.72</v>
      </c>
    </row>
    <row r="61" spans="2:9" x14ac:dyDescent="0.25">
      <c r="B61" s="68"/>
      <c r="C61" s="128" t="s">
        <v>40</v>
      </c>
      <c r="D61" s="63">
        <f>SUM(D53:D60)</f>
        <v>0.14800000000000002</v>
      </c>
      <c r="E61" s="84">
        <f>SUM(E53:E60)</f>
        <v>506.18</v>
      </c>
      <c r="F61" s="84"/>
      <c r="G61" s="64">
        <f>SUM(G53:G60)</f>
        <v>526.81000000000006</v>
      </c>
      <c r="H61" s="63"/>
      <c r="I61" s="161">
        <f>SUM(I53:I60)</f>
        <v>535.7600000000001</v>
      </c>
    </row>
    <row r="62" spans="2:9" x14ac:dyDescent="0.25">
      <c r="B62" s="216" t="s">
        <v>148</v>
      </c>
      <c r="C62" s="217"/>
      <c r="D62" s="217"/>
      <c r="E62" s="217"/>
      <c r="F62" s="232"/>
      <c r="G62" s="233"/>
      <c r="H62" s="301"/>
      <c r="I62" s="302"/>
    </row>
    <row r="63" spans="2:9" x14ac:dyDescent="0.25">
      <c r="B63" s="218" t="s">
        <v>149</v>
      </c>
      <c r="C63" s="219"/>
      <c r="D63" s="219"/>
      <c r="E63" s="219"/>
      <c r="F63" s="232"/>
      <c r="G63" s="233"/>
      <c r="H63" s="301"/>
      <c r="I63" s="302"/>
    </row>
    <row r="64" spans="2:9" ht="9" customHeight="1" x14ac:dyDescent="0.25">
      <c r="B64" s="267"/>
      <c r="C64" s="268"/>
      <c r="D64" s="268"/>
      <c r="E64" s="268"/>
      <c r="F64" s="268"/>
      <c r="G64" s="269"/>
      <c r="H64" s="177"/>
      <c r="I64" s="178"/>
    </row>
    <row r="65" spans="2:9" x14ac:dyDescent="0.25">
      <c r="B65" s="212" t="s">
        <v>41</v>
      </c>
      <c r="C65" s="213"/>
      <c r="D65" s="213"/>
      <c r="E65" s="213"/>
      <c r="F65" s="225"/>
      <c r="G65" s="226"/>
      <c r="H65" s="295"/>
      <c r="I65" s="296"/>
    </row>
    <row r="66" spans="2:9" x14ac:dyDescent="0.25">
      <c r="B66" s="137" t="s">
        <v>42</v>
      </c>
      <c r="C66" s="62" t="s">
        <v>43</v>
      </c>
      <c r="D66" s="128" t="s">
        <v>1</v>
      </c>
      <c r="E66" s="128" t="s">
        <v>2</v>
      </c>
      <c r="F66" s="215" t="s">
        <v>2</v>
      </c>
      <c r="G66" s="227"/>
      <c r="H66" s="293" t="s">
        <v>2</v>
      </c>
      <c r="I66" s="294"/>
    </row>
    <row r="67" spans="2:9" x14ac:dyDescent="0.25">
      <c r="B67" s="142" t="s">
        <v>3</v>
      </c>
      <c r="C67" s="49" t="s">
        <v>44</v>
      </c>
      <c r="D67" s="47">
        <f>ROUND(1/12,4)</f>
        <v>8.3299999999999999E-2</v>
      </c>
      <c r="E67" s="140">
        <f>ROUNDDOWN(E$30*$D67,2)</f>
        <v>284.91000000000003</v>
      </c>
      <c r="F67" s="140"/>
      <c r="G67" s="48">
        <f t="shared" ref="G67" si="7">ROUNDDOWN(G$30*$D67,2)</f>
        <v>296.52999999999997</v>
      </c>
      <c r="H67" s="47"/>
      <c r="I67" s="160">
        <f>I30*8.33%</f>
        <v>301.54945086423521</v>
      </c>
    </row>
    <row r="68" spans="2:9" x14ac:dyDescent="0.25">
      <c r="B68" s="142" t="s">
        <v>5</v>
      </c>
      <c r="C68" s="49" t="s">
        <v>45</v>
      </c>
      <c r="D68" s="47">
        <f>ROUND(D67*(1/3),4)</f>
        <v>2.7799999999999998E-2</v>
      </c>
      <c r="E68" s="140">
        <f t="shared" ref="E68:G70" si="8">ROUNDDOWN(E$30*$D68,2)</f>
        <v>95.08</v>
      </c>
      <c r="F68" s="140"/>
      <c r="G68" s="48">
        <f t="shared" si="8"/>
        <v>98.96</v>
      </c>
      <c r="H68" s="163"/>
      <c r="I68" s="160">
        <f>I67/3</f>
        <v>100.51648362141174</v>
      </c>
    </row>
    <row r="69" spans="2:9" x14ac:dyDescent="0.25">
      <c r="B69" s="142"/>
      <c r="C69" s="129" t="s">
        <v>46</v>
      </c>
      <c r="D69" s="190">
        <v>0.1111</v>
      </c>
      <c r="E69" s="140">
        <f t="shared" si="8"/>
        <v>379.99</v>
      </c>
      <c r="F69" s="140"/>
      <c r="G69" s="48">
        <f t="shared" si="8"/>
        <v>395.5</v>
      </c>
      <c r="H69" s="163"/>
      <c r="I69" s="191">
        <f>SUM(I67:I68)</f>
        <v>402.06593448564695</v>
      </c>
    </row>
    <row r="70" spans="2:9" ht="24" x14ac:dyDescent="0.25">
      <c r="B70" s="142" t="s">
        <v>7</v>
      </c>
      <c r="C70" s="138" t="s">
        <v>177</v>
      </c>
      <c r="D70" s="47">
        <f>ROUND(D61*D69,4)</f>
        <v>1.6400000000000001E-2</v>
      </c>
      <c r="E70" s="140">
        <f t="shared" si="8"/>
        <v>56.09</v>
      </c>
      <c r="F70" s="140"/>
      <c r="G70" s="48">
        <f t="shared" si="8"/>
        <v>58.38</v>
      </c>
      <c r="H70" s="47"/>
      <c r="I70" s="160">
        <f>I69*14.8%</f>
        <v>59.505758303875758</v>
      </c>
    </row>
    <row r="71" spans="2:9" x14ac:dyDescent="0.25">
      <c r="B71" s="68"/>
      <c r="C71" s="128" t="s">
        <v>40</v>
      </c>
      <c r="D71" s="63">
        <f>D69+D70</f>
        <v>0.1275</v>
      </c>
      <c r="E71" s="83">
        <f>E69+E70</f>
        <v>436.08000000000004</v>
      </c>
      <c r="F71" s="83"/>
      <c r="G71" s="61">
        <f>G69+G70</f>
        <v>453.88</v>
      </c>
      <c r="H71" s="162"/>
      <c r="I71" s="157">
        <f>SUM(I69:I70) + 0.01</f>
        <v>461.58169278952272</v>
      </c>
    </row>
    <row r="72" spans="2:9" ht="9" customHeight="1" x14ac:dyDescent="0.25">
      <c r="B72" s="228"/>
      <c r="C72" s="229"/>
      <c r="D72" s="229"/>
      <c r="E72" s="229"/>
      <c r="F72" s="229"/>
      <c r="G72" s="230"/>
      <c r="H72" s="177"/>
      <c r="I72" s="178"/>
    </row>
    <row r="73" spans="2:9" x14ac:dyDescent="0.25">
      <c r="B73" s="212" t="s">
        <v>47</v>
      </c>
      <c r="C73" s="213"/>
      <c r="D73" s="213"/>
      <c r="E73" s="213"/>
      <c r="F73" s="265"/>
      <c r="G73" s="266"/>
      <c r="H73" s="303"/>
      <c r="I73" s="304"/>
    </row>
    <row r="74" spans="2:9" x14ac:dyDescent="0.25">
      <c r="B74" s="137" t="s">
        <v>48</v>
      </c>
      <c r="C74" s="62" t="s">
        <v>49</v>
      </c>
      <c r="D74" s="128" t="s">
        <v>1</v>
      </c>
      <c r="E74" s="128" t="s">
        <v>2</v>
      </c>
      <c r="F74" s="215" t="s">
        <v>2</v>
      </c>
      <c r="G74" s="227"/>
      <c r="H74" s="293" t="s">
        <v>2</v>
      </c>
      <c r="I74" s="294"/>
    </row>
    <row r="75" spans="2:9" x14ac:dyDescent="0.25">
      <c r="B75" s="142" t="s">
        <v>3</v>
      </c>
      <c r="C75" s="49" t="s">
        <v>237</v>
      </c>
      <c r="D75" s="47">
        <v>6.9999999999999999E-4</v>
      </c>
      <c r="E75" s="140">
        <f>ROUNDDOWN(E$30*$D75,2)</f>
        <v>2.39</v>
      </c>
      <c r="F75" s="140"/>
      <c r="G75" s="48">
        <f t="shared" ref="G75:I76" si="9">ROUNDDOWN(G$30*$D75,2)</f>
        <v>2.4900000000000002</v>
      </c>
      <c r="H75" s="47"/>
      <c r="I75" s="48">
        <f t="shared" si="9"/>
        <v>2.5299999999999998</v>
      </c>
    </row>
    <row r="76" spans="2:9" x14ac:dyDescent="0.25">
      <c r="B76" s="142" t="s">
        <v>5</v>
      </c>
      <c r="C76" s="138" t="s">
        <v>178</v>
      </c>
      <c r="D76" s="47">
        <f>ROUND(D61*D75,4)</f>
        <v>1E-4</v>
      </c>
      <c r="E76" s="140">
        <f>ROUNDDOWN(E$30*$D76,2)</f>
        <v>0.34</v>
      </c>
      <c r="F76" s="140"/>
      <c r="G76" s="48">
        <f t="shared" si="9"/>
        <v>0.35</v>
      </c>
      <c r="H76" s="47"/>
      <c r="I76" s="48">
        <f t="shared" si="9"/>
        <v>0.36</v>
      </c>
    </row>
    <row r="77" spans="2:9" x14ac:dyDescent="0.25">
      <c r="B77" s="68"/>
      <c r="C77" s="128" t="s">
        <v>40</v>
      </c>
      <c r="D77" s="63">
        <f>D75+D76</f>
        <v>8.0000000000000004E-4</v>
      </c>
      <c r="E77" s="83">
        <f>SUM(E75:E76)</f>
        <v>2.73</v>
      </c>
      <c r="F77" s="83"/>
      <c r="G77" s="61">
        <f t="shared" ref="G77" si="10">SUM(G75:G76)</f>
        <v>2.8400000000000003</v>
      </c>
      <c r="H77" s="162"/>
      <c r="I77" s="157">
        <f t="shared" ref="I77" si="11">SUM(I75:I76)</f>
        <v>2.8899999999999997</v>
      </c>
    </row>
    <row r="78" spans="2:9" ht="9" customHeight="1" x14ac:dyDescent="0.25">
      <c r="B78" s="228"/>
      <c r="C78" s="229"/>
      <c r="D78" s="229"/>
      <c r="E78" s="229"/>
      <c r="F78" s="229"/>
      <c r="G78" s="230"/>
      <c r="H78" s="177"/>
      <c r="I78" s="178"/>
    </row>
    <row r="79" spans="2:9" x14ac:dyDescent="0.25">
      <c r="B79" s="212" t="s">
        <v>51</v>
      </c>
      <c r="C79" s="213"/>
      <c r="D79" s="213"/>
      <c r="E79" s="213"/>
      <c r="F79" s="225"/>
      <c r="G79" s="226"/>
      <c r="H79" s="295"/>
      <c r="I79" s="296"/>
    </row>
    <row r="80" spans="2:9" x14ac:dyDescent="0.25">
      <c r="B80" s="137" t="s">
        <v>52</v>
      </c>
      <c r="C80" s="62" t="s">
        <v>53</v>
      </c>
      <c r="D80" s="128" t="s">
        <v>1</v>
      </c>
      <c r="E80" s="128" t="s">
        <v>2</v>
      </c>
      <c r="F80" s="215" t="s">
        <v>2</v>
      </c>
      <c r="G80" s="227"/>
      <c r="H80" s="293" t="s">
        <v>2</v>
      </c>
      <c r="I80" s="294"/>
    </row>
    <row r="81" spans="2:10" ht="45.75" x14ac:dyDescent="0.25">
      <c r="B81" s="142" t="s">
        <v>3</v>
      </c>
      <c r="C81" s="49" t="s">
        <v>154</v>
      </c>
      <c r="D81" s="47">
        <f>ROUND(0.05*(1/12),4)</f>
        <v>4.1999999999999997E-3</v>
      </c>
      <c r="E81" s="140">
        <f>ROUNDDOWN(E$30*$D81,2)</f>
        <v>14.36</v>
      </c>
      <c r="F81" s="140"/>
      <c r="G81" s="48">
        <f t="shared" ref="G81" si="12">ROUNDDOWN(G$30*$D81,2)</f>
        <v>14.95</v>
      </c>
      <c r="H81" s="47">
        <f>ROUND(0.05*(1/12),4)</f>
        <v>4.1999999999999997E-3</v>
      </c>
      <c r="I81" s="160">
        <f t="shared" ref="I81:I86" si="13">ROUNDDOWN(I$30*$H81,2)</f>
        <v>15.2</v>
      </c>
      <c r="J81" s="305"/>
    </row>
    <row r="82" spans="2:10" x14ac:dyDescent="0.25">
      <c r="B82" s="142" t="s">
        <v>5</v>
      </c>
      <c r="C82" s="138" t="s">
        <v>222</v>
      </c>
      <c r="D82" s="47">
        <f>ROUND(D61*D81,4)</f>
        <v>5.9999999999999995E-4</v>
      </c>
      <c r="E82" s="140">
        <f t="shared" ref="E82:G86" si="14">ROUNDDOWN(E$30*$D82,2)</f>
        <v>2.0499999999999998</v>
      </c>
      <c r="F82" s="140"/>
      <c r="G82" s="48">
        <f t="shared" si="14"/>
        <v>2.13</v>
      </c>
      <c r="H82" s="47">
        <f>ROUND(D61*D81,4)</f>
        <v>5.9999999999999995E-4</v>
      </c>
      <c r="I82" s="160">
        <f t="shared" si="13"/>
        <v>2.17</v>
      </c>
      <c r="J82" s="305"/>
    </row>
    <row r="83" spans="2:10" ht="45.75" x14ac:dyDescent="0.25">
      <c r="B83" s="142" t="s">
        <v>7</v>
      </c>
      <c r="C83" s="49" t="s">
        <v>155</v>
      </c>
      <c r="D83" s="47">
        <f>ROUND(D81*0.5,4)</f>
        <v>2.0999999999999999E-3</v>
      </c>
      <c r="E83" s="140">
        <f t="shared" si="14"/>
        <v>7.18</v>
      </c>
      <c r="F83" s="140"/>
      <c r="G83" s="48">
        <f t="shared" si="14"/>
        <v>7.47</v>
      </c>
      <c r="H83" s="174">
        <v>2.0999999999999999E-3</v>
      </c>
      <c r="I83" s="160">
        <f t="shared" si="13"/>
        <v>7.6</v>
      </c>
    </row>
    <row r="84" spans="2:10" ht="45.75" x14ac:dyDescent="0.25">
      <c r="B84" s="142" t="s">
        <v>9</v>
      </c>
      <c r="C84" s="49" t="s">
        <v>156</v>
      </c>
      <c r="D84" s="47">
        <f>ROUND(((100%/30)*7)/12,4)</f>
        <v>1.9400000000000001E-2</v>
      </c>
      <c r="E84" s="140">
        <f t="shared" si="14"/>
        <v>66.349999999999994</v>
      </c>
      <c r="F84" s="140"/>
      <c r="G84" s="48">
        <f t="shared" si="14"/>
        <v>69.06</v>
      </c>
      <c r="H84" s="47">
        <f>ROUND(((100%/30)*7)/12,4)</f>
        <v>1.9400000000000001E-2</v>
      </c>
      <c r="I84" s="160">
        <f t="shared" si="13"/>
        <v>70.22</v>
      </c>
      <c r="J84" s="305"/>
    </row>
    <row r="85" spans="2:10" x14ac:dyDescent="0.25">
      <c r="B85" s="142" t="s">
        <v>11</v>
      </c>
      <c r="C85" s="49" t="s">
        <v>157</v>
      </c>
      <c r="D85" s="47">
        <f>ROUND(D61*D84,4)</f>
        <v>2.8999999999999998E-3</v>
      </c>
      <c r="E85" s="140">
        <f t="shared" si="14"/>
        <v>9.91</v>
      </c>
      <c r="F85" s="140"/>
      <c r="G85" s="48">
        <f t="shared" si="14"/>
        <v>10.32</v>
      </c>
      <c r="H85" s="47">
        <f>ROUND(D61*D84,4)</f>
        <v>2.8999999999999998E-3</v>
      </c>
      <c r="I85" s="160">
        <f t="shared" si="13"/>
        <v>10.49</v>
      </c>
      <c r="J85" s="305"/>
    </row>
    <row r="86" spans="2:10" ht="45.75" x14ac:dyDescent="0.25">
      <c r="B86" s="142" t="s">
        <v>13</v>
      </c>
      <c r="C86" s="49" t="s">
        <v>179</v>
      </c>
      <c r="D86" s="47">
        <f>ROUND(D84*0.5,4)</f>
        <v>9.7000000000000003E-3</v>
      </c>
      <c r="E86" s="140">
        <f t="shared" si="14"/>
        <v>33.17</v>
      </c>
      <c r="F86" s="140"/>
      <c r="G86" s="48">
        <f t="shared" si="14"/>
        <v>34.53</v>
      </c>
      <c r="H86" s="174">
        <v>9.7000000000000003E-3</v>
      </c>
      <c r="I86" s="160">
        <f t="shared" si="13"/>
        <v>35.11</v>
      </c>
    </row>
    <row r="87" spans="2:10" x14ac:dyDescent="0.25">
      <c r="B87" s="68"/>
      <c r="C87" s="128" t="s">
        <v>40</v>
      </c>
      <c r="D87" s="63">
        <f>SUM(D81:D86)</f>
        <v>3.8900000000000004E-2</v>
      </c>
      <c r="E87" s="83">
        <f>SUM(E81:E86)</f>
        <v>133.01999999999998</v>
      </c>
      <c r="F87" s="83"/>
      <c r="G87" s="61">
        <f t="shared" ref="G87" si="15">SUM(G81:G86)</f>
        <v>138.46</v>
      </c>
      <c r="H87" s="162">
        <f>SUM(H81:H86)</f>
        <v>3.8900000000000004E-2</v>
      </c>
      <c r="I87" s="157">
        <f t="shared" ref="I87" si="16">SUM(I81:I86)</f>
        <v>140.79</v>
      </c>
    </row>
    <row r="88" spans="2:10" ht="9" customHeight="1" x14ac:dyDescent="0.25">
      <c r="B88" s="231"/>
      <c r="C88" s="232"/>
      <c r="D88" s="232"/>
      <c r="E88" s="232"/>
      <c r="F88" s="232"/>
      <c r="G88" s="233"/>
      <c r="H88" s="177"/>
      <c r="I88" s="178"/>
    </row>
    <row r="89" spans="2:10" x14ac:dyDescent="0.25">
      <c r="B89" s="212" t="s">
        <v>54</v>
      </c>
      <c r="C89" s="213"/>
      <c r="D89" s="213"/>
      <c r="E89" s="213"/>
      <c r="F89" s="225"/>
      <c r="G89" s="226"/>
      <c r="H89" s="295"/>
      <c r="I89" s="296"/>
    </row>
    <row r="90" spans="2:10" ht="15.75" customHeight="1" x14ac:dyDescent="0.25">
      <c r="B90" s="137" t="s">
        <v>55</v>
      </c>
      <c r="C90" s="128" t="s">
        <v>56</v>
      </c>
      <c r="D90" s="128" t="s">
        <v>1</v>
      </c>
      <c r="E90" s="128" t="s">
        <v>2</v>
      </c>
      <c r="F90" s="215" t="s">
        <v>2</v>
      </c>
      <c r="G90" s="227"/>
      <c r="H90" s="293" t="s">
        <v>2</v>
      </c>
      <c r="I90" s="294"/>
    </row>
    <row r="91" spans="2:10" x14ac:dyDescent="0.25">
      <c r="B91" s="142" t="s">
        <v>3</v>
      </c>
      <c r="C91" s="138" t="s">
        <v>57</v>
      </c>
      <c r="D91" s="47">
        <f>ROUND((1/12),4)</f>
        <v>8.3299999999999999E-2</v>
      </c>
      <c r="E91" s="140">
        <f>ROUNDDOWN(E$30*$D91,2)</f>
        <v>284.91000000000003</v>
      </c>
      <c r="F91" s="140"/>
      <c r="G91" s="48">
        <f t="shared" ref="G91:I91" si="17">ROUNDDOWN(G$30*$D91,2)</f>
        <v>296.52999999999997</v>
      </c>
      <c r="H91" s="114"/>
      <c r="I91" s="160">
        <f t="shared" si="17"/>
        <v>301.54000000000002</v>
      </c>
    </row>
    <row r="92" spans="2:10" x14ac:dyDescent="0.25">
      <c r="B92" s="142" t="s">
        <v>5</v>
      </c>
      <c r="C92" s="138" t="s">
        <v>58</v>
      </c>
      <c r="D92" s="47">
        <v>1.3899999999999999E-2</v>
      </c>
      <c r="E92" s="140">
        <f t="shared" ref="E92:I98" si="18">ROUNDDOWN(E$30*$D92,2)</f>
        <v>47.54</v>
      </c>
      <c r="F92" s="140"/>
      <c r="G92" s="48">
        <f t="shared" si="18"/>
        <v>49.48</v>
      </c>
      <c r="H92" s="114"/>
      <c r="I92" s="160">
        <f t="shared" si="18"/>
        <v>50.31</v>
      </c>
    </row>
    <row r="93" spans="2:10" x14ac:dyDescent="0.25">
      <c r="B93" s="142" t="s">
        <v>7</v>
      </c>
      <c r="C93" s="138" t="s">
        <v>59</v>
      </c>
      <c r="D93" s="47">
        <v>1.2999999999999999E-3</v>
      </c>
      <c r="E93" s="140">
        <f t="shared" si="18"/>
        <v>4.4400000000000004</v>
      </c>
      <c r="F93" s="140"/>
      <c r="G93" s="48">
        <f t="shared" si="18"/>
        <v>4.62</v>
      </c>
      <c r="H93" s="114"/>
      <c r="I93" s="160">
        <f t="shared" si="18"/>
        <v>4.7</v>
      </c>
    </row>
    <row r="94" spans="2:10" x14ac:dyDescent="0.25">
      <c r="B94" s="142" t="s">
        <v>9</v>
      </c>
      <c r="C94" s="138" t="s">
        <v>60</v>
      </c>
      <c r="D94" s="47">
        <v>2.8E-3</v>
      </c>
      <c r="E94" s="140">
        <f t="shared" si="18"/>
        <v>9.57</v>
      </c>
      <c r="F94" s="140"/>
      <c r="G94" s="48">
        <f t="shared" si="18"/>
        <v>9.9600000000000009</v>
      </c>
      <c r="H94" s="114"/>
      <c r="I94" s="160">
        <f t="shared" si="18"/>
        <v>10.130000000000001</v>
      </c>
    </row>
    <row r="95" spans="2:10" ht="24" x14ac:dyDescent="0.25">
      <c r="B95" s="142" t="s">
        <v>11</v>
      </c>
      <c r="C95" s="138" t="s">
        <v>61</v>
      </c>
      <c r="D95" s="47">
        <v>3.3E-3</v>
      </c>
      <c r="E95" s="140">
        <f t="shared" si="18"/>
        <v>11.28</v>
      </c>
      <c r="F95" s="140"/>
      <c r="G95" s="48">
        <f t="shared" si="18"/>
        <v>11.74</v>
      </c>
      <c r="H95" s="114"/>
      <c r="I95" s="160">
        <f t="shared" si="18"/>
        <v>11.94</v>
      </c>
    </row>
    <row r="96" spans="2:10" x14ac:dyDescent="0.25">
      <c r="B96" s="142" t="s">
        <v>13</v>
      </c>
      <c r="C96" s="138" t="s">
        <v>18</v>
      </c>
      <c r="D96" s="47">
        <v>0</v>
      </c>
      <c r="E96" s="140">
        <f t="shared" si="18"/>
        <v>0</v>
      </c>
      <c r="F96" s="140"/>
      <c r="G96" s="48">
        <f t="shared" si="18"/>
        <v>0</v>
      </c>
      <c r="H96" s="114"/>
      <c r="I96" s="160">
        <f t="shared" si="18"/>
        <v>0</v>
      </c>
    </row>
    <row r="97" spans="2:9" x14ac:dyDescent="0.25">
      <c r="B97" s="89"/>
      <c r="C97" s="129" t="s">
        <v>46</v>
      </c>
      <c r="D97" s="50">
        <f>ROUND(SUM(D91:D96),4)</f>
        <v>0.1046</v>
      </c>
      <c r="E97" s="140">
        <f>ROUNDDOWN(E$30*$D97,2)-0.02</f>
        <v>357.74</v>
      </c>
      <c r="F97" s="140"/>
      <c r="G97" s="48">
        <f t="shared" si="18"/>
        <v>372.36</v>
      </c>
      <c r="H97" s="114"/>
      <c r="I97" s="160">
        <f>SUM(I91:I96)</f>
        <v>378.62</v>
      </c>
    </row>
    <row r="98" spans="2:9" x14ac:dyDescent="0.25">
      <c r="B98" s="142" t="s">
        <v>15</v>
      </c>
      <c r="C98" s="138" t="s">
        <v>181</v>
      </c>
      <c r="D98" s="50">
        <f>ROUND(D61*D97,4)</f>
        <v>1.55E-2</v>
      </c>
      <c r="E98" s="140">
        <f t="shared" si="18"/>
        <v>53.01</v>
      </c>
      <c r="F98" s="140"/>
      <c r="G98" s="48">
        <f t="shared" si="18"/>
        <v>55.17</v>
      </c>
      <c r="H98" s="114"/>
      <c r="I98" s="160">
        <f t="shared" si="18"/>
        <v>56.11</v>
      </c>
    </row>
    <row r="99" spans="2:9" x14ac:dyDescent="0.25">
      <c r="B99" s="214" t="s">
        <v>40</v>
      </c>
      <c r="C99" s="215"/>
      <c r="D99" s="63">
        <f>D97+D98</f>
        <v>0.1201</v>
      </c>
      <c r="E99" s="83">
        <f>E97+E98</f>
        <v>410.75</v>
      </c>
      <c r="F99" s="83"/>
      <c r="G99" s="61">
        <f t="shared" ref="G99" si="19">G97+G98</f>
        <v>427.53000000000003</v>
      </c>
      <c r="H99" s="112"/>
      <c r="I99" s="157">
        <f t="shared" ref="I99" si="20">I97+I98</f>
        <v>434.73</v>
      </c>
    </row>
    <row r="100" spans="2:9" ht="9" customHeight="1" x14ac:dyDescent="0.25">
      <c r="B100" s="222"/>
      <c r="C100" s="223"/>
      <c r="D100" s="223"/>
      <c r="E100" s="223"/>
      <c r="F100" s="223"/>
      <c r="G100" s="224"/>
      <c r="H100" s="177"/>
      <c r="I100" s="178"/>
    </row>
    <row r="101" spans="2:9" x14ac:dyDescent="0.25">
      <c r="B101" s="212" t="s">
        <v>62</v>
      </c>
      <c r="C101" s="213"/>
      <c r="D101" s="213"/>
      <c r="E101" s="213"/>
      <c r="F101" s="265"/>
      <c r="G101" s="266"/>
      <c r="H101" s="303"/>
      <c r="I101" s="304"/>
    </row>
    <row r="102" spans="2:9" x14ac:dyDescent="0.25">
      <c r="B102" s="137">
        <v>4</v>
      </c>
      <c r="C102" s="128" t="s">
        <v>63</v>
      </c>
      <c r="D102" s="128" t="s">
        <v>1</v>
      </c>
      <c r="E102" s="128" t="s">
        <v>2</v>
      </c>
      <c r="F102" s="215" t="s">
        <v>2</v>
      </c>
      <c r="G102" s="227"/>
      <c r="H102" s="293" t="s">
        <v>2</v>
      </c>
      <c r="I102" s="294"/>
    </row>
    <row r="103" spans="2:9" x14ac:dyDescent="0.25">
      <c r="B103" s="142" t="s">
        <v>31</v>
      </c>
      <c r="C103" s="138" t="s">
        <v>32</v>
      </c>
      <c r="D103" s="47">
        <f>D61</f>
        <v>0.14800000000000002</v>
      </c>
      <c r="E103" s="140">
        <f>E61</f>
        <v>506.18</v>
      </c>
      <c r="F103" s="140"/>
      <c r="G103" s="48">
        <f>G61</f>
        <v>526.81000000000006</v>
      </c>
      <c r="H103" s="114"/>
      <c r="I103" s="160">
        <f>I61</f>
        <v>535.7600000000001</v>
      </c>
    </row>
    <row r="104" spans="2:9" x14ac:dyDescent="0.25">
      <c r="B104" s="142" t="s">
        <v>42</v>
      </c>
      <c r="C104" s="138" t="s">
        <v>64</v>
      </c>
      <c r="D104" s="47">
        <f>D71</f>
        <v>0.1275</v>
      </c>
      <c r="E104" s="140">
        <f>E71</f>
        <v>436.08000000000004</v>
      </c>
      <c r="F104" s="140"/>
      <c r="G104" s="48">
        <f>G71</f>
        <v>453.88</v>
      </c>
      <c r="H104" s="114"/>
      <c r="I104" s="160">
        <f>I71</f>
        <v>461.58169278952272</v>
      </c>
    </row>
    <row r="105" spans="2:9" x14ac:dyDescent="0.25">
      <c r="B105" s="142" t="s">
        <v>48</v>
      </c>
      <c r="C105" s="138" t="s">
        <v>65</v>
      </c>
      <c r="D105" s="47">
        <f>D77</f>
        <v>8.0000000000000004E-4</v>
      </c>
      <c r="E105" s="140">
        <f>E77</f>
        <v>2.73</v>
      </c>
      <c r="F105" s="140"/>
      <c r="G105" s="48">
        <f>G77</f>
        <v>2.8400000000000003</v>
      </c>
      <c r="H105" s="114"/>
      <c r="I105" s="160">
        <f>I77</f>
        <v>2.8899999999999997</v>
      </c>
    </row>
    <row r="106" spans="2:9" x14ac:dyDescent="0.25">
      <c r="B106" s="142" t="s">
        <v>52</v>
      </c>
      <c r="C106" s="138" t="s">
        <v>66</v>
      </c>
      <c r="D106" s="47">
        <f>D87</f>
        <v>3.8900000000000004E-2</v>
      </c>
      <c r="E106" s="140">
        <f>E87</f>
        <v>133.01999999999998</v>
      </c>
      <c r="F106" s="140"/>
      <c r="G106" s="48">
        <f>G87</f>
        <v>138.46</v>
      </c>
      <c r="H106" s="114"/>
      <c r="I106" s="160">
        <f>I87</f>
        <v>140.79</v>
      </c>
    </row>
    <row r="107" spans="2:9" x14ac:dyDescent="0.25">
      <c r="B107" s="142" t="s">
        <v>55</v>
      </c>
      <c r="C107" s="138" t="s">
        <v>67</v>
      </c>
      <c r="D107" s="47">
        <f>D99</f>
        <v>0.1201</v>
      </c>
      <c r="E107" s="140">
        <f>E99</f>
        <v>410.75</v>
      </c>
      <c r="F107" s="140"/>
      <c r="G107" s="48">
        <f t="shared" ref="G107" si="21">G99</f>
        <v>427.53000000000003</v>
      </c>
      <c r="H107" s="114"/>
      <c r="I107" s="160">
        <f t="shared" ref="I107" si="22">I99</f>
        <v>434.73</v>
      </c>
    </row>
    <row r="108" spans="2:9" x14ac:dyDescent="0.25">
      <c r="B108" s="142" t="s">
        <v>68</v>
      </c>
      <c r="C108" s="138" t="s">
        <v>18</v>
      </c>
      <c r="D108" s="47">
        <v>0</v>
      </c>
      <c r="E108" s="140">
        <f>ROUNDDOWN(E$30*$D108,2)</f>
        <v>0</v>
      </c>
      <c r="F108" s="140"/>
      <c r="G108" s="48">
        <f t="shared" ref="G108:I108" si="23">ROUNDDOWN(G$30*$D108,2)</f>
        <v>0</v>
      </c>
      <c r="H108" s="114"/>
      <c r="I108" s="160">
        <f t="shared" si="23"/>
        <v>0</v>
      </c>
    </row>
    <row r="109" spans="2:9" x14ac:dyDescent="0.25">
      <c r="B109" s="214" t="s">
        <v>40</v>
      </c>
      <c r="C109" s="215"/>
      <c r="D109" s="63">
        <f>SUM(D103:D108)</f>
        <v>0.43530000000000002</v>
      </c>
      <c r="E109" s="84">
        <f>SUM(E103:E108)</f>
        <v>1488.76</v>
      </c>
      <c r="F109" s="84"/>
      <c r="G109" s="64">
        <f t="shared" ref="G109" si="24">SUM(G103:G108)</f>
        <v>1549.52</v>
      </c>
      <c r="H109" s="115"/>
      <c r="I109" s="161">
        <f t="shared" ref="I109" si="25">SUM(I103:I108)</f>
        <v>1575.7516927895228</v>
      </c>
    </row>
    <row r="110" spans="2:9" ht="9" customHeight="1" x14ac:dyDescent="0.25">
      <c r="B110" s="222"/>
      <c r="C110" s="223"/>
      <c r="D110" s="223"/>
      <c r="E110" s="223"/>
      <c r="F110" s="223"/>
      <c r="G110" s="224"/>
      <c r="H110" s="177"/>
      <c r="I110" s="178"/>
    </row>
    <row r="111" spans="2:9" x14ac:dyDescent="0.25">
      <c r="B111" s="220" t="s">
        <v>150</v>
      </c>
      <c r="C111" s="221"/>
      <c r="D111" s="221"/>
      <c r="E111" s="221"/>
      <c r="F111" s="265"/>
      <c r="G111" s="266"/>
      <c r="H111" s="303"/>
      <c r="I111" s="304"/>
    </row>
    <row r="112" spans="2:9" x14ac:dyDescent="0.25">
      <c r="B112" s="137" t="s">
        <v>69</v>
      </c>
      <c r="C112" s="128" t="s">
        <v>70</v>
      </c>
      <c r="D112" s="128" t="s">
        <v>1</v>
      </c>
      <c r="E112" s="128" t="s">
        <v>2</v>
      </c>
      <c r="F112" s="215" t="s">
        <v>2</v>
      </c>
      <c r="G112" s="227"/>
      <c r="H112" s="293" t="s">
        <v>2</v>
      </c>
      <c r="I112" s="294"/>
    </row>
    <row r="113" spans="2:9" x14ac:dyDescent="0.25">
      <c r="B113" s="142" t="s">
        <v>3</v>
      </c>
      <c r="C113" s="49" t="s">
        <v>71</v>
      </c>
      <c r="D113" s="47">
        <v>0.05</v>
      </c>
      <c r="E113" s="140">
        <f>ROUNDDOWN((E$30+E$41+E$48+E$109)*$D113,4)-0.01</f>
        <v>280.75850000000003</v>
      </c>
      <c r="F113" s="140"/>
      <c r="G113" s="48">
        <f>ROUNDDOWN((G$30+G$41+G$48+G$109)*$D113,4)</f>
        <v>297.00029999999998</v>
      </c>
      <c r="H113" s="114"/>
      <c r="I113" s="160">
        <f>ROUNDDOWN((I$30+I$41+I$48+I$109)*$D113,4)</f>
        <v>302.11070000000001</v>
      </c>
    </row>
    <row r="114" spans="2:9" x14ac:dyDescent="0.25">
      <c r="B114" s="142" t="s">
        <v>5</v>
      </c>
      <c r="C114" s="49" t="s">
        <v>72</v>
      </c>
      <c r="D114" s="47">
        <f>SUM(D115:D118)</f>
        <v>0.13150000000000001</v>
      </c>
      <c r="E114" s="140"/>
      <c r="F114" s="140"/>
      <c r="G114" s="48"/>
      <c r="H114" s="114"/>
      <c r="I114" s="160"/>
    </row>
    <row r="115" spans="2:9" ht="24" x14ac:dyDescent="0.25">
      <c r="B115" s="40"/>
      <c r="C115" s="138" t="s">
        <v>182</v>
      </c>
      <c r="D115" s="47">
        <v>3.6499999999999998E-2</v>
      </c>
      <c r="E115" s="140">
        <f>(((E$30+E$41+E$48+E$109)+E$113+E$119)/(1-$D$114))*$D115</f>
        <v>257.18394651698327</v>
      </c>
      <c r="F115" s="140"/>
      <c r="G115" s="48">
        <f>(((G$30+G$41+G$48+G$109)+G$113+G$119)/(1-$D$114))*$D115</f>
        <v>272.05284439820377</v>
      </c>
      <c r="H115" s="114"/>
      <c r="I115" s="160">
        <f>(((I$30+I$41+I$48+I$109)+I$113+I$119)/(1-$D$114))*$D115</f>
        <v>276.73414645386742</v>
      </c>
    </row>
    <row r="116" spans="2:9" x14ac:dyDescent="0.25">
      <c r="B116" s="40"/>
      <c r="C116" s="138" t="s">
        <v>158</v>
      </c>
      <c r="D116" s="47">
        <v>0.05</v>
      </c>
      <c r="E116" s="140">
        <f>(((E$30+E$41+E$48+E$109)+E$113+E$119)/(1-$D$114))*$D116</f>
        <v>352.30677605066205</v>
      </c>
      <c r="F116" s="140"/>
      <c r="G116" s="48">
        <f>(((G$30+G$41+G$48+G$109)+G$113+G$119)/(1-$D$114))*$D116</f>
        <v>372.67512931260791</v>
      </c>
      <c r="H116" s="114"/>
      <c r="I116" s="160">
        <f>(((I$30+I$41+I$48+I$109)+I$113+I$119)/(1-$D$114))*$D116</f>
        <v>379.08787185461296</v>
      </c>
    </row>
    <row r="117" spans="2:9" x14ac:dyDescent="0.25">
      <c r="B117" s="40"/>
      <c r="C117" s="138" t="s">
        <v>160</v>
      </c>
      <c r="D117" s="51"/>
      <c r="E117" s="140">
        <f>(((E$30+E$41+E$48+E$109)+E$113+E$119)/(1-$D$114))*$D117</f>
        <v>0</v>
      </c>
      <c r="F117" s="140"/>
      <c r="G117" s="48">
        <f>(((G$30+G$41+G$48+G$109)+G$113+G$119)/(1-$D$114))*$D117</f>
        <v>0</v>
      </c>
      <c r="H117" s="114"/>
      <c r="I117" s="160">
        <f>(((I$30+I$41+I$48+I$109)+I$113+I$119)/(1-$D$114))*$D117</f>
        <v>0</v>
      </c>
    </row>
    <row r="118" spans="2:9" x14ac:dyDescent="0.25">
      <c r="B118" s="40"/>
      <c r="C118" s="138" t="s">
        <v>159</v>
      </c>
      <c r="D118" s="47">
        <v>4.4999999999999998E-2</v>
      </c>
      <c r="E118" s="140">
        <f>(((E$30+E$41+E$48+E$109)+E$113+E$119)/(1-$D$114))*$D118</f>
        <v>317.07609844559579</v>
      </c>
      <c r="F118" s="140"/>
      <c r="G118" s="48">
        <f>(((G$30+G$41+G$48+G$109)+G$113+G$119)/(1-$D$114))*$D118</f>
        <v>335.40761638134711</v>
      </c>
      <c r="H118" s="114"/>
      <c r="I118" s="160">
        <f>(((I$30+I$41+I$48+I$109)+I$113+I$119)/(1-$D$114))*$D118</f>
        <v>341.17908466915162</v>
      </c>
    </row>
    <row r="119" spans="2:9" x14ac:dyDescent="0.25">
      <c r="B119" s="142" t="s">
        <v>7</v>
      </c>
      <c r="C119" s="138" t="s">
        <v>161</v>
      </c>
      <c r="D119" s="92">
        <v>3.7896079760813002E-2</v>
      </c>
      <c r="E119" s="140">
        <f>ROUND(((E$30+E$41+E$48+E$109)+E$113)*$D119,2)</f>
        <v>223.44</v>
      </c>
      <c r="F119" s="140"/>
      <c r="G119" s="48">
        <f>ROUND(((G$30+G$41+G$48+G$109)+G$113)*$D119,2)</f>
        <v>236.36</v>
      </c>
      <c r="H119" s="114"/>
      <c r="I119" s="160">
        <f>ROUND(((I$30+I$41+I$48+I$109)+I$113)*$D119,2)</f>
        <v>240.43</v>
      </c>
    </row>
    <row r="120" spans="2:9" x14ac:dyDescent="0.25">
      <c r="B120" s="65"/>
      <c r="C120" s="128" t="s">
        <v>73</v>
      </c>
      <c r="D120" s="59"/>
      <c r="E120" s="84">
        <f>SUM(E113:E119)</f>
        <v>1430.7653210132412</v>
      </c>
      <c r="F120" s="84"/>
      <c r="G120" s="64">
        <f t="shared" ref="G120" si="26">SUM(G113:G119)</f>
        <v>1513.4958900921588</v>
      </c>
      <c r="H120" s="115"/>
      <c r="I120" s="161">
        <f t="shared" ref="I120" si="27">SUM(I113:I119)</f>
        <v>1539.5418029776322</v>
      </c>
    </row>
    <row r="121" spans="2:9" ht="15" customHeight="1" x14ac:dyDescent="0.25">
      <c r="B121" s="210" t="s">
        <v>162</v>
      </c>
      <c r="C121" s="211"/>
      <c r="D121" s="211"/>
      <c r="E121" s="211"/>
      <c r="F121" s="223"/>
      <c r="G121" s="224"/>
      <c r="H121" s="306"/>
      <c r="I121" s="307"/>
    </row>
    <row r="122" spans="2:9" ht="15" customHeight="1" x14ac:dyDescent="0.25">
      <c r="B122" s="210" t="s">
        <v>169</v>
      </c>
      <c r="C122" s="211"/>
      <c r="D122" s="211"/>
      <c r="E122" s="211"/>
      <c r="F122" s="223"/>
      <c r="G122" s="224"/>
      <c r="H122" s="306"/>
      <c r="I122" s="307"/>
    </row>
    <row r="123" spans="2:9" ht="9" customHeight="1" x14ac:dyDescent="0.25">
      <c r="B123" s="228"/>
      <c r="C123" s="229"/>
      <c r="D123" s="229"/>
      <c r="E123" s="229"/>
      <c r="F123" s="229"/>
      <c r="G123" s="230"/>
      <c r="H123" s="177"/>
      <c r="I123" s="178"/>
    </row>
    <row r="124" spans="2:9" x14ac:dyDescent="0.25">
      <c r="B124" s="212" t="s">
        <v>151</v>
      </c>
      <c r="C124" s="213"/>
      <c r="D124" s="213"/>
      <c r="E124" s="213"/>
      <c r="F124" s="225"/>
      <c r="G124" s="226"/>
      <c r="H124" s="295"/>
      <c r="I124" s="296"/>
    </row>
    <row r="125" spans="2:9" ht="24.75" customHeight="1" x14ac:dyDescent="0.25">
      <c r="B125" s="69"/>
      <c r="C125" s="128" t="s">
        <v>183</v>
      </c>
      <c r="D125" s="128" t="s">
        <v>1</v>
      </c>
      <c r="E125" s="128" t="s">
        <v>2</v>
      </c>
      <c r="F125" s="215" t="s">
        <v>2</v>
      </c>
      <c r="G125" s="227"/>
      <c r="H125" s="293" t="s">
        <v>2</v>
      </c>
      <c r="I125" s="294"/>
    </row>
    <row r="126" spans="2:9" x14ac:dyDescent="0.25">
      <c r="B126" s="142" t="s">
        <v>3</v>
      </c>
      <c r="C126" s="138" t="s">
        <v>164</v>
      </c>
      <c r="D126" s="56"/>
      <c r="E126" s="85">
        <f>E30</f>
        <v>3420.33</v>
      </c>
      <c r="F126" s="85"/>
      <c r="G126" s="52">
        <f>G30</f>
        <v>3559.8794639999996</v>
      </c>
      <c r="H126" s="165"/>
      <c r="I126" s="166">
        <f>I30</f>
        <v>3620.0414269415992</v>
      </c>
    </row>
    <row r="127" spans="2:9" x14ac:dyDescent="0.25">
      <c r="B127" s="142" t="s">
        <v>5</v>
      </c>
      <c r="C127" s="138" t="s">
        <v>165</v>
      </c>
      <c r="D127" s="56"/>
      <c r="E127" s="86">
        <f>E41</f>
        <v>664.28020000000004</v>
      </c>
      <c r="F127" s="86"/>
      <c r="G127" s="53">
        <f>G41</f>
        <v>788.60723215999997</v>
      </c>
      <c r="H127" s="167"/>
      <c r="I127" s="168">
        <f>I41</f>
        <v>804.42251438350399</v>
      </c>
    </row>
    <row r="128" spans="2:9" ht="24" x14ac:dyDescent="0.25">
      <c r="B128" s="142" t="s">
        <v>7</v>
      </c>
      <c r="C128" s="138" t="s">
        <v>166</v>
      </c>
      <c r="D128" s="56"/>
      <c r="E128" s="86">
        <f>E48</f>
        <v>42</v>
      </c>
      <c r="F128" s="138"/>
      <c r="G128" s="53">
        <f>G48</f>
        <v>42</v>
      </c>
      <c r="H128" s="169"/>
      <c r="I128" s="168">
        <f>I48</f>
        <v>42</v>
      </c>
    </row>
    <row r="129" spans="2:9" x14ac:dyDescent="0.25">
      <c r="B129" s="142" t="s">
        <v>9</v>
      </c>
      <c r="C129" s="138" t="s">
        <v>167</v>
      </c>
      <c r="D129" s="56"/>
      <c r="E129" s="85">
        <f>E109</f>
        <v>1488.76</v>
      </c>
      <c r="F129" s="85"/>
      <c r="G129" s="52">
        <f t="shared" ref="G129" si="28">G109</f>
        <v>1549.52</v>
      </c>
      <c r="H129" s="165"/>
      <c r="I129" s="166">
        <f t="shared" ref="I129" si="29">I109</f>
        <v>1575.7516927895228</v>
      </c>
    </row>
    <row r="130" spans="2:9" x14ac:dyDescent="0.25">
      <c r="B130" s="89"/>
      <c r="C130" s="129" t="s">
        <v>75</v>
      </c>
      <c r="D130" s="56"/>
      <c r="E130" s="87">
        <f>SUM(E126:E129)</f>
        <v>5615.3702000000003</v>
      </c>
      <c r="F130" s="87"/>
      <c r="G130" s="54">
        <f t="shared" ref="G130" si="30">SUM(G126:G129)</f>
        <v>5940.0066961600005</v>
      </c>
      <c r="H130" s="170"/>
      <c r="I130" s="171">
        <f t="shared" ref="I130" si="31">SUM(I126:I129)</f>
        <v>6042.2156341146265</v>
      </c>
    </row>
    <row r="131" spans="2:9" x14ac:dyDescent="0.25">
      <c r="B131" s="142" t="s">
        <v>11</v>
      </c>
      <c r="C131" s="133" t="s">
        <v>168</v>
      </c>
      <c r="D131" s="56"/>
      <c r="E131" s="85">
        <f>E120</f>
        <v>1430.7653210132412</v>
      </c>
      <c r="F131" s="85"/>
      <c r="G131" s="52">
        <f t="shared" ref="G131" si="32">G120</f>
        <v>1513.4958900921588</v>
      </c>
      <c r="H131" s="165"/>
      <c r="I131" s="166">
        <f t="shared" ref="I131" si="33">I120</f>
        <v>1539.5418029776322</v>
      </c>
    </row>
    <row r="132" spans="2:9" ht="15.75" customHeight="1" thickBot="1" x14ac:dyDescent="0.3">
      <c r="B132" s="208" t="s">
        <v>76</v>
      </c>
      <c r="C132" s="209"/>
      <c r="D132" s="70"/>
      <c r="E132" s="90">
        <f>E130+E131</f>
        <v>7046.1355210132415</v>
      </c>
      <c r="F132" s="91"/>
      <c r="G132" s="74">
        <f t="shared" ref="G132" si="34">G130+G131</f>
        <v>7453.5025862521597</v>
      </c>
      <c r="H132" s="172"/>
      <c r="I132" s="173">
        <f t="shared" ref="I132" si="35">I130+I131</f>
        <v>7581.7574370922584</v>
      </c>
    </row>
  </sheetData>
  <mergeCells count="149">
    <mergeCell ref="J81:J82"/>
    <mergeCell ref="J84:J85"/>
    <mergeCell ref="H102:I102"/>
    <mergeCell ref="H111:I111"/>
    <mergeCell ref="H112:I112"/>
    <mergeCell ref="H121:I121"/>
    <mergeCell ref="H122:I122"/>
    <mergeCell ref="H124:I124"/>
    <mergeCell ref="H125:I125"/>
    <mergeCell ref="H65:I65"/>
    <mergeCell ref="H66:I66"/>
    <mergeCell ref="H73:I73"/>
    <mergeCell ref="H74:I74"/>
    <mergeCell ref="H79:I79"/>
    <mergeCell ref="H80:I80"/>
    <mergeCell ref="H89:I89"/>
    <mergeCell ref="H90:I90"/>
    <mergeCell ref="H101:I101"/>
    <mergeCell ref="H42:I42"/>
    <mergeCell ref="H43:I43"/>
    <mergeCell ref="H44:I44"/>
    <mergeCell ref="H49:I49"/>
    <mergeCell ref="H50:I50"/>
    <mergeCell ref="H51:I51"/>
    <mergeCell ref="H52:I52"/>
    <mergeCell ref="H62:I62"/>
    <mergeCell ref="H63:I63"/>
    <mergeCell ref="H13:I13"/>
    <mergeCell ref="H14:I14"/>
    <mergeCell ref="H15:I15"/>
    <mergeCell ref="H17:I17"/>
    <mergeCell ref="H18:I18"/>
    <mergeCell ref="H20:I20"/>
    <mergeCell ref="H21:I21"/>
    <mergeCell ref="H32:I32"/>
    <mergeCell ref="H33:I33"/>
    <mergeCell ref="H2:I3"/>
    <mergeCell ref="H4:I4"/>
    <mergeCell ref="H5:I5"/>
    <mergeCell ref="H6:I6"/>
    <mergeCell ref="H7:I7"/>
    <mergeCell ref="H8:I8"/>
    <mergeCell ref="H10:I10"/>
    <mergeCell ref="H11:I11"/>
    <mergeCell ref="H12:I12"/>
    <mergeCell ref="C8:D8"/>
    <mergeCell ref="F124:G124"/>
    <mergeCell ref="F125:G125"/>
    <mergeCell ref="F43:G43"/>
    <mergeCell ref="F65:G65"/>
    <mergeCell ref="F79:G79"/>
    <mergeCell ref="F112:G112"/>
    <mergeCell ref="F51:G51"/>
    <mergeCell ref="B64:G64"/>
    <mergeCell ref="F73:G73"/>
    <mergeCell ref="B78:G78"/>
    <mergeCell ref="F111:G111"/>
    <mergeCell ref="B123:G123"/>
    <mergeCell ref="F101:G101"/>
    <mergeCell ref="F49:G49"/>
    <mergeCell ref="F66:G66"/>
    <mergeCell ref="F74:G74"/>
    <mergeCell ref="F80:G80"/>
    <mergeCell ref="F121:G121"/>
    <mergeCell ref="F122:G122"/>
    <mergeCell ref="F63:G63"/>
    <mergeCell ref="F52:G52"/>
    <mergeCell ref="B49:E49"/>
    <mergeCell ref="B43:E43"/>
    <mergeCell ref="F14:G14"/>
    <mergeCell ref="F21:G21"/>
    <mergeCell ref="F50:G50"/>
    <mergeCell ref="B19:G19"/>
    <mergeCell ref="B9:G9"/>
    <mergeCell ref="F32:G32"/>
    <mergeCell ref="F33:G33"/>
    <mergeCell ref="F44:G44"/>
    <mergeCell ref="F10:G10"/>
    <mergeCell ref="F18:G18"/>
    <mergeCell ref="F13:G13"/>
    <mergeCell ref="F20:G20"/>
    <mergeCell ref="B31:G31"/>
    <mergeCell ref="C41:D41"/>
    <mergeCell ref="B42:E42"/>
    <mergeCell ref="C18:D18"/>
    <mergeCell ref="C38:D38"/>
    <mergeCell ref="C39:D39"/>
    <mergeCell ref="C40:D40"/>
    <mergeCell ref="C46:D46"/>
    <mergeCell ref="C47:D47"/>
    <mergeCell ref="C48:D48"/>
    <mergeCell ref="C44:D44"/>
    <mergeCell ref="F42:G42"/>
    <mergeCell ref="B3:E3"/>
    <mergeCell ref="F5:G5"/>
    <mergeCell ref="F6:G6"/>
    <mergeCell ref="F11:G11"/>
    <mergeCell ref="F12:G12"/>
    <mergeCell ref="F15:G15"/>
    <mergeCell ref="F17:G17"/>
    <mergeCell ref="F2:G3"/>
    <mergeCell ref="B2:E2"/>
    <mergeCell ref="C11:D11"/>
    <mergeCell ref="C12:D12"/>
    <mergeCell ref="B10:E10"/>
    <mergeCell ref="B13:E13"/>
    <mergeCell ref="B14:E14"/>
    <mergeCell ref="F4:G4"/>
    <mergeCell ref="C15:D15"/>
    <mergeCell ref="C16:D16"/>
    <mergeCell ref="C17:D17"/>
    <mergeCell ref="B4:E4"/>
    <mergeCell ref="C5:D5"/>
    <mergeCell ref="C6:D6"/>
    <mergeCell ref="C7:D7"/>
    <mergeCell ref="F7:G7"/>
    <mergeCell ref="F8:G8"/>
    <mergeCell ref="C35:D35"/>
    <mergeCell ref="C36:D36"/>
    <mergeCell ref="C37:D37"/>
    <mergeCell ref="B20:E20"/>
    <mergeCell ref="B32:E32"/>
    <mergeCell ref="C33:D33"/>
    <mergeCell ref="C34:D34"/>
    <mergeCell ref="F62:G62"/>
    <mergeCell ref="C45:D45"/>
    <mergeCell ref="B132:C132"/>
    <mergeCell ref="B122:E122"/>
    <mergeCell ref="B124:E124"/>
    <mergeCell ref="B89:E89"/>
    <mergeCell ref="B50:E50"/>
    <mergeCell ref="B51:E51"/>
    <mergeCell ref="B62:E62"/>
    <mergeCell ref="B63:E63"/>
    <mergeCell ref="B65:E65"/>
    <mergeCell ref="B73:E73"/>
    <mergeCell ref="B79:E79"/>
    <mergeCell ref="B121:E121"/>
    <mergeCell ref="B99:C99"/>
    <mergeCell ref="B101:E101"/>
    <mergeCell ref="B109:C109"/>
    <mergeCell ref="B111:E111"/>
    <mergeCell ref="B110:G110"/>
    <mergeCell ref="F89:G89"/>
    <mergeCell ref="F90:G90"/>
    <mergeCell ref="F102:G102"/>
    <mergeCell ref="B100:G100"/>
    <mergeCell ref="B72:G72"/>
    <mergeCell ref="B88:G88"/>
  </mergeCells>
  <printOptions horizontalCentered="1"/>
  <pageMargins left="0.11811023622047245" right="0.11811023622047245" top="0.19685039370078741" bottom="0.19685039370078741" header="0.11811023622047245" footer="0.11811023622047245"/>
  <pageSetup paperSize="9" scale="66" orientation="portrait" r:id="rId1"/>
  <rowBreaks count="1" manualBreakCount="1">
    <brk id="64" min="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32"/>
  <sheetViews>
    <sheetView showGridLines="0" zoomScaleNormal="100" zoomScaleSheetLayoutView="110" workbookViewId="0">
      <selection activeCell="N9" sqref="N9"/>
    </sheetView>
  </sheetViews>
  <sheetFormatPr defaultRowHeight="15" x14ac:dyDescent="0.25"/>
  <cols>
    <col min="1" max="1" width="3.140625" customWidth="1"/>
    <col min="2" max="2" width="18.140625" customWidth="1"/>
    <col min="3" max="3" width="49" customWidth="1"/>
    <col min="4" max="4" width="8.140625" customWidth="1"/>
    <col min="5" max="6" width="17.140625" customWidth="1"/>
    <col min="7" max="7" width="12.28515625" customWidth="1"/>
    <col min="8" max="8" width="16.5703125" style="110" customWidth="1"/>
    <col min="9" max="9" width="12.5703125" style="110" customWidth="1"/>
  </cols>
  <sheetData>
    <row r="1" spans="2:9" ht="15.75" thickBot="1" x14ac:dyDescent="0.3"/>
    <row r="2" spans="2:9" ht="15" customHeight="1" x14ac:dyDescent="0.25">
      <c r="B2" s="313" t="s">
        <v>195</v>
      </c>
      <c r="C2" s="314"/>
      <c r="D2" s="314"/>
      <c r="E2" s="314"/>
      <c r="F2" s="250" t="s">
        <v>189</v>
      </c>
      <c r="G2" s="251"/>
      <c r="H2" s="273" t="s">
        <v>223</v>
      </c>
      <c r="I2" s="274"/>
    </row>
    <row r="3" spans="2:9" x14ac:dyDescent="0.25">
      <c r="B3" s="315" t="s">
        <v>196</v>
      </c>
      <c r="C3" s="316"/>
      <c r="D3" s="316"/>
      <c r="E3" s="316"/>
      <c r="F3" s="252"/>
      <c r="G3" s="253"/>
      <c r="H3" s="275"/>
      <c r="I3" s="276"/>
    </row>
    <row r="4" spans="2:9" ht="15.75" customHeight="1" x14ac:dyDescent="0.25">
      <c r="B4" s="212" t="s">
        <v>77</v>
      </c>
      <c r="C4" s="213"/>
      <c r="D4" s="213"/>
      <c r="E4" s="213"/>
      <c r="F4" s="252"/>
      <c r="G4" s="253"/>
      <c r="H4" s="252"/>
      <c r="I4" s="253"/>
    </row>
    <row r="5" spans="2:9" ht="15" customHeight="1" x14ac:dyDescent="0.25">
      <c r="B5" s="142" t="s">
        <v>3</v>
      </c>
      <c r="C5" s="248" t="s">
        <v>78</v>
      </c>
      <c r="D5" s="248"/>
      <c r="E5" s="134">
        <v>42685</v>
      </c>
      <c r="F5" s="240">
        <v>42965</v>
      </c>
      <c r="G5" s="241"/>
      <c r="H5" s="277">
        <v>43031</v>
      </c>
      <c r="I5" s="278"/>
    </row>
    <row r="6" spans="2:9" x14ac:dyDescent="0.25">
      <c r="B6" s="142" t="s">
        <v>5</v>
      </c>
      <c r="C6" s="248" t="s">
        <v>79</v>
      </c>
      <c r="D6" s="248"/>
      <c r="E6" s="131" t="s">
        <v>80</v>
      </c>
      <c r="F6" s="242" t="s">
        <v>80</v>
      </c>
      <c r="G6" s="243"/>
      <c r="H6" s="279" t="s">
        <v>80</v>
      </c>
      <c r="I6" s="280"/>
    </row>
    <row r="7" spans="2:9" ht="24" customHeight="1" x14ac:dyDescent="0.25">
      <c r="B7" s="142" t="s">
        <v>7</v>
      </c>
      <c r="C7" s="248" t="s">
        <v>188</v>
      </c>
      <c r="D7" s="248"/>
      <c r="E7" s="129" t="s">
        <v>119</v>
      </c>
      <c r="F7" s="248" t="s">
        <v>219</v>
      </c>
      <c r="G7" s="249"/>
      <c r="H7" s="281" t="s">
        <v>238</v>
      </c>
      <c r="I7" s="282"/>
    </row>
    <row r="8" spans="2:9" ht="15.75" customHeight="1" x14ac:dyDescent="0.25">
      <c r="B8" s="142" t="s">
        <v>9</v>
      </c>
      <c r="C8" s="248" t="s">
        <v>185</v>
      </c>
      <c r="D8" s="248"/>
      <c r="E8" s="131">
        <v>12</v>
      </c>
      <c r="F8" s="242">
        <v>12</v>
      </c>
      <c r="G8" s="243"/>
      <c r="H8" s="279">
        <v>12</v>
      </c>
      <c r="I8" s="280"/>
    </row>
    <row r="9" spans="2:9" ht="10.5" customHeight="1" x14ac:dyDescent="0.25">
      <c r="B9" s="222"/>
      <c r="C9" s="223"/>
      <c r="D9" s="223"/>
      <c r="E9" s="223"/>
      <c r="F9" s="223"/>
      <c r="G9" s="224"/>
      <c r="H9" s="177"/>
      <c r="I9" s="178"/>
    </row>
    <row r="10" spans="2:9" x14ac:dyDescent="0.25">
      <c r="B10" s="212" t="s">
        <v>81</v>
      </c>
      <c r="C10" s="213"/>
      <c r="D10" s="213"/>
      <c r="E10" s="213"/>
      <c r="F10" s="225"/>
      <c r="G10" s="226"/>
      <c r="H10" s="295"/>
      <c r="I10" s="296"/>
    </row>
    <row r="11" spans="2:9" ht="36" x14ac:dyDescent="0.25">
      <c r="B11" s="137" t="s">
        <v>82</v>
      </c>
      <c r="C11" s="215" t="s">
        <v>83</v>
      </c>
      <c r="D11" s="215"/>
      <c r="E11" s="198" t="s">
        <v>236</v>
      </c>
      <c r="F11" s="215"/>
      <c r="G11" s="227"/>
      <c r="H11" s="331"/>
      <c r="I11" s="332"/>
    </row>
    <row r="12" spans="2:9" ht="39" customHeight="1" x14ac:dyDescent="0.25">
      <c r="B12" s="66" t="s">
        <v>91</v>
      </c>
      <c r="C12" s="317" t="s">
        <v>85</v>
      </c>
      <c r="D12" s="317"/>
      <c r="E12" s="139" t="s">
        <v>190</v>
      </c>
      <c r="F12" s="320"/>
      <c r="G12" s="321"/>
      <c r="H12" s="333"/>
      <c r="I12" s="334"/>
    </row>
    <row r="13" spans="2:9" ht="15" customHeight="1" x14ac:dyDescent="0.25">
      <c r="B13" s="212" t="s">
        <v>86</v>
      </c>
      <c r="C13" s="213"/>
      <c r="D13" s="213"/>
      <c r="E13" s="213"/>
      <c r="F13" s="225"/>
      <c r="G13" s="226"/>
      <c r="H13" s="295"/>
      <c r="I13" s="296"/>
    </row>
    <row r="14" spans="2:9" ht="15.75" customHeight="1" x14ac:dyDescent="0.25">
      <c r="B14" s="214" t="s">
        <v>87</v>
      </c>
      <c r="C14" s="215"/>
      <c r="D14" s="215"/>
      <c r="E14" s="215"/>
      <c r="F14" s="225"/>
      <c r="G14" s="226"/>
      <c r="H14" s="295"/>
      <c r="I14" s="296"/>
    </row>
    <row r="15" spans="2:9" ht="51.75" customHeight="1" x14ac:dyDescent="0.25">
      <c r="B15" s="142">
        <v>1</v>
      </c>
      <c r="C15" s="235" t="s">
        <v>88</v>
      </c>
      <c r="D15" s="235"/>
      <c r="E15" s="57" t="s">
        <v>84</v>
      </c>
      <c r="F15" s="129"/>
      <c r="G15" s="130"/>
      <c r="H15" s="126"/>
      <c r="I15" s="127"/>
    </row>
    <row r="16" spans="2:9" x14ac:dyDescent="0.25">
      <c r="B16" s="142">
        <v>2</v>
      </c>
      <c r="C16" s="235" t="s">
        <v>118</v>
      </c>
      <c r="D16" s="235"/>
      <c r="E16" s="100">
        <v>2162.86</v>
      </c>
      <c r="F16" s="183" t="s">
        <v>122</v>
      </c>
      <c r="G16" s="184">
        <f>(1+4.08/100)*E16</f>
        <v>2251.1046879999999</v>
      </c>
      <c r="H16" s="186" t="s">
        <v>220</v>
      </c>
      <c r="I16" s="187">
        <f>(1+1.69/100)*G16 - 0.01</f>
        <v>2289.1383572271993</v>
      </c>
    </row>
    <row r="17" spans="2:9" ht="47.25" customHeight="1" x14ac:dyDescent="0.25">
      <c r="B17" s="142">
        <v>3</v>
      </c>
      <c r="C17" s="235" t="s">
        <v>89</v>
      </c>
      <c r="D17" s="235"/>
      <c r="E17" s="57" t="s">
        <v>91</v>
      </c>
      <c r="F17" s="129"/>
      <c r="G17" s="130"/>
      <c r="H17" s="126"/>
      <c r="I17" s="127"/>
    </row>
    <row r="18" spans="2:9" ht="15" customHeight="1" x14ac:dyDescent="0.25">
      <c r="B18" s="142">
        <v>4</v>
      </c>
      <c r="C18" s="235" t="s">
        <v>90</v>
      </c>
      <c r="D18" s="235"/>
      <c r="E18" s="129" t="s">
        <v>191</v>
      </c>
      <c r="F18" s="248" t="s">
        <v>192</v>
      </c>
      <c r="G18" s="249"/>
      <c r="H18" s="281" t="s">
        <v>224</v>
      </c>
      <c r="I18" s="282"/>
    </row>
    <row r="19" spans="2:9" ht="10.5" customHeight="1" x14ac:dyDescent="0.25">
      <c r="B19" s="222"/>
      <c r="C19" s="223"/>
      <c r="D19" s="223"/>
      <c r="E19" s="223"/>
      <c r="F19" s="223"/>
      <c r="G19" s="224"/>
      <c r="H19" s="177"/>
      <c r="I19" s="178"/>
    </row>
    <row r="20" spans="2:9" x14ac:dyDescent="0.25">
      <c r="B20" s="220" t="s">
        <v>146</v>
      </c>
      <c r="C20" s="221"/>
      <c r="D20" s="221"/>
      <c r="E20" s="221"/>
      <c r="F20" s="225"/>
      <c r="G20" s="226"/>
      <c r="H20" s="295"/>
      <c r="I20" s="296"/>
    </row>
    <row r="21" spans="2:9" x14ac:dyDescent="0.25">
      <c r="B21" s="137">
        <v>1</v>
      </c>
      <c r="C21" s="58" t="s">
        <v>0</v>
      </c>
      <c r="D21" s="59" t="s">
        <v>1</v>
      </c>
      <c r="E21" s="128" t="s">
        <v>2</v>
      </c>
      <c r="F21" s="318" t="s">
        <v>2</v>
      </c>
      <c r="G21" s="319"/>
      <c r="H21" s="318" t="s">
        <v>2</v>
      </c>
      <c r="I21" s="319"/>
    </row>
    <row r="22" spans="2:9" x14ac:dyDescent="0.25">
      <c r="B22" s="142" t="s">
        <v>3</v>
      </c>
      <c r="C22" s="138" t="s">
        <v>4</v>
      </c>
      <c r="D22" s="43">
        <v>1</v>
      </c>
      <c r="E22" s="101">
        <f>E16</f>
        <v>2162.86</v>
      </c>
      <c r="F22" s="183" t="str">
        <f>F16</f>
        <v>Reajuste de 4,08%</v>
      </c>
      <c r="G22" s="185">
        <f>G16</f>
        <v>2251.1046879999999</v>
      </c>
      <c r="H22" s="186" t="str">
        <f>H16</f>
        <v>Reajuste de 1,69%</v>
      </c>
      <c r="I22" s="145">
        <f>I16</f>
        <v>2289.1383572271993</v>
      </c>
    </row>
    <row r="23" spans="2:9" x14ac:dyDescent="0.25">
      <c r="B23" s="142" t="s">
        <v>5</v>
      </c>
      <c r="C23" s="138" t="s">
        <v>6</v>
      </c>
      <c r="D23" s="43">
        <v>0</v>
      </c>
      <c r="E23" s="77"/>
      <c r="F23" s="77"/>
      <c r="G23" s="102"/>
      <c r="H23" s="146"/>
      <c r="I23" s="206"/>
    </row>
    <row r="24" spans="2:9" x14ac:dyDescent="0.25">
      <c r="B24" s="142" t="s">
        <v>7</v>
      </c>
      <c r="C24" s="138" t="s">
        <v>8</v>
      </c>
      <c r="D24" s="43">
        <v>0</v>
      </c>
      <c r="E24" s="77"/>
      <c r="F24" s="77"/>
      <c r="G24" s="102"/>
      <c r="H24" s="146"/>
      <c r="I24" s="206"/>
    </row>
    <row r="25" spans="2:9" x14ac:dyDescent="0.25">
      <c r="B25" s="142" t="s">
        <v>9</v>
      </c>
      <c r="C25" s="138" t="s">
        <v>10</v>
      </c>
      <c r="D25" s="43">
        <v>0</v>
      </c>
      <c r="E25" s="131"/>
      <c r="F25" s="131"/>
      <c r="G25" s="132"/>
      <c r="H25" s="146"/>
      <c r="I25" s="206"/>
    </row>
    <row r="26" spans="2:9" x14ac:dyDescent="0.25">
      <c r="B26" s="142" t="s">
        <v>11</v>
      </c>
      <c r="C26" s="138" t="s">
        <v>12</v>
      </c>
      <c r="D26" s="43">
        <v>0</v>
      </c>
      <c r="E26" s="131"/>
      <c r="F26" s="131"/>
      <c r="G26" s="132"/>
      <c r="H26" s="146"/>
      <c r="I26" s="206"/>
    </row>
    <row r="27" spans="2:9" x14ac:dyDescent="0.25">
      <c r="B27" s="142" t="s">
        <v>13</v>
      </c>
      <c r="C27" s="138" t="s">
        <v>14</v>
      </c>
      <c r="D27" s="43">
        <v>0</v>
      </c>
      <c r="E27" s="131"/>
      <c r="F27" s="131"/>
      <c r="G27" s="132"/>
      <c r="H27" s="146"/>
      <c r="I27" s="206"/>
    </row>
    <row r="28" spans="2:9" x14ac:dyDescent="0.25">
      <c r="B28" s="142" t="s">
        <v>15</v>
      </c>
      <c r="C28" s="138" t="s">
        <v>16</v>
      </c>
      <c r="D28" s="43">
        <v>0</v>
      </c>
      <c r="E28" s="131"/>
      <c r="F28" s="131"/>
      <c r="G28" s="132"/>
      <c r="H28" s="146"/>
      <c r="I28" s="206"/>
    </row>
    <row r="29" spans="2:9" x14ac:dyDescent="0.25">
      <c r="B29" s="142" t="s">
        <v>17</v>
      </c>
      <c r="C29" s="138" t="s">
        <v>18</v>
      </c>
      <c r="D29" s="43">
        <v>0</v>
      </c>
      <c r="E29" s="131"/>
      <c r="F29" s="131"/>
      <c r="G29" s="132"/>
      <c r="H29" s="146"/>
      <c r="I29" s="206"/>
    </row>
    <row r="30" spans="2:9" x14ac:dyDescent="0.25">
      <c r="B30" s="65"/>
      <c r="C30" s="128" t="s">
        <v>19</v>
      </c>
      <c r="D30" s="79">
        <f>SUM(E22:E29)</f>
        <v>2162.86</v>
      </c>
      <c r="E30" s="78">
        <f>SUM(E22:E29)</f>
        <v>2162.86</v>
      </c>
      <c r="F30" s="79"/>
      <c r="G30" s="103">
        <f t="shared" ref="G30" si="0">SUM(G22:G29)</f>
        <v>2251.1046879999999</v>
      </c>
      <c r="H30" s="148"/>
      <c r="I30" s="207">
        <f t="shared" ref="I30" si="1">SUM(I22:I29)</f>
        <v>2289.1383572271993</v>
      </c>
    </row>
    <row r="31" spans="2:9" ht="9" customHeight="1" x14ac:dyDescent="0.25">
      <c r="B31" s="107"/>
      <c r="C31" s="55"/>
      <c r="D31" s="55"/>
      <c r="E31" s="55"/>
      <c r="F31" s="55"/>
      <c r="G31" s="88"/>
      <c r="H31" s="121"/>
      <c r="I31" s="122"/>
    </row>
    <row r="32" spans="2:9" x14ac:dyDescent="0.25">
      <c r="B32" s="322" t="s">
        <v>20</v>
      </c>
      <c r="C32" s="317"/>
      <c r="D32" s="317"/>
      <c r="E32" s="317"/>
      <c r="F32" s="56"/>
      <c r="G32" s="108"/>
      <c r="H32" s="123"/>
      <c r="I32" s="124"/>
    </row>
    <row r="33" spans="2:9" x14ac:dyDescent="0.25">
      <c r="B33" s="137">
        <v>2</v>
      </c>
      <c r="C33" s="215" t="s">
        <v>21</v>
      </c>
      <c r="D33" s="215"/>
      <c r="E33" s="128" t="s">
        <v>2</v>
      </c>
      <c r="F33" s="215" t="s">
        <v>2</v>
      </c>
      <c r="G33" s="227"/>
      <c r="H33" s="293" t="s">
        <v>2</v>
      </c>
      <c r="I33" s="294"/>
    </row>
    <row r="34" spans="2:9" ht="49.5" customHeight="1" x14ac:dyDescent="0.25">
      <c r="B34" s="142" t="s">
        <v>3</v>
      </c>
      <c r="C34" s="237" t="s">
        <v>197</v>
      </c>
      <c r="D34" s="237"/>
      <c r="E34" s="141">
        <f>ROUNDDOWN(((4+2.25)*44)-E22*6%,4)-0.01</f>
        <v>145.2184</v>
      </c>
      <c r="F34" s="182" t="s">
        <v>120</v>
      </c>
      <c r="G34" s="45">
        <f>((5+2.5)*44)-G22*6%</f>
        <v>194.93371872</v>
      </c>
      <c r="H34" s="150" t="s">
        <v>120</v>
      </c>
      <c r="I34" s="151">
        <f>((5+2.5)*44)-I22*6%</f>
        <v>192.65169856636805</v>
      </c>
    </row>
    <row r="35" spans="2:9" ht="33.75" customHeight="1" x14ac:dyDescent="0.25">
      <c r="B35" s="142" t="s">
        <v>5</v>
      </c>
      <c r="C35" s="234" t="s">
        <v>198</v>
      </c>
      <c r="D35" s="234"/>
      <c r="E35" s="141">
        <f>ROUNDDOWN((21*20)-(21*20*5%),4)</f>
        <v>399</v>
      </c>
      <c r="F35" s="182" t="s">
        <v>123</v>
      </c>
      <c r="G35" s="45">
        <f>(21*24)-(21*24*5%)</f>
        <v>478.8</v>
      </c>
      <c r="H35" s="150" t="s">
        <v>225</v>
      </c>
      <c r="I35" s="151">
        <f>(21*25)-(21*25*5%)</f>
        <v>498.75</v>
      </c>
    </row>
    <row r="36" spans="2:9" ht="48" customHeight="1" x14ac:dyDescent="0.25">
      <c r="B36" s="142" t="s">
        <v>7</v>
      </c>
      <c r="C36" s="235" t="s">
        <v>199</v>
      </c>
      <c r="D36" s="235"/>
      <c r="E36" s="141">
        <f>400*60%</f>
        <v>240</v>
      </c>
      <c r="F36" s="182" t="s">
        <v>124</v>
      </c>
      <c r="G36" s="45">
        <f>400*60%</f>
        <v>240</v>
      </c>
      <c r="H36" s="150" t="s">
        <v>226</v>
      </c>
      <c r="I36" s="151">
        <f>400*60%</f>
        <v>240</v>
      </c>
    </row>
    <row r="37" spans="2:9" x14ac:dyDescent="0.25">
      <c r="B37" s="142" t="s">
        <v>9</v>
      </c>
      <c r="C37" s="236" t="s">
        <v>22</v>
      </c>
      <c r="D37" s="236"/>
      <c r="E37" s="141">
        <v>0</v>
      </c>
      <c r="F37" s="141"/>
      <c r="G37" s="44">
        <v>0</v>
      </c>
      <c r="H37" s="152"/>
      <c r="I37" s="153">
        <v>0</v>
      </c>
    </row>
    <row r="38" spans="2:9" ht="27" customHeight="1" x14ac:dyDescent="0.25">
      <c r="B38" s="142" t="s">
        <v>11</v>
      </c>
      <c r="C38" s="235" t="s">
        <v>200</v>
      </c>
      <c r="D38" s="235"/>
      <c r="E38" s="82">
        <v>6</v>
      </c>
      <c r="F38" s="82"/>
      <c r="G38" s="45">
        <v>6</v>
      </c>
      <c r="H38" s="154"/>
      <c r="I38" s="155">
        <v>6</v>
      </c>
    </row>
    <row r="39" spans="2:9" x14ac:dyDescent="0.25">
      <c r="B39" s="142" t="s">
        <v>13</v>
      </c>
      <c r="C39" s="236" t="s">
        <v>174</v>
      </c>
      <c r="D39" s="236"/>
      <c r="E39" s="141">
        <v>0</v>
      </c>
      <c r="F39" s="141"/>
      <c r="G39" s="44">
        <v>0</v>
      </c>
      <c r="H39" s="152"/>
      <c r="I39" s="153">
        <v>0</v>
      </c>
    </row>
    <row r="40" spans="2:9" ht="24.75" customHeight="1" x14ac:dyDescent="0.25">
      <c r="B40" s="142" t="s">
        <v>15</v>
      </c>
      <c r="C40" s="235" t="s">
        <v>201</v>
      </c>
      <c r="D40" s="235"/>
      <c r="E40" s="82">
        <v>0</v>
      </c>
      <c r="F40" s="82"/>
      <c r="G40" s="45">
        <v>0</v>
      </c>
      <c r="H40" s="154"/>
      <c r="I40" s="155">
        <v>0</v>
      </c>
    </row>
    <row r="41" spans="2:9" ht="18" customHeight="1" x14ac:dyDescent="0.25">
      <c r="B41" s="65"/>
      <c r="C41" s="215" t="s">
        <v>23</v>
      </c>
      <c r="D41" s="215"/>
      <c r="E41" s="83">
        <f>SUM(E34:E40)</f>
        <v>790.21839999999997</v>
      </c>
      <c r="F41" s="83"/>
      <c r="G41" s="61">
        <f>SUM(G34:G40)</f>
        <v>919.73371872000007</v>
      </c>
      <c r="H41" s="156"/>
      <c r="I41" s="157">
        <f>SUM(I34:I40)</f>
        <v>937.40169856636805</v>
      </c>
    </row>
    <row r="42" spans="2:9" ht="15" customHeight="1" x14ac:dyDescent="0.25">
      <c r="B42" s="270" t="s">
        <v>147</v>
      </c>
      <c r="C42" s="235"/>
      <c r="D42" s="235"/>
      <c r="E42" s="235"/>
      <c r="F42" s="232"/>
      <c r="G42" s="233"/>
      <c r="H42" s="301"/>
      <c r="I42" s="302"/>
    </row>
    <row r="43" spans="2:9" ht="17.25" customHeight="1" x14ac:dyDescent="0.25">
      <c r="B43" s="212" t="s">
        <v>24</v>
      </c>
      <c r="C43" s="213"/>
      <c r="D43" s="213"/>
      <c r="E43" s="213"/>
      <c r="F43" s="225"/>
      <c r="G43" s="226"/>
      <c r="H43" s="295"/>
      <c r="I43" s="296"/>
    </row>
    <row r="44" spans="2:9" ht="18" customHeight="1" x14ac:dyDescent="0.25">
      <c r="B44" s="137">
        <v>3</v>
      </c>
      <c r="C44" s="215" t="s">
        <v>25</v>
      </c>
      <c r="D44" s="215"/>
      <c r="E44" s="128" t="s">
        <v>2</v>
      </c>
      <c r="F44" s="215" t="s">
        <v>2</v>
      </c>
      <c r="G44" s="227"/>
      <c r="H44" s="293" t="s">
        <v>2</v>
      </c>
      <c r="I44" s="294"/>
    </row>
    <row r="45" spans="2:9" x14ac:dyDescent="0.25">
      <c r="B45" s="142" t="s">
        <v>3</v>
      </c>
      <c r="C45" s="236" t="s">
        <v>26</v>
      </c>
      <c r="D45" s="236"/>
      <c r="E45" s="99">
        <v>0</v>
      </c>
      <c r="F45" s="82"/>
      <c r="G45" s="45">
        <v>0</v>
      </c>
      <c r="H45" s="111"/>
      <c r="I45" s="155">
        <v>0</v>
      </c>
    </row>
    <row r="46" spans="2:9" x14ac:dyDescent="0.25">
      <c r="B46" s="142" t="s">
        <v>5</v>
      </c>
      <c r="C46" s="236" t="s">
        <v>27</v>
      </c>
      <c r="D46" s="236"/>
      <c r="E46" s="99">
        <v>0</v>
      </c>
      <c r="F46" s="82"/>
      <c r="G46" s="45">
        <v>0</v>
      </c>
      <c r="H46" s="111"/>
      <c r="I46" s="155">
        <v>0</v>
      </c>
    </row>
    <row r="47" spans="2:9" ht="57" customHeight="1" x14ac:dyDescent="0.25">
      <c r="B47" s="142" t="s">
        <v>7</v>
      </c>
      <c r="C47" s="234" t="s">
        <v>194</v>
      </c>
      <c r="D47" s="234"/>
      <c r="E47" s="82">
        <v>42</v>
      </c>
      <c r="F47" s="81"/>
      <c r="G47" s="46">
        <v>42</v>
      </c>
      <c r="H47" s="113"/>
      <c r="I47" s="159">
        <v>42</v>
      </c>
    </row>
    <row r="48" spans="2:9" x14ac:dyDescent="0.25">
      <c r="B48" s="109"/>
      <c r="C48" s="340" t="s">
        <v>28</v>
      </c>
      <c r="D48" s="340"/>
      <c r="E48" s="98">
        <f>E47</f>
        <v>42</v>
      </c>
      <c r="F48" s="96"/>
      <c r="G48" s="97">
        <f>G47</f>
        <v>42</v>
      </c>
      <c r="H48" s="125"/>
      <c r="I48" s="188">
        <f>I47</f>
        <v>42</v>
      </c>
    </row>
    <row r="49" spans="2:9" ht="15.75" customHeight="1" x14ac:dyDescent="0.25">
      <c r="B49" s="270" t="s">
        <v>193</v>
      </c>
      <c r="C49" s="235"/>
      <c r="D49" s="235"/>
      <c r="E49" s="235"/>
      <c r="F49" s="232"/>
      <c r="G49" s="233"/>
      <c r="H49" s="301"/>
      <c r="I49" s="302"/>
    </row>
    <row r="50" spans="2:9" x14ac:dyDescent="0.25">
      <c r="B50" s="212" t="s">
        <v>29</v>
      </c>
      <c r="C50" s="213"/>
      <c r="D50" s="213"/>
      <c r="E50" s="213"/>
      <c r="F50" s="225"/>
      <c r="G50" s="226"/>
      <c r="H50" s="295"/>
      <c r="I50" s="296"/>
    </row>
    <row r="51" spans="2:9" x14ac:dyDescent="0.25">
      <c r="B51" s="214" t="s">
        <v>30</v>
      </c>
      <c r="C51" s="215"/>
      <c r="D51" s="215"/>
      <c r="E51" s="215"/>
      <c r="F51" s="225"/>
      <c r="G51" s="226"/>
      <c r="H51" s="295"/>
      <c r="I51" s="296"/>
    </row>
    <row r="52" spans="2:9" x14ac:dyDescent="0.25">
      <c r="B52" s="137" t="s">
        <v>31</v>
      </c>
      <c r="C52" s="62" t="s">
        <v>32</v>
      </c>
      <c r="D52" s="128" t="s">
        <v>1</v>
      </c>
      <c r="E52" s="128" t="s">
        <v>2</v>
      </c>
      <c r="F52" s="318" t="s">
        <v>2</v>
      </c>
      <c r="G52" s="319"/>
      <c r="H52" s="345" t="s">
        <v>2</v>
      </c>
      <c r="I52" s="346"/>
    </row>
    <row r="53" spans="2:9" x14ac:dyDescent="0.25">
      <c r="B53" s="142" t="s">
        <v>3</v>
      </c>
      <c r="C53" s="138" t="s">
        <v>33</v>
      </c>
      <c r="D53" s="47">
        <v>0</v>
      </c>
      <c r="E53" s="140">
        <f>ROUNDDOWN($D$30*D53,4)</f>
        <v>0</v>
      </c>
      <c r="F53" s="140"/>
      <c r="G53" s="48">
        <f>ROUNDDOWN(G$30*$D53,2)</f>
        <v>0</v>
      </c>
      <c r="H53" s="114"/>
      <c r="I53" s="160">
        <f>ROUNDDOWN(I$30*$D53,2)</f>
        <v>0</v>
      </c>
    </row>
    <row r="54" spans="2:9" x14ac:dyDescent="0.25">
      <c r="B54" s="142" t="s">
        <v>5</v>
      </c>
      <c r="C54" s="138" t="s">
        <v>34</v>
      </c>
      <c r="D54" s="47">
        <v>1.4999999999999999E-2</v>
      </c>
      <c r="E54" s="140">
        <f t="shared" ref="E54:E57" si="2">ROUNDDOWN($D$30*D54,4)</f>
        <v>32.442900000000002</v>
      </c>
      <c r="F54" s="140"/>
      <c r="G54" s="48">
        <f t="shared" ref="G54:I60" si="3">ROUNDDOWN(G$30*$D54,2)</f>
        <v>33.76</v>
      </c>
      <c r="H54" s="114"/>
      <c r="I54" s="160">
        <f>ROUNDDOWN(I$30*$D54,2) + 0.01</f>
        <v>34.339999999999996</v>
      </c>
    </row>
    <row r="55" spans="2:9" x14ac:dyDescent="0.25">
      <c r="B55" s="142" t="s">
        <v>7</v>
      </c>
      <c r="C55" s="138" t="s">
        <v>35</v>
      </c>
      <c r="D55" s="47">
        <v>0.01</v>
      </c>
      <c r="E55" s="140">
        <f>ROUNDDOWN($D$30*D55,4)-0.01</f>
        <v>21.618599999999997</v>
      </c>
      <c r="F55" s="140"/>
      <c r="G55" s="48">
        <f t="shared" si="3"/>
        <v>22.51</v>
      </c>
      <c r="H55" s="114"/>
      <c r="I55" s="160">
        <f t="shared" si="3"/>
        <v>22.89</v>
      </c>
    </row>
    <row r="56" spans="2:9" x14ac:dyDescent="0.25">
      <c r="B56" s="142" t="s">
        <v>9</v>
      </c>
      <c r="C56" s="138" t="s">
        <v>36</v>
      </c>
      <c r="D56" s="47">
        <v>2E-3</v>
      </c>
      <c r="E56" s="140">
        <f>ROUNDDOWN($D$30*D56,4)</f>
        <v>4.3257000000000003</v>
      </c>
      <c r="F56" s="140"/>
      <c r="G56" s="48">
        <f t="shared" si="3"/>
        <v>4.5</v>
      </c>
      <c r="H56" s="114"/>
      <c r="I56" s="160">
        <f>ROUNDDOWN(I$30*$D56,2) + 0.01</f>
        <v>4.58</v>
      </c>
    </row>
    <row r="57" spans="2:9" x14ac:dyDescent="0.25">
      <c r="B57" s="142" t="s">
        <v>11</v>
      </c>
      <c r="C57" s="138" t="s">
        <v>37</v>
      </c>
      <c r="D57" s="47">
        <v>2.5000000000000001E-2</v>
      </c>
      <c r="E57" s="140">
        <f t="shared" si="2"/>
        <v>54.0715</v>
      </c>
      <c r="F57" s="140"/>
      <c r="G57" s="48">
        <f t="shared" si="3"/>
        <v>56.27</v>
      </c>
      <c r="H57" s="114"/>
      <c r="I57" s="160">
        <f>ROUNDDOWN(I$30*$D57,2) + 0.01</f>
        <v>57.23</v>
      </c>
    </row>
    <row r="58" spans="2:9" x14ac:dyDescent="0.25">
      <c r="B58" s="142" t="s">
        <v>13</v>
      </c>
      <c r="C58" s="138" t="s">
        <v>38</v>
      </c>
      <c r="D58" s="47">
        <v>0.08</v>
      </c>
      <c r="E58" s="140">
        <f>ROUNDDOWN($D$30*D58,4)-0.01</f>
        <v>173.0188</v>
      </c>
      <c r="F58" s="140"/>
      <c r="G58" s="48">
        <f t="shared" si="3"/>
        <v>180.08</v>
      </c>
      <c r="H58" s="114"/>
      <c r="I58" s="160">
        <f t="shared" si="3"/>
        <v>183.13</v>
      </c>
    </row>
    <row r="59" spans="2:9" x14ac:dyDescent="0.25">
      <c r="B59" s="142" t="s">
        <v>15</v>
      </c>
      <c r="C59" s="138" t="s">
        <v>180</v>
      </c>
      <c r="D59" s="47">
        <v>0.01</v>
      </c>
      <c r="E59" s="140">
        <f>ROUNDDOWN($D$30*D59,4)-0.01</f>
        <v>21.618599999999997</v>
      </c>
      <c r="F59" s="140"/>
      <c r="G59" s="48">
        <f t="shared" si="3"/>
        <v>22.51</v>
      </c>
      <c r="H59" s="114"/>
      <c r="I59" s="160">
        <f t="shared" si="3"/>
        <v>22.89</v>
      </c>
    </row>
    <row r="60" spans="2:9" x14ac:dyDescent="0.25">
      <c r="B60" s="142" t="s">
        <v>17</v>
      </c>
      <c r="C60" s="138" t="s">
        <v>39</v>
      </c>
      <c r="D60" s="47">
        <v>6.0000000000000001E-3</v>
      </c>
      <c r="E60" s="140">
        <f>ROUNDDOWN($D$30*D60,4)-0.01</f>
        <v>12.9671</v>
      </c>
      <c r="F60" s="140"/>
      <c r="G60" s="48">
        <f t="shared" si="3"/>
        <v>13.5</v>
      </c>
      <c r="H60" s="114"/>
      <c r="I60" s="160">
        <f t="shared" si="3"/>
        <v>13.73</v>
      </c>
    </row>
    <row r="61" spans="2:9" x14ac:dyDescent="0.25">
      <c r="B61" s="68"/>
      <c r="C61" s="128" t="s">
        <v>40</v>
      </c>
      <c r="D61" s="63">
        <f>SUM(D53:D60)</f>
        <v>0.14800000000000002</v>
      </c>
      <c r="E61" s="84">
        <f>SUM(E53:E60)</f>
        <v>320.06319999999999</v>
      </c>
      <c r="F61" s="84"/>
      <c r="G61" s="64">
        <f>SUM(G53:G60)</f>
        <v>333.13</v>
      </c>
      <c r="H61" s="115"/>
      <c r="I61" s="161">
        <f>SUM(I53:I60)</f>
        <v>338.78999999999996</v>
      </c>
    </row>
    <row r="62" spans="2:9" x14ac:dyDescent="0.25">
      <c r="B62" s="216" t="s">
        <v>148</v>
      </c>
      <c r="C62" s="217"/>
      <c r="D62" s="217"/>
      <c r="E62" s="217"/>
      <c r="F62" s="223"/>
      <c r="G62" s="224"/>
      <c r="H62" s="306"/>
      <c r="I62" s="307"/>
    </row>
    <row r="63" spans="2:9" x14ac:dyDescent="0.25">
      <c r="B63" s="218" t="s">
        <v>149</v>
      </c>
      <c r="C63" s="219"/>
      <c r="D63" s="219"/>
      <c r="E63" s="219"/>
      <c r="F63" s="223"/>
      <c r="G63" s="224"/>
      <c r="H63" s="306"/>
      <c r="I63" s="307"/>
    </row>
    <row r="64" spans="2:9" ht="9" customHeight="1" x14ac:dyDescent="0.25">
      <c r="B64" s="337"/>
      <c r="C64" s="338"/>
      <c r="D64" s="338"/>
      <c r="E64" s="338"/>
      <c r="F64" s="338"/>
      <c r="G64" s="338"/>
      <c r="H64" s="338"/>
      <c r="I64" s="339"/>
    </row>
    <row r="65" spans="2:9" x14ac:dyDescent="0.25">
      <c r="B65" s="212" t="s">
        <v>41</v>
      </c>
      <c r="C65" s="213"/>
      <c r="D65" s="213"/>
      <c r="E65" s="213"/>
      <c r="F65" s="323"/>
      <c r="G65" s="324"/>
      <c r="H65" s="335"/>
      <c r="I65" s="336"/>
    </row>
    <row r="66" spans="2:9" x14ac:dyDescent="0.25">
      <c r="B66" s="137" t="s">
        <v>42</v>
      </c>
      <c r="C66" s="62" t="s">
        <v>43</v>
      </c>
      <c r="D66" s="128" t="s">
        <v>1</v>
      </c>
      <c r="E66" s="128" t="s">
        <v>2</v>
      </c>
      <c r="F66" s="318" t="s">
        <v>2</v>
      </c>
      <c r="G66" s="319"/>
      <c r="H66" s="318" t="s">
        <v>2</v>
      </c>
      <c r="I66" s="319"/>
    </row>
    <row r="67" spans="2:9" x14ac:dyDescent="0.25">
      <c r="B67" s="142" t="s">
        <v>3</v>
      </c>
      <c r="C67" s="138" t="s">
        <v>202</v>
      </c>
      <c r="D67" s="47">
        <f>ROUND(1/12,4)</f>
        <v>8.3299999999999999E-2</v>
      </c>
      <c r="E67" s="140">
        <f>ROUNDDOWN($D$30*D67,2)</f>
        <v>180.16</v>
      </c>
      <c r="F67" s="140"/>
      <c r="G67" s="48">
        <f t="shared" ref="G67" si="4">ROUNDDOWN(G$30*$D67,2)</f>
        <v>187.51</v>
      </c>
      <c r="H67" s="114"/>
      <c r="I67" s="160">
        <f>I30*8.33%</f>
        <v>190.68522515702571</v>
      </c>
    </row>
    <row r="68" spans="2:9" x14ac:dyDescent="0.25">
      <c r="B68" s="142" t="s">
        <v>5</v>
      </c>
      <c r="C68" s="138" t="s">
        <v>203</v>
      </c>
      <c r="D68" s="47">
        <f>ROUND(D67*(1/3),4)</f>
        <v>2.7799999999999998E-2</v>
      </c>
      <c r="E68" s="140">
        <f>ROUNDDOWN($D$30*D68,2)</f>
        <v>60.12</v>
      </c>
      <c r="F68" s="140"/>
      <c r="G68" s="48">
        <f t="shared" ref="G68:G70" si="5">ROUNDDOWN(G$30*$D68,2)</f>
        <v>62.58</v>
      </c>
      <c r="H68" s="114"/>
      <c r="I68" s="160">
        <f>I67/3</f>
        <v>63.561741719008573</v>
      </c>
    </row>
    <row r="69" spans="2:9" x14ac:dyDescent="0.25">
      <c r="B69" s="142"/>
      <c r="C69" s="189" t="s">
        <v>46</v>
      </c>
      <c r="D69" s="190">
        <v>0.1111</v>
      </c>
      <c r="E69" s="140">
        <f>ROUNDDOWN($D$30*D69,2)</f>
        <v>240.29</v>
      </c>
      <c r="F69" s="140"/>
      <c r="G69" s="48">
        <f t="shared" si="5"/>
        <v>250.09</v>
      </c>
      <c r="H69" s="114"/>
      <c r="I69" s="191">
        <f>SUM(I67:I68)</f>
        <v>254.24696687603429</v>
      </c>
    </row>
    <row r="70" spans="2:9" ht="21" customHeight="1" x14ac:dyDescent="0.25">
      <c r="B70" s="142" t="s">
        <v>7</v>
      </c>
      <c r="C70" s="138" t="s">
        <v>177</v>
      </c>
      <c r="D70" s="47">
        <f>ROUND(D61*D69,4)</f>
        <v>1.6400000000000001E-2</v>
      </c>
      <c r="E70" s="140">
        <f>ROUNDDOWN($D$30*D70,2)</f>
        <v>35.47</v>
      </c>
      <c r="F70" s="140"/>
      <c r="G70" s="48">
        <f t="shared" si="5"/>
        <v>36.909999999999997</v>
      </c>
      <c r="H70" s="114"/>
      <c r="I70" s="160">
        <f>I69*14.8%</f>
        <v>37.62855109765308</v>
      </c>
    </row>
    <row r="71" spans="2:9" x14ac:dyDescent="0.25">
      <c r="B71" s="68"/>
      <c r="C71" s="128" t="s">
        <v>40</v>
      </c>
      <c r="D71" s="63">
        <f>D69+D70</f>
        <v>0.1275</v>
      </c>
      <c r="E71" s="83">
        <f>E69+E70</f>
        <v>275.76</v>
      </c>
      <c r="F71" s="83"/>
      <c r="G71" s="61">
        <f>G69+G70</f>
        <v>287</v>
      </c>
      <c r="H71" s="112"/>
      <c r="I71" s="157">
        <f>I69+I70</f>
        <v>291.87551797368735</v>
      </c>
    </row>
    <row r="72" spans="2:9" ht="9" customHeight="1" x14ac:dyDescent="0.25">
      <c r="B72" s="328"/>
      <c r="C72" s="329"/>
      <c r="D72" s="329"/>
      <c r="E72" s="329"/>
      <c r="F72" s="329"/>
      <c r="G72" s="330"/>
      <c r="H72" s="177"/>
      <c r="I72" s="178"/>
    </row>
    <row r="73" spans="2:9" x14ac:dyDescent="0.25">
      <c r="B73" s="212" t="s">
        <v>47</v>
      </c>
      <c r="C73" s="213"/>
      <c r="D73" s="213"/>
      <c r="E73" s="213"/>
      <c r="F73" s="323"/>
      <c r="G73" s="324"/>
      <c r="H73" s="335"/>
      <c r="I73" s="336"/>
    </row>
    <row r="74" spans="2:9" x14ac:dyDescent="0.25">
      <c r="B74" s="137" t="s">
        <v>48</v>
      </c>
      <c r="C74" s="62" t="s">
        <v>49</v>
      </c>
      <c r="D74" s="128" t="s">
        <v>1</v>
      </c>
      <c r="E74" s="128" t="s">
        <v>2</v>
      </c>
      <c r="F74" s="323"/>
      <c r="G74" s="324"/>
      <c r="H74" s="335"/>
      <c r="I74" s="336"/>
    </row>
    <row r="75" spans="2:9" x14ac:dyDescent="0.25">
      <c r="B75" s="142" t="s">
        <v>3</v>
      </c>
      <c r="C75" s="138" t="s">
        <v>50</v>
      </c>
      <c r="D75" s="47">
        <v>6.9999999999999999E-4</v>
      </c>
      <c r="E75" s="140">
        <f>ROUNDDOWN($D$30*D75,2)</f>
        <v>1.51</v>
      </c>
      <c r="F75" s="140"/>
      <c r="G75" s="48">
        <f t="shared" ref="G75:I76" si="6">ROUNDDOWN(G$30*$D75,2)</f>
        <v>1.57</v>
      </c>
      <c r="H75" s="114"/>
      <c r="I75" s="160">
        <f t="shared" si="6"/>
        <v>1.6</v>
      </c>
    </row>
    <row r="76" spans="2:9" x14ac:dyDescent="0.25">
      <c r="B76" s="142" t="s">
        <v>5</v>
      </c>
      <c r="C76" s="138" t="s">
        <v>204</v>
      </c>
      <c r="D76" s="47">
        <f>ROUND(D61*D75,4)</f>
        <v>1E-4</v>
      </c>
      <c r="E76" s="140">
        <f>ROUNDDOWN($D$30*D76,2)</f>
        <v>0.21</v>
      </c>
      <c r="F76" s="140"/>
      <c r="G76" s="48">
        <f t="shared" si="6"/>
        <v>0.22</v>
      </c>
      <c r="H76" s="114"/>
      <c r="I76" s="160">
        <f t="shared" si="6"/>
        <v>0.22</v>
      </c>
    </row>
    <row r="77" spans="2:9" x14ac:dyDescent="0.25">
      <c r="B77" s="68"/>
      <c r="C77" s="128" t="s">
        <v>40</v>
      </c>
      <c r="D77" s="63">
        <f>D75+D76</f>
        <v>8.0000000000000004E-4</v>
      </c>
      <c r="E77" s="83">
        <f>SUM(E75:E76)</f>
        <v>1.72</v>
      </c>
      <c r="F77" s="83"/>
      <c r="G77" s="61">
        <f t="shared" ref="G77" si="7">SUM(G75:G76)</f>
        <v>1.79</v>
      </c>
      <c r="H77" s="112"/>
      <c r="I77" s="157">
        <f t="shared" ref="I77" si="8">SUM(I75:I76)</f>
        <v>1.82</v>
      </c>
    </row>
    <row r="78" spans="2:9" ht="9" customHeight="1" x14ac:dyDescent="0.25">
      <c r="B78" s="328"/>
      <c r="C78" s="329"/>
      <c r="D78" s="329"/>
      <c r="E78" s="329"/>
      <c r="F78" s="329"/>
      <c r="G78" s="330"/>
      <c r="H78" s="177"/>
      <c r="I78" s="178"/>
    </row>
    <row r="79" spans="2:9" x14ac:dyDescent="0.25">
      <c r="B79" s="212" t="s">
        <v>51</v>
      </c>
      <c r="C79" s="213"/>
      <c r="D79" s="213"/>
      <c r="E79" s="213"/>
      <c r="F79" s="323"/>
      <c r="G79" s="324"/>
      <c r="H79" s="335"/>
      <c r="I79" s="336"/>
    </row>
    <row r="80" spans="2:9" x14ac:dyDescent="0.25">
      <c r="B80" s="137" t="s">
        <v>52</v>
      </c>
      <c r="C80" s="62" t="s">
        <v>53</v>
      </c>
      <c r="D80" s="128" t="s">
        <v>1</v>
      </c>
      <c r="E80" s="128" t="s">
        <v>2</v>
      </c>
      <c r="F80" s="318" t="s">
        <v>2</v>
      </c>
      <c r="G80" s="319"/>
      <c r="H80" s="318" t="s">
        <v>2</v>
      </c>
      <c r="I80" s="319"/>
    </row>
    <row r="81" spans="2:10" ht="48" x14ac:dyDescent="0.25">
      <c r="B81" s="142" t="s">
        <v>3</v>
      </c>
      <c r="C81" s="49" t="s">
        <v>205</v>
      </c>
      <c r="D81" s="47">
        <f>ROUND(0.05*(1/12),4)</f>
        <v>4.1999999999999997E-3</v>
      </c>
      <c r="E81" s="140">
        <f>ROUNDDOWN($D$30*D81,2)</f>
        <v>9.08</v>
      </c>
      <c r="F81" s="140"/>
      <c r="G81" s="48">
        <f t="shared" ref="G81:G86" si="9">ROUNDDOWN(G$30*$D81,2)</f>
        <v>9.4499999999999993</v>
      </c>
      <c r="H81" s="47">
        <f>ROUND(0.05*(1/12),4)</f>
        <v>4.1999999999999997E-3</v>
      </c>
      <c r="I81" s="160">
        <f>ROUNDDOWN(I$30*$H81,2)</f>
        <v>9.61</v>
      </c>
      <c r="J81" s="305"/>
    </row>
    <row r="82" spans="2:10" x14ac:dyDescent="0.25">
      <c r="B82" s="142" t="s">
        <v>5</v>
      </c>
      <c r="C82" s="138" t="s">
        <v>228</v>
      </c>
      <c r="D82" s="47">
        <f>ROUND(D61*D81,4)</f>
        <v>5.9999999999999995E-4</v>
      </c>
      <c r="E82" s="140">
        <f t="shared" ref="E82:E86" si="10">ROUNDDOWN($D$30*D82,2)</f>
        <v>1.29</v>
      </c>
      <c r="F82" s="140"/>
      <c r="G82" s="48">
        <f t="shared" si="9"/>
        <v>1.35</v>
      </c>
      <c r="H82" s="47">
        <f>ROUND(D61*D81,4)</f>
        <v>5.9999999999999995E-4</v>
      </c>
      <c r="I82" s="160">
        <f>ROUNDDOWN(I$30*$H82,2)</f>
        <v>1.37</v>
      </c>
      <c r="J82" s="305"/>
    </row>
    <row r="83" spans="2:10" ht="48" x14ac:dyDescent="0.25">
      <c r="B83" s="142" t="s">
        <v>7</v>
      </c>
      <c r="C83" s="49" t="s">
        <v>206</v>
      </c>
      <c r="D83" s="47">
        <f>ROUND(D81*0.5,4)</f>
        <v>2.0999999999999999E-3</v>
      </c>
      <c r="E83" s="140">
        <f t="shared" si="10"/>
        <v>4.54</v>
      </c>
      <c r="F83" s="140"/>
      <c r="G83" s="48">
        <f t="shared" si="9"/>
        <v>4.72</v>
      </c>
      <c r="H83" s="174">
        <v>2.0999999999999999E-3</v>
      </c>
      <c r="I83" s="160">
        <f t="shared" ref="I83:I86" si="11">ROUNDDOWN(I$30*$H83,2)</f>
        <v>4.8</v>
      </c>
    </row>
    <row r="84" spans="2:10" ht="48" x14ac:dyDescent="0.25">
      <c r="B84" s="142" t="s">
        <v>9</v>
      </c>
      <c r="C84" s="49" t="s">
        <v>207</v>
      </c>
      <c r="D84" s="47">
        <f>ROUND(((100%/30)*7)/12,4)</f>
        <v>1.9400000000000001E-2</v>
      </c>
      <c r="E84" s="140">
        <f t="shared" si="10"/>
        <v>41.95</v>
      </c>
      <c r="F84" s="140"/>
      <c r="G84" s="48">
        <f t="shared" si="9"/>
        <v>43.67</v>
      </c>
      <c r="H84" s="47">
        <f>ROUND(((100%/30)*7)/12,4)</f>
        <v>1.9400000000000001E-2</v>
      </c>
      <c r="I84" s="160">
        <f t="shared" si="11"/>
        <v>44.4</v>
      </c>
      <c r="J84" s="305"/>
    </row>
    <row r="85" spans="2:10" x14ac:dyDescent="0.25">
      <c r="B85" s="142" t="s">
        <v>11</v>
      </c>
      <c r="C85" s="49" t="s">
        <v>157</v>
      </c>
      <c r="D85" s="47">
        <f>ROUND(D61*D84,4)</f>
        <v>2.8999999999999998E-3</v>
      </c>
      <c r="E85" s="140">
        <f t="shared" si="10"/>
        <v>6.27</v>
      </c>
      <c r="F85" s="140"/>
      <c r="G85" s="48">
        <f t="shared" si="9"/>
        <v>6.52</v>
      </c>
      <c r="H85" s="47">
        <f>ROUND(D61*D84,4)</f>
        <v>2.8999999999999998E-3</v>
      </c>
      <c r="I85" s="160">
        <f t="shared" si="11"/>
        <v>6.63</v>
      </c>
      <c r="J85" s="305"/>
    </row>
    <row r="86" spans="2:10" ht="48" x14ac:dyDescent="0.25">
      <c r="B86" s="142" t="s">
        <v>13</v>
      </c>
      <c r="C86" s="49" t="s">
        <v>208</v>
      </c>
      <c r="D86" s="47">
        <f>ROUND(D84*0.5,4)</f>
        <v>9.7000000000000003E-3</v>
      </c>
      <c r="E86" s="140">
        <f t="shared" si="10"/>
        <v>20.97</v>
      </c>
      <c r="F86" s="140"/>
      <c r="G86" s="48">
        <f t="shared" si="9"/>
        <v>21.83</v>
      </c>
      <c r="H86" s="174">
        <v>9.7000000000000003E-3</v>
      </c>
      <c r="I86" s="160">
        <f t="shared" si="11"/>
        <v>22.2</v>
      </c>
    </row>
    <row r="87" spans="2:10" x14ac:dyDescent="0.25">
      <c r="B87" s="214" t="s">
        <v>40</v>
      </c>
      <c r="C87" s="215"/>
      <c r="D87" s="104">
        <f>SUM(D81:D86)</f>
        <v>3.8900000000000004E-2</v>
      </c>
      <c r="E87" s="83">
        <f>SUM(E81:E86)</f>
        <v>84.1</v>
      </c>
      <c r="F87" s="83"/>
      <c r="G87" s="61">
        <f t="shared" ref="G87" si="12">SUM(G81:G86)</f>
        <v>87.539999999999992</v>
      </c>
      <c r="H87" s="162">
        <f>SUM(H81:H86)</f>
        <v>3.8900000000000004E-2</v>
      </c>
      <c r="I87" s="157">
        <f t="shared" ref="I87" si="13">SUM(I81:I86)</f>
        <v>89.01</v>
      </c>
    </row>
    <row r="88" spans="2:10" ht="9" customHeight="1" x14ac:dyDescent="0.25">
      <c r="B88" s="325"/>
      <c r="C88" s="326"/>
      <c r="D88" s="326"/>
      <c r="E88" s="326"/>
      <c r="F88" s="326"/>
      <c r="G88" s="327"/>
      <c r="H88" s="177"/>
      <c r="I88" s="178"/>
    </row>
    <row r="89" spans="2:10" x14ac:dyDescent="0.25">
      <c r="B89" s="212" t="s">
        <v>54</v>
      </c>
      <c r="C89" s="213"/>
      <c r="D89" s="213"/>
      <c r="E89" s="213"/>
      <c r="F89" s="323"/>
      <c r="G89" s="324"/>
      <c r="H89" s="335"/>
      <c r="I89" s="336"/>
    </row>
    <row r="90" spans="2:10" x14ac:dyDescent="0.25">
      <c r="B90" s="137" t="s">
        <v>55</v>
      </c>
      <c r="C90" s="128" t="s">
        <v>56</v>
      </c>
      <c r="D90" s="128" t="s">
        <v>1</v>
      </c>
      <c r="E90" s="128" t="s">
        <v>2</v>
      </c>
      <c r="F90" s="343" t="s">
        <v>2</v>
      </c>
      <c r="G90" s="344"/>
      <c r="H90" s="343" t="s">
        <v>2</v>
      </c>
      <c r="I90" s="344"/>
    </row>
    <row r="91" spans="2:10" x14ac:dyDescent="0.25">
      <c r="B91" s="142" t="s">
        <v>3</v>
      </c>
      <c r="C91" s="138" t="s">
        <v>57</v>
      </c>
      <c r="D91" s="47">
        <f>ROUND((1/12),4)</f>
        <v>8.3299999999999999E-2</v>
      </c>
      <c r="E91" s="140">
        <f t="shared" ref="E91:E95" si="14">ROUNDDOWN($D$30*D91,2)</f>
        <v>180.16</v>
      </c>
      <c r="F91" s="140"/>
      <c r="G91" s="48">
        <f t="shared" ref="G91:I98" si="15">ROUNDDOWN(G$30*$D91,2)</f>
        <v>187.51</v>
      </c>
      <c r="H91" s="114"/>
      <c r="I91" s="160">
        <f t="shared" si="15"/>
        <v>190.68</v>
      </c>
    </row>
    <row r="92" spans="2:10" x14ac:dyDescent="0.25">
      <c r="B92" s="142" t="s">
        <v>5</v>
      </c>
      <c r="C92" s="138" t="s">
        <v>58</v>
      </c>
      <c r="D92" s="47">
        <v>1.3899999999999999E-2</v>
      </c>
      <c r="E92" s="140">
        <f t="shared" si="14"/>
        <v>30.06</v>
      </c>
      <c r="F92" s="140"/>
      <c r="G92" s="48">
        <f t="shared" si="15"/>
        <v>31.29</v>
      </c>
      <c r="H92" s="114"/>
      <c r="I92" s="160">
        <f t="shared" si="15"/>
        <v>31.81</v>
      </c>
    </row>
    <row r="93" spans="2:10" x14ac:dyDescent="0.25">
      <c r="B93" s="142" t="s">
        <v>7</v>
      </c>
      <c r="C93" s="138" t="s">
        <v>59</v>
      </c>
      <c r="D93" s="47">
        <v>1.2999999999999999E-3</v>
      </c>
      <c r="E93" s="140">
        <f t="shared" si="14"/>
        <v>2.81</v>
      </c>
      <c r="F93" s="140"/>
      <c r="G93" s="48">
        <f t="shared" si="15"/>
        <v>2.92</v>
      </c>
      <c r="H93" s="114"/>
      <c r="I93" s="160">
        <f t="shared" si="15"/>
        <v>2.97</v>
      </c>
    </row>
    <row r="94" spans="2:10" x14ac:dyDescent="0.25">
      <c r="B94" s="142" t="s">
        <v>9</v>
      </c>
      <c r="C94" s="138" t="s">
        <v>60</v>
      </c>
      <c r="D94" s="47">
        <v>2.8E-3</v>
      </c>
      <c r="E94" s="140">
        <f t="shared" si="14"/>
        <v>6.05</v>
      </c>
      <c r="F94" s="140"/>
      <c r="G94" s="48">
        <f t="shared" si="15"/>
        <v>6.3</v>
      </c>
      <c r="H94" s="114"/>
      <c r="I94" s="160">
        <f t="shared" si="15"/>
        <v>6.4</v>
      </c>
    </row>
    <row r="95" spans="2:10" ht="24" x14ac:dyDescent="0.25">
      <c r="B95" s="142" t="s">
        <v>11</v>
      </c>
      <c r="C95" s="138" t="s">
        <v>61</v>
      </c>
      <c r="D95" s="47">
        <v>3.3E-3</v>
      </c>
      <c r="E95" s="140">
        <f t="shared" si="14"/>
        <v>7.13</v>
      </c>
      <c r="F95" s="140"/>
      <c r="G95" s="48">
        <f t="shared" si="15"/>
        <v>7.42</v>
      </c>
      <c r="H95" s="114"/>
      <c r="I95" s="160">
        <f t="shared" si="15"/>
        <v>7.55</v>
      </c>
    </row>
    <row r="96" spans="2:10" x14ac:dyDescent="0.25">
      <c r="B96" s="142" t="s">
        <v>13</v>
      </c>
      <c r="C96" s="138" t="s">
        <v>18</v>
      </c>
      <c r="D96" s="47">
        <v>0</v>
      </c>
      <c r="E96" s="141"/>
      <c r="F96" s="140"/>
      <c r="G96" s="48">
        <f t="shared" si="15"/>
        <v>0</v>
      </c>
      <c r="H96" s="114"/>
      <c r="I96" s="160">
        <f t="shared" si="15"/>
        <v>0</v>
      </c>
    </row>
    <row r="97" spans="2:9" x14ac:dyDescent="0.25">
      <c r="B97" s="89"/>
      <c r="C97" s="129" t="s">
        <v>46</v>
      </c>
      <c r="D97" s="50">
        <f>ROUND(SUM(D91:D96),4)</f>
        <v>0.1046</v>
      </c>
      <c r="E97" s="80">
        <f>SUM(E91:E96)+0.02</f>
        <v>226.23000000000002</v>
      </c>
      <c r="F97" s="140"/>
      <c r="G97" s="48">
        <f t="shared" si="15"/>
        <v>235.46</v>
      </c>
      <c r="H97" s="114"/>
      <c r="I97" s="191">
        <f>SUM(I91:I96)</f>
        <v>239.41000000000003</v>
      </c>
    </row>
    <row r="98" spans="2:9" x14ac:dyDescent="0.25">
      <c r="B98" s="142" t="s">
        <v>15</v>
      </c>
      <c r="C98" s="138" t="s">
        <v>214</v>
      </c>
      <c r="D98" s="50">
        <f>ROUND(D61*D97,4)</f>
        <v>1.55E-2</v>
      </c>
      <c r="E98" s="140">
        <f>ROUNDDOWN($D$30*D98,2)</f>
        <v>33.520000000000003</v>
      </c>
      <c r="F98" s="140"/>
      <c r="G98" s="48">
        <f t="shared" si="15"/>
        <v>34.89</v>
      </c>
      <c r="H98" s="114"/>
      <c r="I98" s="160">
        <f t="shared" si="15"/>
        <v>35.479999999999997</v>
      </c>
    </row>
    <row r="99" spans="2:9" x14ac:dyDescent="0.25">
      <c r="B99" s="68"/>
      <c r="C99" s="128" t="s">
        <v>40</v>
      </c>
      <c r="D99" s="63">
        <f>D97+D98</f>
        <v>0.1201</v>
      </c>
      <c r="E99" s="83">
        <f>E97+E98</f>
        <v>259.75</v>
      </c>
      <c r="F99" s="83"/>
      <c r="G99" s="61">
        <f t="shared" ref="G99" si="16">G97+G98</f>
        <v>270.35000000000002</v>
      </c>
      <c r="H99" s="112"/>
      <c r="I99" s="157">
        <f t="shared" ref="I99" si="17">I97+I98</f>
        <v>274.89000000000004</v>
      </c>
    </row>
    <row r="100" spans="2:9" ht="9" customHeight="1" x14ac:dyDescent="0.25">
      <c r="B100" s="325"/>
      <c r="C100" s="326"/>
      <c r="D100" s="326"/>
      <c r="E100" s="326"/>
      <c r="F100" s="326"/>
      <c r="G100" s="327"/>
      <c r="H100" s="177"/>
      <c r="I100" s="178"/>
    </row>
    <row r="101" spans="2:9" x14ac:dyDescent="0.25">
      <c r="B101" s="212" t="s">
        <v>62</v>
      </c>
      <c r="C101" s="213"/>
      <c r="D101" s="213"/>
      <c r="E101" s="213"/>
      <c r="F101" s="323"/>
      <c r="G101" s="324"/>
      <c r="H101" s="335"/>
      <c r="I101" s="336"/>
    </row>
    <row r="102" spans="2:9" x14ac:dyDescent="0.25">
      <c r="B102" s="137">
        <v>4</v>
      </c>
      <c r="C102" s="128" t="s">
        <v>63</v>
      </c>
      <c r="D102" s="128" t="s">
        <v>1</v>
      </c>
      <c r="E102" s="128" t="s">
        <v>2</v>
      </c>
      <c r="F102" s="318" t="s">
        <v>2</v>
      </c>
      <c r="G102" s="319"/>
      <c r="H102" s="345" t="s">
        <v>2</v>
      </c>
      <c r="I102" s="346"/>
    </row>
    <row r="103" spans="2:9" x14ac:dyDescent="0.25">
      <c r="B103" s="142" t="s">
        <v>31</v>
      </c>
      <c r="C103" s="138" t="s">
        <v>32</v>
      </c>
      <c r="D103" s="47">
        <f>D61</f>
        <v>0.14800000000000002</v>
      </c>
      <c r="E103" s="140">
        <f>E61</f>
        <v>320.06319999999999</v>
      </c>
      <c r="F103" s="140"/>
      <c r="G103" s="48">
        <f t="shared" ref="G103" si="18">G61</f>
        <v>333.13</v>
      </c>
      <c r="H103" s="114"/>
      <c r="I103" s="160">
        <f t="shared" ref="I103" si="19">I61</f>
        <v>338.78999999999996</v>
      </c>
    </row>
    <row r="104" spans="2:9" x14ac:dyDescent="0.25">
      <c r="B104" s="142" t="s">
        <v>42</v>
      </c>
      <c r="C104" s="138" t="s">
        <v>64</v>
      </c>
      <c r="D104" s="47">
        <f>D71</f>
        <v>0.1275</v>
      </c>
      <c r="E104" s="140">
        <f>E71</f>
        <v>275.76</v>
      </c>
      <c r="F104" s="140"/>
      <c r="G104" s="48">
        <f t="shared" ref="G104" si="20">G71</f>
        <v>287</v>
      </c>
      <c r="H104" s="114"/>
      <c r="I104" s="160">
        <f t="shared" ref="I104" si="21">I71</f>
        <v>291.87551797368735</v>
      </c>
    </row>
    <row r="105" spans="2:9" x14ac:dyDescent="0.25">
      <c r="B105" s="142" t="s">
        <v>48</v>
      </c>
      <c r="C105" s="138" t="s">
        <v>65</v>
      </c>
      <c r="D105" s="47">
        <f>D77</f>
        <v>8.0000000000000004E-4</v>
      </c>
      <c r="E105" s="140">
        <f>E77</f>
        <v>1.72</v>
      </c>
      <c r="F105" s="140"/>
      <c r="G105" s="48">
        <f t="shared" ref="G105" si="22">G77</f>
        <v>1.79</v>
      </c>
      <c r="H105" s="114"/>
      <c r="I105" s="160">
        <f t="shared" ref="I105" si="23">I77</f>
        <v>1.82</v>
      </c>
    </row>
    <row r="106" spans="2:9" x14ac:dyDescent="0.25">
      <c r="B106" s="142" t="s">
        <v>52</v>
      </c>
      <c r="C106" s="138" t="s">
        <v>66</v>
      </c>
      <c r="D106" s="47">
        <f>D87</f>
        <v>3.8900000000000004E-2</v>
      </c>
      <c r="E106" s="140">
        <f>E87</f>
        <v>84.1</v>
      </c>
      <c r="F106" s="140"/>
      <c r="G106" s="48">
        <f t="shared" ref="G106" si="24">G87</f>
        <v>87.539999999999992</v>
      </c>
      <c r="H106" s="114"/>
      <c r="I106" s="160">
        <f t="shared" ref="I106" si="25">I87</f>
        <v>89.01</v>
      </c>
    </row>
    <row r="107" spans="2:9" x14ac:dyDescent="0.25">
      <c r="B107" s="142" t="s">
        <v>55</v>
      </c>
      <c r="C107" s="138" t="s">
        <v>67</v>
      </c>
      <c r="D107" s="47">
        <f>D99</f>
        <v>0.1201</v>
      </c>
      <c r="E107" s="140">
        <f>E99</f>
        <v>259.75</v>
      </c>
      <c r="F107" s="140"/>
      <c r="G107" s="48">
        <f t="shared" ref="G107" si="26">G99</f>
        <v>270.35000000000002</v>
      </c>
      <c r="H107" s="114"/>
      <c r="I107" s="160">
        <f t="shared" ref="I107" si="27">I99</f>
        <v>274.89000000000004</v>
      </c>
    </row>
    <row r="108" spans="2:9" x14ac:dyDescent="0.25">
      <c r="B108" s="142" t="s">
        <v>68</v>
      </c>
      <c r="C108" s="138" t="s">
        <v>18</v>
      </c>
      <c r="D108" s="47">
        <v>0</v>
      </c>
      <c r="E108" s="140">
        <f t="shared" ref="E108" si="28">ROUNDDOWN($D$30*D108,2)</f>
        <v>0</v>
      </c>
      <c r="F108" s="140"/>
      <c r="G108" s="48">
        <f t="shared" ref="G108:I108" si="29">ROUNDDOWN(G$30*$D108,2)</f>
        <v>0</v>
      </c>
      <c r="H108" s="114"/>
      <c r="I108" s="160">
        <f t="shared" si="29"/>
        <v>0</v>
      </c>
    </row>
    <row r="109" spans="2:9" x14ac:dyDescent="0.25">
      <c r="B109" s="68"/>
      <c r="C109" s="128" t="s">
        <v>40</v>
      </c>
      <c r="D109" s="63">
        <f>SUM(D103:D108)</f>
        <v>0.43530000000000002</v>
      </c>
      <c r="E109" s="84">
        <f>SUM(E103:E108)</f>
        <v>941.39320000000009</v>
      </c>
      <c r="F109" s="84"/>
      <c r="G109" s="64">
        <f t="shared" ref="G109" si="30">SUM(G103:G108)</f>
        <v>979.81</v>
      </c>
      <c r="H109" s="115"/>
      <c r="I109" s="161">
        <f t="shared" ref="I109" si="31">SUM(I103:I108)</f>
        <v>996.38551797368746</v>
      </c>
    </row>
    <row r="110" spans="2:9" ht="9" customHeight="1" x14ac:dyDescent="0.25">
      <c r="B110" s="325"/>
      <c r="C110" s="326"/>
      <c r="D110" s="326"/>
      <c r="E110" s="326"/>
      <c r="F110" s="326"/>
      <c r="G110" s="327"/>
      <c r="H110" s="177"/>
      <c r="I110" s="178"/>
    </row>
    <row r="111" spans="2:9" x14ac:dyDescent="0.25">
      <c r="B111" s="220" t="s">
        <v>150</v>
      </c>
      <c r="C111" s="221"/>
      <c r="D111" s="221"/>
      <c r="E111" s="221"/>
      <c r="F111" s="323"/>
      <c r="G111" s="324"/>
      <c r="H111" s="335"/>
      <c r="I111" s="336"/>
    </row>
    <row r="112" spans="2:9" x14ac:dyDescent="0.25">
      <c r="B112" s="137" t="s">
        <v>69</v>
      </c>
      <c r="C112" s="128" t="s">
        <v>70</v>
      </c>
      <c r="D112" s="128" t="s">
        <v>1</v>
      </c>
      <c r="E112" s="128" t="s">
        <v>2</v>
      </c>
      <c r="F112" s="318" t="s">
        <v>2</v>
      </c>
      <c r="G112" s="319"/>
      <c r="H112" s="345" t="s">
        <v>2</v>
      </c>
      <c r="I112" s="346"/>
    </row>
    <row r="113" spans="2:9" x14ac:dyDescent="0.25">
      <c r="B113" s="142" t="s">
        <v>3</v>
      </c>
      <c r="C113" s="49" t="s">
        <v>71</v>
      </c>
      <c r="D113" s="47">
        <v>0.05</v>
      </c>
      <c r="E113" s="140">
        <f>ROUNDDOWN(($D$30+$E$41+$E$48+$E$109)*D113,4)</f>
        <v>196.8235</v>
      </c>
      <c r="F113" s="140"/>
      <c r="G113" s="48">
        <f>ROUNDDOWN((G$30+G$41+G$48+G$109)*$D113,4)</f>
        <v>209.63239999999999</v>
      </c>
      <c r="H113" s="114"/>
      <c r="I113" s="160">
        <f>ROUNDDOWN((I$30+I$41+I$48+I$109)*$D113,4)</f>
        <v>213.24619999999999</v>
      </c>
    </row>
    <row r="114" spans="2:9" x14ac:dyDescent="0.25">
      <c r="B114" s="142" t="s">
        <v>5</v>
      </c>
      <c r="C114" s="49" t="s">
        <v>72</v>
      </c>
      <c r="D114" s="47">
        <f>SUM(D115:D118)</f>
        <v>0.13150000000000001</v>
      </c>
      <c r="E114" s="140"/>
      <c r="F114" s="140"/>
      <c r="G114" s="48"/>
      <c r="H114" s="114"/>
      <c r="I114" s="160"/>
    </row>
    <row r="115" spans="2:9" x14ac:dyDescent="0.25">
      <c r="B115" s="142"/>
      <c r="C115" s="138" t="s">
        <v>182</v>
      </c>
      <c r="D115" s="47">
        <v>3.6499999999999998E-2</v>
      </c>
      <c r="E115" s="140">
        <f>((($D$30+$E$41+$E$48+$E$109)+$E$113+$E$119)/(1-$D$114))*D115</f>
        <v>179.62140028785259</v>
      </c>
      <c r="F115" s="140"/>
      <c r="G115" s="48">
        <f>(((G$30+G$41+G$48+G$109)+G$113+G$119)/(1-$D$114))*$D115</f>
        <v>191.31130621218193</v>
      </c>
      <c r="H115" s="114"/>
      <c r="I115" s="160">
        <f>(((I$30+I$41+I$48+I$109)+I$113+I$119)/(1-$D$114))*$D115</f>
        <v>194.60916493092085</v>
      </c>
    </row>
    <row r="116" spans="2:9" x14ac:dyDescent="0.25">
      <c r="B116" s="142"/>
      <c r="C116" s="138" t="s">
        <v>211</v>
      </c>
      <c r="D116" s="47">
        <v>0.05</v>
      </c>
      <c r="E116" s="140">
        <f>((($D$30+$E$41+$E$48+$E$109)+$E$113+$E$119)/(1-$D$114))*D116</f>
        <v>246.05671272308578</v>
      </c>
      <c r="F116" s="140"/>
      <c r="G116" s="48">
        <f>(((G$30+G$41+G$48+G$109)+G$113+G$119)/(1-$D$114))*$D116</f>
        <v>262.07028248244103</v>
      </c>
      <c r="H116" s="114"/>
      <c r="I116" s="160">
        <f>(((I$30+I$41+I$48+I$109)+I$113+I$119)/(1-$D$114))*$D116</f>
        <v>266.58789716564502</v>
      </c>
    </row>
    <row r="117" spans="2:9" x14ac:dyDescent="0.25">
      <c r="B117" s="142"/>
      <c r="C117" s="138" t="s">
        <v>212</v>
      </c>
      <c r="D117" s="51"/>
      <c r="E117" s="140">
        <f>((($D$30+$E$41+$E$48+$E$109)+$E$113+$E$119)/(1-$D$114))*D117</f>
        <v>0</v>
      </c>
      <c r="F117" s="140"/>
      <c r="G117" s="48">
        <f>(((G$30+G$41+G$48+G$109)+G$113+G$119)/(1-$D$114))*$D117</f>
        <v>0</v>
      </c>
      <c r="H117" s="114"/>
      <c r="I117" s="160">
        <f>(((I$30+I$41+I$48+I$109)+I$113+I$119)/(1-$D$114))*$D117</f>
        <v>0</v>
      </c>
    </row>
    <row r="118" spans="2:9" x14ac:dyDescent="0.25">
      <c r="B118" s="142"/>
      <c r="C118" s="138" t="s">
        <v>213</v>
      </c>
      <c r="D118" s="47">
        <v>4.4999999999999998E-2</v>
      </c>
      <c r="E118" s="140">
        <f>((($D$30+$E$41+$E$48+$E$109)+$E$113+$E$119)/(1-$D$114))*D118</f>
        <v>221.45104145077718</v>
      </c>
      <c r="F118" s="140"/>
      <c r="G118" s="48">
        <f>(((G$30+G$41+G$48+G$109)+G$113+G$119)/(1-$D$114))*$D118</f>
        <v>235.86325423419689</v>
      </c>
      <c r="H118" s="114"/>
      <c r="I118" s="160">
        <f>(((I$30+I$41+I$48+I$109)+I$113+I$119)/(1-$D$114))*$D118</f>
        <v>239.9291074490805</v>
      </c>
    </row>
    <row r="119" spans="2:9" x14ac:dyDescent="0.25">
      <c r="B119" s="142" t="s">
        <v>7</v>
      </c>
      <c r="C119" s="138" t="s">
        <v>161</v>
      </c>
      <c r="D119" s="105">
        <f>ROUNDDOWN(3.4045%,6)</f>
        <v>3.4044999999999999E-2</v>
      </c>
      <c r="E119" s="140">
        <f>ROUNDDOWN((($D$30+$E$41+$E$48+$E$109)+$E$113)*D119,2)</f>
        <v>140.71</v>
      </c>
      <c r="F119" s="140"/>
      <c r="G119" s="48">
        <f>ROUND(((G$30+G$41+G$48+G$109)+G$113)*$D119,2)</f>
        <v>149.88</v>
      </c>
      <c r="H119" s="114"/>
      <c r="I119" s="160">
        <f>ROUND(((I$30+I$41+I$48+I$109)+I$113)*$D119,2)</f>
        <v>152.46</v>
      </c>
    </row>
    <row r="120" spans="2:9" x14ac:dyDescent="0.25">
      <c r="B120" s="65"/>
      <c r="C120" s="128" t="s">
        <v>73</v>
      </c>
      <c r="D120" s="59"/>
      <c r="E120" s="84">
        <f>SUM(E113:E119)</f>
        <v>984.66265446171565</v>
      </c>
      <c r="F120" s="84"/>
      <c r="G120" s="64">
        <f t="shared" ref="G120" si="32">SUM(G113:G119)</f>
        <v>1048.7572429288198</v>
      </c>
      <c r="H120" s="115"/>
      <c r="I120" s="161">
        <f t="shared" ref="I120" si="33">SUM(I113:I119)</f>
        <v>1066.8323695456463</v>
      </c>
    </row>
    <row r="121" spans="2:9" x14ac:dyDescent="0.25">
      <c r="B121" s="216" t="s">
        <v>209</v>
      </c>
      <c r="C121" s="217"/>
      <c r="D121" s="217"/>
      <c r="E121" s="217"/>
      <c r="F121" s="329"/>
      <c r="G121" s="330"/>
      <c r="H121" s="341"/>
      <c r="I121" s="342"/>
    </row>
    <row r="122" spans="2:9" x14ac:dyDescent="0.25">
      <c r="B122" s="216" t="s">
        <v>210</v>
      </c>
      <c r="C122" s="217"/>
      <c r="D122" s="217"/>
      <c r="E122" s="217"/>
      <c r="F122" s="329"/>
      <c r="G122" s="330"/>
      <c r="H122" s="341"/>
      <c r="I122" s="342"/>
    </row>
    <row r="123" spans="2:9" ht="9" customHeight="1" x14ac:dyDescent="0.25">
      <c r="B123" s="328"/>
      <c r="C123" s="329"/>
      <c r="D123" s="329"/>
      <c r="E123" s="329"/>
      <c r="F123" s="329"/>
      <c r="G123" s="330"/>
      <c r="H123" s="177"/>
      <c r="I123" s="178"/>
    </row>
    <row r="124" spans="2:9" x14ac:dyDescent="0.25">
      <c r="B124" s="212" t="s">
        <v>151</v>
      </c>
      <c r="C124" s="213"/>
      <c r="D124" s="213"/>
      <c r="E124" s="213"/>
      <c r="F124" s="323"/>
      <c r="G124" s="324"/>
      <c r="H124" s="335"/>
      <c r="I124" s="336"/>
    </row>
    <row r="125" spans="2:9" ht="18.75" customHeight="1" x14ac:dyDescent="0.25">
      <c r="B125" s="69"/>
      <c r="C125" s="58" t="s">
        <v>74</v>
      </c>
      <c r="D125" s="128" t="s">
        <v>1</v>
      </c>
      <c r="E125" s="128" t="s">
        <v>2</v>
      </c>
      <c r="F125" s="215" t="s">
        <v>2</v>
      </c>
      <c r="G125" s="227"/>
      <c r="H125" s="293" t="s">
        <v>2</v>
      </c>
      <c r="I125" s="294"/>
    </row>
    <row r="126" spans="2:9" x14ac:dyDescent="0.25">
      <c r="B126" s="142" t="s">
        <v>3</v>
      </c>
      <c r="C126" s="138" t="s">
        <v>215</v>
      </c>
      <c r="D126" s="309">
        <f>D30</f>
        <v>2162.86</v>
      </c>
      <c r="E126" s="309"/>
      <c r="F126" s="85"/>
      <c r="G126" s="52">
        <f>G30</f>
        <v>2251.1046879999999</v>
      </c>
      <c r="H126" s="116"/>
      <c r="I126" s="166">
        <f>I30</f>
        <v>2289.1383572271993</v>
      </c>
    </row>
    <row r="127" spans="2:9" x14ac:dyDescent="0.25">
      <c r="B127" s="142" t="s">
        <v>5</v>
      </c>
      <c r="C127" s="138" t="s">
        <v>216</v>
      </c>
      <c r="D127" s="310">
        <f>E41</f>
        <v>790.21839999999997</v>
      </c>
      <c r="E127" s="310"/>
      <c r="F127" s="86"/>
      <c r="G127" s="53">
        <f>G41</f>
        <v>919.73371872000007</v>
      </c>
      <c r="H127" s="117"/>
      <c r="I127" s="168">
        <f>I41</f>
        <v>937.40169856636805</v>
      </c>
    </row>
    <row r="128" spans="2:9" ht="24" x14ac:dyDescent="0.25">
      <c r="B128" s="142" t="s">
        <v>7</v>
      </c>
      <c r="C128" s="138" t="s">
        <v>217</v>
      </c>
      <c r="D128" s="242">
        <f>E48</f>
        <v>42</v>
      </c>
      <c r="E128" s="242"/>
      <c r="F128" s="138"/>
      <c r="G128" s="106">
        <f>G48</f>
        <v>42</v>
      </c>
      <c r="H128" s="118"/>
      <c r="I128" s="168">
        <f>I48</f>
        <v>42</v>
      </c>
    </row>
    <row r="129" spans="2:9" x14ac:dyDescent="0.25">
      <c r="B129" s="142" t="s">
        <v>9</v>
      </c>
      <c r="C129" s="138" t="s">
        <v>167</v>
      </c>
      <c r="D129" s="309">
        <f>E109</f>
        <v>941.39320000000009</v>
      </c>
      <c r="E129" s="309"/>
      <c r="F129" s="85"/>
      <c r="G129" s="52">
        <f t="shared" ref="G129" si="34">G109</f>
        <v>979.81</v>
      </c>
      <c r="H129" s="116"/>
      <c r="I129" s="166">
        <f t="shared" ref="I129" si="35">I109</f>
        <v>996.38551797368746</v>
      </c>
    </row>
    <row r="130" spans="2:9" x14ac:dyDescent="0.25">
      <c r="B130" s="311" t="s">
        <v>75</v>
      </c>
      <c r="C130" s="248"/>
      <c r="D130" s="312">
        <f>SUM(D126:E129)</f>
        <v>3936.4716000000003</v>
      </c>
      <c r="E130" s="312"/>
      <c r="F130" s="87"/>
      <c r="G130" s="54">
        <f t="shared" ref="G130" si="36">SUM(G126:G129)</f>
        <v>4192.6484067199999</v>
      </c>
      <c r="H130" s="119"/>
      <c r="I130" s="171">
        <f t="shared" ref="I130" si="37">SUM(I126:I129)</f>
        <v>4264.9255737672547</v>
      </c>
    </row>
    <row r="131" spans="2:9" x14ac:dyDescent="0.25">
      <c r="B131" s="142" t="s">
        <v>11</v>
      </c>
      <c r="C131" s="133" t="s">
        <v>218</v>
      </c>
      <c r="D131" s="309">
        <f>E120</f>
        <v>984.66265446171565</v>
      </c>
      <c r="E131" s="309"/>
      <c r="F131" s="85"/>
      <c r="G131" s="52">
        <f t="shared" ref="G131" si="38">G120</f>
        <v>1048.7572429288198</v>
      </c>
      <c r="H131" s="116"/>
      <c r="I131" s="166">
        <f t="shared" ref="I131" si="39">I120</f>
        <v>1066.8323695456463</v>
      </c>
    </row>
    <row r="132" spans="2:9" ht="15.75" thickBot="1" x14ac:dyDescent="0.3">
      <c r="B132" s="208" t="s">
        <v>76</v>
      </c>
      <c r="C132" s="209"/>
      <c r="D132" s="308">
        <f>D130+D131</f>
        <v>4921.1342544617164</v>
      </c>
      <c r="E132" s="308"/>
      <c r="F132" s="91"/>
      <c r="G132" s="74">
        <f t="shared" ref="G132" si="40">G130+G131</f>
        <v>5241.4056496488192</v>
      </c>
      <c r="H132" s="120"/>
      <c r="I132" s="173">
        <f t="shared" ref="I132" si="41">I130+I131</f>
        <v>5331.7579433129013</v>
      </c>
    </row>
  </sheetData>
  <mergeCells count="149">
    <mergeCell ref="J81:J82"/>
    <mergeCell ref="J84:J85"/>
    <mergeCell ref="H122:I122"/>
    <mergeCell ref="H124:I124"/>
    <mergeCell ref="H125:I125"/>
    <mergeCell ref="F21:G21"/>
    <mergeCell ref="F90:G90"/>
    <mergeCell ref="H90:I90"/>
    <mergeCell ref="H74:I74"/>
    <mergeCell ref="H79:I79"/>
    <mergeCell ref="H80:I80"/>
    <mergeCell ref="H89:I89"/>
    <mergeCell ref="H101:I101"/>
    <mergeCell ref="H102:I102"/>
    <mergeCell ref="H111:I111"/>
    <mergeCell ref="H112:I112"/>
    <mergeCell ref="H121:I121"/>
    <mergeCell ref="H49:I49"/>
    <mergeCell ref="H50:I50"/>
    <mergeCell ref="H51:I51"/>
    <mergeCell ref="H52:I52"/>
    <mergeCell ref="H62:I62"/>
    <mergeCell ref="H63:I63"/>
    <mergeCell ref="H65:I65"/>
    <mergeCell ref="H66:I66"/>
    <mergeCell ref="H73:I73"/>
    <mergeCell ref="H13:I13"/>
    <mergeCell ref="H14:I14"/>
    <mergeCell ref="H18:I18"/>
    <mergeCell ref="H20:I20"/>
    <mergeCell ref="H33:I33"/>
    <mergeCell ref="H42:I42"/>
    <mergeCell ref="H43:I43"/>
    <mergeCell ref="H44:I44"/>
    <mergeCell ref="H21:I21"/>
    <mergeCell ref="B64:I64"/>
    <mergeCell ref="C37:D37"/>
    <mergeCell ref="C39:D39"/>
    <mergeCell ref="C40:D40"/>
    <mergeCell ref="B42:E42"/>
    <mergeCell ref="C45:D45"/>
    <mergeCell ref="C46:D46"/>
    <mergeCell ref="C47:D47"/>
    <mergeCell ref="C48:D48"/>
    <mergeCell ref="B49:E49"/>
    <mergeCell ref="B50:E50"/>
    <mergeCell ref="B51:E51"/>
    <mergeCell ref="C44:D44"/>
    <mergeCell ref="H2:I3"/>
    <mergeCell ref="H4:I4"/>
    <mergeCell ref="H5:I5"/>
    <mergeCell ref="H6:I6"/>
    <mergeCell ref="H7:I7"/>
    <mergeCell ref="H8:I8"/>
    <mergeCell ref="H10:I10"/>
    <mergeCell ref="H11:I11"/>
    <mergeCell ref="H12:I12"/>
    <mergeCell ref="F121:G121"/>
    <mergeCell ref="F122:G122"/>
    <mergeCell ref="B123:G123"/>
    <mergeCell ref="F124:G124"/>
    <mergeCell ref="F125:G125"/>
    <mergeCell ref="F101:G101"/>
    <mergeCell ref="F102:G102"/>
    <mergeCell ref="B110:G110"/>
    <mergeCell ref="F111:G111"/>
    <mergeCell ref="F112:G112"/>
    <mergeCell ref="B101:E101"/>
    <mergeCell ref="F79:G79"/>
    <mergeCell ref="F80:G80"/>
    <mergeCell ref="B88:G88"/>
    <mergeCell ref="F89:G89"/>
    <mergeCell ref="B100:G100"/>
    <mergeCell ref="F62:G62"/>
    <mergeCell ref="F63:G63"/>
    <mergeCell ref="F65:G65"/>
    <mergeCell ref="F66:G66"/>
    <mergeCell ref="B63:E63"/>
    <mergeCell ref="B65:E65"/>
    <mergeCell ref="B73:E73"/>
    <mergeCell ref="B79:E79"/>
    <mergeCell ref="B87:C87"/>
    <mergeCell ref="B89:E89"/>
    <mergeCell ref="B72:G72"/>
    <mergeCell ref="F73:G73"/>
    <mergeCell ref="F74:G74"/>
    <mergeCell ref="B78:G78"/>
    <mergeCell ref="B62:E62"/>
    <mergeCell ref="C8:D8"/>
    <mergeCell ref="F44:G44"/>
    <mergeCell ref="F49:G49"/>
    <mergeCell ref="F50:G50"/>
    <mergeCell ref="F51:G51"/>
    <mergeCell ref="F52:G52"/>
    <mergeCell ref="F13:G13"/>
    <mergeCell ref="F12:G12"/>
    <mergeCell ref="F14:G14"/>
    <mergeCell ref="B43:E43"/>
    <mergeCell ref="F43:G43"/>
    <mergeCell ref="F33:G33"/>
    <mergeCell ref="F42:G42"/>
    <mergeCell ref="F18:G18"/>
    <mergeCell ref="B19:G19"/>
    <mergeCell ref="F20:G20"/>
    <mergeCell ref="C41:D41"/>
    <mergeCell ref="B20:E20"/>
    <mergeCell ref="B32:E32"/>
    <mergeCell ref="C33:D33"/>
    <mergeCell ref="C34:D34"/>
    <mergeCell ref="C35:D35"/>
    <mergeCell ref="C36:D36"/>
    <mergeCell ref="C38:D38"/>
    <mergeCell ref="B2:E2"/>
    <mergeCell ref="F2:G3"/>
    <mergeCell ref="B3:E3"/>
    <mergeCell ref="B4:E4"/>
    <mergeCell ref="C5:D5"/>
    <mergeCell ref="F5:G5"/>
    <mergeCell ref="C6:D6"/>
    <mergeCell ref="F6:G6"/>
    <mergeCell ref="C18:D18"/>
    <mergeCell ref="C11:D11"/>
    <mergeCell ref="C12:D12"/>
    <mergeCell ref="B13:E13"/>
    <mergeCell ref="B14:E14"/>
    <mergeCell ref="C15:D15"/>
    <mergeCell ref="C16:D16"/>
    <mergeCell ref="C17:D17"/>
    <mergeCell ref="F11:G11"/>
    <mergeCell ref="C7:D7"/>
    <mergeCell ref="F7:G7"/>
    <mergeCell ref="F8:G8"/>
    <mergeCell ref="B9:G9"/>
    <mergeCell ref="B10:E10"/>
    <mergeCell ref="F10:G10"/>
    <mergeCell ref="F4:G4"/>
    <mergeCell ref="B132:C132"/>
    <mergeCell ref="D132:E132"/>
    <mergeCell ref="B111:E111"/>
    <mergeCell ref="B121:E121"/>
    <mergeCell ref="B122:E122"/>
    <mergeCell ref="B124:E124"/>
    <mergeCell ref="D126:E126"/>
    <mergeCell ref="D127:E127"/>
    <mergeCell ref="D128:E128"/>
    <mergeCell ref="D129:E129"/>
    <mergeCell ref="B130:C130"/>
    <mergeCell ref="D130:E130"/>
    <mergeCell ref="D131:E131"/>
  </mergeCells>
  <printOptions horizontalCentered="1"/>
  <pageMargins left="0.11811023622047245" right="0.11811023622047245" top="0.19685039370078741" bottom="0.19685039370078741" header="0.11811023622047245" footer="0.11811023622047245"/>
  <pageSetup paperSize="9" scale="52" orientation="portrait" r:id="rId1"/>
  <rowBreaks count="1" manualBreakCount="1">
    <brk id="64" min="1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81"/>
  <sheetViews>
    <sheetView showGridLines="0" tabSelected="1" topLeftCell="A55" zoomScaleNormal="100" zoomScaleSheetLayoutView="90" workbookViewId="0">
      <selection activeCell="L65" sqref="L65"/>
    </sheetView>
  </sheetViews>
  <sheetFormatPr defaultRowHeight="15" x14ac:dyDescent="0.25"/>
  <cols>
    <col min="3" max="3" width="36.7109375" customWidth="1"/>
    <col min="4" max="4" width="15" customWidth="1"/>
    <col min="5" max="5" width="11" customWidth="1"/>
    <col min="6" max="6" width="13" customWidth="1"/>
    <col min="7" max="7" width="7.7109375" customWidth="1"/>
    <col min="8" max="8" width="12.140625" customWidth="1"/>
  </cols>
  <sheetData>
    <row r="1" spans="2:8" ht="15.75" thickBot="1" x14ac:dyDescent="0.3"/>
    <row r="2" spans="2:8" ht="15.75" x14ac:dyDescent="0.25">
      <c r="B2" s="377" t="s">
        <v>125</v>
      </c>
      <c r="C2" s="378"/>
      <c r="D2" s="378"/>
      <c r="E2" s="378"/>
      <c r="F2" s="378"/>
      <c r="G2" s="378"/>
      <c r="H2" s="379"/>
    </row>
    <row r="3" spans="2:8" x14ac:dyDescent="0.25">
      <c r="B3" s="369" t="s">
        <v>127</v>
      </c>
      <c r="C3" s="370"/>
      <c r="D3" s="370"/>
      <c r="E3" s="370"/>
      <c r="F3" s="370"/>
      <c r="G3" s="370"/>
      <c r="H3" s="371"/>
    </row>
    <row r="4" spans="2:8" ht="9" customHeight="1" x14ac:dyDescent="0.25">
      <c r="B4" s="9"/>
      <c r="C4" s="10"/>
      <c r="D4" s="10"/>
      <c r="E4" s="10"/>
      <c r="F4" s="10"/>
      <c r="G4" s="10"/>
      <c r="H4" s="11"/>
    </row>
    <row r="5" spans="2:8" x14ac:dyDescent="0.25">
      <c r="B5" s="354" t="s">
        <v>92</v>
      </c>
      <c r="C5" s="355"/>
      <c r="D5" s="355"/>
      <c r="E5" s="355"/>
      <c r="F5" s="355"/>
      <c r="G5" s="355"/>
      <c r="H5" s="356"/>
    </row>
    <row r="6" spans="2:8" ht="36" x14ac:dyDescent="0.25">
      <c r="B6" s="357" t="s">
        <v>93</v>
      </c>
      <c r="C6" s="358"/>
      <c r="D6" s="2" t="s">
        <v>94</v>
      </c>
      <c r="E6" s="2" t="s">
        <v>95</v>
      </c>
      <c r="F6" s="2" t="s">
        <v>96</v>
      </c>
      <c r="G6" s="2" t="s">
        <v>97</v>
      </c>
      <c r="H6" s="12" t="s">
        <v>98</v>
      </c>
    </row>
    <row r="7" spans="2:8" x14ac:dyDescent="0.25">
      <c r="B7" s="359" t="s">
        <v>99</v>
      </c>
      <c r="C7" s="360"/>
      <c r="D7" s="2" t="s">
        <v>100</v>
      </c>
      <c r="E7" s="2" t="s">
        <v>101</v>
      </c>
      <c r="F7" s="2" t="s">
        <v>102</v>
      </c>
      <c r="G7" s="2" t="s">
        <v>103</v>
      </c>
      <c r="H7" s="12" t="s">
        <v>104</v>
      </c>
    </row>
    <row r="8" spans="2:8" ht="24" x14ac:dyDescent="0.25">
      <c r="B8" s="13" t="s">
        <v>105</v>
      </c>
      <c r="C8" s="4" t="s">
        <v>84</v>
      </c>
      <c r="D8" s="5">
        <f>ROUND(Arquivista!E132,2)</f>
        <v>7046.14</v>
      </c>
      <c r="E8" s="3">
        <v>1</v>
      </c>
      <c r="F8" s="5">
        <f>E8*D8</f>
        <v>7046.14</v>
      </c>
      <c r="G8" s="3">
        <v>1</v>
      </c>
      <c r="H8" s="14">
        <f>G8*F8</f>
        <v>7046.14</v>
      </c>
    </row>
    <row r="9" spans="2:8" ht="27.75" customHeight="1" x14ac:dyDescent="0.25">
      <c r="B9" s="13" t="s">
        <v>106</v>
      </c>
      <c r="C9" s="4" t="s">
        <v>107</v>
      </c>
      <c r="D9" s="5">
        <f>ROUND(Assistente!D132,2)</f>
        <v>4921.13</v>
      </c>
      <c r="E9" s="3">
        <v>1</v>
      </c>
      <c r="F9" s="5">
        <f>E9*D9</f>
        <v>4921.13</v>
      </c>
      <c r="G9" s="3">
        <v>7</v>
      </c>
      <c r="H9" s="14">
        <f>G9*F9</f>
        <v>34447.910000000003</v>
      </c>
    </row>
    <row r="10" spans="2:8" x14ac:dyDescent="0.25">
      <c r="B10" s="359" t="s">
        <v>108</v>
      </c>
      <c r="C10" s="360"/>
      <c r="D10" s="360"/>
      <c r="E10" s="360"/>
      <c r="F10" s="360"/>
      <c r="G10" s="360"/>
      <c r="H10" s="15">
        <f>SUM(H8:H9)</f>
        <v>41494.050000000003</v>
      </c>
    </row>
    <row r="11" spans="2:8" ht="9" customHeight="1" x14ac:dyDescent="0.25">
      <c r="B11" s="16"/>
      <c r="C11" s="17"/>
      <c r="D11" s="17"/>
      <c r="E11" s="17"/>
      <c r="F11" s="17"/>
      <c r="G11" s="17"/>
      <c r="H11" s="18"/>
    </row>
    <row r="12" spans="2:8" x14ac:dyDescent="0.25">
      <c r="B12" s="372" t="s">
        <v>109</v>
      </c>
      <c r="C12" s="373"/>
      <c r="D12" s="373"/>
      <c r="E12" s="373"/>
      <c r="F12" s="373"/>
      <c r="G12" s="373"/>
      <c r="H12" s="374"/>
    </row>
    <row r="13" spans="2:8" x14ac:dyDescent="0.25">
      <c r="B13" s="359" t="s">
        <v>110</v>
      </c>
      <c r="C13" s="360"/>
      <c r="D13" s="360"/>
      <c r="E13" s="360"/>
      <c r="F13" s="360"/>
      <c r="G13" s="360"/>
      <c r="H13" s="375"/>
    </row>
    <row r="14" spans="2:8" x14ac:dyDescent="0.25">
      <c r="B14" s="21"/>
      <c r="C14" s="376" t="s">
        <v>111</v>
      </c>
      <c r="D14" s="376"/>
      <c r="E14" s="376"/>
      <c r="F14" s="376"/>
      <c r="G14" s="376"/>
      <c r="H14" s="25" t="s">
        <v>2</v>
      </c>
    </row>
    <row r="15" spans="2:8" x14ac:dyDescent="0.25">
      <c r="B15" s="22" t="s">
        <v>3</v>
      </c>
      <c r="C15" s="364" t="s">
        <v>112</v>
      </c>
      <c r="D15" s="364"/>
      <c r="E15" s="364"/>
      <c r="F15" s="364"/>
      <c r="G15" s="364"/>
      <c r="H15" s="26"/>
    </row>
    <row r="16" spans="2:8" x14ac:dyDescent="0.25">
      <c r="B16" s="13" t="s">
        <v>113</v>
      </c>
      <c r="C16" s="365" t="s">
        <v>84</v>
      </c>
      <c r="D16" s="365"/>
      <c r="E16" s="365"/>
      <c r="F16" s="365"/>
      <c r="G16" s="365"/>
      <c r="H16" s="27">
        <f>H8</f>
        <v>7046.14</v>
      </c>
    </row>
    <row r="17" spans="2:8" x14ac:dyDescent="0.25">
      <c r="B17" s="13" t="s">
        <v>114</v>
      </c>
      <c r="C17" s="365" t="s">
        <v>107</v>
      </c>
      <c r="D17" s="365"/>
      <c r="E17" s="365"/>
      <c r="F17" s="365"/>
      <c r="G17" s="365"/>
      <c r="H17" s="27">
        <f>H9</f>
        <v>34447.910000000003</v>
      </c>
    </row>
    <row r="18" spans="2:8" x14ac:dyDescent="0.25">
      <c r="B18" s="22" t="s">
        <v>5</v>
      </c>
      <c r="C18" s="364" t="s">
        <v>115</v>
      </c>
      <c r="D18" s="364"/>
      <c r="E18" s="364"/>
      <c r="F18" s="364"/>
      <c r="G18" s="364"/>
      <c r="H18" s="28">
        <f>SUM(H16:H17)</f>
        <v>41494.050000000003</v>
      </c>
    </row>
    <row r="19" spans="2:8" x14ac:dyDescent="0.25">
      <c r="B19" s="22" t="s">
        <v>7</v>
      </c>
      <c r="C19" s="364" t="s">
        <v>116</v>
      </c>
      <c r="D19" s="364"/>
      <c r="E19" s="364"/>
      <c r="F19" s="364"/>
      <c r="G19" s="364"/>
      <c r="H19" s="28">
        <f>H18*12</f>
        <v>497928.60000000003</v>
      </c>
    </row>
    <row r="20" spans="2:8" ht="15.75" thickBot="1" x14ac:dyDescent="0.3">
      <c r="B20" s="393" t="s">
        <v>117</v>
      </c>
      <c r="C20" s="394"/>
      <c r="D20" s="394"/>
      <c r="E20" s="394"/>
      <c r="F20" s="394"/>
      <c r="G20" s="394"/>
      <c r="H20" s="395"/>
    </row>
    <row r="21" spans="2:8" ht="15.75" thickBot="1" x14ac:dyDescent="0.3"/>
    <row r="22" spans="2:8" ht="15.75" x14ac:dyDescent="0.25">
      <c r="B22" s="377" t="s">
        <v>126</v>
      </c>
      <c r="C22" s="378"/>
      <c r="D22" s="378"/>
      <c r="E22" s="378"/>
      <c r="F22" s="378"/>
      <c r="G22" s="378"/>
      <c r="H22" s="379"/>
    </row>
    <row r="23" spans="2:8" x14ac:dyDescent="0.25">
      <c r="B23" s="369" t="s">
        <v>127</v>
      </c>
      <c r="C23" s="370"/>
      <c r="D23" s="370"/>
      <c r="E23" s="370"/>
      <c r="F23" s="370"/>
      <c r="G23" s="370"/>
      <c r="H23" s="371"/>
    </row>
    <row r="24" spans="2:8" x14ac:dyDescent="0.25">
      <c r="B24" s="354" t="s">
        <v>138</v>
      </c>
      <c r="C24" s="355"/>
      <c r="D24" s="355"/>
      <c r="E24" s="355"/>
      <c r="F24" s="355"/>
      <c r="G24" s="355"/>
      <c r="H24" s="356"/>
    </row>
    <row r="25" spans="2:8" ht="36" x14ac:dyDescent="0.25">
      <c r="B25" s="359" t="s">
        <v>93</v>
      </c>
      <c r="C25" s="360"/>
      <c r="D25" s="2" t="s">
        <v>95</v>
      </c>
      <c r="E25" s="2" t="s">
        <v>97</v>
      </c>
      <c r="F25" s="2" t="s">
        <v>129</v>
      </c>
      <c r="G25" s="380" t="s">
        <v>128</v>
      </c>
      <c r="H25" s="381"/>
    </row>
    <row r="26" spans="2:8" x14ac:dyDescent="0.25">
      <c r="B26" s="359"/>
      <c r="C26" s="360"/>
      <c r="D26" s="360" t="s">
        <v>130</v>
      </c>
      <c r="E26" s="360"/>
      <c r="F26" s="360"/>
      <c r="G26" s="391" t="s">
        <v>139</v>
      </c>
      <c r="H26" s="392"/>
    </row>
    <row r="27" spans="2:8" ht="24" x14ac:dyDescent="0.25">
      <c r="B27" s="13" t="s">
        <v>105</v>
      </c>
      <c r="C27" s="4" t="s">
        <v>84</v>
      </c>
      <c r="D27" s="3">
        <v>1</v>
      </c>
      <c r="E27" s="3">
        <v>1</v>
      </c>
      <c r="F27" s="5">
        <f>D8</f>
        <v>7046.14</v>
      </c>
      <c r="G27" s="397">
        <f>Arquivista!G132</f>
        <v>7453.5025862521597</v>
      </c>
      <c r="H27" s="398"/>
    </row>
    <row r="28" spans="2:8" ht="26.25" customHeight="1" x14ac:dyDescent="0.25">
      <c r="B28" s="13" t="s">
        <v>106</v>
      </c>
      <c r="C28" s="4" t="s">
        <v>107</v>
      </c>
      <c r="D28" s="3">
        <v>1</v>
      </c>
      <c r="E28" s="3">
        <v>7</v>
      </c>
      <c r="F28" s="5">
        <f>D9</f>
        <v>4921.13</v>
      </c>
      <c r="G28" s="397">
        <f>Assistente!G132</f>
        <v>5241.4056496488192</v>
      </c>
      <c r="H28" s="398"/>
    </row>
    <row r="29" spans="2:8" ht="10.5" customHeight="1" x14ac:dyDescent="0.25">
      <c r="B29" s="20"/>
      <c r="C29" s="10"/>
      <c r="D29" s="10"/>
      <c r="E29" s="10"/>
      <c r="F29" s="10"/>
      <c r="G29" s="10"/>
      <c r="H29" s="11"/>
    </row>
    <row r="30" spans="2:8" x14ac:dyDescent="0.25">
      <c r="B30" s="403" t="s">
        <v>109</v>
      </c>
      <c r="C30" s="404"/>
      <c r="D30" s="404"/>
      <c r="E30" s="404"/>
      <c r="F30" s="404"/>
      <c r="G30" s="404"/>
      <c r="H30" s="405"/>
    </row>
    <row r="31" spans="2:8" x14ac:dyDescent="0.25">
      <c r="B31" s="359" t="s">
        <v>110</v>
      </c>
      <c r="C31" s="360"/>
      <c r="D31" s="360"/>
      <c r="E31" s="360"/>
      <c r="F31" s="360"/>
      <c r="G31" s="360"/>
      <c r="H31" s="375"/>
    </row>
    <row r="32" spans="2:8" x14ac:dyDescent="0.25">
      <c r="B32" s="21"/>
      <c r="C32" s="382" t="s">
        <v>111</v>
      </c>
      <c r="D32" s="383"/>
      <c r="E32" s="384"/>
      <c r="F32" s="388" t="s">
        <v>2</v>
      </c>
      <c r="G32" s="389"/>
      <c r="H32" s="390"/>
    </row>
    <row r="33" spans="2:8" x14ac:dyDescent="0.25">
      <c r="B33" s="22" t="s">
        <v>3</v>
      </c>
      <c r="C33" s="385" t="s">
        <v>112</v>
      </c>
      <c r="D33" s="386"/>
      <c r="E33" s="387"/>
      <c r="F33" s="6" t="s">
        <v>131</v>
      </c>
      <c r="G33" s="399" t="str">
        <f>G26</f>
        <v>01.05 a 30.12.2017</v>
      </c>
      <c r="H33" s="400"/>
    </row>
    <row r="34" spans="2:8" x14ac:dyDescent="0.25">
      <c r="B34" s="13" t="s">
        <v>113</v>
      </c>
      <c r="C34" s="408" t="s">
        <v>84</v>
      </c>
      <c r="D34" s="409"/>
      <c r="E34" s="410"/>
      <c r="F34" s="7">
        <f>$D$27*$E$27*F27</f>
        <v>7046.14</v>
      </c>
      <c r="G34" s="401">
        <f>$D$27*$E$27*G27</f>
        <v>7453.5025862521597</v>
      </c>
      <c r="H34" s="402"/>
    </row>
    <row r="35" spans="2:8" ht="19.5" customHeight="1" x14ac:dyDescent="0.25">
      <c r="B35" s="13" t="s">
        <v>114</v>
      </c>
      <c r="C35" s="408" t="s">
        <v>107</v>
      </c>
      <c r="D35" s="409"/>
      <c r="E35" s="410"/>
      <c r="F35" s="7">
        <f>$D$28*$E$28*F28</f>
        <v>34447.910000000003</v>
      </c>
      <c r="G35" s="401">
        <f>$D$28*$E$28*G28</f>
        <v>36689.839547541735</v>
      </c>
      <c r="H35" s="402"/>
    </row>
    <row r="36" spans="2:8" x14ac:dyDescent="0.25">
      <c r="B36" s="22" t="s">
        <v>5</v>
      </c>
      <c r="C36" s="385" t="s">
        <v>115</v>
      </c>
      <c r="D36" s="386"/>
      <c r="E36" s="387"/>
      <c r="F36" s="8">
        <f>F34+F35</f>
        <v>41494.050000000003</v>
      </c>
      <c r="G36" s="406">
        <f>G34+G35</f>
        <v>44143.342133793893</v>
      </c>
      <c r="H36" s="407"/>
    </row>
    <row r="37" spans="2:8" x14ac:dyDescent="0.25">
      <c r="B37" s="22" t="s">
        <v>7</v>
      </c>
      <c r="C37" s="385" t="s">
        <v>116</v>
      </c>
      <c r="D37" s="386"/>
      <c r="E37" s="387"/>
      <c r="F37" s="8">
        <f>F36*12</f>
        <v>497928.60000000003</v>
      </c>
      <c r="G37" s="406">
        <f>G36*12</f>
        <v>529720.10560552671</v>
      </c>
      <c r="H37" s="407"/>
    </row>
    <row r="38" spans="2:8" ht="15.75" thickBot="1" x14ac:dyDescent="0.3">
      <c r="B38" s="29"/>
      <c r="C38" s="30"/>
      <c r="D38" s="30"/>
      <c r="E38" s="30"/>
      <c r="F38" s="31"/>
      <c r="G38" s="32"/>
      <c r="H38" s="32"/>
    </row>
    <row r="39" spans="2:8" ht="15.75" customHeight="1" thickBot="1" x14ac:dyDescent="0.3">
      <c r="B39" s="348" t="s">
        <v>134</v>
      </c>
      <c r="C39" s="349"/>
      <c r="D39" s="349"/>
      <c r="E39" s="349"/>
      <c r="F39" s="349"/>
      <c r="G39" s="349"/>
      <c r="H39" s="350"/>
    </row>
    <row r="40" spans="2:8" ht="15" customHeight="1" x14ac:dyDescent="0.25">
      <c r="B40" s="351" t="s">
        <v>133</v>
      </c>
      <c r="C40" s="352"/>
      <c r="D40" s="352"/>
      <c r="E40" s="352"/>
      <c r="F40" s="352"/>
      <c r="G40" s="352"/>
      <c r="H40" s="353"/>
    </row>
    <row r="41" spans="2:8" ht="15" customHeight="1" x14ac:dyDescent="0.25">
      <c r="B41" s="366" t="s">
        <v>127</v>
      </c>
      <c r="C41" s="367"/>
      <c r="D41" s="367"/>
      <c r="E41" s="367"/>
      <c r="F41" s="367"/>
      <c r="G41" s="367"/>
      <c r="H41" s="368"/>
    </row>
    <row r="42" spans="2:8" x14ac:dyDescent="0.25">
      <c r="B42" s="354" t="s">
        <v>92</v>
      </c>
      <c r="C42" s="355"/>
      <c r="D42" s="355"/>
      <c r="E42" s="355"/>
      <c r="F42" s="355"/>
      <c r="G42" s="355"/>
      <c r="H42" s="356"/>
    </row>
    <row r="43" spans="2:8" ht="48" x14ac:dyDescent="0.25">
      <c r="B43" s="357" t="s">
        <v>93</v>
      </c>
      <c r="C43" s="358"/>
      <c r="D43" s="23" t="s">
        <v>132</v>
      </c>
      <c r="E43" s="2" t="s">
        <v>95</v>
      </c>
      <c r="F43" s="2" t="s">
        <v>145</v>
      </c>
      <c r="G43" s="2" t="s">
        <v>97</v>
      </c>
      <c r="H43" s="19" t="s">
        <v>98</v>
      </c>
    </row>
    <row r="44" spans="2:8" ht="13.5" customHeight="1" x14ac:dyDescent="0.25">
      <c r="B44" s="359" t="s">
        <v>99</v>
      </c>
      <c r="C44" s="360"/>
      <c r="D44" s="2" t="s">
        <v>100</v>
      </c>
      <c r="E44" s="2" t="s">
        <v>101</v>
      </c>
      <c r="F44" s="2" t="s">
        <v>102</v>
      </c>
      <c r="G44" s="2" t="s">
        <v>103</v>
      </c>
      <c r="H44" s="19" t="s">
        <v>104</v>
      </c>
    </row>
    <row r="45" spans="2:8" ht="24" x14ac:dyDescent="0.25">
      <c r="B45" s="22" t="s">
        <v>105</v>
      </c>
      <c r="C45" s="4" t="s">
        <v>141</v>
      </c>
      <c r="D45" s="5">
        <f>Arquivista!G132</f>
        <v>7453.5025862521597</v>
      </c>
      <c r="E45" s="24">
        <v>1</v>
      </c>
      <c r="F45" s="37">
        <f>E45*D45</f>
        <v>7453.5025862521597</v>
      </c>
      <c r="G45" s="24">
        <v>1</v>
      </c>
      <c r="H45" s="35">
        <f>G45*F45</f>
        <v>7453.5025862521597</v>
      </c>
    </row>
    <row r="46" spans="2:8" ht="21.75" customHeight="1" x14ac:dyDescent="0.25">
      <c r="B46" s="22" t="s">
        <v>106</v>
      </c>
      <c r="C46" s="4" t="s">
        <v>142</v>
      </c>
      <c r="D46" s="5">
        <f>Assistente!G132</f>
        <v>5241.4056496488192</v>
      </c>
      <c r="E46" s="24">
        <v>1</v>
      </c>
      <c r="F46" s="37">
        <f>E46*D46</f>
        <v>5241.4056496488192</v>
      </c>
      <c r="G46" s="95">
        <v>9</v>
      </c>
      <c r="H46" s="35">
        <f>G46*F46 + 0.04</f>
        <v>47172.690846839374</v>
      </c>
    </row>
    <row r="47" spans="2:8" ht="15" customHeight="1" x14ac:dyDescent="0.25">
      <c r="B47" s="359" t="s">
        <v>108</v>
      </c>
      <c r="C47" s="360"/>
      <c r="D47" s="360"/>
      <c r="E47" s="360"/>
      <c r="F47" s="360"/>
      <c r="G47" s="360"/>
      <c r="H47" s="15">
        <f>SUM(H45:H46)</f>
        <v>54626.193433091532</v>
      </c>
    </row>
    <row r="48" spans="2:8" ht="3.75" customHeight="1" x14ac:dyDescent="0.25">
      <c r="B48" s="361"/>
      <c r="C48" s="362"/>
      <c r="D48" s="362"/>
      <c r="E48" s="362"/>
      <c r="F48" s="362"/>
      <c r="G48" s="362"/>
      <c r="H48" s="363"/>
    </row>
    <row r="49" spans="2:8" x14ac:dyDescent="0.25">
      <c r="B49" s="411" t="s">
        <v>109</v>
      </c>
      <c r="C49" s="412"/>
      <c r="D49" s="412"/>
      <c r="E49" s="412"/>
      <c r="F49" s="412"/>
      <c r="G49" s="412"/>
      <c r="H49" s="413"/>
    </row>
    <row r="50" spans="2:8" ht="15" customHeight="1" x14ac:dyDescent="0.25">
      <c r="B50" s="36"/>
      <c r="C50" s="360" t="s">
        <v>110</v>
      </c>
      <c r="D50" s="360"/>
      <c r="E50" s="360" t="s">
        <v>111</v>
      </c>
      <c r="F50" s="360"/>
      <c r="G50" s="360"/>
      <c r="H50" s="25" t="s">
        <v>2</v>
      </c>
    </row>
    <row r="51" spans="2:8" x14ac:dyDescent="0.25">
      <c r="B51" s="22" t="s">
        <v>3</v>
      </c>
      <c r="C51" s="364" t="s">
        <v>112</v>
      </c>
      <c r="D51" s="364"/>
      <c r="E51" s="364"/>
      <c r="F51" s="364"/>
      <c r="G51" s="364"/>
      <c r="H51" s="26"/>
    </row>
    <row r="52" spans="2:8" ht="15" customHeight="1" x14ac:dyDescent="0.25">
      <c r="B52" s="13" t="s">
        <v>113</v>
      </c>
      <c r="C52" s="365" t="s">
        <v>143</v>
      </c>
      <c r="D52" s="365"/>
      <c r="E52" s="365"/>
      <c r="F52" s="365"/>
      <c r="G52" s="365"/>
      <c r="H52" s="38">
        <f>H45</f>
        <v>7453.5025862521597</v>
      </c>
    </row>
    <row r="53" spans="2:8" ht="15" customHeight="1" x14ac:dyDescent="0.25">
      <c r="B53" s="13" t="s">
        <v>114</v>
      </c>
      <c r="C53" s="365" t="s">
        <v>144</v>
      </c>
      <c r="D53" s="365"/>
      <c r="E53" s="365"/>
      <c r="F53" s="365"/>
      <c r="G53" s="365"/>
      <c r="H53" s="38">
        <f>H46</f>
        <v>47172.690846839374</v>
      </c>
    </row>
    <row r="54" spans="2:8" x14ac:dyDescent="0.25">
      <c r="B54" s="22" t="s">
        <v>5</v>
      </c>
      <c r="C54" s="364" t="s">
        <v>115</v>
      </c>
      <c r="D54" s="364"/>
      <c r="E54" s="364"/>
      <c r="F54" s="364"/>
      <c r="G54" s="364"/>
      <c r="H54" s="38">
        <f>SUM(H52:H53)</f>
        <v>54626.193433091532</v>
      </c>
    </row>
    <row r="55" spans="2:8" ht="15" customHeight="1" thickBot="1" x14ac:dyDescent="0.3">
      <c r="B55" s="33" t="s">
        <v>7</v>
      </c>
      <c r="C55" s="347" t="s">
        <v>116</v>
      </c>
      <c r="D55" s="347"/>
      <c r="E55" s="347"/>
      <c r="F55" s="347"/>
      <c r="G55" s="347"/>
      <c r="H55" s="39">
        <f>H54*12 - 0.04</f>
        <v>655514.28119709832</v>
      </c>
    </row>
    <row r="56" spans="2:8" ht="9.75" customHeight="1" x14ac:dyDescent="0.25">
      <c r="B56" s="29"/>
      <c r="C56" s="34"/>
      <c r="D56" s="34"/>
      <c r="E56" s="34"/>
      <c r="F56" s="34"/>
      <c r="G56" s="34"/>
      <c r="H56" s="31"/>
    </row>
    <row r="57" spans="2:8" ht="15" customHeight="1" x14ac:dyDescent="0.25">
      <c r="B57" s="29"/>
      <c r="C57" s="34"/>
      <c r="D57" s="34"/>
      <c r="E57" s="396" t="s">
        <v>140</v>
      </c>
      <c r="F57" s="396"/>
      <c r="G57" s="194" t="s">
        <v>135</v>
      </c>
      <c r="H57" s="203">
        <f>H55-G37 - 0.01</f>
        <v>125794.16559157161</v>
      </c>
    </row>
    <row r="58" spans="2:8" ht="15" customHeight="1" x14ac:dyDescent="0.25">
      <c r="B58" s="29"/>
      <c r="C58" s="34"/>
      <c r="D58" s="34"/>
      <c r="E58" s="396"/>
      <c r="F58" s="396"/>
      <c r="G58" s="194" t="s">
        <v>137</v>
      </c>
      <c r="H58" s="203">
        <f>H57/12</f>
        <v>10482.847132630968</v>
      </c>
    </row>
    <row r="59" spans="2:8" ht="15" customHeight="1" x14ac:dyDescent="0.25">
      <c r="B59" s="29"/>
      <c r="C59" s="34"/>
      <c r="D59" s="34"/>
      <c r="E59" s="396"/>
      <c r="F59" s="396"/>
      <c r="G59" s="194" t="s">
        <v>136</v>
      </c>
      <c r="H59" s="203">
        <f>H58*9</f>
        <v>94345.624193678712</v>
      </c>
    </row>
    <row r="60" spans="2:8" ht="8.25" customHeight="1" thickBot="1" x14ac:dyDescent="0.3"/>
    <row r="61" spans="2:8" ht="16.5" thickBot="1" x14ac:dyDescent="0.3">
      <c r="B61" s="415" t="s">
        <v>230</v>
      </c>
      <c r="C61" s="416"/>
      <c r="D61" s="416"/>
      <c r="E61" s="416"/>
      <c r="F61" s="416"/>
      <c r="G61" s="416"/>
      <c r="H61" s="417"/>
    </row>
    <row r="62" spans="2:8" ht="15" customHeight="1" x14ac:dyDescent="0.25">
      <c r="B62" s="418" t="s">
        <v>127</v>
      </c>
      <c r="C62" s="419"/>
      <c r="D62" s="419"/>
      <c r="E62" s="419"/>
      <c r="F62" s="419"/>
      <c r="G62" s="419"/>
      <c r="H62" s="420"/>
    </row>
    <row r="63" spans="2:8" ht="15.75" thickBot="1" x14ac:dyDescent="0.3">
      <c r="B63" s="421" t="s">
        <v>92</v>
      </c>
      <c r="C63" s="422"/>
      <c r="D63" s="422"/>
      <c r="E63" s="422"/>
      <c r="F63" s="422"/>
      <c r="G63" s="422"/>
      <c r="H63" s="423"/>
    </row>
    <row r="64" spans="2:8" ht="15.75" thickBot="1" x14ac:dyDescent="0.3">
      <c r="B64" s="424" t="s">
        <v>233</v>
      </c>
      <c r="C64" s="425"/>
      <c r="D64" s="425"/>
      <c r="E64" s="425"/>
      <c r="F64" s="426" t="s">
        <v>234</v>
      </c>
      <c r="G64" s="427"/>
      <c r="H64" s="428"/>
    </row>
    <row r="65" spans="2:8" ht="36" x14ac:dyDescent="0.25">
      <c r="B65" s="429" t="s">
        <v>93</v>
      </c>
      <c r="C65" s="430"/>
      <c r="D65" s="195" t="s">
        <v>232</v>
      </c>
      <c r="E65" s="196" t="s">
        <v>95</v>
      </c>
      <c r="F65" s="196" t="s">
        <v>145</v>
      </c>
      <c r="G65" s="196" t="s">
        <v>97</v>
      </c>
      <c r="H65" s="197" t="s">
        <v>231</v>
      </c>
    </row>
    <row r="66" spans="2:8" x14ac:dyDescent="0.25">
      <c r="B66" s="357" t="s">
        <v>99</v>
      </c>
      <c r="C66" s="358"/>
      <c r="D66" s="200" t="s">
        <v>100</v>
      </c>
      <c r="E66" s="200" t="s">
        <v>101</v>
      </c>
      <c r="F66" s="200" t="s">
        <v>102</v>
      </c>
      <c r="G66" s="200" t="s">
        <v>103</v>
      </c>
      <c r="H66" s="201" t="s">
        <v>104</v>
      </c>
    </row>
    <row r="67" spans="2:8" ht="24" x14ac:dyDescent="0.25">
      <c r="B67" s="22" t="s">
        <v>105</v>
      </c>
      <c r="C67" s="4" t="s">
        <v>141</v>
      </c>
      <c r="D67" s="5">
        <f>Arquivista!I132</f>
        <v>7581.7574370922584</v>
      </c>
      <c r="E67" s="202">
        <v>1</v>
      </c>
      <c r="F67" s="37">
        <f>E67*D67</f>
        <v>7581.7574370922584</v>
      </c>
      <c r="G67" s="202">
        <v>1</v>
      </c>
      <c r="H67" s="35">
        <f>G67*F67</f>
        <v>7581.7574370922584</v>
      </c>
    </row>
    <row r="68" spans="2:8" ht="24" x14ac:dyDescent="0.25">
      <c r="B68" s="22" t="s">
        <v>106</v>
      </c>
      <c r="C68" s="4" t="s">
        <v>142</v>
      </c>
      <c r="D68" s="5">
        <f>Assistente!I132</f>
        <v>5331.7579433129013</v>
      </c>
      <c r="E68" s="202">
        <v>1</v>
      </c>
      <c r="F68" s="37">
        <f>E68*D68</f>
        <v>5331.7579433129013</v>
      </c>
      <c r="G68" s="199">
        <v>9</v>
      </c>
      <c r="H68" s="35">
        <f>G68*F68 + 0.02</f>
        <v>47985.841489816106</v>
      </c>
    </row>
    <row r="69" spans="2:8" ht="15" customHeight="1" x14ac:dyDescent="0.25">
      <c r="B69" s="359" t="s">
        <v>108</v>
      </c>
      <c r="C69" s="360"/>
      <c r="D69" s="360"/>
      <c r="E69" s="360"/>
      <c r="F69" s="360"/>
      <c r="G69" s="360"/>
      <c r="H69" s="193">
        <f>SUM(H67:H68)</f>
        <v>55567.598926908366</v>
      </c>
    </row>
    <row r="70" spans="2:8" ht="6" customHeight="1" x14ac:dyDescent="0.25">
      <c r="B70" s="361"/>
      <c r="C70" s="362"/>
      <c r="D70" s="362"/>
      <c r="E70" s="362"/>
      <c r="F70" s="362"/>
      <c r="G70" s="362"/>
      <c r="H70" s="363"/>
    </row>
    <row r="71" spans="2:8" x14ac:dyDescent="0.25">
      <c r="B71" s="411" t="s">
        <v>109</v>
      </c>
      <c r="C71" s="412"/>
      <c r="D71" s="412"/>
      <c r="E71" s="412"/>
      <c r="F71" s="412"/>
      <c r="G71" s="412"/>
      <c r="H71" s="413"/>
    </row>
    <row r="72" spans="2:8" ht="15" customHeight="1" x14ac:dyDescent="0.25">
      <c r="B72" s="36"/>
      <c r="C72" s="360" t="s">
        <v>110</v>
      </c>
      <c r="D72" s="360"/>
      <c r="E72" s="360" t="s">
        <v>111</v>
      </c>
      <c r="F72" s="360"/>
      <c r="G72" s="360"/>
      <c r="H72" s="192" t="s">
        <v>2</v>
      </c>
    </row>
    <row r="73" spans="2:8" ht="15" customHeight="1" x14ac:dyDescent="0.25">
      <c r="B73" s="22" t="s">
        <v>3</v>
      </c>
      <c r="C73" s="364" t="s">
        <v>112</v>
      </c>
      <c r="D73" s="364"/>
      <c r="E73" s="364"/>
      <c r="F73" s="364"/>
      <c r="G73" s="364"/>
      <c r="H73" s="26"/>
    </row>
    <row r="74" spans="2:8" ht="15" customHeight="1" x14ac:dyDescent="0.25">
      <c r="B74" s="22" t="s">
        <v>113</v>
      </c>
      <c r="C74" s="365" t="s">
        <v>143</v>
      </c>
      <c r="D74" s="365"/>
      <c r="E74" s="365"/>
      <c r="F74" s="365"/>
      <c r="G74" s="365"/>
      <c r="H74" s="38">
        <f>H67</f>
        <v>7581.7574370922584</v>
      </c>
    </row>
    <row r="75" spans="2:8" ht="15" customHeight="1" x14ac:dyDescent="0.25">
      <c r="B75" s="22" t="s">
        <v>114</v>
      </c>
      <c r="C75" s="365" t="s">
        <v>144</v>
      </c>
      <c r="D75" s="365"/>
      <c r="E75" s="365"/>
      <c r="F75" s="365"/>
      <c r="G75" s="365"/>
      <c r="H75" s="38">
        <f>H68</f>
        <v>47985.841489816106</v>
      </c>
    </row>
    <row r="76" spans="2:8" ht="15" customHeight="1" x14ac:dyDescent="0.25">
      <c r="B76" s="22" t="s">
        <v>5</v>
      </c>
      <c r="C76" s="364" t="s">
        <v>115</v>
      </c>
      <c r="D76" s="364"/>
      <c r="E76" s="364"/>
      <c r="F76" s="364"/>
      <c r="G76" s="364"/>
      <c r="H76" s="38">
        <f>SUM(H74:H75)</f>
        <v>55567.598926908366</v>
      </c>
    </row>
    <row r="77" spans="2:8" ht="15.75" customHeight="1" thickBot="1" x14ac:dyDescent="0.3">
      <c r="B77" s="33" t="s">
        <v>7</v>
      </c>
      <c r="C77" s="347" t="s">
        <v>116</v>
      </c>
      <c r="D77" s="347"/>
      <c r="E77" s="347"/>
      <c r="F77" s="347"/>
      <c r="G77" s="347"/>
      <c r="H77" s="39">
        <f>H76*12 + 0.01</f>
        <v>666811.1971229004</v>
      </c>
    </row>
    <row r="78" spans="2:8" ht="8.25" customHeight="1" x14ac:dyDescent="0.25">
      <c r="B78" s="29"/>
      <c r="C78" s="34"/>
      <c r="D78" s="34"/>
      <c r="E78" s="34"/>
      <c r="F78" s="34"/>
      <c r="G78" s="34"/>
      <c r="H78" s="31"/>
    </row>
    <row r="79" spans="2:8" x14ac:dyDescent="0.25">
      <c r="B79" s="29"/>
      <c r="C79" s="34"/>
      <c r="D79" s="34"/>
      <c r="E79" s="414" t="s">
        <v>235</v>
      </c>
      <c r="F79" s="414"/>
      <c r="G79" s="204" t="s">
        <v>135</v>
      </c>
      <c r="H79" s="205">
        <f>H77-H55</f>
        <v>11296.915925802081</v>
      </c>
    </row>
    <row r="80" spans="2:8" x14ac:dyDescent="0.25">
      <c r="B80" s="29"/>
      <c r="C80" s="34"/>
      <c r="D80" s="34"/>
      <c r="E80" s="414"/>
      <c r="F80" s="414"/>
      <c r="G80" s="204" t="s">
        <v>137</v>
      </c>
      <c r="H80" s="205">
        <f>H79/12</f>
        <v>941.40966048350674</v>
      </c>
    </row>
    <row r="81" spans="2:8" x14ac:dyDescent="0.25">
      <c r="B81" s="29"/>
      <c r="C81" s="34"/>
      <c r="D81" s="34"/>
      <c r="E81" s="414"/>
      <c r="F81" s="414"/>
      <c r="G81" s="204" t="s">
        <v>136</v>
      </c>
      <c r="H81" s="205">
        <f>H80*9</f>
        <v>8472.6869443515607</v>
      </c>
    </row>
  </sheetData>
  <mergeCells count="73">
    <mergeCell ref="B71:H71"/>
    <mergeCell ref="C72:D72"/>
    <mergeCell ref="E72:G72"/>
    <mergeCell ref="B65:C65"/>
    <mergeCell ref="B69:G69"/>
    <mergeCell ref="B70:H70"/>
    <mergeCell ref="B66:C66"/>
    <mergeCell ref="B61:H61"/>
    <mergeCell ref="B62:H62"/>
    <mergeCell ref="B63:H63"/>
    <mergeCell ref="B64:E64"/>
    <mergeCell ref="F64:H64"/>
    <mergeCell ref="E79:F81"/>
    <mergeCell ref="C73:G73"/>
    <mergeCell ref="C74:G74"/>
    <mergeCell ref="C75:G75"/>
    <mergeCell ref="C76:G76"/>
    <mergeCell ref="C77:G77"/>
    <mergeCell ref="E57:F59"/>
    <mergeCell ref="G27:H27"/>
    <mergeCell ref="G28:H28"/>
    <mergeCell ref="G33:H33"/>
    <mergeCell ref="G34:H34"/>
    <mergeCell ref="B30:H30"/>
    <mergeCell ref="B31:H31"/>
    <mergeCell ref="G35:H35"/>
    <mergeCell ref="G36:H36"/>
    <mergeCell ref="G37:H37"/>
    <mergeCell ref="C34:E34"/>
    <mergeCell ref="C35:E35"/>
    <mergeCell ref="C36:E36"/>
    <mergeCell ref="C37:E37"/>
    <mergeCell ref="B47:G47"/>
    <mergeCell ref="B49:H49"/>
    <mergeCell ref="B2:H2"/>
    <mergeCell ref="B22:H22"/>
    <mergeCell ref="G25:H25"/>
    <mergeCell ref="C32:E32"/>
    <mergeCell ref="C33:E33"/>
    <mergeCell ref="D26:F26"/>
    <mergeCell ref="B25:C26"/>
    <mergeCell ref="F32:H32"/>
    <mergeCell ref="G26:H26"/>
    <mergeCell ref="B23:H23"/>
    <mergeCell ref="B24:H24"/>
    <mergeCell ref="C16:G16"/>
    <mergeCell ref="C17:G17"/>
    <mergeCell ref="C18:G18"/>
    <mergeCell ref="C19:G19"/>
    <mergeCell ref="B20:H20"/>
    <mergeCell ref="B3:H3"/>
    <mergeCell ref="B12:H12"/>
    <mergeCell ref="B13:H13"/>
    <mergeCell ref="C14:G14"/>
    <mergeCell ref="C15:G15"/>
    <mergeCell ref="B5:H5"/>
    <mergeCell ref="B6:C6"/>
    <mergeCell ref="B7:C7"/>
    <mergeCell ref="B10:G10"/>
    <mergeCell ref="C55:G55"/>
    <mergeCell ref="B39:H39"/>
    <mergeCell ref="B40:H40"/>
    <mergeCell ref="B42:H42"/>
    <mergeCell ref="B43:C43"/>
    <mergeCell ref="B44:C44"/>
    <mergeCell ref="E50:G50"/>
    <mergeCell ref="C50:D50"/>
    <mergeCell ref="B48:H48"/>
    <mergeCell ref="C51:G51"/>
    <mergeCell ref="C52:G52"/>
    <mergeCell ref="C53:G53"/>
    <mergeCell ref="B41:H41"/>
    <mergeCell ref="C54:G54"/>
  </mergeCells>
  <printOptions horizontalCentered="1"/>
  <pageMargins left="0.11811023622047245" right="0.11811023622047245" top="0.19685039370078741" bottom="0.19685039370078741" header="0.11811023622047245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Arquivista</vt:lpstr>
      <vt:lpstr>Assistente</vt:lpstr>
      <vt:lpstr>Resumo</vt:lpstr>
      <vt:lpstr>Arquivista!Area_de_impressao</vt:lpstr>
      <vt:lpstr>Assistente!Area_de_impressao</vt:lpstr>
      <vt:lpstr>Resumo!Area_de_impressao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matheus.lacerda</dc:creator>
  <cp:lastModifiedBy>Cleusa Costa de Jesus</cp:lastModifiedBy>
  <cp:lastPrinted>2016-11-15T15:10:05Z</cp:lastPrinted>
  <dcterms:created xsi:type="dcterms:W3CDTF">2016-11-14T21:17:29Z</dcterms:created>
  <dcterms:modified xsi:type="dcterms:W3CDTF">2020-03-09T19:36:01Z</dcterms:modified>
</cp:coreProperties>
</file>