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Z:\CLC 2025\3 - EDITAIS PUBLICADOS\PREGÕES 2025\PREGÃO 90260-2025 - VIGILÂNCIA\"/>
    </mc:Choice>
  </mc:AlternateContent>
  <xr:revisionPtr revIDLastSave="0" documentId="8_{80A1477F-FBF4-41B3-B250-CEC2590D0688}" xr6:coauthVersionLast="47" xr6:coauthVersionMax="47" xr10:uidLastSave="{00000000-0000-0000-0000-000000000000}"/>
  <bookViews>
    <workbookView xWindow="2730" yWindow="2730" windowWidth="21600" windowHeight="11385" tabRatio="1000" firstSheet="2" activeTab="7" xr2:uid="{00000000-000D-0000-FFFF-FFFF00000000}"/>
  </bookViews>
  <sheets>
    <sheet name=" Supervisor Diurno Desarmado" sheetId="40" r:id="rId1"/>
    <sheet name=" Vigilante Diurno Desarmado" sheetId="42" r:id="rId2"/>
    <sheet name="Vigilante Diurno 44 horas" sheetId="48" r:id="rId3"/>
    <sheet name=" Vigilante Noturno Desarmado" sheetId="43" r:id="rId4"/>
    <sheet name="Uniformes_Pesquisa" sheetId="25" r:id="rId5"/>
    <sheet name="Materiais Consumo_Consolidado" sheetId="45" r:id="rId6"/>
    <sheet name="Equips Básicos Consolidado" sheetId="46" r:id="rId7"/>
    <sheet name="RESUMO GERAL" sheetId="28" r:id="rId8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2" i="28" l="1"/>
  <c r="G33" i="28"/>
  <c r="G76" i="40"/>
  <c r="G76" i="43"/>
  <c r="G76" i="48"/>
  <c r="G76" i="42"/>
  <c r="K15" i="46"/>
  <c r="K14" i="46"/>
  <c r="K13" i="46"/>
  <c r="M14" i="45"/>
  <c r="N14" i="45" s="1"/>
  <c r="M16" i="45"/>
  <c r="N16" i="45" s="1"/>
  <c r="M15" i="45"/>
  <c r="N15" i="45" s="1"/>
  <c r="M13" i="45"/>
  <c r="N13" i="45" s="1"/>
  <c r="T22" i="25"/>
  <c r="T21" i="25"/>
  <c r="T20" i="25"/>
  <c r="T19" i="25"/>
  <c r="T18" i="25"/>
  <c r="T16" i="25"/>
  <c r="T15" i="25"/>
  <c r="T14" i="25"/>
  <c r="L15" i="46" l="1"/>
  <c r="L14" i="46"/>
  <c r="L13" i="46"/>
  <c r="L16" i="46" l="1"/>
  <c r="L17" i="46" s="1"/>
  <c r="C13" i="28" l="1"/>
  <c r="T17" i="25" l="1"/>
  <c r="H22" i="25" l="1"/>
  <c r="H21" i="25"/>
  <c r="H20" i="25"/>
  <c r="H19" i="25"/>
  <c r="H18" i="25"/>
  <c r="H17" i="25"/>
  <c r="H16" i="25"/>
  <c r="H15" i="25"/>
  <c r="H14" i="25"/>
  <c r="U15" i="25" l="1"/>
  <c r="C16" i="28" l="1"/>
  <c r="E16" i="28" s="1"/>
  <c r="C15" i="28"/>
  <c r="E15" i="28" s="1"/>
  <c r="G15" i="28" s="1"/>
  <c r="G74" i="48" l="1"/>
  <c r="C14" i="28" l="1"/>
  <c r="E14" i="28" s="1"/>
  <c r="E13" i="28"/>
  <c r="G13" i="28" s="1"/>
  <c r="B14" i="28"/>
  <c r="B24" i="28" s="1"/>
  <c r="B13" i="28"/>
  <c r="B15" i="28"/>
  <c r="E141" i="48"/>
  <c r="E140" i="48" s="1"/>
  <c r="E143" i="48" s="1"/>
  <c r="F110" i="48"/>
  <c r="F109" i="48"/>
  <c r="F108" i="48"/>
  <c r="F107" i="48"/>
  <c r="F106" i="48"/>
  <c r="F105" i="48"/>
  <c r="F95" i="48"/>
  <c r="F97" i="48" s="1"/>
  <c r="F92" i="48"/>
  <c r="F93" i="48" s="1"/>
  <c r="F66" i="48"/>
  <c r="F96" i="48" s="1"/>
  <c r="F50" i="48"/>
  <c r="F49" i="48"/>
  <c r="F43" i="48"/>
  <c r="G36" i="48"/>
  <c r="F31" i="48"/>
  <c r="F28" i="48"/>
  <c r="F14" i="48"/>
  <c r="G14" i="28" l="1"/>
  <c r="G24" i="28" s="1"/>
  <c r="G73" i="48"/>
  <c r="G79" i="48" s="1"/>
  <c r="G87" i="48" s="1"/>
  <c r="F111" i="48"/>
  <c r="G37" i="48"/>
  <c r="F51" i="48"/>
  <c r="G23" i="28"/>
  <c r="F124" i="48"/>
  <c r="G38" i="48"/>
  <c r="F112" i="48"/>
  <c r="F113" i="48" s="1"/>
  <c r="F94" i="48"/>
  <c r="F98" i="48"/>
  <c r="G39" i="48" l="1"/>
  <c r="G40" i="48" s="1"/>
  <c r="G43" i="48" l="1"/>
  <c r="G125" i="48" s="1"/>
  <c r="G49" i="48" l="1"/>
  <c r="G50" i="48"/>
  <c r="G149" i="48"/>
  <c r="H16" i="28"/>
  <c r="G51" i="48" l="1"/>
  <c r="G94" i="48" s="1"/>
  <c r="G110" i="48"/>
  <c r="G105" i="48"/>
  <c r="G92" i="48" l="1"/>
  <c r="G97" i="48"/>
  <c r="G109" i="48"/>
  <c r="G107" i="48"/>
  <c r="G95" i="48"/>
  <c r="G96" i="48"/>
  <c r="G112" i="48"/>
  <c r="G85" i="48"/>
  <c r="G93" i="48"/>
  <c r="G106" i="48"/>
  <c r="G108" i="48"/>
  <c r="G74" i="40"/>
  <c r="G74" i="42"/>
  <c r="G74" i="43"/>
  <c r="G98" i="48" l="1"/>
  <c r="G151" i="48" s="1"/>
  <c r="G111" i="48"/>
  <c r="G59" i="48" s="1"/>
  <c r="G61" i="48" l="1"/>
  <c r="G62" i="48"/>
  <c r="G60" i="48"/>
  <c r="G64" i="48"/>
  <c r="G65" i="48"/>
  <c r="G113" i="48"/>
  <c r="G58" i="48"/>
  <c r="G124" i="48"/>
  <c r="G126" i="48" s="1"/>
  <c r="G152" i="48" s="1"/>
  <c r="G63" i="48"/>
  <c r="E141" i="43"/>
  <c r="E141" i="42"/>
  <c r="E141" i="40"/>
  <c r="G66" i="48" l="1"/>
  <c r="G86" i="48" s="1"/>
  <c r="G88" i="48" s="1"/>
  <c r="G150" i="48" s="1"/>
  <c r="B16" i="28"/>
  <c r="B26" i="28" s="1"/>
  <c r="G132" i="48" l="1"/>
  <c r="N17" i="45"/>
  <c r="E140" i="43"/>
  <c r="E143" i="43" s="1"/>
  <c r="F110" i="43"/>
  <c r="F109" i="43"/>
  <c r="F108" i="43"/>
  <c r="F107" i="43"/>
  <c r="F106" i="43"/>
  <c r="F105" i="43"/>
  <c r="F95" i="43"/>
  <c r="F97" i="43" s="1"/>
  <c r="F92" i="43"/>
  <c r="F93" i="43" s="1"/>
  <c r="F66" i="43"/>
  <c r="F50" i="43"/>
  <c r="F49" i="43"/>
  <c r="F43" i="43"/>
  <c r="G36" i="43"/>
  <c r="F31" i="43"/>
  <c r="F28" i="43"/>
  <c r="F14" i="43"/>
  <c r="E140" i="42"/>
  <c r="E143" i="42" s="1"/>
  <c r="F110" i="42"/>
  <c r="F109" i="42"/>
  <c r="F108" i="42"/>
  <c r="F107" i="42"/>
  <c r="F106" i="42"/>
  <c r="F105" i="42"/>
  <c r="F95" i="42"/>
  <c r="F97" i="42" s="1"/>
  <c r="F92" i="42"/>
  <c r="F93" i="42" s="1"/>
  <c r="F66" i="42"/>
  <c r="F50" i="42"/>
  <c r="F49" i="42"/>
  <c r="F43" i="42"/>
  <c r="G36" i="42"/>
  <c r="G73" i="42" s="1"/>
  <c r="F31" i="42"/>
  <c r="F28" i="42"/>
  <c r="F14" i="42"/>
  <c r="G73" i="43" l="1"/>
  <c r="G39" i="43"/>
  <c r="G43" i="43"/>
  <c r="N18" i="45"/>
  <c r="G131" i="48" s="1"/>
  <c r="G132" i="43"/>
  <c r="G132" i="40"/>
  <c r="G132" i="42"/>
  <c r="G37" i="43"/>
  <c r="F96" i="43"/>
  <c r="G79" i="43"/>
  <c r="G87" i="43" s="1"/>
  <c r="F111" i="43"/>
  <c r="F124" i="43" s="1"/>
  <c r="G38" i="43"/>
  <c r="F51" i="43"/>
  <c r="F94" i="43"/>
  <c r="G79" i="42"/>
  <c r="G87" i="42" s="1"/>
  <c r="F51" i="42"/>
  <c r="F111" i="42"/>
  <c r="F112" i="42" s="1"/>
  <c r="G37" i="42"/>
  <c r="F94" i="42"/>
  <c r="F96" i="42"/>
  <c r="U16" i="25"/>
  <c r="U17" i="25"/>
  <c r="U18" i="25"/>
  <c r="U19" i="25"/>
  <c r="U20" i="25"/>
  <c r="U21" i="25"/>
  <c r="U22" i="25"/>
  <c r="U14" i="25"/>
  <c r="G131" i="42" l="1"/>
  <c r="G131" i="43"/>
  <c r="G131" i="40"/>
  <c r="U23" i="25"/>
  <c r="U24" i="25" s="1"/>
  <c r="F112" i="43"/>
  <c r="F113" i="43" s="1"/>
  <c r="F98" i="43"/>
  <c r="G125" i="43"/>
  <c r="F113" i="42"/>
  <c r="F124" i="42"/>
  <c r="G38" i="42"/>
  <c r="G39" i="42" s="1"/>
  <c r="G40" i="42" s="1"/>
  <c r="F98" i="42"/>
  <c r="U25" i="25" l="1"/>
  <c r="G130" i="48"/>
  <c r="G133" i="48" s="1"/>
  <c r="G130" i="42"/>
  <c r="G133" i="42" s="1"/>
  <c r="G153" i="42" s="1"/>
  <c r="G130" i="43"/>
  <c r="G133" i="43" s="1"/>
  <c r="G153" i="43" s="1"/>
  <c r="G130" i="40"/>
  <c r="G133" i="40" s="1"/>
  <c r="G153" i="40" s="1"/>
  <c r="G149" i="43"/>
  <c r="G50" i="43"/>
  <c r="G49" i="43"/>
  <c r="G43" i="42"/>
  <c r="G125" i="42" s="1"/>
  <c r="G153" i="48" l="1"/>
  <c r="G154" i="48" s="1"/>
  <c r="G138" i="48"/>
  <c r="G139" i="48" s="1"/>
  <c r="G51" i="43"/>
  <c r="G85" i="43" s="1"/>
  <c r="G149" i="42"/>
  <c r="G49" i="42"/>
  <c r="G50" i="42"/>
  <c r="G156" i="48" l="1"/>
  <c r="G92" i="43"/>
  <c r="G109" i="43"/>
  <c r="G96" i="43"/>
  <c r="G97" i="43"/>
  <c r="G112" i="43"/>
  <c r="G93" i="43"/>
  <c r="G107" i="43"/>
  <c r="G95" i="43"/>
  <c r="G106" i="43"/>
  <c r="G105" i="43"/>
  <c r="G110" i="43"/>
  <c r="G108" i="43"/>
  <c r="G94" i="43"/>
  <c r="G51" i="42"/>
  <c r="F106" i="40"/>
  <c r="F92" i="40"/>
  <c r="F50" i="40"/>
  <c r="F49" i="40"/>
  <c r="G141" i="48" l="1"/>
  <c r="G142" i="48"/>
  <c r="F51" i="40"/>
  <c r="G111" i="43"/>
  <c r="G113" i="43" s="1"/>
  <c r="G98" i="43"/>
  <c r="G151" i="43" s="1"/>
  <c r="G85" i="42"/>
  <c r="G105" i="42"/>
  <c r="G92" i="42"/>
  <c r="G97" i="42"/>
  <c r="G94" i="42"/>
  <c r="G95" i="42"/>
  <c r="G110" i="42"/>
  <c r="G93" i="42"/>
  <c r="G109" i="42"/>
  <c r="G108" i="42"/>
  <c r="G112" i="42"/>
  <c r="G107" i="42"/>
  <c r="G106" i="42"/>
  <c r="G96" i="42"/>
  <c r="G143" i="48" l="1"/>
  <c r="G155" i="48" s="1"/>
  <c r="G65" i="43"/>
  <c r="G64" i="43"/>
  <c r="G60" i="43"/>
  <c r="G62" i="43"/>
  <c r="G61" i="43"/>
  <c r="G124" i="43"/>
  <c r="G126" i="43" s="1"/>
  <c r="G152" i="43" s="1"/>
  <c r="G59" i="43"/>
  <c r="G58" i="43"/>
  <c r="G63" i="43"/>
  <c r="G98" i="42"/>
  <c r="G151" i="42" s="1"/>
  <c r="G111" i="42"/>
  <c r="G66" i="43" l="1"/>
  <c r="G86" i="43" s="1"/>
  <c r="G88" i="43" s="1"/>
  <c r="G113" i="42"/>
  <c r="G124" i="42"/>
  <c r="G126" i="42" s="1"/>
  <c r="G63" i="42"/>
  <c r="G65" i="42"/>
  <c r="G64" i="42"/>
  <c r="G60" i="42"/>
  <c r="G58" i="42"/>
  <c r="G62" i="42"/>
  <c r="G59" i="42"/>
  <c r="G61" i="42"/>
  <c r="E140" i="40"/>
  <c r="E143" i="40" s="1"/>
  <c r="F110" i="40"/>
  <c r="F109" i="40"/>
  <c r="F108" i="40"/>
  <c r="F107" i="40"/>
  <c r="F105" i="40"/>
  <c r="F95" i="40"/>
  <c r="F94" i="40"/>
  <c r="F93" i="40"/>
  <c r="F66" i="40"/>
  <c r="F43" i="40"/>
  <c r="G36" i="40"/>
  <c r="G73" i="40" s="1"/>
  <c r="F31" i="40"/>
  <c r="F28" i="40"/>
  <c r="F14" i="40"/>
  <c r="G152" i="42" l="1"/>
  <c r="G138" i="42"/>
  <c r="G138" i="43"/>
  <c r="G150" i="43"/>
  <c r="G154" i="43" s="1"/>
  <c r="G66" i="42"/>
  <c r="G86" i="42" s="1"/>
  <c r="G88" i="42" s="1"/>
  <c r="F96" i="40"/>
  <c r="G79" i="40"/>
  <c r="G87" i="40" s="1"/>
  <c r="G37" i="40"/>
  <c r="G38" i="40" s="1"/>
  <c r="G39" i="40" s="1"/>
  <c r="G40" i="40" s="1"/>
  <c r="F111" i="40"/>
  <c r="F97" i="40"/>
  <c r="G139" i="43" l="1"/>
  <c r="G156" i="43" s="1"/>
  <c r="F124" i="40"/>
  <c r="F112" i="40"/>
  <c r="G43" i="40"/>
  <c r="G150" i="42"/>
  <c r="G154" i="42" s="1"/>
  <c r="F98" i="40"/>
  <c r="G50" i="40" l="1"/>
  <c r="G125" i="40"/>
  <c r="G49" i="40"/>
  <c r="G51" i="40" s="1"/>
  <c r="G112" i="40" s="1"/>
  <c r="G149" i="40"/>
  <c r="F113" i="40"/>
  <c r="G141" i="43"/>
  <c r="G142" i="43"/>
  <c r="G139" i="42"/>
  <c r="G156" i="42" l="1"/>
  <c r="G142" i="42" s="1"/>
  <c r="G143" i="43"/>
  <c r="G155" i="43" s="1"/>
  <c r="G85" i="40"/>
  <c r="G109" i="40"/>
  <c r="G108" i="40"/>
  <c r="G96" i="40"/>
  <c r="G94" i="40"/>
  <c r="G110" i="40"/>
  <c r="G93" i="40"/>
  <c r="G107" i="40"/>
  <c r="G105" i="40"/>
  <c r="G106" i="40"/>
  <c r="G97" i="40"/>
  <c r="G92" i="40"/>
  <c r="G95" i="40"/>
  <c r="G141" i="42" l="1"/>
  <c r="G143" i="42" s="1"/>
  <c r="G155" i="42" s="1"/>
  <c r="G111" i="40"/>
  <c r="G98" i="40"/>
  <c r="G151" i="40" s="1"/>
  <c r="G61" i="40" l="1"/>
  <c r="G113" i="40"/>
  <c r="G62" i="40"/>
  <c r="G64" i="40"/>
  <c r="G59" i="40"/>
  <c r="G60" i="40"/>
  <c r="G65" i="40"/>
  <c r="G63" i="40"/>
  <c r="G124" i="40"/>
  <c r="G126" i="40" s="1"/>
  <c r="G152" i="40" s="1"/>
  <c r="G58" i="40"/>
  <c r="G66" i="40" l="1"/>
  <c r="G86" i="40" s="1"/>
  <c r="G88" i="40" s="1"/>
  <c r="G150" i="40" s="1"/>
  <c r="G154" i="40" s="1"/>
  <c r="B25" i="28" l="1"/>
  <c r="G138" i="40" l="1"/>
  <c r="G139" i="40" l="1"/>
  <c r="G156" i="40" s="1"/>
  <c r="H15" i="28" l="1"/>
  <c r="H17" i="28" s="1"/>
  <c r="G142" i="40" l="1"/>
  <c r="G141" i="40"/>
  <c r="B23" i="28"/>
  <c r="G143" i="40" l="1"/>
  <c r="G155" i="40" s="1"/>
  <c r="G16" i="28" l="1"/>
  <c r="G17" i="28" s="1"/>
  <c r="G26" i="28" l="1"/>
  <c r="G27" i="28"/>
  <c r="G28" i="28" s="1"/>
  <c r="G25" i="28" l="1"/>
  <c r="E33" i="28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Alvanir da Silva Carvalho</author>
    <author>gestor_seg</author>
  </authors>
  <commentList>
    <comment ref="H94" authorId="0" shapeId="0" xr:uid="{00000000-0006-0000-0000-000001000000}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 xr:uid="{00000000-0006-0000-0000-000002000000}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Alvanir da Silva Carvalho</author>
    <author>gestor_seg</author>
  </authors>
  <commentList>
    <comment ref="H94" authorId="0" shapeId="0" xr:uid="{00000000-0006-0000-0100-000001000000}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 xr:uid="{00000000-0006-0000-0100-000002000000}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gestor_seg</author>
  </authors>
  <commentList>
    <comment ref="F107" authorId="0" shapeId="0" xr:uid="{00000000-0006-0000-0200-000001000000}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Alvanir da Silva Carvalho</author>
    <author>gestor_seg</author>
  </authors>
  <commentList>
    <comment ref="H94" authorId="0" shapeId="0" xr:uid="{00000000-0006-0000-0300-000001000000}">
      <text>
        <r>
          <rPr>
            <b/>
            <sz val="8"/>
            <color indexed="81"/>
            <rFont val="Segoe UI"/>
            <family val="2"/>
          </rPr>
          <t>Alvanir da Silva Carvalho:</t>
        </r>
        <r>
          <rPr>
            <sz val="8"/>
            <color indexed="81"/>
            <rFont val="Segoe UI"/>
            <family val="2"/>
          </rPr>
          <t xml:space="preserve">
Referência 1</t>
        </r>
      </text>
    </comment>
    <comment ref="F107" authorId="1" shapeId="0" xr:uid="{00000000-0006-0000-0300-000002000000}">
      <text>
        <r>
          <rPr>
            <b/>
            <sz val="8"/>
            <color indexed="81"/>
            <rFont val="Tahoma"/>
            <family val="2"/>
          </rPr>
          <t xml:space="preserve">1,5% / 12 = 0,13%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<sst xmlns="http://schemas.openxmlformats.org/spreadsheetml/2006/main" count="1084" uniqueCount="276">
  <si>
    <t>MINISTÉRIO DE MINAS E ENERGIA</t>
  </si>
  <si>
    <t>Secretaria Executiva</t>
  </si>
  <si>
    <t>Subsecretaria de Planejamento, Orçamento e Administração</t>
  </si>
  <si>
    <t>Item</t>
  </si>
  <si>
    <t>Valor (R$)</t>
  </si>
  <si>
    <t>Total</t>
  </si>
  <si>
    <t>Un</t>
  </si>
  <si>
    <t>Dia ___/___/_____ às ___:___ horas</t>
  </si>
  <si>
    <t>DISCRIMINAÇÃO DOS SERVIÇOS (DADOS REFERENTES À CONTRATAÇÃO)</t>
  </si>
  <si>
    <t>A</t>
  </si>
  <si>
    <t xml:space="preserve">Data de apresentação da proposta (dia/mês/ano) </t>
  </si>
  <si>
    <t>B</t>
  </si>
  <si>
    <t xml:space="preserve">Município/UF </t>
  </si>
  <si>
    <t>Brasília/DF</t>
  </si>
  <si>
    <t>C</t>
  </si>
  <si>
    <t xml:space="preserve">Ano do Acordo, Convenção ou Dissídio Coletivo  </t>
  </si>
  <si>
    <t>D</t>
  </si>
  <si>
    <t>IDENTIFICAÇÃO DO SERVIÇO</t>
  </si>
  <si>
    <t>Tipo de Serviço</t>
  </si>
  <si>
    <t>Unidade de Medida</t>
  </si>
  <si>
    <t> Quantidade total a contratar          (em função da unidade de medida)</t>
  </si>
  <si>
    <t>Posto</t>
  </si>
  <si>
    <t>MÓDULOS</t>
  </si>
  <si>
    <t>Mão-de-obra vinculada à execução contratual</t>
  </si>
  <si>
    <t>Dados complementares para composição dos custos referente à mão-de-obra</t>
  </si>
  <si>
    <t>Tipo de serviço (mesmo serviço com características distintas)</t>
  </si>
  <si>
    <t>Classificação Brasileira de Ocupações (CBO)</t>
  </si>
  <si>
    <t>Categoria profissional (vinculada à execução contratual)</t>
  </si>
  <si>
    <t>Composição da Remuneração</t>
  </si>
  <si>
    <t>%</t>
  </si>
  <si>
    <t xml:space="preserve">Adicional  de Insalubridade </t>
  </si>
  <si>
    <t>Adicional Noturno</t>
  </si>
  <si>
    <t>E</t>
  </si>
  <si>
    <t>Adicional de Hora Noturna Reduzida</t>
  </si>
  <si>
    <t>F</t>
  </si>
  <si>
    <t>Total da Remuneração</t>
  </si>
  <si>
    <t>MÓDULO 2:   ENCARGOS E BENEFÍCIOS ANUAIS, MENSAIS E DIÁRIOS</t>
  </si>
  <si>
    <t>2.1</t>
  </si>
  <si>
    <t>Férias e Adicional de Férias</t>
  </si>
  <si>
    <t>Submódulo 2.2 - Encargos Previdenciários (GPS), Fundo de Garantia por Tempo de Serviço (FGTS) e outras contribuições</t>
  </si>
  <si>
    <t>2.2</t>
  </si>
  <si>
    <t>GPS, FGTS e outras contribuições</t>
  </si>
  <si>
    <t>Percentual (%)</t>
  </si>
  <si>
    <t>INSS</t>
  </si>
  <si>
    <t xml:space="preserve">Salário Educação </t>
  </si>
  <si>
    <t>SESC ou SESI</t>
  </si>
  <si>
    <t>SENAI ou SENAC</t>
  </si>
  <si>
    <t>SEBRAE</t>
  </si>
  <si>
    <t>G</t>
  </si>
  <si>
    <t>INCRA</t>
  </si>
  <si>
    <t>H</t>
  </si>
  <si>
    <t>FGTS</t>
  </si>
  <si>
    <t>Nota 3: Esses percentuais incidem sobre o Módulo 1, Submódulo 2.1 e no Modulo 4 - Custo de Reposição do Profissional Ausente</t>
  </si>
  <si>
    <t>Submódulo 2.3 - Benefícios Mensais e Diários</t>
  </si>
  <si>
    <t>2.3</t>
  </si>
  <si>
    <t>Benefícios Mensais e Diários</t>
  </si>
  <si>
    <t>QUADRO-RESUMO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</si>
  <si>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</si>
  <si>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</si>
  <si>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</si>
  <si>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MÓDULO 4 - CUSTO DE REPOSIÇÃO DO PROFISSIONAL AUSENTE</t>
  </si>
  <si>
    <t xml:space="preserve">Submódulo 4.1 - Substituto nas Ausências Legais </t>
  </si>
  <si>
    <t>4.1</t>
  </si>
  <si>
    <t>Substituto nas Ausências Legais</t>
  </si>
  <si>
    <t>Substituto na cobertura de Férias</t>
  </si>
  <si>
    <t xml:space="preserve">Submódulo 4.2 - Substituto na Intrajornada </t>
  </si>
  <si>
    <t>4.2</t>
  </si>
  <si>
    <t xml:space="preserve">Substituto na Intrajornada </t>
  </si>
  <si>
    <t>Substituto na cobertura de Intervalo para repouso ou alimentação</t>
  </si>
  <si>
    <t xml:space="preserve">QUADRO-RESUMO DO MÓDULO 4 - CUSTO DE REPOSIÇÃO DO PROFISSIONAL AUSENTE </t>
  </si>
  <si>
    <t>Custo de Reposição do Profissional Ausente</t>
  </si>
  <si>
    <t xml:space="preserve">Substituto nas Ausências Legais </t>
  </si>
  <si>
    <t>MÓDULO 5 - INSUMOS DIVERSOS</t>
  </si>
  <si>
    <t>Insumos Diversos</t>
  </si>
  <si>
    <t>MÓDULO 6 - CUSTOS INDIRETOS, TRIBUTOS E LUCRO</t>
  </si>
  <si>
    <t>Custos Indiretos, Tributos e Lucro</t>
  </si>
  <si>
    <t>Custos Indiretos</t>
  </si>
  <si>
    <t>Tributos</t>
  </si>
  <si>
    <t>2. QUADRO-RESUMO DO CUSTO POR EMPREGADO</t>
  </si>
  <si>
    <t>Mão-de-obra vinculada à execução contratual (valor por empregado)</t>
  </si>
  <si>
    <t>(R$)</t>
  </si>
  <si>
    <t>Valor total por empregado</t>
  </si>
  <si>
    <t>01 de janeiro</t>
  </si>
  <si>
    <t>Descrição</t>
  </si>
  <si>
    <t>SECRETARIA-EXECUTIVA</t>
  </si>
  <si>
    <t>SUBSECRETARIA DE PLANEJAMENTO, ORÇAMENTO E ADMINISTRAÇÃO</t>
  </si>
  <si>
    <t>COORDENAÇÃO-GERAL DE RECURSOS LOGÍSTICOS</t>
  </si>
  <si>
    <t>COORDENÇÃO DE ATIVIDADES GERAIS</t>
  </si>
  <si>
    <t>5103-05</t>
  </si>
  <si>
    <t>par</t>
  </si>
  <si>
    <t>un</t>
  </si>
  <si>
    <t>Anexo V - Quadro-resumo – VALOR MENSAL DOS SERVIÇOS</t>
  </si>
  <si>
    <t>Tipo de serviço</t>
  </si>
  <si>
    <t>Valor proposto por empregado</t>
  </si>
  <si>
    <t>Qtde de empregado por posto</t>
  </si>
  <si>
    <t>Valor proposto por posto</t>
  </si>
  <si>
    <t>Qtde de postos</t>
  </si>
  <si>
    <t>Valor total do serviço</t>
  </si>
  <si>
    <t>Qtde de empregado por tipo de serviço</t>
  </si>
  <si>
    <t>(A)</t>
  </si>
  <si>
    <t>(B)</t>
  </si>
  <si>
    <t>(C)</t>
  </si>
  <si>
    <t>(D) = (B x C)</t>
  </si>
  <si>
    <t>(E)</t>
  </si>
  <si>
    <t>(F) = (D x E)</t>
  </si>
  <si>
    <t>I</t>
  </si>
  <si>
    <t>II</t>
  </si>
  <si>
    <t>Anexo V - Quadro - demonstrativo - VALOR GLOBAL DA PROPOSTA</t>
  </si>
  <si>
    <t>Valor Global da Proposta</t>
  </si>
  <si>
    <t>Valor proposto por unidade de medida *</t>
  </si>
  <si>
    <t>A1</t>
  </si>
  <si>
    <t>A2</t>
  </si>
  <si>
    <t>Valor mensal do serviço</t>
  </si>
  <si>
    <t xml:space="preserve">ANEXO VII-D - Instrução Normativa nº 5/2017-SEGES/MPDG -  INSTRUÇÃO NORMATIVA Nº 7, DE 20 DE SETEMBRO DE 2018 - SEM DESONERAÇÃO DO INSS </t>
  </si>
  <si>
    <t>Total Anual</t>
  </si>
  <si>
    <t>Mensal  (R$)</t>
  </si>
  <si>
    <t>III</t>
  </si>
  <si>
    <t>Quantidade</t>
  </si>
  <si>
    <t xml:space="preserve">Adicional de Hora Extra                                                                                </t>
  </si>
  <si>
    <t>Vigilante Diurno Desarmado - 12/36 hs</t>
  </si>
  <si>
    <t>Vigilante Noturno Desarmado - 12/36 hs</t>
  </si>
  <si>
    <t>Em R$</t>
  </si>
  <si>
    <t>Especificações</t>
  </si>
  <si>
    <t xml:space="preserve">Quantidade/Funcionário </t>
  </si>
  <si>
    <t>Preço Total</t>
  </si>
  <si>
    <t>1º mês</t>
  </si>
  <si>
    <t>6º  mês</t>
  </si>
  <si>
    <t>Total Anual    Por Func.</t>
  </si>
  <si>
    <t>F1</t>
  </si>
  <si>
    <t>F2</t>
  </si>
  <si>
    <t>F3</t>
  </si>
  <si>
    <t>Gravata, em tecido 100% poliéster ou 100% seda, na cor preta, de boa qualidade.</t>
  </si>
  <si>
    <t>Par de sapatos, tipo esporte fino, com cadarço, de couro, solado de borracha, cor preta, de boa qualidade.</t>
  </si>
  <si>
    <t>Par de meias, de tecido 60% algodão, 39% poliamida e 1% elástano, cor preta, de boa qualidade.</t>
  </si>
  <si>
    <t>Cinto, tipo esporte fino, de couro e cor preta, de boa qualidade.</t>
  </si>
  <si>
    <t>TOTAL MENSAL/VIGILANTE/SUPERVISOR</t>
  </si>
  <si>
    <t>Mensal</t>
  </si>
  <si>
    <t>Livros para anotações de ocorrências, capa dura, contendo 100 folhas pautadas cada</t>
  </si>
  <si>
    <t>TOTAL GERAL ANUAL (VIGILANTE + SUPERVISOR)</t>
  </si>
  <si>
    <t>Qdade Anual</t>
  </si>
  <si>
    <t xml:space="preserve">Spray de defesa de gás pimenta, extra forte, frasco com 110 ml, previsão anual. </t>
  </si>
  <si>
    <t xml:space="preserve">Uniforme Supervisor e Vigilante Desarmados </t>
  </si>
  <si>
    <t>TOTAL GERAL ANUAL</t>
  </si>
  <si>
    <t>TOTAL ANUAL/VIGILANTE/SUPERVISOR</t>
  </si>
  <si>
    <t xml:space="preserve">PLANILHA DE CUSTO E FORMAÇÃO DE PREÇOS DE MÃO-DE-OBRA PARA A PRESTAÇÃO DE SERVIÇOS DE VIGILÂNCIA                                                                                                                                                               </t>
  </si>
  <si>
    <t>Materiais de Consumo</t>
  </si>
  <si>
    <t>Materiais e Equipamentos Básicos</t>
  </si>
  <si>
    <t xml:space="preserve">Materiais de Consumo </t>
  </si>
  <si>
    <t>Canetas esferográficas, com caixa com 50 unidades</t>
  </si>
  <si>
    <t>Cx</t>
  </si>
  <si>
    <t>Bloco de Rascunho tamanho oficio, 50 folhas, sem pauta</t>
  </si>
  <si>
    <t>Resma de Papel branco, com 100 folhas</t>
  </si>
  <si>
    <t xml:space="preserve">Equipamento Básicos para Desenvolvimento das Atividades </t>
  </si>
  <si>
    <t xml:space="preserve">Intervalo Intrajornada </t>
  </si>
  <si>
    <t>Contratação de empresa especializada para prestação de serviços de vigilância desarmada (de arma letal),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</si>
  <si>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r>
      <t xml:space="preserve">Aparelho de radiocomunicação, com níveis de potência ajustáveis, com alcance mínimo de 20 km na transmissão, nível profissional, acompanhado de baterias carregáveis e carregador ou </t>
    </r>
    <r>
      <rPr>
        <b/>
        <sz val="9"/>
        <rFont val="Calibri"/>
        <family val="2"/>
        <scheme val="minor"/>
      </rPr>
      <t>aluguel mensal junto a uma operadora.</t>
    </r>
  </si>
  <si>
    <t>Coordenação Geral de Recursos Logísticos/Coordenação de Atividades Gerais</t>
  </si>
  <si>
    <r>
      <t>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Processo: </t>
    </r>
  </si>
  <si>
    <r>
      <t>Licitação N</t>
    </r>
    <r>
      <rPr>
        <b/>
        <strike/>
        <sz val="8"/>
        <color rgb="FFFF0000"/>
        <rFont val="Calibri"/>
        <family val="2"/>
        <scheme val="minor"/>
      </rPr>
      <t>º</t>
    </r>
    <r>
      <rPr>
        <b/>
        <sz val="8"/>
        <color rgb="FFFF0000"/>
        <rFont val="Calibri"/>
        <family val="2"/>
        <scheme val="minor"/>
      </rPr>
      <t xml:space="preserve">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</si>
  <si>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</t>
    </r>
    <r>
      <rPr>
        <b/>
        <sz val="7"/>
        <color theme="1"/>
        <rFont val="Calibri"/>
        <family val="2"/>
        <scheme val="minor"/>
      </rPr>
      <t>Módulo 1</t>
    </r>
    <r>
      <rPr>
        <sz val="7"/>
        <color theme="1"/>
        <rFont val="Calibri"/>
        <family val="2"/>
        <scheme val="minor"/>
      </rPr>
      <t xml:space="preserve"> refere-se ao valor mensal devido ao empregado pela prestação do serviço no período de 12 meses. 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</si>
  <si>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O valor informado deverá ser o custo real do benefício (descontado o valor eventualmente pago pelo empregado).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</si>
  <si>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Observar a previsão dos benefícios contidos em Acordos, Convenções e Dissídios Coletivos de Trabalho e atentar-se ao disposto no art. 6º desta Instrução Normativa.</t>
    </r>
  </si>
  <si>
    <r>
      <t xml:space="preserve">Nota 1: </t>
    </r>
    <r>
      <rPr>
        <sz val="7"/>
        <color theme="1"/>
        <rFont val="Calibri"/>
        <family val="2"/>
        <scheme val="minor"/>
      </rPr>
      <t>Os itens que contemplam o</t>
    </r>
    <r>
      <rPr>
        <b/>
        <sz val="7"/>
        <color theme="1"/>
        <rFont val="Calibri"/>
        <family val="2"/>
        <scheme val="minor"/>
      </rPr>
      <t xml:space="preserve"> módulo 4 se referem ao custo dos dias trabalhados pelo repositor/substituto, quando </t>
    </r>
    <r>
      <rPr>
        <sz val="7"/>
        <color theme="1"/>
        <rFont val="Calibri"/>
        <family val="2"/>
        <scheme val="minor"/>
      </rPr>
      <t>o empregado</t>
    </r>
    <r>
      <rPr>
        <b/>
        <sz val="7"/>
        <color theme="1"/>
        <rFont val="Calibri"/>
        <family val="2"/>
        <scheme val="minor"/>
      </rPr>
      <t xml:space="preserve"> alocado na prestação de serviço estiver ausente, </t>
    </r>
    <r>
      <rPr>
        <sz val="7"/>
        <color theme="1"/>
        <rFont val="Calibri"/>
        <family val="2"/>
        <scheme val="minor"/>
      </rPr>
      <t>conforme as previsões estabelecidas na legislação.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</si>
  <si>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As alíneas “A” a “F” referem-se somente ao custo que será pago ao repositor pelos dias trabalhados quando da necessidade de substituir a mão de obra alocada na prestação do serviço.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</si>
  <si>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Quando houver a necessidade de reposição de um empregado durante sua ausência nos casos de intervalo para repouso ou alimentação deve-se contemplar o Submódulo 4.2.</t>
    </r>
  </si>
  <si>
    <r>
      <rPr>
        <b/>
        <sz val="7"/>
        <color theme="1"/>
        <rFont val="Calibri"/>
        <family val="2"/>
        <scheme val="minor"/>
      </rPr>
      <t xml:space="preserve">Nota: </t>
    </r>
    <r>
      <rPr>
        <sz val="7"/>
        <color theme="1"/>
        <rFont val="Calibri"/>
        <family val="2"/>
        <scheme val="minor"/>
      </rPr>
      <t>Valores mensais por empregado</t>
    </r>
  </si>
  <si>
    <r>
      <rPr>
        <b/>
        <sz val="7"/>
        <color theme="1"/>
        <rFont val="Calibri"/>
        <family val="2"/>
        <scheme val="minor"/>
      </rPr>
      <t xml:space="preserve">Nota 1: </t>
    </r>
    <r>
      <rPr>
        <sz val="7"/>
        <color theme="1"/>
        <rFont val="Calibri"/>
        <family val="2"/>
        <scheme val="minor"/>
      </rPr>
      <t>Custos Indiretos, Tributos e Lucro por empregado</t>
    </r>
  </si>
  <si>
    <r>
      <rPr>
        <b/>
        <sz val="7"/>
        <color theme="1"/>
        <rFont val="Calibri"/>
        <family val="2"/>
        <scheme val="minor"/>
      </rPr>
      <t xml:space="preserve">Nota 2: </t>
    </r>
    <r>
      <rPr>
        <sz val="7"/>
        <color theme="1"/>
        <rFont val="Calibri"/>
        <family val="2"/>
        <scheme val="minor"/>
      </rPr>
      <t>O valor referente a tributos é obtido aplicando-se o percentual sobre o valor do faturamento.</t>
    </r>
  </si>
  <si>
    <r>
      <rPr>
        <b/>
        <sz val="7"/>
        <color theme="1"/>
        <rFont val="Calibri"/>
        <family val="2"/>
        <scheme val="minor"/>
      </rPr>
      <t>Nota 1:</t>
    </r>
    <r>
      <rPr>
        <sz val="7"/>
        <color theme="1"/>
        <rFont val="Calibri"/>
        <family val="2"/>
        <scheme val="minor"/>
      </rPr>
      <t xml:space="preserve"> Esta tabela poderá ser adaptada às características do serviço contratado, inclusive no que concerne às rubricas e suas respectivas provisões e/ou estimativas, desde que haja justificativa.</t>
    </r>
  </si>
  <si>
    <r>
      <rPr>
        <b/>
        <sz val="7"/>
        <color theme="1"/>
        <rFont val="Calibri"/>
        <family val="2"/>
        <scheme val="minor"/>
      </rPr>
      <t>Nota 2:</t>
    </r>
    <r>
      <rPr>
        <sz val="7"/>
        <color theme="1"/>
        <rFont val="Calibri"/>
        <family val="2"/>
        <scheme val="minor"/>
      </rPr>
      <t xml:space="preserve"> As provisões constantes desta planilha poderão ser desnecessárias quando se tratar de determinados serviços que prescindam da dedicação exclusiva dos trabalhadores da contratada para com a Administração.</t>
    </r>
  </si>
  <si>
    <r>
      <t> </t>
    </r>
    <r>
      <rPr>
        <b/>
        <sz val="8"/>
        <color theme="1"/>
        <rFont val="Calibri"/>
        <family val="2"/>
        <scheme val="minor"/>
      </rPr>
      <t>MÓDULO 1 :   COMPOSIÇÃO DA REMUNERAÇÃO</t>
    </r>
  </si>
  <si>
    <r>
      <rPr>
        <b/>
        <sz val="8"/>
        <color theme="1"/>
        <rFont val="Calibri"/>
        <family val="2"/>
        <scheme val="minor"/>
      </rPr>
      <t>Módulo 1</t>
    </r>
    <r>
      <rPr>
        <sz val="8"/>
        <color theme="1"/>
        <rFont val="Calibri"/>
        <family val="2"/>
        <scheme val="minor"/>
      </rPr>
      <t xml:space="preserve"> – Composição da Remuneração</t>
    </r>
  </si>
  <si>
    <r>
      <rPr>
        <b/>
        <sz val="8"/>
        <color theme="1"/>
        <rFont val="Calibri"/>
        <family val="2"/>
        <scheme val="minor"/>
      </rPr>
      <t xml:space="preserve">Módulo 2 </t>
    </r>
    <r>
      <rPr>
        <sz val="8"/>
        <color theme="1"/>
        <rFont val="Calibri"/>
        <family val="2"/>
        <scheme val="minor"/>
      </rPr>
      <t>– Encargos e Benefícios Anuais, Mensais e Diários</t>
    </r>
  </si>
  <si>
    <r>
      <rPr>
        <b/>
        <sz val="8"/>
        <color theme="1"/>
        <rFont val="Calibri"/>
        <family val="2"/>
        <scheme val="minor"/>
      </rPr>
      <t>Módulo 3</t>
    </r>
    <r>
      <rPr>
        <sz val="8"/>
        <color theme="1"/>
        <rFont val="Calibri"/>
        <family val="2"/>
        <scheme val="minor"/>
      </rPr>
      <t xml:space="preserve"> – Provisão para Rescisão</t>
    </r>
  </si>
  <si>
    <r>
      <rPr>
        <b/>
        <sz val="8"/>
        <color theme="1"/>
        <rFont val="Calibri"/>
        <family val="2"/>
        <scheme val="minor"/>
      </rPr>
      <t>Módulo 4</t>
    </r>
    <r>
      <rPr>
        <sz val="8"/>
        <color theme="1"/>
        <rFont val="Calibri"/>
        <family val="2"/>
        <scheme val="minor"/>
      </rPr>
      <t xml:space="preserve"> – Custo de Reposição do Profissional Ausente</t>
    </r>
  </si>
  <si>
    <r>
      <rPr>
        <b/>
        <sz val="8"/>
        <color theme="1"/>
        <rFont val="Calibri"/>
        <family val="2"/>
        <scheme val="minor"/>
      </rPr>
      <t xml:space="preserve">Módulo 5 </t>
    </r>
    <r>
      <rPr>
        <sz val="8"/>
        <color theme="1"/>
        <rFont val="Calibri"/>
        <family val="2"/>
        <scheme val="minor"/>
      </rPr>
      <t>- Insumos Diversos</t>
    </r>
  </si>
  <si>
    <r>
      <rPr>
        <b/>
        <sz val="8"/>
        <color theme="1"/>
        <rFont val="Calibri"/>
        <family val="2"/>
        <scheme val="minor"/>
      </rPr>
      <t>Módulo 6</t>
    </r>
    <r>
      <rPr>
        <sz val="8"/>
        <color theme="1"/>
        <rFont val="Calibri"/>
        <family val="2"/>
        <scheme val="minor"/>
      </rPr>
      <t xml:space="preserve"> – Custos Indiretos, Tributos e Lucro</t>
    </r>
  </si>
  <si>
    <t xml:space="preserve">ANEXO VII-D - Inst. Normativa nº 5/2017-SEGES/MPDG -  INST. NORMATIVA Nº 7, DE 20.SETEMBRO/2018 - SEM DESONERAÇÃO DO INSS </t>
  </si>
  <si>
    <r>
      <rPr>
        <b/>
        <sz val="8"/>
        <color theme="1"/>
        <rFont val="Calibri"/>
        <family val="2"/>
        <scheme val="minor"/>
      </rPr>
      <t xml:space="preserve">Lucro </t>
    </r>
    <r>
      <rPr>
        <sz val="8"/>
        <color theme="1"/>
        <rFont val="Calibri"/>
        <family val="2"/>
        <scheme val="minor"/>
      </rPr>
      <t xml:space="preserve"> (Estudo TCU - TC 025.990/2008-2) </t>
    </r>
  </si>
  <si>
    <r>
      <t>N</t>
    </r>
    <r>
      <rPr>
        <b/>
        <strike/>
        <sz val="8"/>
        <color theme="1"/>
        <rFont val="Calibri"/>
        <family val="2"/>
        <scheme val="minor"/>
      </rPr>
      <t>º</t>
    </r>
    <r>
      <rPr>
        <b/>
        <sz val="8"/>
        <color theme="1"/>
        <rFont val="Calibri"/>
        <family val="2"/>
        <scheme val="minor"/>
      </rPr>
      <t xml:space="preserve"> de meses de execução contratual</t>
    </r>
  </si>
  <si>
    <t>13º (Décimo Terceiro) Salário</t>
  </si>
  <si>
    <t>13º (Décimo Terceiro) Salário, Férias e Adicional de Férias</t>
  </si>
  <si>
    <t>Subtotal (A + B + C+ D + E)</t>
  </si>
  <si>
    <r>
      <rPr>
        <b/>
        <sz val="8"/>
        <color theme="1"/>
        <rFont val="Calibri"/>
        <family val="2"/>
        <scheme val="minor"/>
      </rPr>
      <t>Aviso Prévio Trabalhado</t>
    </r>
    <r>
      <rPr>
        <sz val="8"/>
        <color theme="1"/>
        <rFont val="Calibri"/>
        <family val="2"/>
        <scheme val="minor"/>
      </rPr>
      <t xml:space="preserve">   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 </t>
    </r>
    <r>
      <rPr>
        <i/>
        <sz val="7"/>
        <color theme="1"/>
        <rFont val="Calibri"/>
        <family val="2"/>
        <scheme val="min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</si>
  <si>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8"/>
        <color theme="1"/>
        <rFont val="Calibri"/>
        <family val="2"/>
        <scheme val="minor"/>
      </rPr>
      <t>Multa do FGTS sobre o Aviso Prévio Trabalhado</t>
    </r>
    <r>
      <rPr>
        <b/>
        <i/>
        <sz val="8"/>
        <color rgb="FFFF0000"/>
        <rFont val="Calibri"/>
        <family val="2"/>
        <scheme val="minor"/>
      </rPr>
      <t xml:space="preserve"> </t>
    </r>
    <r>
      <rPr>
        <b/>
        <i/>
        <sz val="7"/>
        <color rgb="FFFF0000"/>
        <rFont val="Calibri"/>
        <family val="2"/>
        <scheme val="minor"/>
      </rPr>
      <t>(40% x 1,944%)</t>
    </r>
  </si>
  <si>
    <r>
      <rPr>
        <b/>
        <sz val="8"/>
        <color theme="1"/>
        <rFont val="Calibri"/>
        <family val="2"/>
        <scheme val="minor"/>
      </rPr>
      <t>Substituto na cobertura de Ausências Legais</t>
    </r>
    <r>
      <rPr>
        <b/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- uma/ano) = (1/12)/30</t>
    </r>
  </si>
  <si>
    <r>
      <rPr>
        <b/>
        <sz val="8"/>
        <color theme="1"/>
        <rFont val="Calibri"/>
        <family val="2"/>
        <scheme val="minor"/>
      </rPr>
      <t>Substituto na cobertura de Licença-Paternidade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(Estatística 1,5 % trabalhadores/ano)</t>
    </r>
  </si>
  <si>
    <r>
      <rPr>
        <b/>
        <sz val="8"/>
        <color theme="1"/>
        <rFont val="Calibri"/>
        <family val="2"/>
        <scheme val="minor"/>
      </rPr>
      <t xml:space="preserve">Substituto na cobertura de Ausência por Acidente de Trabalho     </t>
    </r>
    <r>
      <rPr>
        <b/>
        <sz val="9"/>
        <color theme="1"/>
        <rFont val="Calibri"/>
        <family val="2"/>
        <scheme val="minor"/>
      </rPr>
      <t xml:space="preserve">                                                   </t>
    </r>
    <r>
      <rPr>
        <b/>
        <sz val="7"/>
        <color theme="1"/>
        <rFont val="Calibri"/>
        <family val="2"/>
        <scheme val="minor"/>
      </rPr>
      <t xml:space="preserve">     </t>
    </r>
    <r>
      <rPr>
        <sz val="7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 xml:space="preserve">    (estatística IBGE - 8% por ano - 15 dias pagos pela empresa) = [(8%)/12]/2</t>
    </r>
  </si>
  <si>
    <r>
      <rPr>
        <b/>
        <sz val="8"/>
        <color theme="1"/>
        <rFont val="Calibri"/>
        <family val="2"/>
        <scheme val="minor"/>
      </rPr>
      <t xml:space="preserve">Substituto na cobertura de Afastamento Maternidade     </t>
    </r>
    <r>
      <rPr>
        <b/>
        <sz val="9"/>
        <color theme="1"/>
        <rFont val="Calibri"/>
        <family val="2"/>
        <scheme val="minor"/>
      </rPr>
      <t xml:space="preserve">      </t>
    </r>
    <r>
      <rPr>
        <sz val="9"/>
        <color theme="1"/>
        <rFont val="Calibri"/>
        <family val="2"/>
        <scheme val="minor"/>
      </rPr>
      <t xml:space="preserve">                                                                          </t>
    </r>
    <r>
      <rPr>
        <sz val="7"/>
        <color theme="1"/>
        <rFont val="Calibri"/>
        <family val="2"/>
        <scheme val="minor"/>
      </rPr>
      <t xml:space="preserve">  (Estatística 1,5 % trabalhadoras/ano) = (1,5%)/12 - (*) há uma orientação do Comitê Permanente Para as Questões de Gênero, Raça e Diversidade do MME e Entidades Vinculadas de que haja vigilante do sexo feminino</t>
    </r>
  </si>
  <si>
    <r>
      <rPr>
        <b/>
        <sz val="8"/>
        <color theme="1"/>
        <rFont val="Calibri"/>
        <family val="2"/>
        <scheme val="minor"/>
      </rPr>
      <t>Substituto na cobertura de Outras ausências</t>
    </r>
    <r>
      <rPr>
        <i/>
        <sz val="7"/>
        <color theme="1"/>
        <rFont val="Calibri"/>
        <family val="2"/>
        <scheme val="minor"/>
      </rPr>
      <t xml:space="preserve"> (5 ausencias/por ano)= (5/12)/30</t>
    </r>
  </si>
  <si>
    <r>
      <rPr>
        <b/>
        <sz val="8"/>
        <color theme="1"/>
        <rFont val="Calibri"/>
        <family val="2"/>
        <scheme val="minor"/>
      </rPr>
      <t>C.2.</t>
    </r>
    <r>
      <rPr>
        <sz val="8"/>
        <color theme="1"/>
        <rFont val="Calibri"/>
        <family val="2"/>
        <scheme val="minor"/>
      </rPr>
      <t xml:space="preserve"> Tributos Estaduais  - </t>
    </r>
    <r>
      <rPr>
        <b/>
        <sz val="8"/>
        <color theme="1"/>
        <rFont val="Calibri"/>
        <family val="2"/>
        <scheme val="minor"/>
      </rPr>
      <t>ISS (5%) (Distrito Federal)</t>
    </r>
  </si>
  <si>
    <r>
      <rPr>
        <b/>
        <sz val="8"/>
        <color theme="1"/>
        <rFont val="Calibri"/>
        <family val="2"/>
        <scheme val="minor"/>
      </rPr>
      <t>Incidência dos encargos do Submódulo 2.2 sobre o Aviso Prévio Trabalhado  -</t>
    </r>
    <r>
      <rPr>
        <sz val="8"/>
        <color theme="1"/>
        <rFont val="Calibri"/>
        <family val="2"/>
        <scheme val="minor"/>
      </rPr>
      <t xml:space="preserve">  </t>
    </r>
    <r>
      <rPr>
        <i/>
        <sz val="7"/>
        <color theme="1"/>
        <rFont val="Calibri"/>
        <family val="2"/>
        <scheme val="minor"/>
      </rPr>
      <t xml:space="preserve"> </t>
    </r>
    <r>
      <rPr>
        <b/>
        <i/>
        <sz val="7"/>
        <color rgb="FFFF0000"/>
        <rFont val="Calibri"/>
        <family val="2"/>
        <scheme val="minor"/>
      </rPr>
      <t xml:space="preserve">(36,8% x 1,944%) </t>
    </r>
  </si>
  <si>
    <r>
      <rPr>
        <b/>
        <sz val="9"/>
        <rFont val="Calibri"/>
        <family val="2"/>
        <scheme val="minor"/>
      </rPr>
      <t xml:space="preserve">Nota (1): </t>
    </r>
    <r>
      <rPr>
        <sz val="9"/>
        <rFont val="Calibri"/>
        <family val="2"/>
        <scheme val="minor"/>
      </rPr>
      <t>Informar o valor da unidade de medida por tipo de serviço.</t>
    </r>
  </si>
  <si>
    <r>
      <t xml:space="preserve">Salário Normativo da Categoria Profissional                                                                                                    </t>
    </r>
    <r>
      <rPr>
        <b/>
        <sz val="7"/>
        <color theme="1"/>
        <rFont val="Calibri"/>
        <family val="2"/>
        <scheme val="minor"/>
      </rPr>
      <t xml:space="preserve">  </t>
    </r>
  </si>
  <si>
    <t>Supervisor Desarmado Diurno - 44 hs/semana</t>
  </si>
  <si>
    <t xml:space="preserve">AUXÍLIO SAÚDE - CLÁUSULA DÉCIMA QUARTA - PLANO DE SAÚDE </t>
  </si>
  <si>
    <t>AUXÍLIO ODONTOLÓGICO - CLÁUSULA DÉCIMA SEXTA</t>
  </si>
  <si>
    <r>
      <t xml:space="preserve">FUNDO PARA INDENIZAÇÃO DECORRENTE DE APOSENTADORIA POR INVALIDEZ POR DOENÇA - </t>
    </r>
    <r>
      <rPr>
        <b/>
        <sz val="8"/>
        <rFont val="Calibri"/>
        <family val="2"/>
        <scheme val="minor"/>
      </rPr>
      <t xml:space="preserve">CLÁUSULA DÉCIMA SÉTIMA </t>
    </r>
  </si>
  <si>
    <r>
      <t xml:space="preserve">Adicional de Periculosidade   -  </t>
    </r>
    <r>
      <rPr>
        <b/>
        <sz val="7"/>
        <color theme="1"/>
        <rFont val="Calibri"/>
        <family val="2"/>
        <scheme val="minor"/>
      </rPr>
      <t xml:space="preserve"> CLAUSULA QUARTA  (Lei nº 12.740/2012)         </t>
    </r>
    <r>
      <rPr>
        <b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             </t>
    </r>
  </si>
  <si>
    <t>Salário Base - 44 hs/semana</t>
  </si>
  <si>
    <r>
      <t xml:space="preserve">SAT - Seguro de Acidente do Trabalho ou RAT - Risco Ambiental do Trabalho </t>
    </r>
    <r>
      <rPr>
        <b/>
        <sz val="7"/>
        <color theme="1"/>
        <rFont val="Calibri"/>
        <family val="2"/>
        <scheme val="minor"/>
      </rPr>
      <t>(deverá ser ajustado conforme o FAP - Fator Acidentário de Prevenção - multiplicador calculado a partir do grau de acidentalidade na empresa, conforme a Lei nº 10.666 de maio de 2003)</t>
    </r>
  </si>
  <si>
    <r>
      <rPr>
        <b/>
        <sz val="8"/>
        <color theme="1"/>
        <rFont val="Calibri"/>
        <family val="2"/>
        <scheme val="minor"/>
      </rPr>
      <t xml:space="preserve">Uniformes - </t>
    </r>
    <r>
      <rPr>
        <b/>
        <sz val="7"/>
        <rFont val="Calibri"/>
        <family val="2"/>
        <scheme val="minor"/>
      </rPr>
      <t>CLÁUSULA QUADRAGÉSIMA SEXTA - USO E FORNECIMENTO DO UNIFORME</t>
    </r>
  </si>
  <si>
    <t>Salário Base - 36 hs/semana</t>
  </si>
  <si>
    <t>Contratação de empresa especializada para prestação de serviços de vigilância desarmada, patrimonial, diuturnamente (períodos diurno e noturno), de forma contínua, com dedicação exclusiva de mão de obra, com a disponibilização da mão-de-obra das categorias de vigilante e supervisor, em lote único, com fornecimento dos materiais acessórios, para atender as necessidades do Ministério de Minas e Energia, sediado no Bloco “U” da Esplanada dos Ministérios, em Brasília/DF.</t>
  </si>
  <si>
    <t>13º (décimo terceiro) Salário, Férias e Adicional de Férias</t>
  </si>
  <si>
    <t>Submódulo 2.1 - 13º (décimo terceiro) Salário, Férias e Adicional de Férias</t>
  </si>
  <si>
    <t>Nota 2: O adicional de férias contido no Submódulo 2.1 corresponde a 1/3 (um terço) da remuneração que por sua vez é dividido por 11 (onze) conforme Nota 1 acima</t>
  </si>
  <si>
    <t>Nota 1: Como a planilha de custos e formação de preços é calculada mensalmente, provisiona-se proporcionalmente 1/12 (um doze avos) dos valores referentes a gratificação natalina(13º salário), e 1/11 (um onze avos) para férias e adicional de férias, que serão os valores a serem provisionados na conta vinculada conforme a IN 5/2018.</t>
  </si>
  <si>
    <r>
      <rPr>
        <b/>
        <sz val="8"/>
        <color theme="1"/>
        <rFont val="Calibri"/>
        <family val="2"/>
        <scheme val="minor"/>
      </rPr>
      <t xml:space="preserve">Aviso Prévio Indenizado
</t>
    </r>
    <r>
      <rPr>
        <i/>
        <sz val="7"/>
        <color theme="1"/>
        <rFont val="Calibri"/>
        <family val="2"/>
        <scheme val="minor"/>
      </rPr>
      <t>(Estatistica: 5,5% dos empregados serão substituídos durante um ano)  - [(5,5%)/12] = 0,46%   art. 487 CLT - Sumula 305/TST, Ac.2.271/2010-TCU,  Lei nº 12506/2011.
1 salário integral x (1 mês não trabalhado / 12 meses) x 5,5% estatística = 0,46%</t>
    </r>
  </si>
  <si>
    <r>
      <rPr>
        <b/>
        <sz val="8"/>
        <color theme="1"/>
        <rFont val="Calibri"/>
        <family val="2"/>
        <scheme val="minor"/>
      </rPr>
      <t>Incidência do FGTS sobre o Aviso Prévio Indenizado</t>
    </r>
    <r>
      <rPr>
        <b/>
        <sz val="9"/>
        <color theme="1"/>
        <rFont val="Calibri"/>
        <family val="2"/>
        <scheme val="minor"/>
      </rPr>
      <t xml:space="preserve"> </t>
    </r>
    <r>
      <rPr>
        <i/>
        <sz val="7"/>
        <color theme="1"/>
        <rFont val="Calibri"/>
        <family val="2"/>
        <scheme val="minor"/>
      </rPr>
      <t>(8% x 0,46%)</t>
    </r>
  </si>
  <si>
    <r>
      <rPr>
        <b/>
        <sz val="8"/>
        <color theme="1"/>
        <rFont val="Calibri"/>
        <family val="2"/>
        <scheme val="minor"/>
      </rPr>
      <t xml:space="preserve">Multa do FGTS sobre o Aviso Prévio Indenizado 
</t>
    </r>
    <r>
      <rPr>
        <sz val="7"/>
        <color theme="1"/>
        <rFont val="Calibri"/>
        <family val="2"/>
        <scheme val="minor"/>
      </rPr>
      <t>(</t>
    </r>
    <r>
      <rPr>
        <i/>
        <sz val="7"/>
        <color theme="1"/>
        <rFont val="Calibri"/>
        <family val="2"/>
        <scheme val="minor"/>
      </rPr>
      <t>multa de 40% sobre FGTS ) x Aviso Prévio Indenizado (0,46%) =  (0,46%)*0,40  =  0,183%  (Art. 18, § 1º da Lei nº 8.036/90,Art. 1º da Lei Complementar nº 110/2001)</t>
    </r>
  </si>
  <si>
    <t>Incidência dos encargos do Submódulo 2.2</t>
  </si>
  <si>
    <t>Sub Total</t>
  </si>
  <si>
    <t>Capa de chuva</t>
  </si>
  <si>
    <t>Crachá de identificação</t>
  </si>
  <si>
    <t>Camisa, manga longa/curta, em estilo social em tecido, gola com entretela, 65% poliéster e 35% algodão, cor azul clara ou branca, de boa qualidade.</t>
  </si>
  <si>
    <t>Painel de Preços (R$)</t>
  </si>
  <si>
    <t>Preço Unitário (R$)</t>
  </si>
  <si>
    <t>Preço Unit. Médio (R$)</t>
  </si>
  <si>
    <t>Preço Unit. Médio (R$</t>
  </si>
  <si>
    <t>Lanternas Vigilight ou similar, de mão, tipo farolete, com lâmpada LED  tensão de carregador 110 V/220V, peso Maximo de 3,6 Kg.</t>
  </si>
  <si>
    <t>Internet</t>
  </si>
  <si>
    <t xml:space="preserve">A </t>
  </si>
  <si>
    <t>DATAPREV</t>
  </si>
  <si>
    <t>CFM</t>
  </si>
  <si>
    <t>Paletó, na cor preta, 55% poliéster, 45% lã leve fina, em tecido tipo microfibra, forrado internamente, inclusive na manga, de boa qualidade.</t>
  </si>
  <si>
    <t>Calça social, na cor preta, 55% poliéster, 45% lã leve fina, em tecido tipo microfibra, forrado internamente no cós, de boa qualidade.</t>
  </si>
  <si>
    <t>IFSP - São Carlos - Pregão  5330 /2023</t>
  </si>
  <si>
    <t xml:space="preserve">D </t>
  </si>
  <si>
    <t xml:space="preserve"> Instituto Federal de Educação - Bragança Paulista</t>
  </si>
  <si>
    <r>
      <t>Data base da categoria (dia/mês/ano)  -</t>
    </r>
    <r>
      <rPr>
        <b/>
        <sz val="10"/>
        <rFont val="Calibri"/>
        <family val="2"/>
        <scheme val="minor"/>
      </rPr>
      <t xml:space="preserve"> </t>
    </r>
    <r>
      <rPr>
        <b/>
        <sz val="8"/>
        <rFont val="Calibri"/>
        <family val="2"/>
        <scheme val="minor"/>
      </rPr>
      <t>Vigência   01/01/2024 a 31/12/2027 e a data-base da categoria em 1º de janeiro.</t>
    </r>
  </si>
  <si>
    <t>Valor global da proposta (valor mensal do serviço x 36 meses do contrato).</t>
  </si>
  <si>
    <t>PLANILHA DE CUSTOS E FORMAÇÃO DE PREÇOS DE SERVIÇOS PARA A PRESTAÇÃO DE SERVIÇOS DE VIGILÂNCIA 2023- IN 5/2017-SEGES/MPOG</t>
  </si>
  <si>
    <t xml:space="preserve">VALOR GLOBAL TOTAL DOS SERVIÇOS </t>
  </si>
  <si>
    <t>36 Meses (R$)</t>
  </si>
  <si>
    <t>Serviços de Vigilância</t>
  </si>
  <si>
    <t>Preço Unitário Médio Pesquisado</t>
  </si>
  <si>
    <r>
      <rPr>
        <b/>
        <sz val="8"/>
        <color theme="1"/>
        <rFont val="Calibri"/>
        <family val="2"/>
        <scheme val="minor"/>
      </rPr>
      <t>C.1.</t>
    </r>
    <r>
      <rPr>
        <sz val="8"/>
        <color theme="1"/>
        <rFont val="Calibri"/>
        <family val="2"/>
        <scheme val="minor"/>
      </rPr>
      <t xml:space="preserve"> Tributos Federais - </t>
    </r>
    <r>
      <rPr>
        <b/>
        <sz val="8"/>
        <color theme="1"/>
        <rFont val="Calibri"/>
        <family val="2"/>
        <scheme val="minor"/>
      </rPr>
      <t xml:space="preserve">PIS (0,65% ) + COFINS (3,0) </t>
    </r>
  </si>
  <si>
    <r>
      <t xml:space="preserve">Adicional Noturno - regime de 12/36 hs.
</t>
    </r>
    <r>
      <rPr>
        <b/>
        <i/>
        <sz val="7"/>
        <color theme="1"/>
        <rFont val="Calibri"/>
        <family val="2"/>
        <scheme val="minor"/>
      </rPr>
      <t>((Coeficiente de Conversão Hora Noturna (1,142857) x Qtd.horas (7:00hs = 22:00 às 5:00 hs) x (Valor Hora = (Salário Base + Ad. Peric)/220 hs x (alíquota adic not = 20%) x (qtd.dias = 15,5)) - CLÁUSULA DÉCIMA - ADICIONAL NOTURNO NA ESCALA 12X36hs</t>
    </r>
  </si>
  <si>
    <r>
      <t xml:space="preserve">AUXÍLIO TRANSPORTE  - CLÁUSULA DÉCIMA TERCEIRA - VALE-TRANSPORTE         </t>
    </r>
    <r>
      <rPr>
        <b/>
        <i/>
        <sz val="8"/>
        <color rgb="FFFF0000"/>
        <rFont val="Calibri"/>
        <family val="2"/>
        <scheme val="minor"/>
      </rPr>
      <t xml:space="preserve">         </t>
    </r>
    <r>
      <rPr>
        <b/>
        <i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</t>
    </r>
    <r>
      <rPr>
        <b/>
        <i/>
        <sz val="7"/>
        <color theme="1"/>
        <rFont val="Calibri"/>
        <family val="2"/>
        <scheme val="minor"/>
      </rPr>
      <t>((R$ 5,50)x2x15,5 dias) - 6% Salário Base  - Itinerário: Cidade Satélite/Estação Rodoviária P.P/Esplanada - Vice-versa</t>
    </r>
  </si>
  <si>
    <r>
      <t xml:space="preserve">AUXÍLIO ALIMENTAÇÃO - CLÁUSULA DÉCIMA SEGUNDA - AUXÍLIO ALIMENTAÇÃO
</t>
    </r>
    <r>
      <rPr>
        <b/>
        <i/>
        <sz val="7"/>
        <rFont val="Calibri"/>
        <family val="2"/>
        <scheme val="minor"/>
      </rPr>
      <t xml:space="preserve">(Valor de R$47,37x15,5 dias efetivamente trabalhados) </t>
    </r>
  </si>
  <si>
    <r>
      <t xml:space="preserve">AUXÍLIO MORTE/FUNERAL - CLÁUSULA DÉCIMA QUINTA - SEGURO DE VIDA
</t>
    </r>
    <r>
      <rPr>
        <b/>
        <sz val="7"/>
        <color theme="1"/>
        <rFont val="Calibri"/>
        <family val="2"/>
        <scheme val="minor"/>
      </rPr>
      <t xml:space="preserve">(Reembolso ao espólio de despesas de sepultamento de até R$ 6.029,47) - Possibilidade de incidência anual de ate 6%/IBGE </t>
    </r>
  </si>
  <si>
    <r>
      <t>AUXÍLIO ALIMENTAÇÃO - CLÁUSULA DÉCIMA SEGUNDA - AUXÍLIO ALIMENTAÇÃO
(</t>
    </r>
    <r>
      <rPr>
        <b/>
        <sz val="7"/>
        <rFont val="Calibri"/>
        <family val="2"/>
        <scheme val="minor"/>
      </rPr>
      <t xml:space="preserve">Valor de R$ 47,37x21 dias efetivamente trabalhados) </t>
    </r>
  </si>
  <si>
    <r>
      <t>AUXÍLIO TRANSPORTE  - CLÁUSULA DÉCIMA TERCEIRA - VALE-TRANSPORTE
(</t>
    </r>
    <r>
      <rPr>
        <b/>
        <sz val="7"/>
        <color theme="1"/>
        <rFont val="Calibri"/>
        <family val="2"/>
        <scheme val="minor"/>
      </rPr>
      <t>(R$ 5,50)x2x21 dias) - 6% Salário Base) - Itinerário: Cidade Satélite/Estação Rodoviária P.P/Esplanada - Vice-versa.</t>
    </r>
  </si>
  <si>
    <t>CCT 2024/2024
SINDESV-DF/SINDESP-DF</t>
  </si>
  <si>
    <t>Nota 3: Levando em consideração a vigência contratual prevista no art. 121, § 3º da Lei nº 14.133, de 01 de abril de 2021, a rubrica férias tem como objetivo principal suprir a necessidade do pagamento das férias remuneradas ao final do contrato de 12 meses. Esta rubrica, quando da prorrogação contratual, torna-se custo não renovável.</t>
  </si>
  <si>
    <t>Banco de Preços</t>
  </si>
  <si>
    <t>Vigilante Diurno Desarmado - 44 hs</t>
  </si>
  <si>
    <t>IV</t>
  </si>
  <si>
    <t>A3</t>
  </si>
  <si>
    <t>A4</t>
  </si>
  <si>
    <t>VALOR MENSAL DOS SERVIÇOS (I + II + III+IV)</t>
  </si>
  <si>
    <r>
      <t xml:space="preserve">AUXÍLIO ALIMENTAÇÃO - CLÁUSULA DÉCIMA SEGUNDA - AUXÍLIO ALIMENTAÇÃO
</t>
    </r>
    <r>
      <rPr>
        <b/>
        <i/>
        <sz val="7"/>
        <rFont val="Calibri"/>
        <family val="2"/>
        <scheme val="minor"/>
      </rPr>
      <t xml:space="preserve">(Valor de R$47,37x21 dias efetivamente trabalhados) </t>
    </r>
  </si>
  <si>
    <r>
      <t xml:space="preserve">AUXÍLIO TRANSPORTE  - CLÁUSULA DÉCIMA TERCEIRA - VALE-TRANSPORTE         </t>
    </r>
    <r>
      <rPr>
        <b/>
        <i/>
        <sz val="8"/>
        <color rgb="FFFF0000"/>
        <rFont val="Calibri"/>
        <family val="2"/>
        <scheme val="minor"/>
      </rPr>
      <t xml:space="preserve">         </t>
    </r>
    <r>
      <rPr>
        <b/>
        <i/>
        <sz val="8"/>
        <color theme="1"/>
        <rFont val="Calibri"/>
        <family val="2"/>
        <scheme val="minor"/>
      </rPr>
      <t xml:space="preserve">                                                                                                  </t>
    </r>
    <r>
      <rPr>
        <b/>
        <i/>
        <sz val="7"/>
        <color theme="1"/>
        <rFont val="Calibri"/>
        <family val="2"/>
        <scheme val="minor"/>
      </rPr>
      <t>((R$ 5,50)x2x21 dias) - 6% Salário Base  - Itinerário: Cidade Satélite/Estação Rodoviária P.P/Esplanada - Vice-versa</t>
    </r>
  </si>
  <si>
    <t>Salário Base - 44hs/semana</t>
  </si>
  <si>
    <t>Qdade Total Geral Anual  (x28)</t>
  </si>
  <si>
    <t>Contrato
18/2024
MME</t>
  </si>
  <si>
    <t>PE 90010/2024 INMETRO</t>
  </si>
  <si>
    <t>MÉDIA DOS VALORES</t>
  </si>
  <si>
    <t>MÉDIA DOS VALORES - Unit.</t>
  </si>
  <si>
    <t>MÉDIA DOS VALORES - Total</t>
  </si>
  <si>
    <t>PE 90087/2024
Hospital Uni. Cassiano Antonio Moraes</t>
  </si>
  <si>
    <t>PE  UNIVERSIDADE FEDERAL DO AGRESTE DE PERNAMBUCO</t>
  </si>
  <si>
    <t xml:space="preserve">PE 90003-2024 SR-PF-RO </t>
  </si>
  <si>
    <t>MAPA COMPARATIVO - BANCO DE PREÇOS</t>
  </si>
  <si>
    <t>PE 9006/2024
MINISTÉRIO DA CULTURA</t>
  </si>
  <si>
    <t>TOTAL</t>
  </si>
  <si>
    <r>
      <t>N</t>
    </r>
    <r>
      <rPr>
        <b/>
        <strike/>
        <sz val="8"/>
        <rFont val="Calibri"/>
        <family val="2"/>
        <scheme val="minor"/>
      </rPr>
      <t>º</t>
    </r>
    <r>
      <rPr>
        <b/>
        <sz val="8"/>
        <rFont val="Calibri"/>
        <family val="2"/>
        <scheme val="minor"/>
      </rPr>
      <t xml:space="preserve"> Processo: </t>
    </r>
  </si>
  <si>
    <r>
      <t>Licitação N</t>
    </r>
    <r>
      <rPr>
        <b/>
        <strike/>
        <sz val="8"/>
        <rFont val="Calibri"/>
        <family val="2"/>
        <scheme val="minor"/>
      </rPr>
      <t>º</t>
    </r>
    <r>
      <rPr>
        <b/>
        <sz val="8"/>
        <rFont val="Calibri"/>
        <family val="2"/>
        <scheme val="minor"/>
      </rPr>
      <t xml:space="preserve"> </t>
    </r>
  </si>
  <si>
    <t>Sites Especializados</t>
  </si>
  <si>
    <r>
      <rPr>
        <b/>
        <sz val="7"/>
        <rFont val="Calibri"/>
        <family val="2"/>
        <scheme val="minor"/>
      </rPr>
      <t>Nota 1:</t>
    </r>
    <r>
      <rPr>
        <sz val="7"/>
        <rFont val="Calibri"/>
        <family val="2"/>
        <scheme val="minor"/>
      </rPr>
      <t xml:space="preserve"> Os percentuais dos encargos previdenciários, do FGTS e demais contribuições são aqueles estabelecidos pela legislação vigente.</t>
    </r>
  </si>
  <si>
    <r>
      <rPr>
        <b/>
        <sz val="7"/>
        <rFont val="Calibri"/>
        <family val="2"/>
        <scheme val="minor"/>
      </rPr>
      <t xml:space="preserve">Nota 2: </t>
    </r>
    <r>
      <rPr>
        <sz val="7"/>
        <rFont val="Calibri"/>
        <family val="2"/>
        <scheme val="minor"/>
      </rPr>
      <t>O</t>
    </r>
    <r>
      <rPr>
        <b/>
        <sz val="7"/>
        <rFont val="Calibri"/>
        <family val="2"/>
        <scheme val="minor"/>
      </rPr>
      <t xml:space="preserve"> SAT</t>
    </r>
    <r>
      <rPr>
        <sz val="7"/>
        <rFont val="Calibri"/>
        <family val="2"/>
        <scheme val="minor"/>
      </rPr>
      <t xml:space="preserve"> a depender do grau de risco do serviço irá </t>
    </r>
    <r>
      <rPr>
        <b/>
        <sz val="7"/>
        <rFont val="Calibri"/>
        <family val="2"/>
        <scheme val="minor"/>
      </rPr>
      <t>variar entre 1%, para risco leve, de 2%, para risco médio, e de 3% de risco grave.</t>
    </r>
  </si>
  <si>
    <r>
      <rPr>
        <b/>
        <sz val="8"/>
        <rFont val="Calibri"/>
        <family val="2"/>
        <scheme val="minor"/>
      </rPr>
      <t>Aviso Prévio Trabalhado</t>
    </r>
    <r>
      <rPr>
        <sz val="8"/>
        <rFont val="Calibri"/>
        <family val="2"/>
        <scheme val="minor"/>
      </rPr>
      <t xml:space="preserve">         </t>
    </r>
    <r>
      <rPr>
        <sz val="9"/>
        <rFont val="Calibri"/>
        <family val="2"/>
        <scheme val="minor"/>
      </rPr>
      <t xml:space="preserve">                                                                                                                 </t>
    </r>
    <r>
      <rPr>
        <sz val="7"/>
        <rFont val="Calibri"/>
        <family val="2"/>
        <scheme val="minor"/>
      </rPr>
      <t xml:space="preserve">   </t>
    </r>
    <r>
      <rPr>
        <i/>
        <sz val="7"/>
        <rFont val="Calibri"/>
        <family val="2"/>
        <scheme val="minor"/>
      </rPr>
      <t xml:space="preserve"> (redução de 7 dias/mes ou de 2 horas/dia, percentual relativo a contrato de 12 meses)   =   [(7/30)/12]*100=1,944%  (Ac.3006/2010-TCU; art.7º, XXI ,CF/88, 477, 487 e 491 CLT)</t>
    </r>
  </si>
  <si>
    <r>
      <rPr>
        <b/>
        <sz val="8"/>
        <rFont val="Calibri"/>
        <family val="2"/>
        <scheme val="minor"/>
      </rPr>
      <t>Incidência dos encargos do Submódulo 2.2 sobre o Aviso Prévio Trabalhado  -</t>
    </r>
    <r>
      <rPr>
        <sz val="8"/>
        <rFont val="Calibri"/>
        <family val="2"/>
        <scheme val="minor"/>
      </rPr>
      <t xml:space="preserve">  </t>
    </r>
    <r>
      <rPr>
        <i/>
        <sz val="7"/>
        <rFont val="Calibri"/>
        <family val="2"/>
        <scheme val="minor"/>
      </rPr>
      <t xml:space="preserve"> </t>
    </r>
    <r>
      <rPr>
        <b/>
        <i/>
        <sz val="7"/>
        <rFont val="Calibri"/>
        <family val="2"/>
        <scheme val="minor"/>
      </rPr>
      <t xml:space="preserve">(36,8% x 1,944%) </t>
    </r>
  </si>
  <si>
    <r>
      <rPr>
        <b/>
        <sz val="8"/>
        <rFont val="Calibri"/>
        <family val="2"/>
        <scheme val="minor"/>
      </rPr>
      <t>Multa do FGTS sobre o Aviso Prévio Trabalhado</t>
    </r>
    <r>
      <rPr>
        <b/>
        <i/>
        <sz val="8"/>
        <rFont val="Calibri"/>
        <family val="2"/>
        <scheme val="minor"/>
      </rPr>
      <t xml:space="preserve"> </t>
    </r>
    <r>
      <rPr>
        <b/>
        <i/>
        <sz val="7"/>
        <rFont val="Calibri"/>
        <family val="2"/>
        <scheme val="minor"/>
      </rPr>
      <t>(40% x 1,944%)</t>
    </r>
  </si>
  <si>
    <r>
      <t xml:space="preserve">SAT - Seguro de Acidente do Trabalho ou RAT - Risco Ambiental do Trabalho </t>
    </r>
    <r>
      <rPr>
        <b/>
        <sz val="7"/>
        <rFont val="Calibri"/>
        <family val="2"/>
        <scheme val="minor"/>
      </rPr>
      <t>(deverá ser ajustado conforme o FAP - Fator Acidentário de Prevenção - multiplicador calculado a partir do grau de acidentalidade na empresa, conforme a Lei nº 10.666 de maio de 2003)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</si>
</sst>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-* #,##0.00_-;\-* #,##0.00_-;_-* &quot;-&quot;??_-;_-@_-"/>
    <numFmt numFmtId="164" formatCode="_-&quot;R$&quot;* #,##0.00_-;\-&quot;R$&quot;* #,##0.00_-;_-&quot;R$&quot;* &quot;-&quot;??_-;_-@_-"/>
    <numFmt numFmtId="165" formatCode="&quot;R$&quot;\ #,##0.00"/>
    <numFmt numFmtId="166" formatCode="0.000%"/>
    <numFmt numFmtId="167" formatCode="&quot;R$&quot;#,##0.00"/>
  </numFmts>
  <fonts count="47" x14ac:knownFonts="1"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Arial"/>
      <family val="2"/>
    </font>
    <font>
      <sz val="11"/>
      <color theme="1"/>
      <name val="Calibri Light"/>
      <family val="2"/>
      <scheme val="major"/>
    </font>
    <font>
      <b/>
      <sz val="9"/>
      <color theme="1"/>
      <name val="Calibri Light"/>
      <family val="2"/>
      <scheme val="major"/>
    </font>
    <font>
      <sz val="9"/>
      <color theme="1"/>
      <name val="Calibri Light"/>
      <family val="2"/>
      <scheme val="major"/>
    </font>
    <font>
      <sz val="10"/>
      <name val="Arial"/>
      <family val="2"/>
    </font>
    <font>
      <b/>
      <sz val="9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name val="Times New Roman"/>
      <family val="1"/>
    </font>
    <font>
      <sz val="11"/>
      <name val="Times New Roman"/>
      <family val="1"/>
    </font>
    <font>
      <sz val="9"/>
      <name val="Arial"/>
      <family val="2"/>
    </font>
    <font>
      <b/>
      <sz val="8"/>
      <color theme="1"/>
      <name val="Calibri"/>
      <family val="2"/>
      <scheme val="minor"/>
    </font>
    <font>
      <b/>
      <sz val="8"/>
      <color rgb="FFFF0000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name val="Calibri"/>
      <family val="2"/>
      <scheme val="minor"/>
    </font>
    <font>
      <sz val="9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9"/>
      <name val="Calibri"/>
      <family val="2"/>
      <scheme val="minor"/>
    </font>
    <font>
      <b/>
      <sz val="9"/>
      <name val="Times New Roman"/>
      <family val="1"/>
    </font>
    <font>
      <sz val="9"/>
      <name val="Times New Roman"/>
      <family val="1"/>
    </font>
    <font>
      <sz val="9"/>
      <name val="Verdana"/>
      <family val="2"/>
    </font>
    <font>
      <b/>
      <strike/>
      <sz val="8"/>
      <color rgb="FFFF0000"/>
      <name val="Calibri"/>
      <family val="2"/>
      <scheme val="minor"/>
    </font>
    <font>
      <sz val="7"/>
      <color theme="1"/>
      <name val="Calibri"/>
      <family val="2"/>
      <scheme val="minor"/>
    </font>
    <font>
      <b/>
      <sz val="7"/>
      <color theme="1"/>
      <name val="Calibri"/>
      <family val="2"/>
      <scheme val="minor"/>
    </font>
    <font>
      <b/>
      <sz val="7"/>
      <name val="Calibri"/>
      <family val="2"/>
      <scheme val="minor"/>
    </font>
    <font>
      <b/>
      <i/>
      <sz val="7"/>
      <color theme="1"/>
      <name val="Calibri"/>
      <family val="2"/>
      <scheme val="minor"/>
    </font>
    <font>
      <b/>
      <strike/>
      <sz val="8"/>
      <color theme="1"/>
      <name val="Calibri"/>
      <family val="2"/>
      <scheme val="minor"/>
    </font>
    <font>
      <i/>
      <sz val="7"/>
      <color theme="1"/>
      <name val="Calibri"/>
      <family val="2"/>
      <scheme val="minor"/>
    </font>
    <font>
      <b/>
      <i/>
      <sz val="7"/>
      <color rgb="FFFF0000"/>
      <name val="Calibri"/>
      <family val="2"/>
      <scheme val="minor"/>
    </font>
    <font>
      <b/>
      <i/>
      <sz val="8"/>
      <color rgb="FFFF0000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b/>
      <i/>
      <sz val="7"/>
      <name val="Calibri"/>
      <family val="2"/>
      <scheme val="minor"/>
    </font>
    <font>
      <b/>
      <sz val="8"/>
      <color indexed="81"/>
      <name val="Segoe UI"/>
      <family val="2"/>
    </font>
    <font>
      <sz val="8"/>
      <color indexed="81"/>
      <name val="Segoe UI"/>
      <family val="2"/>
    </font>
    <font>
      <sz val="9"/>
      <color rgb="FFFF0000"/>
      <name val="Calibri"/>
      <family val="2"/>
      <scheme val="minor"/>
    </font>
    <font>
      <sz val="8"/>
      <name val="Calibri"/>
      <family val="2"/>
      <scheme val="minor"/>
    </font>
    <font>
      <b/>
      <strike/>
      <sz val="8"/>
      <name val="Calibri"/>
      <family val="2"/>
      <scheme val="minor"/>
    </font>
    <font>
      <sz val="7"/>
      <name val="Calibri"/>
      <family val="2"/>
      <scheme val="minor"/>
    </font>
    <font>
      <i/>
      <sz val="7"/>
      <name val="Calibri"/>
      <family val="2"/>
      <scheme val="minor"/>
    </font>
    <font>
      <b/>
      <i/>
      <sz val="8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39997558519241921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7">
    <xf numFmtId="0" fontId="0" fillId="0" borderId="0"/>
    <xf numFmtId="43" fontId="2" fillId="0" borderId="0" applyFont="0" applyFill="0" applyBorder="0" applyAlignment="0" applyProtection="0"/>
    <xf numFmtId="0" fontId="2" fillId="0" borderId="0"/>
    <xf numFmtId="0" fontId="9" fillId="0" borderId="0"/>
    <xf numFmtId="43" fontId="9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</cellStyleXfs>
  <cellXfs count="420">
    <xf numFmtId="0" fontId="0" fillId="0" borderId="0" xfId="0"/>
    <xf numFmtId="0" fontId="6" fillId="0" borderId="0" xfId="0" applyFont="1"/>
    <xf numFmtId="0" fontId="9" fillId="0" borderId="0" xfId="3"/>
    <xf numFmtId="0" fontId="9" fillId="0" borderId="0" xfId="3" applyAlignment="1">
      <alignment horizontal="center" vertical="center"/>
    </xf>
    <xf numFmtId="0" fontId="9" fillId="0" borderId="0" xfId="3" applyAlignment="1">
      <alignment horizontal="center"/>
    </xf>
    <xf numFmtId="0" fontId="5" fillId="0" borderId="0" xfId="3" applyFont="1"/>
    <xf numFmtId="165" fontId="9" fillId="0" borderId="0" xfId="3" applyNumberForma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4" fontId="9" fillId="0" borderId="0" xfId="3" applyNumberFormat="1" applyAlignment="1">
      <alignment horizontal="center" vertical="center"/>
    </xf>
    <xf numFmtId="4" fontId="8" fillId="0" borderId="0" xfId="0" applyNumberFormat="1" applyFont="1"/>
    <xf numFmtId="0" fontId="8" fillId="0" borderId="0" xfId="0" applyFont="1"/>
    <xf numFmtId="4" fontId="7" fillId="0" borderId="0" xfId="0" applyNumberFormat="1" applyFont="1"/>
    <xf numFmtId="0" fontId="15" fillId="0" borderId="0" xfId="2" applyFont="1"/>
    <xf numFmtId="0" fontId="15" fillId="0" borderId="0" xfId="2" applyFont="1" applyAlignment="1">
      <alignment vertical="center" wrapText="1"/>
    </xf>
    <xf numFmtId="0" fontId="15" fillId="0" borderId="0" xfId="2" applyFont="1" applyAlignment="1">
      <alignment vertical="top" wrapText="1"/>
    </xf>
    <xf numFmtId="0" fontId="15" fillId="0" borderId="0" xfId="2" applyFont="1" applyAlignment="1">
      <alignment wrapText="1"/>
    </xf>
    <xf numFmtId="0" fontId="14" fillId="0" borderId="0" xfId="2" applyFont="1" applyAlignment="1">
      <alignment horizontal="center" vertical="top" wrapText="1"/>
    </xf>
    <xf numFmtId="4" fontId="11" fillId="0" borderId="0" xfId="3" applyNumberFormat="1" applyFont="1" applyAlignment="1">
      <alignment horizontal="center" vertical="center"/>
    </xf>
    <xf numFmtId="0" fontId="11" fillId="0" borderId="0" xfId="3" applyFont="1" applyAlignment="1">
      <alignment horizontal="center"/>
    </xf>
    <xf numFmtId="0" fontId="2" fillId="0" borderId="0" xfId="0" applyFont="1"/>
    <xf numFmtId="0" fontId="22" fillId="0" borderId="0" xfId="3" applyFont="1" applyAlignment="1">
      <alignment horizontal="center" vertical="center"/>
    </xf>
    <xf numFmtId="0" fontId="22" fillId="0" borderId="0" xfId="3" applyFont="1"/>
    <xf numFmtId="0" fontId="16" fillId="0" borderId="0" xfId="3" applyFont="1"/>
    <xf numFmtId="0" fontId="25" fillId="0" borderId="0" xfId="2" applyFont="1" applyAlignment="1">
      <alignment horizontal="center" vertical="center"/>
    </xf>
    <xf numFmtId="0" fontId="26" fillId="0" borderId="0" xfId="2" applyFont="1"/>
    <xf numFmtId="0" fontId="27" fillId="0" borderId="0" xfId="3" applyFont="1" applyAlignment="1">
      <alignment horizontal="center" vertical="center"/>
    </xf>
    <xf numFmtId="0" fontId="16" fillId="0" borderId="0" xfId="3" applyFont="1" applyAlignment="1">
      <alignment horizontal="left"/>
    </xf>
    <xf numFmtId="0" fontId="16" fillId="0" borderId="0" xfId="3" applyFont="1" applyAlignment="1">
      <alignment horizontal="center" vertical="center"/>
    </xf>
    <xf numFmtId="0" fontId="22" fillId="0" borderId="4" xfId="2" applyFont="1" applyBorder="1" applyAlignment="1">
      <alignment horizontal="center" vertical="center" wrapText="1"/>
    </xf>
    <xf numFmtId="0" fontId="22" fillId="0" borderId="4" xfId="2" applyFont="1" applyBorder="1" applyAlignment="1">
      <alignment horizontal="left" vertical="center" wrapText="1"/>
    </xf>
    <xf numFmtId="0" fontId="24" fillId="0" borderId="4" xfId="2" applyFont="1" applyBorder="1" applyAlignment="1">
      <alignment horizontal="center" vertical="center" wrapText="1"/>
    </xf>
    <xf numFmtId="0" fontId="21" fillId="3" borderId="4" xfId="2" applyFont="1" applyFill="1" applyBorder="1" applyAlignment="1">
      <alignment horizontal="center" vertical="center"/>
    </xf>
    <xf numFmtId="0" fontId="16" fillId="3" borderId="21" xfId="3" applyFont="1" applyFill="1" applyBorder="1"/>
    <xf numFmtId="0" fontId="22" fillId="0" borderId="11" xfId="2" applyFont="1" applyBorder="1" applyAlignment="1">
      <alignment horizontal="left" vertical="center" wrapText="1"/>
    </xf>
    <xf numFmtId="0" fontId="22" fillId="0" borderId="11" xfId="2" applyFont="1" applyBorder="1" applyAlignment="1">
      <alignment horizontal="center" vertical="center" wrapText="1"/>
    </xf>
    <xf numFmtId="0" fontId="21" fillId="3" borderId="24" xfId="2" applyFont="1" applyFill="1" applyBorder="1" applyAlignment="1">
      <alignment horizontal="center" vertical="center" wrapText="1"/>
    </xf>
    <xf numFmtId="1" fontId="22" fillId="0" borderId="4" xfId="4" applyNumberFormat="1" applyFont="1" applyBorder="1" applyAlignment="1">
      <alignment horizontal="center" vertical="center"/>
    </xf>
    <xf numFmtId="165" fontId="22" fillId="0" borderId="4" xfId="3" applyNumberFormat="1" applyFont="1" applyBorder="1" applyAlignment="1">
      <alignment vertical="center" wrapText="1"/>
    </xf>
    <xf numFmtId="165" fontId="24" fillId="0" borderId="4" xfId="3" applyNumberFormat="1" applyFont="1" applyBorder="1" applyAlignment="1">
      <alignment vertical="center" wrapText="1"/>
    </xf>
    <xf numFmtId="0" fontId="24" fillId="3" borderId="4" xfId="3" applyFont="1" applyFill="1" applyBorder="1" applyAlignment="1">
      <alignment horizontal="center" vertical="center" wrapText="1"/>
    </xf>
    <xf numFmtId="0" fontId="24" fillId="3" borderId="19" xfId="3" applyFont="1" applyFill="1" applyBorder="1" applyAlignment="1">
      <alignment horizontal="center" vertical="center" wrapText="1"/>
    </xf>
    <xf numFmtId="0" fontId="22" fillId="0" borderId="21" xfId="3" applyFont="1" applyBorder="1" applyAlignment="1">
      <alignment horizontal="center" vertical="center" wrapText="1"/>
    </xf>
    <xf numFmtId="165" fontId="22" fillId="0" borderId="5" xfId="3" applyNumberFormat="1" applyFont="1" applyBorder="1" applyAlignment="1">
      <alignment vertical="center" wrapText="1"/>
    </xf>
    <xf numFmtId="0" fontId="24" fillId="0" borderId="4" xfId="3" applyFont="1" applyBorder="1" applyAlignment="1">
      <alignment horizontal="center" vertical="center" wrapText="1"/>
    </xf>
    <xf numFmtId="0" fontId="24" fillId="0" borderId="22" xfId="3" applyFont="1" applyBorder="1" applyAlignment="1">
      <alignment horizontal="center" vertical="center" wrapText="1"/>
    </xf>
    <xf numFmtId="165" fontId="24" fillId="0" borderId="5" xfId="3" applyNumberFormat="1" applyFont="1" applyBorder="1" applyAlignment="1">
      <alignment vertical="center" wrapText="1"/>
    </xf>
    <xf numFmtId="0" fontId="24" fillId="0" borderId="5" xfId="3" applyFont="1" applyBorder="1" applyAlignment="1">
      <alignment horizontal="center" vertical="center" wrapText="1"/>
    </xf>
    <xf numFmtId="0" fontId="24" fillId="0" borderId="21" xfId="3" applyFont="1" applyBorder="1" applyAlignment="1">
      <alignment horizontal="center" vertical="center" wrapText="1"/>
    </xf>
    <xf numFmtId="0" fontId="24" fillId="0" borderId="37" xfId="3" applyFont="1" applyBorder="1" applyAlignment="1">
      <alignment horizontal="center" vertical="center" wrapText="1"/>
    </xf>
    <xf numFmtId="0" fontId="22" fillId="0" borderId="23" xfId="3" applyFont="1" applyBorder="1" applyAlignment="1">
      <alignment horizontal="center" vertical="center" wrapText="1"/>
    </xf>
    <xf numFmtId="0" fontId="24" fillId="0" borderId="42" xfId="3" applyFont="1" applyBorder="1" applyAlignment="1">
      <alignment horizontal="center" vertical="center" wrapText="1"/>
    </xf>
    <xf numFmtId="0" fontId="24" fillId="3" borderId="36" xfId="3" applyFont="1" applyFill="1" applyBorder="1" applyAlignment="1">
      <alignment horizontal="center" vertical="center" wrapText="1"/>
    </xf>
    <xf numFmtId="0" fontId="20" fillId="2" borderId="0" xfId="2" applyFont="1" applyFill="1" applyAlignment="1">
      <alignment wrapText="1"/>
    </xf>
    <xf numFmtId="0" fontId="18" fillId="0" borderId="0" xfId="0" applyFont="1" applyAlignment="1">
      <alignment horizontal="center" vertical="center" wrapText="1"/>
    </xf>
    <xf numFmtId="0" fontId="21" fillId="0" borderId="0" xfId="0" applyFont="1" applyAlignment="1" applyProtection="1">
      <alignment horizontal="center" vertical="center" wrapText="1"/>
      <protection locked="0"/>
    </xf>
    <xf numFmtId="4" fontId="6" fillId="0" borderId="0" xfId="0" applyNumberFormat="1" applyFont="1"/>
    <xf numFmtId="4" fontId="17" fillId="0" borderId="0" xfId="0" applyNumberFormat="1" applyFont="1"/>
    <xf numFmtId="4" fontId="20" fillId="0" borderId="0" xfId="0" applyNumberFormat="1" applyFont="1"/>
    <xf numFmtId="0" fontId="10" fillId="2" borderId="4" xfId="2" applyFont="1" applyFill="1" applyBorder="1" applyAlignment="1">
      <alignment horizontal="center" vertical="center" wrapText="1"/>
    </xf>
    <xf numFmtId="0" fontId="10" fillId="2" borderId="1" xfId="2" applyFont="1" applyFill="1" applyBorder="1" applyAlignment="1">
      <alignment horizontal="center" vertical="center" wrapText="1"/>
    </xf>
    <xf numFmtId="0" fontId="10" fillId="0" borderId="4" xfId="2" applyFont="1" applyBorder="1" applyAlignment="1">
      <alignment horizontal="center" vertical="center" wrapText="1"/>
    </xf>
    <xf numFmtId="0" fontId="19" fillId="2" borderId="1" xfId="2" applyFont="1" applyFill="1" applyBorder="1" applyAlignment="1">
      <alignment wrapText="1"/>
    </xf>
    <xf numFmtId="0" fontId="19" fillId="2" borderId="2" xfId="2" applyFont="1" applyFill="1" applyBorder="1" applyAlignment="1">
      <alignment wrapText="1"/>
    </xf>
    <xf numFmtId="0" fontId="19" fillId="3" borderId="1" xfId="2" applyFont="1" applyFill="1" applyBorder="1" applyAlignment="1">
      <alignment vertical="center" wrapText="1"/>
    </xf>
    <xf numFmtId="0" fontId="19" fillId="3" borderId="2" xfId="2" applyFont="1" applyFill="1" applyBorder="1" applyAlignment="1">
      <alignment vertical="center" wrapText="1"/>
    </xf>
    <xf numFmtId="0" fontId="19" fillId="3" borderId="4" xfId="2" applyFont="1" applyFill="1" applyBorder="1" applyAlignment="1">
      <alignment vertical="center" wrapText="1"/>
    </xf>
    <xf numFmtId="9" fontId="17" fillId="2" borderId="4" xfId="2" applyNumberFormat="1" applyFont="1" applyFill="1" applyBorder="1" applyAlignment="1">
      <alignment horizontal="center" vertical="center" wrapText="1"/>
    </xf>
    <xf numFmtId="9" fontId="21" fillId="2" borderId="4" xfId="2" applyNumberFormat="1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vertical="center" wrapText="1"/>
    </xf>
    <xf numFmtId="0" fontId="17" fillId="3" borderId="4" xfId="2" applyFont="1" applyFill="1" applyBorder="1" applyAlignment="1">
      <alignment vertical="center" wrapText="1"/>
    </xf>
    <xf numFmtId="10" fontId="19" fillId="2" borderId="4" xfId="2" applyNumberFormat="1" applyFont="1" applyFill="1" applyBorder="1" applyAlignment="1">
      <alignment horizontal="center" vertical="center" wrapText="1"/>
    </xf>
    <xf numFmtId="10" fontId="19" fillId="2" borderId="2" xfId="2" applyNumberFormat="1" applyFont="1" applyFill="1" applyBorder="1" applyAlignment="1">
      <alignment horizontal="center" vertical="center" wrapText="1"/>
    </xf>
    <xf numFmtId="10" fontId="17" fillId="2" borderId="2" xfId="2" applyNumberFormat="1" applyFont="1" applyFill="1" applyBorder="1" applyAlignment="1">
      <alignment horizontal="center" vertical="center" wrapText="1"/>
    </xf>
    <xf numFmtId="0" fontId="17" fillId="2" borderId="4" xfId="2" applyFont="1" applyFill="1" applyBorder="1" applyAlignment="1">
      <alignment wrapText="1"/>
    </xf>
    <xf numFmtId="166" fontId="19" fillId="2" borderId="4" xfId="2" applyNumberFormat="1" applyFont="1" applyFill="1" applyBorder="1" applyAlignment="1">
      <alignment horizontal="center" vertical="center" wrapText="1"/>
    </xf>
    <xf numFmtId="10" fontId="17" fillId="3" borderId="4" xfId="2" applyNumberFormat="1" applyFont="1" applyFill="1" applyBorder="1" applyAlignment="1">
      <alignment horizontal="center" wrapText="1"/>
    </xf>
    <xf numFmtId="10" fontId="19" fillId="0" borderId="4" xfId="2" applyNumberFormat="1" applyFont="1" applyBorder="1" applyAlignment="1">
      <alignment horizontal="center" vertical="center" wrapText="1"/>
    </xf>
    <xf numFmtId="166" fontId="19" fillId="0" borderId="1" xfId="2" applyNumberFormat="1" applyFont="1" applyBorder="1" applyAlignment="1">
      <alignment horizontal="center" vertical="center" wrapText="1"/>
    </xf>
    <xf numFmtId="166" fontId="19" fillId="0" borderId="4" xfId="2" applyNumberFormat="1" applyFont="1" applyBorder="1" applyAlignment="1">
      <alignment horizontal="center" vertical="center" wrapText="1"/>
    </xf>
    <xf numFmtId="166" fontId="19" fillId="0" borderId="4" xfId="1" applyNumberFormat="1" applyFont="1" applyFill="1" applyBorder="1" applyAlignment="1">
      <alignment horizontal="center" vertical="center" wrapText="1"/>
    </xf>
    <xf numFmtId="0" fontId="19" fillId="2" borderId="4" xfId="2" applyFont="1" applyFill="1" applyBorder="1" applyAlignment="1">
      <alignment wrapText="1"/>
    </xf>
    <xf numFmtId="0" fontId="19" fillId="3" borderId="4" xfId="2" applyFont="1" applyFill="1" applyBorder="1" applyAlignment="1">
      <alignment wrapText="1"/>
    </xf>
    <xf numFmtId="0" fontId="19" fillId="2" borderId="0" xfId="2" applyFont="1" applyFill="1" applyAlignment="1">
      <alignment wrapText="1"/>
    </xf>
    <xf numFmtId="0" fontId="17" fillId="2" borderId="4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vertical="center" wrapText="1"/>
    </xf>
    <xf numFmtId="0" fontId="19" fillId="0" borderId="0" xfId="0" applyFont="1"/>
    <xf numFmtId="167" fontId="17" fillId="2" borderId="4" xfId="2" applyNumberFormat="1" applyFont="1" applyFill="1" applyBorder="1" applyAlignment="1">
      <alignment horizontal="center" vertical="center" wrapText="1"/>
    </xf>
    <xf numFmtId="167" fontId="17" fillId="3" borderId="4" xfId="2" applyNumberFormat="1" applyFont="1" applyFill="1" applyBorder="1" applyAlignment="1">
      <alignment vertical="center" wrapText="1"/>
    </xf>
    <xf numFmtId="167" fontId="17" fillId="2" borderId="4" xfId="2" applyNumberFormat="1" applyFont="1" applyFill="1" applyBorder="1" applyAlignment="1">
      <alignment horizontal="center" wrapText="1"/>
    </xf>
    <xf numFmtId="167" fontId="17" fillId="2" borderId="3" xfId="2" applyNumberFormat="1" applyFont="1" applyFill="1" applyBorder="1" applyAlignment="1">
      <alignment horizontal="center" vertical="center" wrapText="1"/>
    </xf>
    <xf numFmtId="167" fontId="17" fillId="3" borderId="4" xfId="2" applyNumberFormat="1" applyFont="1" applyFill="1" applyBorder="1" applyAlignment="1">
      <alignment horizontal="center" vertical="center" wrapText="1"/>
    </xf>
    <xf numFmtId="167" fontId="17" fillId="3" borderId="3" xfId="2" applyNumberFormat="1" applyFont="1" applyFill="1" applyBorder="1" applyAlignment="1">
      <alignment vertical="center" wrapText="1"/>
    </xf>
    <xf numFmtId="167" fontId="17" fillId="2" borderId="3" xfId="2" applyNumberFormat="1" applyFont="1" applyFill="1" applyBorder="1" applyAlignment="1">
      <alignment vertical="center" wrapText="1"/>
    </xf>
    <xf numFmtId="167" fontId="17" fillId="0" borderId="4" xfId="2" applyNumberFormat="1" applyFont="1" applyBorder="1" applyAlignment="1">
      <alignment horizontal="center" vertical="center" wrapText="1"/>
    </xf>
    <xf numFmtId="167" fontId="17" fillId="2" borderId="4" xfId="2" applyNumberFormat="1" applyFont="1" applyFill="1" applyBorder="1" applyAlignment="1">
      <alignment horizontal="right" wrapText="1"/>
    </xf>
    <xf numFmtId="167" fontId="21" fillId="2" borderId="4" xfId="2" applyNumberFormat="1" applyFont="1" applyFill="1" applyBorder="1" applyAlignment="1">
      <alignment horizontal="center" vertical="center" wrapText="1"/>
    </xf>
    <xf numFmtId="167" fontId="17" fillId="2" borderId="3" xfId="2" applyNumberFormat="1" applyFont="1" applyFill="1" applyBorder="1" applyAlignment="1">
      <alignment horizontal="right" wrapText="1"/>
    </xf>
    <xf numFmtId="167" fontId="17" fillId="3" borderId="9" xfId="2" applyNumberFormat="1" applyFont="1" applyFill="1" applyBorder="1" applyAlignment="1">
      <alignment horizontal="center" vertical="center" wrapText="1"/>
    </xf>
    <xf numFmtId="167" fontId="17" fillId="3" borderId="4" xfId="2" applyNumberFormat="1" applyFont="1" applyFill="1" applyBorder="1" applyAlignment="1">
      <alignment horizontal="center" wrapText="1"/>
    </xf>
    <xf numFmtId="0" fontId="17" fillId="2" borderId="4" xfId="2" applyFont="1" applyFill="1" applyBorder="1" applyAlignment="1">
      <alignment horizontal="center" vertical="center" wrapText="1"/>
    </xf>
    <xf numFmtId="10" fontId="17" fillId="2" borderId="4" xfId="2" applyNumberFormat="1" applyFont="1" applyFill="1" applyBorder="1" applyAlignment="1">
      <alignment horizontal="center" vertical="center" wrapText="1"/>
    </xf>
    <xf numFmtId="0" fontId="17" fillId="0" borderId="4" xfId="2" applyFont="1" applyBorder="1" applyAlignment="1">
      <alignment horizontal="center" vertical="center" wrapText="1"/>
    </xf>
    <xf numFmtId="0" fontId="10" fillId="3" borderId="1" xfId="2" applyFont="1" applyFill="1" applyBorder="1" applyAlignment="1">
      <alignment vertical="center" wrapText="1"/>
    </xf>
    <xf numFmtId="167" fontId="17" fillId="2" borderId="0" xfId="2" applyNumberFormat="1" applyFont="1" applyFill="1" applyAlignment="1">
      <alignment wrapText="1"/>
    </xf>
    <xf numFmtId="167" fontId="17" fillId="2" borderId="3" xfId="2" applyNumberFormat="1" applyFont="1" applyFill="1" applyBorder="1" applyAlignment="1">
      <alignment wrapText="1"/>
    </xf>
    <xf numFmtId="167" fontId="17" fillId="2" borderId="3" xfId="2" applyNumberFormat="1" applyFont="1" applyFill="1" applyBorder="1" applyAlignment="1">
      <alignment horizontal="left" vertical="center" wrapText="1"/>
    </xf>
    <xf numFmtId="0" fontId="17" fillId="3" borderId="4" xfId="0" applyFont="1" applyFill="1" applyBorder="1" applyAlignment="1">
      <alignment vertical="center" wrapText="1"/>
    </xf>
    <xf numFmtId="166" fontId="19" fillId="2" borderId="4" xfId="2" applyNumberFormat="1" applyFont="1" applyFill="1" applyBorder="1" applyAlignment="1">
      <alignment horizontal="center" wrapText="1"/>
    </xf>
    <xf numFmtId="167" fontId="17" fillId="0" borderId="0" xfId="0" applyNumberFormat="1" applyFont="1"/>
    <xf numFmtId="0" fontId="24" fillId="3" borderId="32" xfId="3" applyFont="1" applyFill="1" applyBorder="1" applyAlignment="1">
      <alignment vertical="center" wrapText="1"/>
    </xf>
    <xf numFmtId="0" fontId="24" fillId="3" borderId="21" xfId="3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vertical="center" wrapText="1"/>
    </xf>
    <xf numFmtId="0" fontId="17" fillId="2" borderId="2" xfId="2" applyFont="1" applyFill="1" applyBorder="1" applyAlignment="1">
      <alignment vertical="center" wrapText="1"/>
    </xf>
    <xf numFmtId="0" fontId="17" fillId="3" borderId="4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left" vertical="center" wrapText="1"/>
    </xf>
    <xf numFmtId="0" fontId="19" fillId="3" borderId="4" xfId="2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left" vertical="center" wrapText="1"/>
    </xf>
    <xf numFmtId="0" fontId="17" fillId="2" borderId="1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10" fontId="17" fillId="3" borderId="4" xfId="2" applyNumberFormat="1" applyFont="1" applyFill="1" applyBorder="1" applyAlignment="1">
      <alignment horizontal="center" vertical="center" wrapText="1"/>
    </xf>
    <xf numFmtId="10" fontId="6" fillId="0" borderId="0" xfId="5" applyNumberFormat="1" applyFont="1" applyAlignment="1">
      <alignment horizontal="left" vertical="center" wrapText="1"/>
    </xf>
    <xf numFmtId="0" fontId="24" fillId="3" borderId="4" xfId="2" applyFont="1" applyFill="1" applyBorder="1" applyAlignment="1">
      <alignment horizontal="center" vertical="center" wrapText="1"/>
    </xf>
    <xf numFmtId="167" fontId="17" fillId="3" borderId="3" xfId="2" applyNumberFormat="1" applyFont="1" applyFill="1" applyBorder="1" applyAlignment="1">
      <alignment horizontal="center" vertical="center" wrapText="1"/>
    </xf>
    <xf numFmtId="167" fontId="6" fillId="0" borderId="0" xfId="0" applyNumberFormat="1" applyFont="1"/>
    <xf numFmtId="4" fontId="22" fillId="0" borderId="11" xfId="2" applyNumberFormat="1" applyFont="1" applyBorder="1" applyAlignment="1">
      <alignment horizontal="center" vertical="center" wrapText="1"/>
    </xf>
    <xf numFmtId="4" fontId="22" fillId="0" borderId="4" xfId="2" applyNumberFormat="1" applyFont="1" applyBorder="1" applyAlignment="1">
      <alignment horizontal="center" vertical="center" wrapText="1"/>
    </xf>
    <xf numFmtId="0" fontId="24" fillId="3" borderId="5" xfId="2" applyFont="1" applyFill="1" applyBorder="1" applyAlignment="1">
      <alignment horizontal="center" vertical="center" wrapText="1"/>
    </xf>
    <xf numFmtId="4" fontId="22" fillId="0" borderId="4" xfId="4" applyNumberFormat="1" applyFont="1" applyBorder="1" applyAlignment="1">
      <alignment horizontal="center" vertical="center"/>
    </xf>
    <xf numFmtId="0" fontId="24" fillId="0" borderId="0" xfId="2" applyFont="1" applyAlignment="1">
      <alignment horizontal="center" vertical="center"/>
    </xf>
    <xf numFmtId="0" fontId="22" fillId="0" borderId="0" xfId="2" applyFont="1"/>
    <xf numFmtId="0" fontId="22" fillId="0" borderId="0" xfId="3" applyFont="1" applyAlignment="1">
      <alignment horizontal="left"/>
    </xf>
    <xf numFmtId="0" fontId="22" fillId="0" borderId="39" xfId="2" applyFont="1" applyBorder="1" applyAlignment="1">
      <alignment horizontal="center" vertical="center" wrapText="1"/>
    </xf>
    <xf numFmtId="4" fontId="22" fillId="0" borderId="4" xfId="2" applyNumberFormat="1" applyFont="1" applyBorder="1" applyAlignment="1">
      <alignment horizontal="center" vertical="center"/>
    </xf>
    <xf numFmtId="0" fontId="21" fillId="4" borderId="24" xfId="2" applyFont="1" applyFill="1" applyBorder="1" applyAlignment="1">
      <alignment horizontal="center" vertical="center" wrapText="1"/>
    </xf>
    <xf numFmtId="4" fontId="22" fillId="4" borderId="11" xfId="2" applyNumberFormat="1" applyFont="1" applyFill="1" applyBorder="1" applyAlignment="1">
      <alignment horizontal="center" vertical="center" wrapText="1"/>
    </xf>
    <xf numFmtId="4" fontId="22" fillId="4" borderId="4" xfId="2" applyNumberFormat="1" applyFont="1" applyFill="1" applyBorder="1" applyAlignment="1">
      <alignment horizontal="center" vertical="center" wrapText="1"/>
    </xf>
    <xf numFmtId="0" fontId="21" fillId="3" borderId="5" xfId="2" applyFont="1" applyFill="1" applyBorder="1" applyAlignment="1">
      <alignment horizontal="center" vertical="center" wrapText="1"/>
    </xf>
    <xf numFmtId="4" fontId="24" fillId="3" borderId="22" xfId="2" applyNumberFormat="1" applyFont="1" applyFill="1" applyBorder="1" applyAlignment="1">
      <alignment horizontal="center" vertical="center"/>
    </xf>
    <xf numFmtId="4" fontId="24" fillId="3" borderId="25" xfId="2" applyNumberFormat="1" applyFont="1" applyFill="1" applyBorder="1" applyAlignment="1">
      <alignment horizontal="center" vertical="center"/>
    </xf>
    <xf numFmtId="165" fontId="24" fillId="0" borderId="4" xfId="3" applyNumberFormat="1" applyFont="1" applyBorder="1" applyAlignment="1">
      <alignment horizontal="center" vertical="center" wrapText="1"/>
    </xf>
    <xf numFmtId="165" fontId="24" fillId="0" borderId="5" xfId="3" applyNumberFormat="1" applyFont="1" applyBorder="1" applyAlignment="1">
      <alignment horizontal="center" vertical="center" wrapText="1"/>
    </xf>
    <xf numFmtId="165" fontId="24" fillId="3" borderId="34" xfId="3" applyNumberFormat="1" applyFont="1" applyFill="1" applyBorder="1" applyAlignment="1">
      <alignment horizontal="center" vertical="center" wrapText="1"/>
    </xf>
    <xf numFmtId="4" fontId="24" fillId="3" borderId="22" xfId="2" applyNumberFormat="1" applyFont="1" applyFill="1" applyBorder="1" applyAlignment="1">
      <alignment horizontal="center" vertical="center" wrapText="1"/>
    </xf>
    <xf numFmtId="0" fontId="24" fillId="2" borderId="4" xfId="2" applyFont="1" applyFill="1" applyBorder="1" applyAlignment="1">
      <alignment horizontal="center" vertical="center"/>
    </xf>
    <xf numFmtId="0" fontId="13" fillId="0" borderId="4" xfId="2" applyFont="1" applyBorder="1"/>
    <xf numFmtId="4" fontId="24" fillId="0" borderId="4" xfId="2" applyNumberFormat="1" applyFont="1" applyBorder="1" applyAlignment="1">
      <alignment horizontal="center" vertical="center"/>
    </xf>
    <xf numFmtId="1" fontId="24" fillId="3" borderId="42" xfId="4" applyNumberFormat="1" applyFont="1" applyFill="1" applyBorder="1" applyAlignment="1">
      <alignment horizontal="center" vertical="center" wrapText="1"/>
    </xf>
    <xf numFmtId="0" fontId="22" fillId="0" borderId="4" xfId="2" applyFont="1" applyBorder="1" applyAlignment="1">
      <alignment vertical="top" wrapText="1"/>
    </xf>
    <xf numFmtId="4" fontId="24" fillId="0" borderId="4" xfId="4" applyNumberFormat="1" applyFont="1" applyBorder="1" applyAlignment="1">
      <alignment horizontal="center" vertical="center"/>
    </xf>
    <xf numFmtId="0" fontId="22" fillId="2" borderId="4" xfId="2" applyFont="1" applyFill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top" wrapText="1"/>
    </xf>
    <xf numFmtId="0" fontId="24" fillId="3" borderId="7" xfId="2" applyFont="1" applyFill="1" applyBorder="1" applyAlignment="1">
      <alignment horizontal="center" vertical="center" wrapText="1"/>
    </xf>
    <xf numFmtId="167" fontId="9" fillId="0" borderId="0" xfId="3" applyNumberFormat="1"/>
    <xf numFmtId="164" fontId="16" fillId="0" borderId="0" xfId="6" applyFont="1"/>
    <xf numFmtId="4" fontId="22" fillId="6" borderId="4" xfId="2" applyNumberFormat="1" applyFont="1" applyFill="1" applyBorder="1" applyAlignment="1">
      <alignment horizontal="center" vertical="center" wrapText="1"/>
    </xf>
    <xf numFmtId="4" fontId="22" fillId="6" borderId="11" xfId="2" applyNumberFormat="1" applyFont="1" applyFill="1" applyBorder="1" applyAlignment="1">
      <alignment horizontal="center" vertical="center" wrapText="1"/>
    </xf>
    <xf numFmtId="4" fontId="41" fillId="4" borderId="11" xfId="2" applyNumberFormat="1" applyFont="1" applyFill="1" applyBorder="1" applyAlignment="1">
      <alignment horizontal="center" vertical="center" wrapText="1"/>
    </xf>
    <xf numFmtId="4" fontId="41" fillId="0" borderId="4" xfId="2" applyNumberFormat="1" applyFont="1" applyBorder="1" applyAlignment="1">
      <alignment horizontal="center" vertical="center" wrapText="1"/>
    </xf>
    <xf numFmtId="4" fontId="41" fillId="4" borderId="4" xfId="2" applyNumberFormat="1" applyFont="1" applyFill="1" applyBorder="1" applyAlignment="1">
      <alignment horizontal="center" vertical="center" wrapText="1"/>
    </xf>
    <xf numFmtId="167" fontId="17" fillId="4" borderId="0" xfId="0" applyNumberFormat="1" applyFont="1" applyFill="1" applyAlignment="1">
      <alignment horizontal="center" vertical="center"/>
    </xf>
    <xf numFmtId="2" fontId="6" fillId="0" borderId="0" xfId="0" applyNumberFormat="1" applyFont="1"/>
    <xf numFmtId="167" fontId="6" fillId="2" borderId="0" xfId="0" applyNumberFormat="1" applyFont="1" applyFill="1"/>
    <xf numFmtId="167" fontId="20" fillId="4" borderId="0" xfId="0" applyNumberFormat="1" applyFont="1" applyFill="1" applyAlignment="1">
      <alignment horizontal="center" vertical="center"/>
    </xf>
    <xf numFmtId="0" fontId="24" fillId="3" borderId="4" xfId="2" applyFont="1" applyFill="1" applyBorder="1" applyAlignment="1">
      <alignment horizontal="center" vertical="center"/>
    </xf>
    <xf numFmtId="0" fontId="21" fillId="3" borderId="4" xfId="2" applyFont="1" applyFill="1" applyBorder="1" applyAlignment="1">
      <alignment horizontal="center" vertical="center" wrapText="1"/>
    </xf>
    <xf numFmtId="0" fontId="13" fillId="0" borderId="4" xfId="2" applyFont="1" applyBorder="1" applyAlignment="1">
      <alignment horizontal="center" vertical="center"/>
    </xf>
    <xf numFmtId="165" fontId="17" fillId="2" borderId="4" xfId="2" applyNumberFormat="1" applyFont="1" applyFill="1" applyBorder="1" applyAlignment="1">
      <alignment horizontal="center" vertical="center" wrapText="1"/>
    </xf>
    <xf numFmtId="165" fontId="22" fillId="0" borderId="4" xfId="2" applyNumberFormat="1" applyFont="1" applyBorder="1" applyAlignment="1">
      <alignment horizontal="left" vertical="center" wrapText="1"/>
    </xf>
    <xf numFmtId="165" fontId="22" fillId="0" borderId="4" xfId="2" applyNumberFormat="1" applyFont="1" applyBorder="1" applyAlignment="1">
      <alignment horizontal="center" vertical="center"/>
    </xf>
    <xf numFmtId="165" fontId="20" fillId="0" borderId="4" xfId="0" applyNumberFormat="1" applyFont="1" applyBorder="1" applyAlignment="1">
      <alignment horizontal="center" vertical="center"/>
    </xf>
    <xf numFmtId="165" fontId="22" fillId="0" borderId="4" xfId="2" applyNumberFormat="1" applyFont="1" applyBorder="1"/>
    <xf numFmtId="165" fontId="22" fillId="0" borderId="4" xfId="2" applyNumberFormat="1" applyFont="1" applyBorder="1" applyAlignment="1">
      <alignment horizontal="center"/>
    </xf>
    <xf numFmtId="165" fontId="13" fillId="0" borderId="4" xfId="2" applyNumberFormat="1" applyFont="1" applyBorder="1" applyAlignment="1">
      <alignment horizontal="center" vertical="center"/>
    </xf>
    <xf numFmtId="0" fontId="22" fillId="0" borderId="4" xfId="2" applyFont="1" applyBorder="1" applyAlignment="1">
      <alignment horizontal="center" vertical="center"/>
    </xf>
    <xf numFmtId="165" fontId="22" fillId="0" borderId="4" xfId="4" applyNumberFormat="1" applyFont="1" applyBorder="1" applyAlignment="1">
      <alignment horizontal="center" vertical="center"/>
    </xf>
    <xf numFmtId="0" fontId="21" fillId="2" borderId="2" xfId="2" applyFont="1" applyFill="1" applyBorder="1" applyAlignment="1">
      <alignment horizontal="left" vertical="center" wrapText="1"/>
    </xf>
    <xf numFmtId="0" fontId="21" fillId="2" borderId="4" xfId="2" applyFont="1" applyFill="1" applyBorder="1" applyAlignment="1">
      <alignment horizontal="center" vertical="center" wrapText="1"/>
    </xf>
    <xf numFmtId="0" fontId="21" fillId="2" borderId="1" xfId="2" applyFont="1" applyFill="1" applyBorder="1" applyAlignment="1">
      <alignment horizontal="center" vertical="center" wrapText="1"/>
    </xf>
    <xf numFmtId="0" fontId="42" fillId="2" borderId="2" xfId="2" applyFont="1" applyFill="1" applyBorder="1" applyAlignment="1">
      <alignment horizontal="left" vertical="center" wrapText="1"/>
    </xf>
    <xf numFmtId="10" fontId="21" fillId="2" borderId="2" xfId="2" applyNumberFormat="1" applyFont="1" applyFill="1" applyBorder="1" applyAlignment="1">
      <alignment horizontal="center" vertical="center" wrapText="1"/>
    </xf>
    <xf numFmtId="167" fontId="21" fillId="2" borderId="3" xfId="2" applyNumberFormat="1" applyFont="1" applyFill="1" applyBorder="1" applyAlignment="1">
      <alignment horizontal="center" vertical="center" wrapText="1"/>
    </xf>
    <xf numFmtId="0" fontId="42" fillId="2" borderId="1" xfId="2" applyFont="1" applyFill="1" applyBorder="1" applyAlignment="1">
      <alignment horizontal="left" vertical="center" wrapText="1"/>
    </xf>
    <xf numFmtId="167" fontId="21" fillId="2" borderId="3" xfId="2" applyNumberFormat="1" applyFont="1" applyFill="1" applyBorder="1" applyAlignment="1">
      <alignment horizontal="left" vertical="center" wrapText="1"/>
    </xf>
    <xf numFmtId="10" fontId="21" fillId="3" borderId="4" xfId="2" applyNumberFormat="1" applyFont="1" applyFill="1" applyBorder="1" applyAlignment="1">
      <alignment horizontal="center" vertical="center" wrapText="1"/>
    </xf>
    <xf numFmtId="167" fontId="21" fillId="3" borderId="4" xfId="2" applyNumberFormat="1" applyFont="1" applyFill="1" applyBorder="1" applyAlignment="1">
      <alignment horizontal="center" vertical="center" wrapText="1"/>
    </xf>
    <xf numFmtId="10" fontId="42" fillId="2" borderId="2" xfId="2" applyNumberFormat="1" applyFont="1" applyFill="1" applyBorder="1" applyAlignment="1">
      <alignment horizontal="center" vertical="center" wrapText="1"/>
    </xf>
    <xf numFmtId="167" fontId="21" fillId="2" borderId="4" xfId="2" applyNumberFormat="1" applyFont="1" applyFill="1" applyBorder="1" applyAlignment="1">
      <alignment horizontal="center" wrapText="1"/>
    </xf>
    <xf numFmtId="0" fontId="21" fillId="3" borderId="1" xfId="2" applyFont="1" applyFill="1" applyBorder="1" applyAlignment="1">
      <alignment vertical="center" wrapText="1"/>
    </xf>
    <xf numFmtId="167" fontId="21" fillId="3" borderId="4" xfId="2" applyNumberFormat="1" applyFont="1" applyFill="1" applyBorder="1" applyAlignment="1">
      <alignment horizontal="center" wrapText="1"/>
    </xf>
    <xf numFmtId="0" fontId="19" fillId="2" borderId="1" xfId="0" applyFont="1" applyFill="1" applyBorder="1" applyAlignment="1">
      <alignment horizontal="left" vertical="center" wrapText="1"/>
    </xf>
    <xf numFmtId="0" fontId="19" fillId="2" borderId="2" xfId="0" applyFont="1" applyFill="1" applyBorder="1" applyAlignment="1">
      <alignment horizontal="left" vertical="center" wrapText="1"/>
    </xf>
    <xf numFmtId="0" fontId="19" fillId="2" borderId="3" xfId="0" applyFont="1" applyFill="1" applyBorder="1" applyAlignment="1">
      <alignment horizontal="left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wrapText="1"/>
    </xf>
    <xf numFmtId="0" fontId="17" fillId="3" borderId="3" xfId="0" applyFont="1" applyFill="1" applyBorder="1" applyAlignment="1">
      <alignment horizontal="center" vertical="center" wrapText="1"/>
    </xf>
    <xf numFmtId="0" fontId="19" fillId="2" borderId="2" xfId="2" applyFont="1" applyFill="1" applyBorder="1" applyAlignment="1">
      <alignment horizontal="center" vertical="center" wrapText="1"/>
    </xf>
    <xf numFmtId="0" fontId="19" fillId="2" borderId="3" xfId="2" applyFont="1" applyFill="1" applyBorder="1" applyAlignment="1">
      <alignment horizontal="center" vertical="center" wrapText="1"/>
    </xf>
    <xf numFmtId="0" fontId="17" fillId="3" borderId="2" xfId="2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center" vertical="center" wrapText="1"/>
    </xf>
    <xf numFmtId="0" fontId="17" fillId="3" borderId="3" xfId="2" applyFont="1" applyFill="1" applyBorder="1" applyAlignment="1">
      <alignment horizontal="center" vertical="center" wrapText="1"/>
    </xf>
    <xf numFmtId="0" fontId="19" fillId="2" borderId="4" xfId="2" applyFont="1" applyFill="1" applyBorder="1" applyAlignment="1">
      <alignment horizontal="left" vertical="center" wrapText="1"/>
    </xf>
    <xf numFmtId="10" fontId="17" fillId="2" borderId="1" xfId="2" applyNumberFormat="1" applyFont="1" applyFill="1" applyBorder="1" applyAlignment="1">
      <alignment horizontal="center" vertical="center" wrapText="1"/>
    </xf>
    <xf numFmtId="10" fontId="17" fillId="2" borderId="3" xfId="2" applyNumberFormat="1" applyFont="1" applyFill="1" applyBorder="1" applyAlignment="1">
      <alignment horizontal="center" vertical="center" wrapText="1"/>
    </xf>
    <xf numFmtId="10" fontId="17" fillId="3" borderId="1" xfId="2" applyNumberFormat="1" applyFont="1" applyFill="1" applyBorder="1" applyAlignment="1">
      <alignment horizontal="center" vertical="center" wrapText="1"/>
    </xf>
    <xf numFmtId="0" fontId="29" fillId="2" borderId="1" xfId="2" applyFont="1" applyFill="1" applyBorder="1" applyAlignment="1">
      <alignment horizontal="left" vertical="center" wrapText="1"/>
    </xf>
    <xf numFmtId="0" fontId="29" fillId="2" borderId="2" xfId="2" applyFont="1" applyFill="1" applyBorder="1" applyAlignment="1">
      <alignment horizontal="left" vertical="center" wrapText="1"/>
    </xf>
    <xf numFmtId="0" fontId="29" fillId="2" borderId="3" xfId="2" applyFont="1" applyFill="1" applyBorder="1" applyAlignment="1">
      <alignment horizontal="left" vertical="center" wrapText="1"/>
    </xf>
    <xf numFmtId="0" fontId="17" fillId="2" borderId="4" xfId="2" applyFont="1" applyFill="1" applyBorder="1" applyAlignment="1">
      <alignment horizontal="left" vertical="center" wrapText="1"/>
    </xf>
    <xf numFmtId="0" fontId="17" fillId="3" borderId="4" xfId="2" applyFont="1" applyFill="1" applyBorder="1" applyAlignment="1">
      <alignment horizontal="center" vertical="center" wrapText="1"/>
    </xf>
    <xf numFmtId="10" fontId="17" fillId="3" borderId="4" xfId="2" applyNumberFormat="1" applyFont="1" applyFill="1" applyBorder="1" applyAlignment="1">
      <alignment horizontal="center" vertical="center" wrapText="1"/>
    </xf>
    <xf numFmtId="0" fontId="17" fillId="3" borderId="1" xfId="2" applyFont="1" applyFill="1" applyBorder="1" applyAlignment="1">
      <alignment horizontal="left" vertical="center" wrapText="1"/>
    </xf>
    <xf numFmtId="0" fontId="17" fillId="3" borderId="2" xfId="2" applyFont="1" applyFill="1" applyBorder="1" applyAlignment="1">
      <alignment horizontal="left" vertical="center" wrapText="1"/>
    </xf>
    <xf numFmtId="0" fontId="17" fillId="3" borderId="3" xfId="2" applyFont="1" applyFill="1" applyBorder="1" applyAlignment="1">
      <alignment horizontal="left" vertical="center" wrapText="1"/>
    </xf>
    <xf numFmtId="0" fontId="17" fillId="2" borderId="1" xfId="2" applyFont="1" applyFill="1" applyBorder="1" applyAlignment="1">
      <alignment horizontal="left" vertical="center" wrapText="1"/>
    </xf>
    <xf numFmtId="0" fontId="19" fillId="2" borderId="2" xfId="2" applyFont="1" applyFill="1" applyBorder="1" applyAlignment="1">
      <alignment horizontal="left" vertical="center" wrapText="1"/>
    </xf>
    <xf numFmtId="0" fontId="19" fillId="2" borderId="3" xfId="2" applyFont="1" applyFill="1" applyBorder="1" applyAlignment="1">
      <alignment horizontal="left" vertical="center" wrapText="1"/>
    </xf>
    <xf numFmtId="0" fontId="17" fillId="2" borderId="2" xfId="2" applyFont="1" applyFill="1" applyBorder="1" applyAlignment="1">
      <alignment horizontal="left" vertical="center" wrapText="1"/>
    </xf>
    <xf numFmtId="0" fontId="17" fillId="2" borderId="3" xfId="2" applyFont="1" applyFill="1" applyBorder="1" applyAlignment="1">
      <alignment horizontal="left" vertical="center" wrapText="1"/>
    </xf>
    <xf numFmtId="0" fontId="19" fillId="2" borderId="1" xfId="2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horizontal="center" vertical="center" wrapText="1"/>
    </xf>
    <xf numFmtId="0" fontId="17" fillId="2" borderId="2" xfId="2" applyFont="1" applyFill="1" applyBorder="1" applyAlignment="1">
      <alignment horizontal="center" vertical="center" wrapText="1"/>
    </xf>
    <xf numFmtId="0" fontId="17" fillId="2" borderId="3" xfId="2" applyFont="1" applyFill="1" applyBorder="1" applyAlignment="1">
      <alignment horizontal="center" vertical="center" wrapText="1"/>
    </xf>
    <xf numFmtId="0" fontId="10" fillId="0" borderId="1" xfId="2" applyFont="1" applyBorder="1" applyAlignment="1">
      <alignment horizontal="left" vertical="center" wrapText="1"/>
    </xf>
    <xf numFmtId="0" fontId="10" fillId="0" borderId="2" xfId="2" applyFont="1" applyBorder="1" applyAlignment="1">
      <alignment horizontal="left" vertical="center" wrapText="1"/>
    </xf>
    <xf numFmtId="0" fontId="20" fillId="0" borderId="1" xfId="2" applyFont="1" applyBorder="1" applyAlignment="1">
      <alignment horizontal="left" vertical="center" wrapText="1"/>
    </xf>
    <xf numFmtId="0" fontId="30" fillId="2" borderId="1" xfId="2" applyFont="1" applyFill="1" applyBorder="1" applyAlignment="1">
      <alignment horizontal="left" vertical="center" wrapText="1"/>
    </xf>
    <xf numFmtId="0" fontId="17" fillId="0" borderId="1" xfId="2" applyFont="1" applyBorder="1" applyAlignment="1">
      <alignment horizontal="left" vertical="center" wrapText="1"/>
    </xf>
    <xf numFmtId="0" fontId="17" fillId="0" borderId="2" xfId="2" applyFont="1" applyBorder="1" applyAlignment="1">
      <alignment horizontal="left" vertical="center" wrapText="1"/>
    </xf>
    <xf numFmtId="0" fontId="20" fillId="2" borderId="1" xfId="2" applyFont="1" applyFill="1" applyBorder="1" applyAlignment="1">
      <alignment horizontal="left" vertical="center" wrapText="1"/>
    </xf>
    <xf numFmtId="0" fontId="20" fillId="2" borderId="2" xfId="2" applyFont="1" applyFill="1" applyBorder="1" applyAlignment="1">
      <alignment horizontal="left" vertical="center" wrapText="1"/>
    </xf>
    <xf numFmtId="0" fontId="20" fillId="2" borderId="3" xfId="2" applyFont="1" applyFill="1" applyBorder="1" applyAlignment="1">
      <alignment horizontal="left" vertical="center" wrapText="1"/>
    </xf>
    <xf numFmtId="0" fontId="42" fillId="2" borderId="1" xfId="2" applyFont="1" applyFill="1" applyBorder="1" applyAlignment="1">
      <alignment horizontal="left" vertical="center" wrapText="1"/>
    </xf>
    <xf numFmtId="0" fontId="42" fillId="2" borderId="2" xfId="2" applyFont="1" applyFill="1" applyBorder="1" applyAlignment="1">
      <alignment horizontal="left" vertical="center" wrapText="1"/>
    </xf>
    <xf numFmtId="0" fontId="42" fillId="2" borderId="3" xfId="2" applyFont="1" applyFill="1" applyBorder="1" applyAlignment="1">
      <alignment horizontal="left" vertical="center" wrapText="1"/>
    </xf>
    <xf numFmtId="0" fontId="24" fillId="2" borderId="1" xfId="2" applyFont="1" applyFill="1" applyBorder="1" applyAlignment="1">
      <alignment horizontal="left" vertical="center" wrapText="1"/>
    </xf>
    <xf numFmtId="0" fontId="22" fillId="2" borderId="2" xfId="2" applyFont="1" applyFill="1" applyBorder="1" applyAlignment="1">
      <alignment horizontal="left" vertical="center" wrapText="1"/>
    </xf>
    <xf numFmtId="0" fontId="22" fillId="2" borderId="3" xfId="2" applyFont="1" applyFill="1" applyBorder="1" applyAlignment="1">
      <alignment horizontal="left" vertical="center" wrapText="1"/>
    </xf>
    <xf numFmtId="0" fontId="17" fillId="2" borderId="1" xfId="2" applyFont="1" applyFill="1" applyBorder="1" applyAlignment="1">
      <alignment horizontal="center" wrapText="1"/>
    </xf>
    <xf numFmtId="0" fontId="17" fillId="2" borderId="2" xfId="2" applyFont="1" applyFill="1" applyBorder="1" applyAlignment="1">
      <alignment horizontal="center" wrapText="1"/>
    </xf>
    <xf numFmtId="0" fontId="17" fillId="2" borderId="3" xfId="2" applyFont="1" applyFill="1" applyBorder="1" applyAlignment="1">
      <alignment horizontal="center" wrapText="1"/>
    </xf>
    <xf numFmtId="0" fontId="44" fillId="2" borderId="1" xfId="2" applyFont="1" applyFill="1" applyBorder="1" applyAlignment="1">
      <alignment horizontal="left" vertical="center" wrapText="1"/>
    </xf>
    <xf numFmtId="0" fontId="44" fillId="2" borderId="2" xfId="2" applyFont="1" applyFill="1" applyBorder="1" applyAlignment="1">
      <alignment horizontal="left" vertical="center" wrapText="1"/>
    </xf>
    <xf numFmtId="0" fontId="44" fillId="2" borderId="3" xfId="2" applyFont="1" applyFill="1" applyBorder="1" applyAlignment="1">
      <alignment horizontal="left" vertical="center" wrapText="1"/>
    </xf>
    <xf numFmtId="0" fontId="31" fillId="2" borderId="1" xfId="2" applyFont="1" applyFill="1" applyBorder="1" applyAlignment="1">
      <alignment horizontal="left" vertical="center" wrapText="1"/>
    </xf>
    <xf numFmtId="0" fontId="31" fillId="2" borderId="2" xfId="2" applyFont="1" applyFill="1" applyBorder="1" applyAlignment="1">
      <alignment horizontal="left" vertical="center" wrapText="1"/>
    </xf>
    <xf numFmtId="0" fontId="31" fillId="2" borderId="3" xfId="2" applyFont="1" applyFill="1" applyBorder="1" applyAlignment="1">
      <alignment horizontal="left" vertical="center" wrapText="1"/>
    </xf>
    <xf numFmtId="0" fontId="17" fillId="0" borderId="4" xfId="2" applyFont="1" applyBorder="1" applyAlignment="1">
      <alignment horizontal="left" vertical="center" wrapText="1"/>
    </xf>
    <xf numFmtId="0" fontId="19" fillId="3" borderId="2" xfId="2" applyFont="1" applyFill="1" applyBorder="1" applyAlignment="1">
      <alignment horizontal="left" vertical="center" wrapText="1"/>
    </xf>
    <xf numFmtId="0" fontId="19" fillId="3" borderId="3" xfId="2" applyFont="1" applyFill="1" applyBorder="1" applyAlignment="1">
      <alignment horizontal="left" vertical="center" wrapText="1"/>
    </xf>
    <xf numFmtId="0" fontId="31" fillId="2" borderId="2" xfId="0" applyFont="1" applyFill="1" applyBorder="1" applyAlignment="1">
      <alignment horizontal="left" vertical="center" wrapText="1"/>
    </xf>
    <xf numFmtId="0" fontId="31" fillId="2" borderId="3" xfId="0" applyFont="1" applyFill="1" applyBorder="1" applyAlignment="1">
      <alignment horizontal="left" vertical="center" wrapText="1"/>
    </xf>
    <xf numFmtId="14" fontId="17" fillId="2" borderId="1" xfId="2" applyNumberFormat="1" applyFont="1" applyFill="1" applyBorder="1" applyAlignment="1">
      <alignment horizontal="center" vertical="center" wrapText="1"/>
    </xf>
    <xf numFmtId="0" fontId="19" fillId="3" borderId="4" xfId="2" applyFont="1" applyFill="1" applyBorder="1" applyAlignment="1">
      <alignment horizontal="center" vertical="center" wrapText="1"/>
    </xf>
    <xf numFmtId="165" fontId="17" fillId="2" borderId="1" xfId="2" applyNumberFormat="1" applyFont="1" applyFill="1" applyBorder="1" applyAlignment="1">
      <alignment horizontal="center" vertical="center" wrapText="1"/>
    </xf>
    <xf numFmtId="165" fontId="17" fillId="2" borderId="3" xfId="2" applyNumberFormat="1" applyFont="1" applyFill="1" applyBorder="1" applyAlignment="1">
      <alignment horizontal="center" vertical="center" wrapText="1"/>
    </xf>
    <xf numFmtId="0" fontId="17" fillId="2" borderId="1" xfId="2" applyFont="1" applyFill="1" applyBorder="1" applyAlignment="1">
      <alignment vertical="center" wrapText="1"/>
    </xf>
    <xf numFmtId="0" fontId="17" fillId="2" borderId="2" xfId="2" applyFont="1" applyFill="1" applyBorder="1" applyAlignment="1">
      <alignment vertical="center" wrapText="1"/>
    </xf>
    <xf numFmtId="0" fontId="17" fillId="2" borderId="3" xfId="2" applyFont="1" applyFill="1" applyBorder="1" applyAlignment="1">
      <alignment vertical="center" wrapText="1"/>
    </xf>
    <xf numFmtId="0" fontId="17" fillId="2" borderId="4" xfId="2" applyFont="1" applyFill="1" applyBorder="1" applyAlignment="1">
      <alignment horizontal="center" vertical="center" wrapText="1"/>
    </xf>
    <xf numFmtId="0" fontId="17" fillId="2" borderId="7" xfId="2" applyFont="1" applyFill="1" applyBorder="1" applyAlignment="1">
      <alignment horizontal="center" vertical="center" wrapText="1"/>
    </xf>
    <xf numFmtId="0" fontId="17" fillId="2" borderId="6" xfId="2" applyFont="1" applyFill="1" applyBorder="1" applyAlignment="1">
      <alignment horizontal="center" vertical="center" wrapText="1"/>
    </xf>
    <xf numFmtId="0" fontId="17" fillId="2" borderId="8" xfId="2" applyFont="1" applyFill="1" applyBorder="1" applyAlignment="1">
      <alignment horizontal="center" vertical="center" wrapText="1"/>
    </xf>
    <xf numFmtId="0" fontId="17" fillId="0" borderId="1" xfId="2" applyFont="1" applyBorder="1" applyAlignment="1">
      <alignment vertical="center" wrapText="1"/>
    </xf>
    <xf numFmtId="0" fontId="17" fillId="0" borderId="2" xfId="2" applyFont="1" applyBorder="1" applyAlignment="1">
      <alignment vertical="center" wrapText="1"/>
    </xf>
    <xf numFmtId="0" fontId="17" fillId="0" borderId="3" xfId="2" applyFont="1" applyBorder="1" applyAlignment="1">
      <alignment vertical="center" wrapText="1"/>
    </xf>
    <xf numFmtId="0" fontId="21" fillId="2" borderId="1" xfId="2" applyFont="1" applyFill="1" applyBorder="1" applyAlignment="1">
      <alignment horizontal="left" vertical="center" wrapText="1"/>
    </xf>
    <xf numFmtId="0" fontId="21" fillId="2" borderId="2" xfId="2" applyFont="1" applyFill="1" applyBorder="1" applyAlignment="1">
      <alignment horizontal="left" vertical="center" wrapText="1"/>
    </xf>
    <xf numFmtId="0" fontId="21" fillId="2" borderId="3" xfId="2" applyFont="1" applyFill="1" applyBorder="1" applyAlignment="1">
      <alignment horizontal="left" vertical="center" wrapText="1"/>
    </xf>
    <xf numFmtId="0" fontId="21" fillId="2" borderId="4" xfId="2" applyFont="1" applyFill="1" applyBorder="1" applyAlignment="1">
      <alignment horizontal="left" vertical="center" wrapText="1"/>
    </xf>
    <xf numFmtId="0" fontId="42" fillId="2" borderId="4" xfId="2" applyFont="1" applyFill="1" applyBorder="1" applyAlignment="1">
      <alignment horizontal="center" wrapText="1"/>
    </xf>
    <xf numFmtId="0" fontId="1" fillId="0" borderId="0" xfId="2" applyFont="1" applyAlignment="1">
      <alignment horizontal="left" vertical="center" wrapText="1"/>
    </xf>
    <xf numFmtId="0" fontId="10" fillId="3" borderId="1" xfId="2" applyFont="1" applyFill="1" applyBorder="1" applyAlignment="1">
      <alignment horizontal="center" vertical="center" wrapText="1"/>
    </xf>
    <xf numFmtId="0" fontId="10" fillId="3" borderId="2" xfId="2" applyFont="1" applyFill="1" applyBorder="1" applyAlignment="1">
      <alignment horizontal="center" vertical="center" wrapText="1"/>
    </xf>
    <xf numFmtId="0" fontId="10" fillId="3" borderId="3" xfId="2" applyFont="1" applyFill="1" applyBorder="1" applyAlignment="1">
      <alignment horizontal="center" vertical="center" wrapText="1"/>
    </xf>
    <xf numFmtId="14" fontId="21" fillId="2" borderId="4" xfId="2" applyNumberFormat="1" applyFont="1" applyFill="1" applyBorder="1" applyAlignment="1">
      <alignment horizontal="center" vertical="center" wrapText="1"/>
    </xf>
    <xf numFmtId="0" fontId="18" fillId="2" borderId="1" xfId="2" applyFont="1" applyFill="1" applyBorder="1" applyAlignment="1">
      <alignment horizontal="left" vertical="center" wrapText="1"/>
    </xf>
    <xf numFmtId="0" fontId="18" fillId="2" borderId="2" xfId="2" applyFont="1" applyFill="1" applyBorder="1" applyAlignment="1">
      <alignment horizontal="left" vertical="center" wrapText="1"/>
    </xf>
    <xf numFmtId="0" fontId="18" fillId="2" borderId="3" xfId="2" applyFont="1" applyFill="1" applyBorder="1" applyAlignment="1">
      <alignment horizontal="left" vertical="center" wrapText="1"/>
    </xf>
    <xf numFmtId="0" fontId="18" fillId="2" borderId="4" xfId="2" applyFont="1" applyFill="1" applyBorder="1" applyAlignment="1">
      <alignment horizontal="left" vertical="center" wrapText="1"/>
    </xf>
    <xf numFmtId="0" fontId="19" fillId="2" borderId="4" xfId="2" applyFont="1" applyFill="1" applyBorder="1" applyAlignment="1">
      <alignment horizontal="center" wrapText="1"/>
    </xf>
    <xf numFmtId="0" fontId="19" fillId="2" borderId="1" xfId="2" applyFont="1" applyFill="1" applyBorder="1" applyAlignment="1">
      <alignment horizontal="left" vertical="center" wrapText="1"/>
    </xf>
    <xf numFmtId="0" fontId="10" fillId="2" borderId="1" xfId="2" applyFont="1" applyFill="1" applyBorder="1" applyAlignment="1">
      <alignment horizontal="left" vertical="center" wrapText="1"/>
    </xf>
    <xf numFmtId="14" fontId="18" fillId="2" borderId="4" xfId="2" applyNumberFormat="1" applyFont="1" applyFill="1" applyBorder="1" applyAlignment="1">
      <alignment horizontal="center" vertical="center" wrapText="1"/>
    </xf>
    <xf numFmtId="0" fontId="21" fillId="3" borderId="1" xfId="2" applyFont="1" applyFill="1" applyBorder="1" applyAlignment="1">
      <alignment horizontal="left" vertical="center" wrapText="1"/>
    </xf>
    <xf numFmtId="0" fontId="21" fillId="3" borderId="2" xfId="2" applyFont="1" applyFill="1" applyBorder="1" applyAlignment="1">
      <alignment horizontal="left" vertical="center" wrapText="1"/>
    </xf>
    <xf numFmtId="0" fontId="21" fillId="3" borderId="3" xfId="2" applyFont="1" applyFill="1" applyBorder="1" applyAlignment="1">
      <alignment horizontal="left" vertical="center" wrapText="1"/>
    </xf>
    <xf numFmtId="0" fontId="42" fillId="3" borderId="2" xfId="2" applyFont="1" applyFill="1" applyBorder="1" applyAlignment="1">
      <alignment horizontal="left" vertical="center" wrapText="1"/>
    </xf>
    <xf numFmtId="0" fontId="42" fillId="3" borderId="3" xfId="2" applyFont="1" applyFill="1" applyBorder="1" applyAlignment="1">
      <alignment horizontal="left" vertical="center" wrapText="1"/>
    </xf>
    <xf numFmtId="0" fontId="21" fillId="3" borderId="1" xfId="2" applyFont="1" applyFill="1" applyBorder="1" applyAlignment="1">
      <alignment horizontal="center" vertical="center" wrapText="1"/>
    </xf>
    <xf numFmtId="0" fontId="21" fillId="3" borderId="2" xfId="2" applyFont="1" applyFill="1" applyBorder="1" applyAlignment="1">
      <alignment horizontal="center" vertical="center" wrapText="1"/>
    </xf>
    <xf numFmtId="0" fontId="21" fillId="3" borderId="3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 wrapText="1"/>
    </xf>
    <xf numFmtId="0" fontId="24" fillId="3" borderId="2" xfId="2" applyFont="1" applyFill="1" applyBorder="1" applyAlignment="1">
      <alignment horizontal="center" vertical="center" wrapText="1"/>
    </xf>
    <xf numFmtId="0" fontId="24" fillId="3" borderId="3" xfId="2" applyFont="1" applyFill="1" applyBorder="1" applyAlignment="1">
      <alignment horizontal="center" vertical="center" wrapText="1"/>
    </xf>
    <xf numFmtId="0" fontId="21" fillId="2" borderId="1" xfId="2" applyFont="1" applyFill="1" applyBorder="1" applyAlignment="1">
      <alignment vertical="center" wrapText="1"/>
    </xf>
    <xf numFmtId="0" fontId="21" fillId="2" borderId="2" xfId="2" applyFont="1" applyFill="1" applyBorder="1" applyAlignment="1">
      <alignment vertical="center" wrapText="1"/>
    </xf>
    <xf numFmtId="0" fontId="21" fillId="2" borderId="3" xfId="2" applyFont="1" applyFill="1" applyBorder="1" applyAlignment="1">
      <alignment vertical="center" wrapText="1"/>
    </xf>
    <xf numFmtId="0" fontId="22" fillId="2" borderId="1" xfId="2" applyFont="1" applyFill="1" applyBorder="1" applyAlignment="1">
      <alignment horizontal="left" vertical="center" wrapText="1"/>
    </xf>
    <xf numFmtId="0" fontId="21" fillId="3" borderId="42" xfId="2" applyFont="1" applyFill="1" applyBorder="1" applyAlignment="1">
      <alignment horizontal="center" vertical="center" wrapText="1"/>
    </xf>
    <xf numFmtId="0" fontId="21" fillId="3" borderId="46" xfId="2" applyFont="1" applyFill="1" applyBorder="1" applyAlignment="1">
      <alignment horizontal="center" vertical="center" wrapText="1"/>
    </xf>
    <xf numFmtId="0" fontId="21" fillId="3" borderId="33" xfId="2" applyFont="1" applyFill="1" applyBorder="1" applyAlignment="1">
      <alignment horizontal="center" vertical="center" wrapText="1"/>
    </xf>
    <xf numFmtId="0" fontId="23" fillId="3" borderId="4" xfId="2" applyFont="1" applyFill="1" applyBorder="1" applyAlignment="1">
      <alignment horizontal="center" vertical="center" wrapText="1"/>
    </xf>
    <xf numFmtId="0" fontId="24" fillId="3" borderId="21" xfId="2" applyFont="1" applyFill="1" applyBorder="1" applyAlignment="1">
      <alignment horizontal="center" vertical="center"/>
    </xf>
    <xf numFmtId="0" fontId="24" fillId="3" borderId="4" xfId="2" applyFont="1" applyFill="1" applyBorder="1" applyAlignment="1">
      <alignment horizontal="center" vertical="center"/>
    </xf>
    <xf numFmtId="0" fontId="24" fillId="3" borderId="23" xfId="2" applyFont="1" applyFill="1" applyBorder="1" applyAlignment="1">
      <alignment horizontal="center" vertical="center"/>
    </xf>
    <xf numFmtId="0" fontId="24" fillId="3" borderId="24" xfId="2" applyFont="1" applyFill="1" applyBorder="1" applyAlignment="1">
      <alignment horizontal="center" vertical="center"/>
    </xf>
    <xf numFmtId="0" fontId="21" fillId="3" borderId="4" xfId="2" applyFont="1" applyFill="1" applyBorder="1" applyAlignment="1">
      <alignment horizontal="center" vertical="center" wrapText="1"/>
    </xf>
    <xf numFmtId="0" fontId="21" fillId="3" borderId="24" xfId="2" applyFont="1" applyFill="1" applyBorder="1" applyAlignment="1">
      <alignment horizontal="center" vertical="center" wrapText="1"/>
    </xf>
    <xf numFmtId="0" fontId="21" fillId="3" borderId="1" xfId="2" applyFont="1" applyFill="1" applyBorder="1" applyAlignment="1">
      <alignment horizontal="center" vertical="center"/>
    </xf>
    <xf numFmtId="0" fontId="21" fillId="3" borderId="2" xfId="2" applyFont="1" applyFill="1" applyBorder="1" applyAlignment="1">
      <alignment horizontal="center" vertical="center"/>
    </xf>
    <xf numFmtId="0" fontId="21" fillId="3" borderId="3" xfId="2" applyFont="1" applyFill="1" applyBorder="1" applyAlignment="1">
      <alignment horizontal="center" vertical="center"/>
    </xf>
    <xf numFmtId="0" fontId="21" fillId="4" borderId="1" xfId="2" applyFont="1" applyFill="1" applyBorder="1" applyAlignment="1">
      <alignment horizontal="center" vertical="center" wrapText="1"/>
    </xf>
    <xf numFmtId="0" fontId="21" fillId="4" borderId="2" xfId="2" applyFont="1" applyFill="1" applyBorder="1" applyAlignment="1">
      <alignment horizontal="center" vertical="center" wrapText="1"/>
    </xf>
    <xf numFmtId="0" fontId="21" fillId="4" borderId="3" xfId="2" applyFont="1" applyFill="1" applyBorder="1" applyAlignment="1">
      <alignment horizontal="center" vertical="center" wrapText="1"/>
    </xf>
    <xf numFmtId="0" fontId="21" fillId="5" borderId="7" xfId="2" applyFont="1" applyFill="1" applyBorder="1" applyAlignment="1">
      <alignment horizontal="center" vertical="center" wrapText="1"/>
    </xf>
    <xf numFmtId="0" fontId="21" fillId="5" borderId="8" xfId="2" applyFont="1" applyFill="1" applyBorder="1" applyAlignment="1">
      <alignment horizontal="center" vertical="center" wrapText="1"/>
    </xf>
    <xf numFmtId="0" fontId="21" fillId="5" borderId="16" xfId="2" applyFont="1" applyFill="1" applyBorder="1" applyAlignment="1">
      <alignment horizontal="center" vertical="center" wrapText="1"/>
    </xf>
    <xf numFmtId="0" fontId="21" fillId="5" borderId="9" xfId="2" applyFont="1" applyFill="1" applyBorder="1" applyAlignment="1">
      <alignment horizontal="center" vertical="center" wrapText="1"/>
    </xf>
    <xf numFmtId="0" fontId="10" fillId="3" borderId="18" xfId="2" applyFont="1" applyFill="1" applyBorder="1" applyAlignment="1">
      <alignment horizontal="center" vertical="center" wrapText="1"/>
    </xf>
    <xf numFmtId="0" fontId="10" fillId="3" borderId="19" xfId="2" applyFont="1" applyFill="1" applyBorder="1" applyAlignment="1">
      <alignment horizontal="center" vertical="center" wrapText="1"/>
    </xf>
    <xf numFmtId="0" fontId="10" fillId="3" borderId="20" xfId="2" applyFont="1" applyFill="1" applyBorder="1" applyAlignment="1">
      <alignment horizontal="center" vertical="center" wrapText="1"/>
    </xf>
    <xf numFmtId="0" fontId="10" fillId="3" borderId="21" xfId="2" applyFont="1" applyFill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10" fillId="3" borderId="22" xfId="2" applyFont="1" applyFill="1" applyBorder="1" applyAlignment="1">
      <alignment horizontal="center" vertical="center" wrapText="1"/>
    </xf>
    <xf numFmtId="0" fontId="22" fillId="0" borderId="0" xfId="3" applyFont="1" applyAlignment="1">
      <alignment horizontal="center"/>
    </xf>
    <xf numFmtId="0" fontId="21" fillId="6" borderId="5" xfId="2" applyFont="1" applyFill="1" applyBorder="1" applyAlignment="1">
      <alignment horizontal="center" vertical="center" wrapText="1"/>
    </xf>
    <xf numFmtId="0" fontId="21" fillId="6" borderId="11" xfId="2" applyFont="1" applyFill="1" applyBorder="1" applyAlignment="1">
      <alignment horizontal="center" vertical="center" wrapText="1"/>
    </xf>
    <xf numFmtId="0" fontId="21" fillId="0" borderId="0" xfId="3" applyFont="1" applyAlignment="1">
      <alignment horizontal="left"/>
    </xf>
    <xf numFmtId="0" fontId="24" fillId="3" borderId="21" xfId="2" applyFont="1" applyFill="1" applyBorder="1" applyAlignment="1">
      <alignment horizontal="center"/>
    </xf>
    <xf numFmtId="0" fontId="24" fillId="3" borderId="4" xfId="2" applyFont="1" applyFill="1" applyBorder="1" applyAlignment="1">
      <alignment horizontal="center"/>
    </xf>
    <xf numFmtId="0" fontId="24" fillId="3" borderId="22" xfId="2" applyFont="1" applyFill="1" applyBorder="1" applyAlignment="1">
      <alignment horizontal="center"/>
    </xf>
    <xf numFmtId="0" fontId="21" fillId="3" borderId="21" xfId="2" applyFont="1" applyFill="1" applyBorder="1" applyAlignment="1">
      <alignment horizontal="right"/>
    </xf>
    <xf numFmtId="0" fontId="21" fillId="3" borderId="4" xfId="2" applyFont="1" applyFill="1" applyBorder="1" applyAlignment="1">
      <alignment horizontal="right"/>
    </xf>
    <xf numFmtId="0" fontId="21" fillId="3" borderId="22" xfId="2" applyFont="1" applyFill="1" applyBorder="1" applyAlignment="1">
      <alignment horizontal="right"/>
    </xf>
    <xf numFmtId="0" fontId="21" fillId="3" borderId="21" xfId="2" applyFont="1" applyFill="1" applyBorder="1" applyAlignment="1">
      <alignment horizontal="center" vertical="center" wrapText="1"/>
    </xf>
    <xf numFmtId="0" fontId="21" fillId="3" borderId="37" xfId="2" applyFont="1" applyFill="1" applyBorder="1" applyAlignment="1">
      <alignment horizontal="center" vertical="center" wrapText="1"/>
    </xf>
    <xf numFmtId="0" fontId="21" fillId="3" borderId="5" xfId="2" applyFont="1" applyFill="1" applyBorder="1" applyAlignment="1">
      <alignment horizontal="center" vertical="center" wrapText="1"/>
    </xf>
    <xf numFmtId="0" fontId="21" fillId="3" borderId="10" xfId="2" applyFont="1" applyFill="1" applyBorder="1" applyAlignment="1">
      <alignment horizontal="center" vertical="center" wrapText="1"/>
    </xf>
    <xf numFmtId="0" fontId="21" fillId="3" borderId="11" xfId="2" applyFont="1" applyFill="1" applyBorder="1" applyAlignment="1">
      <alignment horizontal="center" vertical="center" wrapText="1"/>
    </xf>
    <xf numFmtId="0" fontId="2" fillId="0" borderId="15" xfId="0" applyFont="1" applyBorder="1" applyAlignment="1">
      <alignment horizontal="center"/>
    </xf>
    <xf numFmtId="0" fontId="24" fillId="3" borderId="4" xfId="2" applyFont="1" applyFill="1" applyBorder="1" applyAlignment="1">
      <alignment horizontal="center" vertical="center" wrapText="1"/>
    </xf>
    <xf numFmtId="165" fontId="13" fillId="0" borderId="4" xfId="2" applyNumberFormat="1" applyFont="1" applyBorder="1" applyAlignment="1">
      <alignment horizontal="center" vertical="center"/>
    </xf>
    <xf numFmtId="0" fontId="13" fillId="0" borderId="4" xfId="2" applyFont="1" applyBorder="1" applyAlignment="1">
      <alignment horizontal="center" vertical="center"/>
    </xf>
    <xf numFmtId="0" fontId="10" fillId="3" borderId="26" xfId="2" applyFont="1" applyFill="1" applyBorder="1" applyAlignment="1">
      <alignment horizontal="center" vertical="center" wrapText="1"/>
    </xf>
    <xf numFmtId="0" fontId="10" fillId="3" borderId="27" xfId="2" applyFont="1" applyFill="1" applyBorder="1" applyAlignment="1">
      <alignment horizontal="center" vertical="center" wrapText="1"/>
    </xf>
    <xf numFmtId="0" fontId="10" fillId="3" borderId="28" xfId="2" applyFont="1" applyFill="1" applyBorder="1" applyAlignment="1">
      <alignment horizontal="center" vertical="center" wrapText="1"/>
    </xf>
    <xf numFmtId="0" fontId="10" fillId="3" borderId="29" xfId="2" applyFont="1" applyFill="1" applyBorder="1" applyAlignment="1">
      <alignment horizontal="center" vertical="center" wrapText="1"/>
    </xf>
    <xf numFmtId="0" fontId="10" fillId="3" borderId="30" xfId="2" applyFont="1" applyFill="1" applyBorder="1" applyAlignment="1">
      <alignment horizontal="center" vertical="center" wrapText="1"/>
    </xf>
    <xf numFmtId="0" fontId="24" fillId="3" borderId="1" xfId="2" applyFont="1" applyFill="1" applyBorder="1" applyAlignment="1">
      <alignment horizontal="center" vertical="center"/>
    </xf>
    <xf numFmtId="0" fontId="24" fillId="3" borderId="22" xfId="2" applyFont="1" applyFill="1" applyBorder="1" applyAlignment="1">
      <alignment horizontal="center" vertical="center"/>
    </xf>
    <xf numFmtId="0" fontId="11" fillId="0" borderId="0" xfId="3" applyFont="1" applyAlignment="1">
      <alignment horizontal="center" vertical="center"/>
    </xf>
    <xf numFmtId="0" fontId="24" fillId="0" borderId="4" xfId="2" applyFont="1" applyBorder="1" applyAlignment="1">
      <alignment horizontal="center" vertical="center" wrapText="1"/>
    </xf>
    <xf numFmtId="0" fontId="24" fillId="0" borderId="4" xfId="2" applyFont="1" applyBorder="1" applyAlignment="1">
      <alignment horizontal="center" vertical="top" wrapText="1"/>
    </xf>
    <xf numFmtId="0" fontId="24" fillId="3" borderId="37" xfId="2" applyFont="1" applyFill="1" applyBorder="1" applyAlignment="1">
      <alignment horizontal="center" vertical="center" wrapText="1"/>
    </xf>
    <xf numFmtId="0" fontId="24" fillId="3" borderId="40" xfId="2" applyFont="1" applyFill="1" applyBorder="1" applyAlignment="1">
      <alignment horizontal="center" vertical="center" wrapText="1"/>
    </xf>
    <xf numFmtId="0" fontId="24" fillId="3" borderId="5" xfId="2" applyFont="1" applyFill="1" applyBorder="1" applyAlignment="1">
      <alignment horizontal="center" vertical="center" wrapText="1"/>
    </xf>
    <xf numFmtId="0" fontId="24" fillId="3" borderId="10" xfId="2" applyFont="1" applyFill="1" applyBorder="1" applyAlignment="1">
      <alignment horizontal="center" vertical="center" wrapText="1"/>
    </xf>
    <xf numFmtId="0" fontId="24" fillId="3" borderId="30" xfId="2" applyFont="1" applyFill="1" applyBorder="1" applyAlignment="1">
      <alignment horizontal="center" vertical="center" wrapText="1"/>
    </xf>
    <xf numFmtId="0" fontId="24" fillId="3" borderId="12" xfId="3" applyFont="1" applyFill="1" applyBorder="1" applyAlignment="1">
      <alignment horizontal="center" vertical="center"/>
    </xf>
    <xf numFmtId="0" fontId="24" fillId="3" borderId="13" xfId="3" applyFont="1" applyFill="1" applyBorder="1" applyAlignment="1">
      <alignment horizontal="center" vertical="center"/>
    </xf>
    <xf numFmtId="0" fontId="24" fillId="3" borderId="14" xfId="3" applyFont="1" applyFill="1" applyBorder="1" applyAlignment="1">
      <alignment horizontal="center" vertical="center"/>
    </xf>
    <xf numFmtId="0" fontId="24" fillId="3" borderId="16" xfId="3" applyFont="1" applyFill="1" applyBorder="1" applyAlignment="1">
      <alignment horizontal="center" vertical="center"/>
    </xf>
    <xf numFmtId="0" fontId="24" fillId="3" borderId="45" xfId="3" applyFont="1" applyFill="1" applyBorder="1" applyAlignment="1">
      <alignment horizontal="center" vertical="center"/>
    </xf>
    <xf numFmtId="0" fontId="22" fillId="0" borderId="15" xfId="3" applyFont="1" applyBorder="1" applyAlignment="1">
      <alignment horizontal="center" vertical="center"/>
    </xf>
    <xf numFmtId="0" fontId="22" fillId="0" borderId="38" xfId="3" applyFont="1" applyBorder="1" applyAlignment="1">
      <alignment horizontal="left" vertical="center"/>
    </xf>
    <xf numFmtId="165" fontId="24" fillId="0" borderId="1" xfId="3" applyNumberFormat="1" applyFont="1" applyBorder="1" applyAlignment="1">
      <alignment horizontal="left" vertical="center" wrapText="1"/>
    </xf>
    <xf numFmtId="0" fontId="24" fillId="0" borderId="2" xfId="3" applyFont="1" applyBorder="1" applyAlignment="1">
      <alignment horizontal="left" vertical="center" wrapText="1"/>
    </xf>
    <xf numFmtId="0" fontId="24" fillId="0" borderId="3" xfId="3" applyFont="1" applyBorder="1" applyAlignment="1">
      <alignment horizontal="left" vertical="center" wrapText="1"/>
    </xf>
    <xf numFmtId="0" fontId="22" fillId="0" borderId="24" xfId="3" applyFont="1" applyBorder="1" applyAlignment="1">
      <alignment horizontal="left" vertical="center" wrapText="1"/>
    </xf>
    <xf numFmtId="165" fontId="24" fillId="0" borderId="41" xfId="3" applyNumberFormat="1" applyFont="1" applyBorder="1" applyAlignment="1">
      <alignment horizontal="center" vertical="center" wrapText="1"/>
    </xf>
    <xf numFmtId="165" fontId="24" fillId="0" borderId="43" xfId="3" applyNumberFormat="1" applyFont="1" applyBorder="1" applyAlignment="1">
      <alignment horizontal="center" vertical="center" wrapText="1"/>
    </xf>
    <xf numFmtId="165" fontId="24" fillId="0" borderId="2" xfId="3" applyNumberFormat="1" applyFont="1" applyBorder="1" applyAlignment="1">
      <alignment horizontal="left" vertical="center" wrapText="1"/>
    </xf>
    <xf numFmtId="165" fontId="24" fillId="0" borderId="3" xfId="3" applyNumberFormat="1" applyFont="1" applyBorder="1" applyAlignment="1">
      <alignment horizontal="left" vertical="center" wrapText="1"/>
    </xf>
    <xf numFmtId="4" fontId="22" fillId="0" borderId="4" xfId="3" applyNumberFormat="1" applyFont="1" applyBorder="1" applyAlignment="1">
      <alignment horizontal="center" vertical="center" wrapText="1"/>
    </xf>
    <xf numFmtId="4" fontId="22" fillId="0" borderId="22" xfId="3" applyNumberFormat="1" applyFont="1" applyBorder="1" applyAlignment="1">
      <alignment horizontal="center" vertical="center" wrapText="1"/>
    </xf>
    <xf numFmtId="4" fontId="24" fillId="0" borderId="4" xfId="3" applyNumberFormat="1" applyFont="1" applyBorder="1" applyAlignment="1">
      <alignment horizontal="center" vertical="center" wrapText="1"/>
    </xf>
    <xf numFmtId="4" fontId="24" fillId="0" borderId="22" xfId="3" applyNumberFormat="1" applyFont="1" applyBorder="1" applyAlignment="1">
      <alignment horizontal="center" vertical="center" wrapText="1"/>
    </xf>
    <xf numFmtId="0" fontId="22" fillId="0" borderId="4" xfId="3" applyFont="1" applyBorder="1" applyAlignment="1">
      <alignment horizontal="left" vertical="center" wrapText="1"/>
    </xf>
    <xf numFmtId="4" fontId="22" fillId="0" borderId="1" xfId="3" applyNumberFormat="1" applyFont="1" applyBorder="1" applyAlignment="1">
      <alignment horizontal="center" vertical="center" wrapText="1"/>
    </xf>
    <xf numFmtId="4" fontId="22" fillId="0" borderId="30" xfId="3" applyNumberFormat="1" applyFont="1" applyBorder="1" applyAlignment="1">
      <alignment horizontal="center" vertical="center" wrapText="1"/>
    </xf>
    <xf numFmtId="4" fontId="24" fillId="3" borderId="1" xfId="3" applyNumberFormat="1" applyFont="1" applyFill="1" applyBorder="1" applyAlignment="1">
      <alignment horizontal="center"/>
    </xf>
    <xf numFmtId="4" fontId="24" fillId="3" borderId="30" xfId="3" applyNumberFormat="1" applyFont="1" applyFill="1" applyBorder="1" applyAlignment="1">
      <alignment horizontal="center"/>
    </xf>
    <xf numFmtId="0" fontId="24" fillId="3" borderId="44" xfId="3" applyFont="1" applyFill="1" applyBorder="1" applyAlignment="1">
      <alignment horizontal="center" vertical="center"/>
    </xf>
    <xf numFmtId="0" fontId="24" fillId="3" borderId="17" xfId="3" applyFont="1" applyFill="1" applyBorder="1" applyAlignment="1">
      <alignment horizontal="center" vertical="center"/>
    </xf>
    <xf numFmtId="0" fontId="24" fillId="3" borderId="9" xfId="3" applyFont="1" applyFill="1" applyBorder="1" applyAlignment="1">
      <alignment horizontal="center" vertical="center"/>
    </xf>
    <xf numFmtId="0" fontId="24" fillId="3" borderId="29" xfId="3" applyFont="1" applyFill="1" applyBorder="1" applyAlignment="1">
      <alignment horizontal="center" vertical="center"/>
    </xf>
    <xf numFmtId="0" fontId="24" fillId="3" borderId="2" xfId="3" applyFont="1" applyFill="1" applyBorder="1" applyAlignment="1">
      <alignment horizontal="center" vertical="center"/>
    </xf>
    <xf numFmtId="0" fontId="24" fillId="3" borderId="3" xfId="3" applyFont="1" applyFill="1" applyBorder="1" applyAlignment="1">
      <alignment horizontal="center" vertical="center"/>
    </xf>
    <xf numFmtId="4" fontId="24" fillId="3" borderId="1" xfId="3" applyNumberFormat="1" applyFont="1" applyFill="1" applyBorder="1" applyAlignment="1">
      <alignment horizontal="center" vertical="center"/>
    </xf>
    <xf numFmtId="4" fontId="24" fillId="3" borderId="3" xfId="3" applyNumberFormat="1" applyFont="1" applyFill="1" applyBorder="1" applyAlignment="1">
      <alignment horizontal="center" vertical="center"/>
    </xf>
    <xf numFmtId="0" fontId="24" fillId="0" borderId="5" xfId="3" applyFont="1" applyBorder="1" applyAlignment="1">
      <alignment horizontal="center" vertical="center"/>
    </xf>
    <xf numFmtId="0" fontId="24" fillId="3" borderId="11" xfId="3" applyFont="1" applyFill="1" applyBorder="1" applyAlignment="1">
      <alignment horizontal="center" vertical="center" wrapText="1"/>
    </xf>
    <xf numFmtId="0" fontId="24" fillId="3" borderId="33" xfId="3" applyFont="1" applyFill="1" applyBorder="1" applyAlignment="1">
      <alignment horizontal="center" vertical="center" wrapText="1"/>
    </xf>
    <xf numFmtId="0" fontId="24" fillId="3" borderId="4" xfId="3" applyFont="1" applyFill="1" applyBorder="1" applyAlignment="1">
      <alignment horizontal="left" vertical="center" wrapText="1"/>
    </xf>
    <xf numFmtId="0" fontId="24" fillId="3" borderId="31" xfId="3" applyFont="1" applyFill="1" applyBorder="1" applyAlignment="1">
      <alignment horizontal="center" vertical="center" wrapText="1"/>
    </xf>
    <xf numFmtId="0" fontId="24" fillId="3" borderId="8" xfId="3" applyFont="1" applyFill="1" applyBorder="1" applyAlignment="1">
      <alignment horizontal="center" vertical="center" wrapText="1"/>
    </xf>
    <xf numFmtId="0" fontId="20" fillId="0" borderId="0" xfId="2" applyFont="1" applyAlignment="1">
      <alignment horizontal="center"/>
    </xf>
    <xf numFmtId="0" fontId="24" fillId="3" borderId="34" xfId="3" applyFont="1" applyFill="1" applyBorder="1" applyAlignment="1">
      <alignment horizontal="center" vertical="center" wrapText="1"/>
    </xf>
    <xf numFmtId="0" fontId="24" fillId="3" borderId="35" xfId="3" applyFont="1" applyFill="1" applyBorder="1" applyAlignment="1">
      <alignment horizontal="center" vertical="center" wrapText="1"/>
    </xf>
    <xf numFmtId="0" fontId="24" fillId="3" borderId="36" xfId="3" applyFont="1" applyFill="1" applyBorder="1" applyAlignment="1">
      <alignment horizontal="center" vertical="center" wrapText="1"/>
    </xf>
    <xf numFmtId="0" fontId="24" fillId="3" borderId="4" xfId="3" applyFont="1" applyFill="1" applyBorder="1" applyAlignment="1">
      <alignment horizontal="center"/>
    </xf>
    <xf numFmtId="0" fontId="24" fillId="3" borderId="22" xfId="3" applyFont="1" applyFill="1" applyBorder="1" applyAlignment="1">
      <alignment horizontal="center"/>
    </xf>
    <xf numFmtId="0" fontId="24" fillId="0" borderId="0" xfId="2" applyFont="1" applyAlignment="1">
      <alignment horizontal="left" vertical="center"/>
    </xf>
    <xf numFmtId="0" fontId="10" fillId="2" borderId="4" xfId="2" applyFont="1" applyFill="1" applyBorder="1" applyAlignment="1">
      <alignment horizontal="left" vertical="center" wrapText="1"/>
    </xf>
    <xf numFmtId="0" fontId="24" fillId="0" borderId="0" xfId="2" applyFont="1" applyAlignment="1">
      <alignment horizontal="center" vertical="center"/>
    </xf>
    <xf numFmtId="0" fontId="22" fillId="0" borderId="27" xfId="3" applyFont="1" applyBorder="1" applyAlignment="1">
      <alignment horizontal="center" vertical="center"/>
    </xf>
    <xf numFmtId="0" fontId="10" fillId="3" borderId="34" xfId="2" applyFont="1" applyFill="1" applyBorder="1" applyAlignment="1">
      <alignment horizontal="center" vertical="center" wrapText="1"/>
    </xf>
    <xf numFmtId="0" fontId="10" fillId="3" borderId="35" xfId="2" applyFont="1" applyFill="1" applyBorder="1" applyAlignment="1">
      <alignment horizontal="center" vertical="center" wrapText="1"/>
    </xf>
    <xf numFmtId="0" fontId="10" fillId="3" borderId="36" xfId="2" applyFont="1" applyFill="1" applyBorder="1" applyAlignment="1">
      <alignment horizontal="center" vertical="center" wrapText="1"/>
    </xf>
    <xf numFmtId="0" fontId="12" fillId="3" borderId="34" xfId="3" applyFont="1" applyFill="1" applyBorder="1" applyAlignment="1">
      <alignment horizontal="center" vertical="center" wrapText="1"/>
    </xf>
    <xf numFmtId="0" fontId="12" fillId="3" borderId="35" xfId="3" applyFont="1" applyFill="1" applyBorder="1" applyAlignment="1">
      <alignment horizontal="center" vertical="center" wrapText="1"/>
    </xf>
    <xf numFmtId="0" fontId="12" fillId="3" borderId="36" xfId="3" applyFont="1" applyFill="1" applyBorder="1" applyAlignment="1">
      <alignment horizontal="center" vertical="center" wrapText="1"/>
    </xf>
    <xf numFmtId="0" fontId="24" fillId="3" borderId="18" xfId="3" applyFont="1" applyFill="1" applyBorder="1" applyAlignment="1">
      <alignment horizontal="center" vertical="center" wrapText="1"/>
    </xf>
    <xf numFmtId="0" fontId="24" fillId="3" borderId="19" xfId="3" applyFont="1" applyFill="1" applyBorder="1" applyAlignment="1">
      <alignment horizontal="center" vertical="center" wrapText="1"/>
    </xf>
    <xf numFmtId="0" fontId="24" fillId="3" borderId="20" xfId="3" applyFont="1" applyFill="1" applyBorder="1" applyAlignment="1">
      <alignment horizontal="center" vertical="center" wrapText="1"/>
    </xf>
    <xf numFmtId="0" fontId="24" fillId="3" borderId="22" xfId="3" applyFont="1" applyFill="1" applyBorder="1" applyAlignment="1">
      <alignment horizontal="center" vertical="center" wrapText="1"/>
    </xf>
  </cellXfs>
  <cellStyles count="7">
    <cellStyle name="Moeda" xfId="6" builtinId="4"/>
    <cellStyle name="Normal" xfId="0" builtinId="0"/>
    <cellStyle name="Normal 2" xfId="2" xr:uid="{00000000-0005-0000-0000-000002000000}"/>
    <cellStyle name="Normal 3" xfId="3" xr:uid="{00000000-0005-0000-0000-000003000000}"/>
    <cellStyle name="Porcentagem" xfId="5" builtinId="5"/>
    <cellStyle name="Vírgula" xfId="1" builtinId="3"/>
    <cellStyle name="Vírgula 2" xfId="4" xr:uid="{00000000-0005-0000-0000-000006000000}"/>
  </cellStyles>
  <dxfs count="0"/>
  <tableStyles count="0" defaultTableStyle="TableStyleMedium2" defaultPivotStyle="PivotStyleLight16"/>
  <colors>
    <mruColors>
      <color rgb="FFFF7C80"/>
      <color rgb="FFFFFFCC"/>
      <color rgb="FFFFFF99"/>
      <color rgb="FFCCFF33"/>
      <color rgb="FF3399FF"/>
      <color rgb="FFFF9966"/>
      <color rgb="FF21BA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 tint="0.59999389629810485"/>
  </sheetPr>
  <dimension ref="A1:I157"/>
  <sheetViews>
    <sheetView topLeftCell="A152" zoomScale="140" zoomScaleNormal="140" workbookViewId="0">
      <selection activeCell="G79" sqref="G79"/>
    </sheetView>
  </sheetViews>
  <sheetFormatPr defaultColWidth="9.42578125" defaultRowHeight="15" x14ac:dyDescent="0.25"/>
  <cols>
    <col min="1" max="1" width="3.140625" style="21" bestFit="1" customWidth="1"/>
    <col min="2" max="4" width="15.5703125" style="21" customWidth="1"/>
    <col min="5" max="5" width="17.5703125" style="21" customWidth="1"/>
    <col min="6" max="6" width="13.140625" style="87" customWidth="1"/>
    <col min="7" max="7" width="17.28515625" style="110" customWidth="1"/>
    <col min="8" max="8" width="4.5703125" style="1" customWidth="1"/>
    <col min="9" max="16384" width="9.42578125" style="1"/>
  </cols>
  <sheetData>
    <row r="1" spans="1:8" ht="12" customHeight="1" x14ac:dyDescent="0.25">
      <c r="A1" s="250" t="s">
        <v>0</v>
      </c>
      <c r="B1" s="250"/>
      <c r="C1" s="250"/>
      <c r="D1" s="250"/>
      <c r="E1" s="250"/>
      <c r="F1" s="250"/>
      <c r="G1" s="250"/>
    </row>
    <row r="2" spans="1:8" ht="12.75" customHeight="1" x14ac:dyDescent="0.25">
      <c r="A2" s="250" t="s">
        <v>1</v>
      </c>
      <c r="B2" s="250"/>
      <c r="C2" s="250"/>
      <c r="D2" s="250"/>
      <c r="E2" s="250"/>
      <c r="F2" s="250"/>
      <c r="G2" s="250"/>
    </row>
    <row r="3" spans="1:8" ht="13.5" customHeight="1" x14ac:dyDescent="0.25">
      <c r="A3" s="250" t="s">
        <v>2</v>
      </c>
      <c r="B3" s="250"/>
      <c r="C3" s="250"/>
      <c r="D3" s="250"/>
      <c r="E3" s="250"/>
      <c r="F3" s="250"/>
      <c r="G3" s="250"/>
    </row>
    <row r="4" spans="1:8" ht="12.75" customHeight="1" x14ac:dyDescent="0.25">
      <c r="A4" s="250" t="s">
        <v>156</v>
      </c>
      <c r="B4" s="250"/>
      <c r="C4" s="250"/>
      <c r="D4" s="250"/>
      <c r="E4" s="250"/>
      <c r="F4" s="250"/>
      <c r="G4" s="250"/>
    </row>
    <row r="5" spans="1:8" ht="10.5" customHeight="1" x14ac:dyDescent="0.25">
      <c r="A5" s="274"/>
      <c r="B5" s="274"/>
      <c r="C5" s="274"/>
      <c r="D5" s="274"/>
      <c r="E5" s="274"/>
      <c r="F5" s="274"/>
      <c r="G5" s="274"/>
    </row>
    <row r="6" spans="1:8" ht="49.5" customHeight="1" x14ac:dyDescent="0.25">
      <c r="A6" s="211" t="s">
        <v>203</v>
      </c>
      <c r="B6" s="211"/>
      <c r="C6" s="211"/>
      <c r="D6" s="211"/>
      <c r="E6" s="211"/>
      <c r="F6" s="211"/>
      <c r="G6" s="211"/>
    </row>
    <row r="7" spans="1:8" ht="18" customHeight="1" x14ac:dyDescent="0.25">
      <c r="A7" s="202" t="s">
        <v>144</v>
      </c>
      <c r="B7" s="201"/>
      <c r="C7" s="201"/>
      <c r="D7" s="201"/>
      <c r="E7" s="201"/>
      <c r="F7" s="201"/>
      <c r="G7" s="203"/>
    </row>
    <row r="8" spans="1:8" ht="15.75" customHeight="1" x14ac:dyDescent="0.25">
      <c r="A8" s="202" t="s">
        <v>177</v>
      </c>
      <c r="B8" s="201"/>
      <c r="C8" s="201"/>
      <c r="D8" s="201"/>
      <c r="E8" s="201"/>
      <c r="F8" s="201"/>
      <c r="G8" s="203"/>
    </row>
    <row r="9" spans="1:8" ht="12" customHeight="1" x14ac:dyDescent="0.25">
      <c r="A9" s="269" t="s">
        <v>267</v>
      </c>
      <c r="B9" s="270"/>
      <c r="C9" s="270"/>
      <c r="D9" s="270"/>
      <c r="E9" s="270"/>
      <c r="F9" s="270"/>
      <c r="G9" s="271"/>
    </row>
    <row r="10" spans="1:8" ht="12.75" customHeight="1" x14ac:dyDescent="0.25">
      <c r="A10" s="269" t="s">
        <v>268</v>
      </c>
      <c r="B10" s="270"/>
      <c r="C10" s="270"/>
      <c r="D10" s="270"/>
      <c r="E10" s="270"/>
      <c r="F10" s="270"/>
      <c r="G10" s="271"/>
    </row>
    <row r="11" spans="1:8" ht="12.75" customHeight="1" x14ac:dyDescent="0.25">
      <c r="A11" s="272" t="s">
        <v>7</v>
      </c>
      <c r="B11" s="272"/>
      <c r="C11" s="272"/>
      <c r="D11" s="272"/>
      <c r="E11" s="272"/>
      <c r="F11" s="272"/>
      <c r="G11" s="272"/>
    </row>
    <row r="12" spans="1:8" ht="11.25" customHeight="1" x14ac:dyDescent="0.25">
      <c r="A12" s="273"/>
      <c r="B12" s="273"/>
      <c r="C12" s="273"/>
      <c r="D12" s="273"/>
      <c r="E12" s="273"/>
      <c r="F12" s="273"/>
      <c r="G12" s="273"/>
    </row>
    <row r="13" spans="1:8" x14ac:dyDescent="0.25">
      <c r="A13" s="275" t="s">
        <v>8</v>
      </c>
      <c r="B13" s="276"/>
      <c r="C13" s="276"/>
      <c r="D13" s="276"/>
      <c r="E13" s="276"/>
      <c r="F13" s="276"/>
      <c r="G13" s="277"/>
    </row>
    <row r="14" spans="1:8" x14ac:dyDescent="0.25">
      <c r="A14" s="101" t="s">
        <v>9</v>
      </c>
      <c r="B14" s="259" t="s">
        <v>10</v>
      </c>
      <c r="C14" s="260"/>
      <c r="D14" s="260"/>
      <c r="E14" s="261"/>
      <c r="F14" s="278">
        <f ca="1">NOW()</f>
        <v>45832.614331828707</v>
      </c>
      <c r="G14" s="278"/>
    </row>
    <row r="15" spans="1:8" ht="13.5" customHeight="1" x14ac:dyDescent="0.25">
      <c r="A15" s="101" t="s">
        <v>11</v>
      </c>
      <c r="B15" s="259" t="s">
        <v>12</v>
      </c>
      <c r="C15" s="260"/>
      <c r="D15" s="260"/>
      <c r="E15" s="261"/>
      <c r="F15" s="223" t="s">
        <v>13</v>
      </c>
      <c r="G15" s="225"/>
    </row>
    <row r="16" spans="1:8" ht="20.25" customHeight="1" x14ac:dyDescent="0.25">
      <c r="A16" s="103" t="s">
        <v>14</v>
      </c>
      <c r="B16" s="266" t="s">
        <v>15</v>
      </c>
      <c r="C16" s="267"/>
      <c r="D16" s="267"/>
      <c r="E16" s="268"/>
      <c r="F16" s="223" t="s">
        <v>244</v>
      </c>
      <c r="G16" s="225"/>
      <c r="H16" s="55"/>
    </row>
    <row r="17" spans="1:8" ht="15" customHeight="1" x14ac:dyDescent="0.25">
      <c r="A17" s="101" t="s">
        <v>16</v>
      </c>
      <c r="B17" s="259" t="s">
        <v>179</v>
      </c>
      <c r="C17" s="260"/>
      <c r="D17" s="260"/>
      <c r="E17" s="261"/>
      <c r="F17" s="223">
        <v>36</v>
      </c>
      <c r="G17" s="225"/>
      <c r="H17" s="56"/>
    </row>
    <row r="18" spans="1:8" ht="9" customHeight="1" x14ac:dyDescent="0.25">
      <c r="A18" s="84"/>
      <c r="B18" s="84"/>
      <c r="C18" s="84"/>
      <c r="D18" s="84"/>
      <c r="E18" s="84"/>
      <c r="F18" s="84"/>
      <c r="G18" s="105"/>
      <c r="H18" s="56"/>
    </row>
    <row r="19" spans="1:8" x14ac:dyDescent="0.25">
      <c r="A19" s="202" t="s">
        <v>17</v>
      </c>
      <c r="B19" s="201"/>
      <c r="C19" s="201"/>
      <c r="D19" s="201"/>
      <c r="E19" s="201"/>
      <c r="F19" s="201"/>
      <c r="G19" s="203"/>
    </row>
    <row r="20" spans="1:8" ht="32.25" customHeight="1" x14ac:dyDescent="0.25">
      <c r="A20" s="262" t="s">
        <v>18</v>
      </c>
      <c r="B20" s="262"/>
      <c r="C20" s="262"/>
      <c r="D20" s="262"/>
      <c r="E20" s="121" t="s">
        <v>19</v>
      </c>
      <c r="F20" s="223" t="s">
        <v>20</v>
      </c>
      <c r="G20" s="225"/>
    </row>
    <row r="21" spans="1:8" ht="18.75" customHeight="1" x14ac:dyDescent="0.25">
      <c r="A21" s="263" t="s">
        <v>194</v>
      </c>
      <c r="B21" s="264"/>
      <c r="C21" s="264"/>
      <c r="D21" s="265"/>
      <c r="E21" s="121" t="s">
        <v>21</v>
      </c>
      <c r="F21" s="262">
        <v>1</v>
      </c>
      <c r="G21" s="262"/>
    </row>
    <row r="22" spans="1:8" ht="21.75" customHeight="1" x14ac:dyDescent="0.25">
      <c r="A22" s="208" t="s">
        <v>168</v>
      </c>
      <c r="B22" s="209"/>
      <c r="C22" s="209"/>
      <c r="D22" s="209"/>
      <c r="E22" s="209"/>
      <c r="F22" s="209"/>
      <c r="G22" s="210"/>
    </row>
    <row r="23" spans="1:8" ht="21.75" customHeight="1" x14ac:dyDescent="0.25">
      <c r="A23" s="208" t="s">
        <v>169</v>
      </c>
      <c r="B23" s="209"/>
      <c r="C23" s="209"/>
      <c r="D23" s="209"/>
      <c r="E23" s="209"/>
      <c r="F23" s="209"/>
      <c r="G23" s="210"/>
    </row>
    <row r="24" spans="1:8" ht="10.5" customHeight="1" x14ac:dyDescent="0.25">
      <c r="A24" s="63"/>
      <c r="B24" s="64"/>
      <c r="C24" s="64"/>
      <c r="D24" s="64"/>
      <c r="E24" s="64"/>
      <c r="F24" s="64"/>
      <c r="G24" s="106"/>
    </row>
    <row r="25" spans="1:8" x14ac:dyDescent="0.25">
      <c r="A25" s="212" t="s">
        <v>22</v>
      </c>
      <c r="B25" s="212"/>
      <c r="C25" s="212"/>
      <c r="D25" s="212"/>
      <c r="E25" s="212"/>
      <c r="F25" s="212"/>
      <c r="G25" s="212"/>
    </row>
    <row r="26" spans="1:8" x14ac:dyDescent="0.25">
      <c r="A26" s="212" t="s">
        <v>23</v>
      </c>
      <c r="B26" s="212"/>
      <c r="C26" s="212"/>
      <c r="D26" s="212"/>
      <c r="E26" s="212"/>
      <c r="F26" s="212"/>
      <c r="G26" s="212"/>
    </row>
    <row r="27" spans="1:8" x14ac:dyDescent="0.25">
      <c r="A27" s="212" t="s">
        <v>24</v>
      </c>
      <c r="B27" s="212"/>
      <c r="C27" s="212"/>
      <c r="D27" s="212"/>
      <c r="E27" s="212"/>
      <c r="F27" s="212"/>
      <c r="G27" s="212"/>
    </row>
    <row r="28" spans="1:8" ht="20.25" customHeight="1" x14ac:dyDescent="0.25">
      <c r="A28" s="101">
        <v>1</v>
      </c>
      <c r="B28" s="217" t="s">
        <v>25</v>
      </c>
      <c r="C28" s="220"/>
      <c r="D28" s="220"/>
      <c r="E28" s="221"/>
      <c r="F28" s="223" t="str">
        <f>A21</f>
        <v>Supervisor Desarmado Diurno - 44 hs/semana</v>
      </c>
      <c r="G28" s="225"/>
    </row>
    <row r="29" spans="1:8" x14ac:dyDescent="0.25">
      <c r="A29" s="101">
        <v>2</v>
      </c>
      <c r="B29" s="217" t="s">
        <v>26</v>
      </c>
      <c r="C29" s="220"/>
      <c r="D29" s="220"/>
      <c r="E29" s="221"/>
      <c r="F29" s="223" t="s">
        <v>88</v>
      </c>
      <c r="G29" s="225"/>
    </row>
    <row r="30" spans="1:8" ht="19.5" customHeight="1" x14ac:dyDescent="0.25">
      <c r="A30" s="101">
        <v>3</v>
      </c>
      <c r="B30" s="217" t="s">
        <v>193</v>
      </c>
      <c r="C30" s="220"/>
      <c r="D30" s="220"/>
      <c r="E30" s="221"/>
      <c r="F30" s="257">
        <v>3266.67</v>
      </c>
      <c r="G30" s="258"/>
    </row>
    <row r="31" spans="1:8" ht="19.5" customHeight="1" x14ac:dyDescent="0.25">
      <c r="A31" s="101">
        <v>4</v>
      </c>
      <c r="B31" s="217" t="s">
        <v>27</v>
      </c>
      <c r="C31" s="220"/>
      <c r="D31" s="220"/>
      <c r="E31" s="221"/>
      <c r="F31" s="223" t="str">
        <f>A21</f>
        <v>Supervisor Desarmado Diurno - 44 hs/semana</v>
      </c>
      <c r="G31" s="225"/>
    </row>
    <row r="32" spans="1:8" ht="26.45" customHeight="1" x14ac:dyDescent="0.25">
      <c r="A32" s="101">
        <v>5</v>
      </c>
      <c r="B32" s="211" t="s">
        <v>230</v>
      </c>
      <c r="C32" s="211"/>
      <c r="D32" s="211"/>
      <c r="E32" s="211"/>
      <c r="F32" s="255" t="s">
        <v>82</v>
      </c>
      <c r="G32" s="225"/>
    </row>
    <row r="33" spans="1:7" ht="11.25" customHeight="1" x14ac:dyDescent="0.25">
      <c r="A33" s="222"/>
      <c r="B33" s="199"/>
      <c r="C33" s="199"/>
      <c r="D33" s="199"/>
      <c r="E33" s="199"/>
      <c r="F33" s="199"/>
      <c r="G33" s="200"/>
    </row>
    <row r="34" spans="1:7" x14ac:dyDescent="0.25">
      <c r="A34" s="65"/>
      <c r="B34" s="256" t="s">
        <v>170</v>
      </c>
      <c r="C34" s="256"/>
      <c r="D34" s="256"/>
      <c r="E34" s="256"/>
      <c r="F34" s="66"/>
      <c r="G34" s="89"/>
    </row>
    <row r="35" spans="1:7" x14ac:dyDescent="0.25">
      <c r="A35" s="116">
        <v>1</v>
      </c>
      <c r="B35" s="202" t="s">
        <v>28</v>
      </c>
      <c r="C35" s="201"/>
      <c r="D35" s="201"/>
      <c r="E35" s="203"/>
      <c r="F35" s="116" t="s">
        <v>29</v>
      </c>
      <c r="G35" s="92" t="s">
        <v>4</v>
      </c>
    </row>
    <row r="36" spans="1:7" ht="12.75" customHeight="1" x14ac:dyDescent="0.25">
      <c r="A36" s="101" t="s">
        <v>9</v>
      </c>
      <c r="B36" s="217" t="s">
        <v>199</v>
      </c>
      <c r="C36" s="218"/>
      <c r="D36" s="218"/>
      <c r="E36" s="219"/>
      <c r="F36" s="68">
        <v>1</v>
      </c>
      <c r="G36" s="88">
        <f>F30</f>
        <v>3266.67</v>
      </c>
    </row>
    <row r="37" spans="1:7" ht="13.5" customHeight="1" x14ac:dyDescent="0.25">
      <c r="A37" s="101" t="s">
        <v>11</v>
      </c>
      <c r="B37" s="217" t="s">
        <v>198</v>
      </c>
      <c r="C37" s="220"/>
      <c r="D37" s="220"/>
      <c r="E37" s="221"/>
      <c r="F37" s="69">
        <v>0.3</v>
      </c>
      <c r="G37" s="97">
        <f>G36*F37</f>
        <v>980.00099999999998</v>
      </c>
    </row>
    <row r="38" spans="1:7" ht="13.5" customHeight="1" x14ac:dyDescent="0.25">
      <c r="A38" s="101" t="s">
        <v>14</v>
      </c>
      <c r="B38" s="217" t="s">
        <v>30</v>
      </c>
      <c r="C38" s="220"/>
      <c r="D38" s="220"/>
      <c r="E38" s="221"/>
      <c r="F38" s="68">
        <v>0</v>
      </c>
      <c r="G38" s="88">
        <f>G37*F38</f>
        <v>0</v>
      </c>
    </row>
    <row r="39" spans="1:7" ht="13.5" customHeight="1" x14ac:dyDescent="0.25">
      <c r="A39" s="101" t="s">
        <v>16</v>
      </c>
      <c r="B39" s="217" t="s">
        <v>31</v>
      </c>
      <c r="C39" s="220"/>
      <c r="D39" s="220"/>
      <c r="E39" s="221"/>
      <c r="F39" s="68">
        <v>0</v>
      </c>
      <c r="G39" s="88">
        <f>G38*F39</f>
        <v>0</v>
      </c>
    </row>
    <row r="40" spans="1:7" ht="13.5" customHeight="1" x14ac:dyDescent="0.25">
      <c r="A40" s="101" t="s">
        <v>32</v>
      </c>
      <c r="B40" s="217" t="s">
        <v>33</v>
      </c>
      <c r="C40" s="220"/>
      <c r="D40" s="220"/>
      <c r="E40" s="221"/>
      <c r="F40" s="68">
        <v>0</v>
      </c>
      <c r="G40" s="88">
        <f>G39*F40</f>
        <v>0</v>
      </c>
    </row>
    <row r="41" spans="1:7" ht="13.5" customHeight="1" x14ac:dyDescent="0.25">
      <c r="A41" s="101" t="s">
        <v>34</v>
      </c>
      <c r="B41" s="217" t="s">
        <v>118</v>
      </c>
      <c r="C41" s="220"/>
      <c r="D41" s="220"/>
      <c r="E41" s="221"/>
      <c r="F41" s="68"/>
      <c r="G41" s="88"/>
    </row>
    <row r="42" spans="1:7" ht="14.25" customHeight="1" x14ac:dyDescent="0.25">
      <c r="A42" s="101" t="s">
        <v>48</v>
      </c>
      <c r="B42" s="217" t="s">
        <v>153</v>
      </c>
      <c r="C42" s="220"/>
      <c r="D42" s="220"/>
      <c r="E42" s="221"/>
      <c r="F42" s="72"/>
      <c r="G42" s="88"/>
    </row>
    <row r="43" spans="1:7" ht="15.75" customHeight="1" x14ac:dyDescent="0.25">
      <c r="A43" s="118"/>
      <c r="B43" s="202" t="s">
        <v>35</v>
      </c>
      <c r="C43" s="201"/>
      <c r="D43" s="201"/>
      <c r="E43" s="201"/>
      <c r="F43" s="123">
        <f>SUM(F36:F42)</f>
        <v>1.3</v>
      </c>
      <c r="G43" s="92">
        <f>SUM(G36:G42)</f>
        <v>4246.6710000000003</v>
      </c>
    </row>
    <row r="44" spans="1:7" ht="12.75" customHeight="1" x14ac:dyDescent="0.25">
      <c r="A44" s="208" t="s">
        <v>159</v>
      </c>
      <c r="B44" s="209"/>
      <c r="C44" s="209"/>
      <c r="D44" s="209"/>
      <c r="E44" s="209"/>
      <c r="F44" s="209"/>
      <c r="G44" s="210"/>
    </row>
    <row r="45" spans="1:7" ht="10.5" customHeight="1" x14ac:dyDescent="0.25">
      <c r="A45" s="222"/>
      <c r="B45" s="199"/>
      <c r="C45" s="199"/>
      <c r="D45" s="199"/>
      <c r="E45" s="199"/>
      <c r="F45" s="199"/>
      <c r="G45" s="200"/>
    </row>
    <row r="46" spans="1:7" x14ac:dyDescent="0.25">
      <c r="A46" s="70"/>
      <c r="B46" s="202" t="s">
        <v>36</v>
      </c>
      <c r="C46" s="201"/>
      <c r="D46" s="201"/>
      <c r="E46" s="201"/>
      <c r="F46" s="71"/>
      <c r="G46" s="89"/>
    </row>
    <row r="47" spans="1:7" x14ac:dyDescent="0.25">
      <c r="A47" s="214" t="s">
        <v>205</v>
      </c>
      <c r="B47" s="215"/>
      <c r="C47" s="215"/>
      <c r="D47" s="215"/>
      <c r="E47" s="215"/>
      <c r="F47" s="215"/>
      <c r="G47" s="216"/>
    </row>
    <row r="48" spans="1:7" x14ac:dyDescent="0.25">
      <c r="A48" s="116" t="s">
        <v>37</v>
      </c>
      <c r="B48" s="214" t="s">
        <v>204</v>
      </c>
      <c r="C48" s="215"/>
      <c r="D48" s="215"/>
      <c r="E48" s="215"/>
      <c r="F48" s="216"/>
      <c r="G48" s="92" t="s">
        <v>4</v>
      </c>
    </row>
    <row r="49" spans="1:8" x14ac:dyDescent="0.25">
      <c r="A49" s="101" t="s">
        <v>9</v>
      </c>
      <c r="B49" s="217" t="s">
        <v>180</v>
      </c>
      <c r="C49" s="220"/>
      <c r="D49" s="220"/>
      <c r="E49" s="221"/>
      <c r="F49" s="72">
        <f>1/12</f>
        <v>8.3333333333333329E-2</v>
      </c>
      <c r="G49" s="88">
        <f>F49*G43</f>
        <v>353.88925</v>
      </c>
      <c r="H49" s="57"/>
    </row>
    <row r="50" spans="1:8" x14ac:dyDescent="0.25">
      <c r="A50" s="101" t="s">
        <v>11</v>
      </c>
      <c r="B50" s="217" t="s">
        <v>38</v>
      </c>
      <c r="C50" s="220"/>
      <c r="D50" s="220"/>
      <c r="E50" s="221"/>
      <c r="F50" s="72">
        <f>(1/11)+((1/11)*(1/3))</f>
        <v>0.12121212121212122</v>
      </c>
      <c r="G50" s="88">
        <f>F50*G43</f>
        <v>514.74800000000005</v>
      </c>
      <c r="H50" s="57"/>
    </row>
    <row r="51" spans="1:8" x14ac:dyDescent="0.25">
      <c r="A51" s="70"/>
      <c r="B51" s="202" t="s">
        <v>5</v>
      </c>
      <c r="C51" s="201"/>
      <c r="D51" s="201"/>
      <c r="E51" s="203"/>
      <c r="F51" s="123">
        <f>SUM(F49:F50)</f>
        <v>0.20454545454545453</v>
      </c>
      <c r="G51" s="92">
        <f>SUM(G49:G50)</f>
        <v>868.63724999999999</v>
      </c>
    </row>
    <row r="52" spans="1:8" ht="35.1" customHeight="1" x14ac:dyDescent="0.25">
      <c r="A52" s="247" t="s">
        <v>207</v>
      </c>
      <c r="B52" s="248"/>
      <c r="C52" s="248"/>
      <c r="D52" s="248"/>
      <c r="E52" s="248"/>
      <c r="F52" s="248"/>
      <c r="G52" s="249"/>
    </row>
    <row r="53" spans="1:8" ht="18.75" customHeight="1" x14ac:dyDescent="0.25">
      <c r="A53" s="247" t="s">
        <v>206</v>
      </c>
      <c r="B53" s="248"/>
      <c r="C53" s="248"/>
      <c r="D53" s="248"/>
      <c r="E53" s="248"/>
      <c r="F53" s="248"/>
      <c r="G53" s="249"/>
    </row>
    <row r="54" spans="1:8" ht="30" customHeight="1" x14ac:dyDescent="0.25">
      <c r="A54" s="253" t="s">
        <v>245</v>
      </c>
      <c r="B54" s="253"/>
      <c r="C54" s="253"/>
      <c r="D54" s="253"/>
      <c r="E54" s="253"/>
      <c r="F54" s="253"/>
      <c r="G54" s="254"/>
    </row>
    <row r="55" spans="1:8" ht="10.5" customHeight="1" x14ac:dyDescent="0.25">
      <c r="A55" s="120"/>
      <c r="B55" s="119"/>
      <c r="C55" s="119"/>
      <c r="D55" s="119"/>
      <c r="E55" s="119"/>
      <c r="F55" s="119"/>
      <c r="G55" s="107"/>
    </row>
    <row r="56" spans="1:8" x14ac:dyDescent="0.25">
      <c r="A56" s="214" t="s">
        <v>39</v>
      </c>
      <c r="B56" s="215"/>
      <c r="C56" s="215"/>
      <c r="D56" s="215"/>
      <c r="E56" s="215"/>
      <c r="F56" s="215"/>
      <c r="G56" s="216"/>
    </row>
    <row r="57" spans="1:8" x14ac:dyDescent="0.25">
      <c r="A57" s="116" t="s">
        <v>40</v>
      </c>
      <c r="B57" s="214" t="s">
        <v>41</v>
      </c>
      <c r="C57" s="251"/>
      <c r="D57" s="251"/>
      <c r="E57" s="252"/>
      <c r="F57" s="123" t="s">
        <v>42</v>
      </c>
      <c r="G57" s="92" t="s">
        <v>4</v>
      </c>
    </row>
    <row r="58" spans="1:8" x14ac:dyDescent="0.25">
      <c r="A58" s="101" t="s">
        <v>9</v>
      </c>
      <c r="B58" s="217" t="s">
        <v>43</v>
      </c>
      <c r="C58" s="220"/>
      <c r="D58" s="220"/>
      <c r="E58" s="221"/>
      <c r="F58" s="73">
        <v>0.2</v>
      </c>
      <c r="G58" s="90">
        <f>F58*(G43+G51+G111)</f>
        <v>1055.5495410633334</v>
      </c>
      <c r="H58" s="11"/>
    </row>
    <row r="59" spans="1:8" x14ac:dyDescent="0.25">
      <c r="A59" s="101" t="s">
        <v>11</v>
      </c>
      <c r="B59" s="217" t="s">
        <v>44</v>
      </c>
      <c r="C59" s="220"/>
      <c r="D59" s="220"/>
      <c r="E59" s="221"/>
      <c r="F59" s="73">
        <v>2.5000000000000001E-2</v>
      </c>
      <c r="G59" s="90">
        <f>F59*(G43+G51+G111)</f>
        <v>131.94369263291668</v>
      </c>
      <c r="H59" s="12"/>
    </row>
    <row r="60" spans="1:8" ht="37.700000000000003" customHeight="1" x14ac:dyDescent="0.25">
      <c r="A60" s="101" t="s">
        <v>14</v>
      </c>
      <c r="B60" s="217" t="s">
        <v>200</v>
      </c>
      <c r="C60" s="220"/>
      <c r="D60" s="220"/>
      <c r="E60" s="221"/>
      <c r="F60" s="73">
        <v>0.03</v>
      </c>
      <c r="G60" s="88">
        <f>F60*(G43+G51+G111)</f>
        <v>158.3324311595</v>
      </c>
      <c r="H60" s="12"/>
    </row>
    <row r="61" spans="1:8" x14ac:dyDescent="0.25">
      <c r="A61" s="101" t="s">
        <v>16</v>
      </c>
      <c r="B61" s="217" t="s">
        <v>45</v>
      </c>
      <c r="C61" s="220"/>
      <c r="D61" s="220"/>
      <c r="E61" s="221"/>
      <c r="F61" s="73">
        <v>1.4999999999999999E-2</v>
      </c>
      <c r="G61" s="90">
        <f>F61*(G43+G51+G111)</f>
        <v>79.166215579750002</v>
      </c>
      <c r="H61" s="13"/>
    </row>
    <row r="62" spans="1:8" x14ac:dyDescent="0.25">
      <c r="A62" s="101" t="s">
        <v>32</v>
      </c>
      <c r="B62" s="217" t="s">
        <v>46</v>
      </c>
      <c r="C62" s="220"/>
      <c r="D62" s="220"/>
      <c r="E62" s="221"/>
      <c r="F62" s="73">
        <v>0.01</v>
      </c>
      <c r="G62" s="90">
        <f>F62*(G43+G51+G111)</f>
        <v>52.77747705316667</v>
      </c>
    </row>
    <row r="63" spans="1:8" x14ac:dyDescent="0.25">
      <c r="A63" s="101" t="s">
        <v>34</v>
      </c>
      <c r="B63" s="217" t="s">
        <v>47</v>
      </c>
      <c r="C63" s="220"/>
      <c r="D63" s="220"/>
      <c r="E63" s="221"/>
      <c r="F63" s="73">
        <v>6.0000000000000001E-3</v>
      </c>
      <c r="G63" s="90">
        <f>F63*(G43+G51+G111)</f>
        <v>31.666486231900002</v>
      </c>
    </row>
    <row r="64" spans="1:8" x14ac:dyDescent="0.25">
      <c r="A64" s="101" t="s">
        <v>48</v>
      </c>
      <c r="B64" s="217" t="s">
        <v>49</v>
      </c>
      <c r="C64" s="220"/>
      <c r="D64" s="220"/>
      <c r="E64" s="221"/>
      <c r="F64" s="73">
        <v>2E-3</v>
      </c>
      <c r="G64" s="90">
        <f>F64*(G43+G51+G111)</f>
        <v>10.555495410633334</v>
      </c>
    </row>
    <row r="65" spans="1:7" x14ac:dyDescent="0.25">
      <c r="A65" s="101" t="s">
        <v>50</v>
      </c>
      <c r="B65" s="217" t="s">
        <v>51</v>
      </c>
      <c r="C65" s="220"/>
      <c r="D65" s="220"/>
      <c r="E65" s="221"/>
      <c r="F65" s="73">
        <v>0.08</v>
      </c>
      <c r="G65" s="90">
        <f>F65*(G43+G51+G111)</f>
        <v>422.21981642533336</v>
      </c>
    </row>
    <row r="66" spans="1:7" x14ac:dyDescent="0.25">
      <c r="A66" s="70"/>
      <c r="B66" s="202" t="s">
        <v>5</v>
      </c>
      <c r="C66" s="201"/>
      <c r="D66" s="201"/>
      <c r="E66" s="203"/>
      <c r="F66" s="123">
        <f>SUM(F58:F65)</f>
        <v>0.36800000000000005</v>
      </c>
      <c r="G66" s="100">
        <f>SUM(G58:G65)</f>
        <v>1942.2111555565336</v>
      </c>
    </row>
    <row r="67" spans="1:7" x14ac:dyDescent="0.25">
      <c r="A67" s="244" t="s">
        <v>270</v>
      </c>
      <c r="B67" s="245"/>
      <c r="C67" s="245"/>
      <c r="D67" s="245"/>
      <c r="E67" s="245"/>
      <c r="F67" s="245"/>
      <c r="G67" s="246"/>
    </row>
    <row r="68" spans="1:7" x14ac:dyDescent="0.25">
      <c r="A68" s="244" t="s">
        <v>271</v>
      </c>
      <c r="B68" s="245"/>
      <c r="C68" s="245"/>
      <c r="D68" s="245"/>
      <c r="E68" s="245"/>
      <c r="F68" s="245"/>
      <c r="G68" s="246"/>
    </row>
    <row r="69" spans="1:7" x14ac:dyDescent="0.25">
      <c r="A69" s="247" t="s">
        <v>52</v>
      </c>
      <c r="B69" s="248"/>
      <c r="C69" s="248"/>
      <c r="D69" s="248"/>
      <c r="E69" s="248"/>
      <c r="F69" s="248"/>
      <c r="G69" s="249"/>
    </row>
    <row r="70" spans="1:7" ht="12" customHeight="1" x14ac:dyDescent="0.25">
      <c r="A70" s="121"/>
      <c r="B70" s="117"/>
      <c r="C70" s="119"/>
      <c r="D70" s="119"/>
      <c r="E70" s="119"/>
      <c r="F70" s="74"/>
      <c r="G70" s="91"/>
    </row>
    <row r="71" spans="1:7" x14ac:dyDescent="0.25">
      <c r="A71" s="214" t="s">
        <v>53</v>
      </c>
      <c r="B71" s="215"/>
      <c r="C71" s="215"/>
      <c r="D71" s="215"/>
      <c r="E71" s="215"/>
      <c r="F71" s="215"/>
      <c r="G71" s="216"/>
    </row>
    <row r="72" spans="1:7" x14ac:dyDescent="0.25">
      <c r="A72" s="116" t="s">
        <v>54</v>
      </c>
      <c r="B72" s="212" t="s">
        <v>55</v>
      </c>
      <c r="C72" s="212"/>
      <c r="D72" s="212"/>
      <c r="E72" s="212"/>
      <c r="F72" s="212"/>
      <c r="G72" s="92" t="s">
        <v>4</v>
      </c>
    </row>
    <row r="73" spans="1:7" ht="29.1" customHeight="1" x14ac:dyDescent="0.25">
      <c r="A73" s="103" t="s">
        <v>9</v>
      </c>
      <c r="B73" s="250" t="s">
        <v>243</v>
      </c>
      <c r="C73" s="250"/>
      <c r="D73" s="250"/>
      <c r="E73" s="250"/>
      <c r="F73" s="250"/>
      <c r="G73" s="95">
        <f>((5.5)*2*21)-6%*G36</f>
        <v>34.999799999999993</v>
      </c>
    </row>
    <row r="74" spans="1:7" ht="22.5" customHeight="1" x14ac:dyDescent="0.25">
      <c r="A74" s="101" t="s">
        <v>11</v>
      </c>
      <c r="B74" s="211" t="s">
        <v>242</v>
      </c>
      <c r="C74" s="211"/>
      <c r="D74" s="211"/>
      <c r="E74" s="211"/>
      <c r="F74" s="211"/>
      <c r="G74" s="88">
        <f>47.37*21</f>
        <v>994.77</v>
      </c>
    </row>
    <row r="75" spans="1:7" x14ac:dyDescent="0.25">
      <c r="A75" s="101" t="s">
        <v>14</v>
      </c>
      <c r="B75" s="211" t="s">
        <v>195</v>
      </c>
      <c r="C75" s="211"/>
      <c r="D75" s="211"/>
      <c r="E75" s="211"/>
      <c r="F75" s="211"/>
      <c r="G75" s="88"/>
    </row>
    <row r="76" spans="1:7" ht="23.25" customHeight="1" x14ac:dyDescent="0.25">
      <c r="A76" s="101" t="s">
        <v>16</v>
      </c>
      <c r="B76" s="211" t="s">
        <v>241</v>
      </c>
      <c r="C76" s="211"/>
      <c r="D76" s="211"/>
      <c r="E76" s="211"/>
      <c r="F76" s="211"/>
      <c r="G76" s="88">
        <f>6029.47/12*6%</f>
        <v>30.147350000000003</v>
      </c>
    </row>
    <row r="77" spans="1:7" x14ac:dyDescent="0.25">
      <c r="A77" s="101" t="s">
        <v>16</v>
      </c>
      <c r="B77" s="211" t="s">
        <v>196</v>
      </c>
      <c r="C77" s="211"/>
      <c r="D77" s="211"/>
      <c r="E77" s="211"/>
      <c r="F77" s="211"/>
      <c r="G77" s="88"/>
    </row>
    <row r="78" spans="1:7" ht="21" customHeight="1" x14ac:dyDescent="0.25">
      <c r="A78" s="101" t="s">
        <v>32</v>
      </c>
      <c r="B78" s="211" t="s">
        <v>197</v>
      </c>
      <c r="C78" s="211"/>
      <c r="D78" s="211"/>
      <c r="E78" s="211"/>
      <c r="F78" s="211"/>
      <c r="G78" s="88"/>
    </row>
    <row r="79" spans="1:7" x14ac:dyDescent="0.25">
      <c r="A79" s="118"/>
      <c r="B79" s="202" t="s">
        <v>5</v>
      </c>
      <c r="C79" s="201"/>
      <c r="D79" s="201"/>
      <c r="E79" s="201"/>
      <c r="F79" s="203"/>
      <c r="G79" s="92">
        <f>SUM(G73:G78)</f>
        <v>1059.91715</v>
      </c>
    </row>
    <row r="80" spans="1:7" ht="15.75" customHeight="1" x14ac:dyDescent="0.25">
      <c r="A80" s="208" t="s">
        <v>160</v>
      </c>
      <c r="B80" s="209"/>
      <c r="C80" s="209"/>
      <c r="D80" s="209"/>
      <c r="E80" s="209"/>
      <c r="F80" s="209"/>
      <c r="G80" s="210"/>
    </row>
    <row r="81" spans="1:8" ht="18" customHeight="1" x14ac:dyDescent="0.25">
      <c r="A81" s="208" t="s">
        <v>161</v>
      </c>
      <c r="B81" s="209"/>
      <c r="C81" s="209"/>
      <c r="D81" s="209"/>
      <c r="E81" s="209"/>
      <c r="F81" s="209"/>
      <c r="G81" s="210"/>
    </row>
    <row r="82" spans="1:8" ht="11.25" customHeight="1" x14ac:dyDescent="0.25">
      <c r="A82" s="120"/>
      <c r="B82" s="119"/>
      <c r="C82" s="119"/>
      <c r="D82" s="119"/>
      <c r="E82" s="119"/>
      <c r="F82" s="119"/>
      <c r="G82" s="107"/>
    </row>
    <row r="83" spans="1:8" x14ac:dyDescent="0.25">
      <c r="A83" s="70"/>
      <c r="B83" s="212" t="s">
        <v>56</v>
      </c>
      <c r="C83" s="212"/>
      <c r="D83" s="212"/>
      <c r="E83" s="212"/>
      <c r="F83" s="212"/>
      <c r="G83" s="93"/>
    </row>
    <row r="84" spans="1:8" x14ac:dyDescent="0.25">
      <c r="A84" s="116">
        <v>2</v>
      </c>
      <c r="B84" s="212" t="s">
        <v>57</v>
      </c>
      <c r="C84" s="212"/>
      <c r="D84" s="212"/>
      <c r="E84" s="212"/>
      <c r="F84" s="212"/>
      <c r="G84" s="92" t="s">
        <v>4</v>
      </c>
    </row>
    <row r="85" spans="1:8" x14ac:dyDescent="0.25">
      <c r="A85" s="101" t="s">
        <v>37</v>
      </c>
      <c r="B85" s="211" t="s">
        <v>181</v>
      </c>
      <c r="C85" s="211"/>
      <c r="D85" s="211"/>
      <c r="E85" s="211"/>
      <c r="F85" s="211"/>
      <c r="G85" s="88">
        <f>G51</f>
        <v>868.63724999999999</v>
      </c>
    </row>
    <row r="86" spans="1:8" x14ac:dyDescent="0.25">
      <c r="A86" s="101" t="s">
        <v>40</v>
      </c>
      <c r="B86" s="211" t="s">
        <v>41</v>
      </c>
      <c r="C86" s="211"/>
      <c r="D86" s="211"/>
      <c r="E86" s="211"/>
      <c r="F86" s="211"/>
      <c r="G86" s="88">
        <f>G66</f>
        <v>1942.2111555565336</v>
      </c>
    </row>
    <row r="87" spans="1:8" x14ac:dyDescent="0.25">
      <c r="A87" s="101" t="s">
        <v>54</v>
      </c>
      <c r="B87" s="211" t="s">
        <v>55</v>
      </c>
      <c r="C87" s="211"/>
      <c r="D87" s="211"/>
      <c r="E87" s="211"/>
      <c r="F87" s="211"/>
      <c r="G87" s="88">
        <f>G79</f>
        <v>1059.91715</v>
      </c>
    </row>
    <row r="88" spans="1:8" x14ac:dyDescent="0.25">
      <c r="A88" s="75"/>
      <c r="B88" s="241" t="s">
        <v>5</v>
      </c>
      <c r="C88" s="242"/>
      <c r="D88" s="242"/>
      <c r="E88" s="242"/>
      <c r="F88" s="243"/>
      <c r="G88" s="92">
        <f>SUM(G85:G87)</f>
        <v>3870.7655555565334</v>
      </c>
    </row>
    <row r="89" spans="1:8" ht="11.25" customHeight="1" x14ac:dyDescent="0.25">
      <c r="A89" s="241"/>
      <c r="B89" s="242"/>
      <c r="C89" s="242"/>
      <c r="D89" s="242"/>
      <c r="E89" s="242"/>
      <c r="F89" s="242"/>
      <c r="G89" s="243"/>
    </row>
    <row r="90" spans="1:8" x14ac:dyDescent="0.25">
      <c r="A90" s="67"/>
      <c r="B90" s="202" t="s">
        <v>58</v>
      </c>
      <c r="C90" s="201"/>
      <c r="D90" s="201"/>
      <c r="E90" s="203"/>
      <c r="F90" s="71"/>
      <c r="G90" s="89"/>
    </row>
    <row r="91" spans="1:8" x14ac:dyDescent="0.25">
      <c r="A91" s="116">
        <v>3</v>
      </c>
      <c r="B91" s="202" t="s">
        <v>59</v>
      </c>
      <c r="C91" s="201"/>
      <c r="D91" s="201"/>
      <c r="E91" s="203"/>
      <c r="F91" s="123" t="s">
        <v>42</v>
      </c>
      <c r="G91" s="92" t="s">
        <v>4</v>
      </c>
    </row>
    <row r="92" spans="1:8" ht="44.1" customHeight="1" x14ac:dyDescent="0.25">
      <c r="A92" s="61" t="s">
        <v>9</v>
      </c>
      <c r="B92" s="232" t="s">
        <v>208</v>
      </c>
      <c r="C92" s="233"/>
      <c r="D92" s="233"/>
      <c r="E92" s="234"/>
      <c r="F92" s="72">
        <f>5.5%*1*1/12</f>
        <v>4.5833333333333334E-3</v>
      </c>
      <c r="G92" s="88">
        <f>F92*(G43+G51)</f>
        <v>23.445162812500001</v>
      </c>
      <c r="H92" s="58"/>
    </row>
    <row r="93" spans="1:8" ht="18" customHeight="1" x14ac:dyDescent="0.25">
      <c r="A93" s="61" t="s">
        <v>11</v>
      </c>
      <c r="B93" s="232" t="s">
        <v>209</v>
      </c>
      <c r="C93" s="233"/>
      <c r="D93" s="233"/>
      <c r="E93" s="234"/>
      <c r="F93" s="109">
        <f>F65*F92</f>
        <v>3.6666666666666667E-4</v>
      </c>
      <c r="G93" s="90">
        <f>F93*(G43+G51)</f>
        <v>1.875613025</v>
      </c>
    </row>
    <row r="94" spans="1:8" ht="35.450000000000003" customHeight="1" x14ac:dyDescent="0.25">
      <c r="A94" s="60" t="s">
        <v>14</v>
      </c>
      <c r="B94" s="232" t="s">
        <v>210</v>
      </c>
      <c r="C94" s="233"/>
      <c r="D94" s="233"/>
      <c r="E94" s="234"/>
      <c r="F94" s="76">
        <f xml:space="preserve"> (40%)*F92</f>
        <v>1.8333333333333335E-3</v>
      </c>
      <c r="G94" s="88">
        <f>F94*(G43+G51)</f>
        <v>9.3780651250000009</v>
      </c>
      <c r="H94" s="124"/>
    </row>
    <row r="95" spans="1:8" ht="36" customHeight="1" x14ac:dyDescent="0.25">
      <c r="A95" s="60" t="s">
        <v>16</v>
      </c>
      <c r="B95" s="232" t="s">
        <v>183</v>
      </c>
      <c r="C95" s="233"/>
      <c r="D95" s="233"/>
      <c r="E95" s="234"/>
      <c r="F95" s="76">
        <f>(7/30)/12</f>
        <v>1.9444444444444445E-2</v>
      </c>
      <c r="G95" s="88">
        <f>F95*(G43+G51)</f>
        <v>99.46432708333333</v>
      </c>
    </row>
    <row r="96" spans="1:8" ht="19.7" customHeight="1" x14ac:dyDescent="0.25">
      <c r="A96" s="60" t="s">
        <v>32</v>
      </c>
      <c r="B96" s="235" t="s">
        <v>273</v>
      </c>
      <c r="C96" s="236"/>
      <c r="D96" s="236"/>
      <c r="E96" s="237"/>
      <c r="F96" s="76">
        <f>F66*F95</f>
        <v>7.1555555555555565E-3</v>
      </c>
      <c r="G96" s="88">
        <f>F96*(G43+G51)</f>
        <v>36.602872366666674</v>
      </c>
    </row>
    <row r="97" spans="1:8" ht="14.45" customHeight="1" x14ac:dyDescent="0.25">
      <c r="A97" s="60" t="s">
        <v>34</v>
      </c>
      <c r="B97" s="238" t="s">
        <v>274</v>
      </c>
      <c r="C97" s="239"/>
      <c r="D97" s="239"/>
      <c r="E97" s="240"/>
      <c r="F97" s="72">
        <f>40%*F95</f>
        <v>7.7777777777777784E-3</v>
      </c>
      <c r="G97" s="88">
        <f>F97*(G43+G51)</f>
        <v>39.785730833333339</v>
      </c>
    </row>
    <row r="98" spans="1:8" x14ac:dyDescent="0.25">
      <c r="A98" s="70"/>
      <c r="B98" s="202" t="s">
        <v>5</v>
      </c>
      <c r="C98" s="201"/>
      <c r="D98" s="201"/>
      <c r="E98" s="203"/>
      <c r="F98" s="77">
        <f>SUM(F92:F97)</f>
        <v>4.1161111111111114E-2</v>
      </c>
      <c r="G98" s="100">
        <f>SUM(G92:G97)</f>
        <v>210.55177124583335</v>
      </c>
    </row>
    <row r="99" spans="1:8" ht="12" customHeight="1" x14ac:dyDescent="0.25">
      <c r="A99" s="114"/>
      <c r="B99" s="115"/>
      <c r="C99" s="115"/>
      <c r="D99" s="115"/>
      <c r="E99" s="115"/>
      <c r="F99" s="115"/>
      <c r="G99" s="94"/>
    </row>
    <row r="100" spans="1:8" x14ac:dyDescent="0.25">
      <c r="A100" s="70"/>
      <c r="B100" s="202" t="s">
        <v>60</v>
      </c>
      <c r="C100" s="201"/>
      <c r="D100" s="201"/>
      <c r="E100" s="203"/>
      <c r="F100" s="71"/>
      <c r="G100" s="89"/>
    </row>
    <row r="101" spans="1:8" ht="24" customHeight="1" x14ac:dyDescent="0.25">
      <c r="A101" s="229" t="s">
        <v>162</v>
      </c>
      <c r="B101" s="209"/>
      <c r="C101" s="209"/>
      <c r="D101" s="209"/>
      <c r="E101" s="209"/>
      <c r="F101" s="209"/>
      <c r="G101" s="210"/>
    </row>
    <row r="102" spans="1:8" ht="12" customHeight="1" x14ac:dyDescent="0.25">
      <c r="A102" s="222"/>
      <c r="B102" s="199"/>
      <c r="C102" s="199"/>
      <c r="D102" s="199"/>
      <c r="E102" s="199"/>
      <c r="F102" s="199"/>
      <c r="G102" s="200"/>
    </row>
    <row r="103" spans="1:8" x14ac:dyDescent="0.25">
      <c r="A103" s="214" t="s">
        <v>61</v>
      </c>
      <c r="B103" s="215"/>
      <c r="C103" s="215"/>
      <c r="D103" s="215"/>
      <c r="E103" s="215"/>
      <c r="F103" s="215"/>
      <c r="G103" s="216"/>
    </row>
    <row r="104" spans="1:8" x14ac:dyDescent="0.25">
      <c r="A104" s="113" t="s">
        <v>62</v>
      </c>
      <c r="B104" s="202" t="s">
        <v>63</v>
      </c>
      <c r="C104" s="201"/>
      <c r="D104" s="201"/>
      <c r="E104" s="201"/>
      <c r="F104" s="123" t="s">
        <v>42</v>
      </c>
      <c r="G104" s="92" t="s">
        <v>4</v>
      </c>
    </row>
    <row r="105" spans="1:8" ht="12.75" customHeight="1" x14ac:dyDescent="0.25">
      <c r="A105" s="62" t="s">
        <v>9</v>
      </c>
      <c r="B105" s="230" t="s">
        <v>64</v>
      </c>
      <c r="C105" s="231"/>
      <c r="D105" s="231"/>
      <c r="E105" s="231"/>
      <c r="F105" s="78">
        <f>(8.33%+(8.33%*1/3))/12</f>
        <v>9.2555555555555551E-3</v>
      </c>
      <c r="G105" s="95">
        <f>F105*(G43+G51)</f>
        <v>47.345019691666664</v>
      </c>
      <c r="H105" s="59"/>
    </row>
    <row r="106" spans="1:8" ht="12.75" customHeight="1" x14ac:dyDescent="0.25">
      <c r="A106" s="62" t="s">
        <v>11</v>
      </c>
      <c r="B106" s="226" t="s">
        <v>185</v>
      </c>
      <c r="C106" s="227"/>
      <c r="D106" s="227"/>
      <c r="E106" s="227"/>
      <c r="F106" s="78">
        <f>(1/12)/30</f>
        <v>2.7777777777777775E-3</v>
      </c>
      <c r="G106" s="95">
        <f>F106*(G43+G51)</f>
        <v>14.209189583333332</v>
      </c>
    </row>
    <row r="107" spans="1:8" x14ac:dyDescent="0.25">
      <c r="A107" s="62" t="s">
        <v>14</v>
      </c>
      <c r="B107" s="226" t="s">
        <v>186</v>
      </c>
      <c r="C107" s="227"/>
      <c r="D107" s="227"/>
      <c r="E107" s="227"/>
      <c r="F107" s="79">
        <f>1.5%/12</f>
        <v>1.25E-3</v>
      </c>
      <c r="G107" s="95">
        <f>F107*(G43+G51)</f>
        <v>6.3941353125000004</v>
      </c>
    </row>
    <row r="108" spans="1:8" ht="21" customHeight="1" x14ac:dyDescent="0.25">
      <c r="A108" s="62" t="s">
        <v>16</v>
      </c>
      <c r="B108" s="226" t="s">
        <v>187</v>
      </c>
      <c r="C108" s="227"/>
      <c r="D108" s="227"/>
      <c r="E108" s="227"/>
      <c r="F108" s="80">
        <f>8%/12/2</f>
        <v>3.3333333333333335E-3</v>
      </c>
      <c r="G108" s="95">
        <f>F108*(G43+G51)</f>
        <v>17.0510275</v>
      </c>
    </row>
    <row r="109" spans="1:8" ht="35.450000000000003" customHeight="1" x14ac:dyDescent="0.25">
      <c r="A109" s="62" t="s">
        <v>32</v>
      </c>
      <c r="B109" s="228" t="s">
        <v>188</v>
      </c>
      <c r="C109" s="227"/>
      <c r="D109" s="227"/>
      <c r="E109" s="227"/>
      <c r="F109" s="81">
        <f>1.5%/12</f>
        <v>1.25E-3</v>
      </c>
      <c r="G109" s="95">
        <f>F109*(G43+G51)</f>
        <v>6.3941353125000004</v>
      </c>
    </row>
    <row r="110" spans="1:8" ht="16.5" customHeight="1" x14ac:dyDescent="0.25">
      <c r="A110" s="62" t="s">
        <v>34</v>
      </c>
      <c r="B110" s="226" t="s">
        <v>189</v>
      </c>
      <c r="C110" s="227"/>
      <c r="D110" s="227"/>
      <c r="E110" s="227"/>
      <c r="F110" s="80">
        <f>(5/12)/30</f>
        <v>1.388888888888889E-2</v>
      </c>
      <c r="G110" s="95">
        <f>F110*(G43+G51)</f>
        <v>71.045947916666677</v>
      </c>
    </row>
    <row r="111" spans="1:8" ht="12.75" customHeight="1" x14ac:dyDescent="0.25">
      <c r="A111" s="70"/>
      <c r="B111" s="202" t="s">
        <v>212</v>
      </c>
      <c r="C111" s="201"/>
      <c r="D111" s="201"/>
      <c r="E111" s="203"/>
      <c r="F111" s="123">
        <f>SUM(F105:F110)</f>
        <v>3.1755555555555558E-2</v>
      </c>
      <c r="G111" s="92">
        <f>SUM(G105:G110)</f>
        <v>162.43945531666668</v>
      </c>
    </row>
    <row r="112" spans="1:8" ht="12.75" customHeight="1" x14ac:dyDescent="0.25">
      <c r="A112" s="113" t="s">
        <v>48</v>
      </c>
      <c r="B112" s="215" t="s">
        <v>211</v>
      </c>
      <c r="C112" s="215"/>
      <c r="D112" s="215"/>
      <c r="E112" s="215"/>
      <c r="F112" s="123">
        <f>F66*F111</f>
        <v>1.1686044444444446E-2</v>
      </c>
      <c r="G112" s="92">
        <f>F112*(G43+G51)</f>
        <v>59.777719556533341</v>
      </c>
    </row>
    <row r="113" spans="1:9" ht="12.75" customHeight="1" x14ac:dyDescent="0.25">
      <c r="A113" s="116"/>
      <c r="B113" s="202" t="s">
        <v>5</v>
      </c>
      <c r="C113" s="201"/>
      <c r="D113" s="201"/>
      <c r="E113" s="203"/>
      <c r="F113" s="123">
        <f>SUM(F111:F112)</f>
        <v>4.3441600000000004E-2</v>
      </c>
      <c r="G113" s="126">
        <f>SUM(G111:G112)</f>
        <v>222.21717487320001</v>
      </c>
      <c r="I113" s="127"/>
    </row>
    <row r="114" spans="1:9" ht="18.75" customHeight="1" x14ac:dyDescent="0.25">
      <c r="A114" s="208" t="s">
        <v>163</v>
      </c>
      <c r="B114" s="209"/>
      <c r="C114" s="209"/>
      <c r="D114" s="209"/>
      <c r="E114" s="209"/>
      <c r="F114" s="209"/>
      <c r="G114" s="210"/>
    </row>
    <row r="115" spans="1:9" ht="11.25" customHeight="1" x14ac:dyDescent="0.25">
      <c r="A115" s="223"/>
      <c r="B115" s="224"/>
      <c r="C115" s="224"/>
      <c r="D115" s="224"/>
      <c r="E115" s="224"/>
      <c r="F115" s="224"/>
      <c r="G115" s="225"/>
    </row>
    <row r="116" spans="1:9" x14ac:dyDescent="0.25">
      <c r="A116" s="214" t="s">
        <v>65</v>
      </c>
      <c r="B116" s="215"/>
      <c r="C116" s="215"/>
      <c r="D116" s="215"/>
      <c r="E116" s="215"/>
      <c r="F116" s="215"/>
      <c r="G116" s="216"/>
    </row>
    <row r="117" spans="1:9" x14ac:dyDescent="0.25">
      <c r="A117" s="116" t="s">
        <v>66</v>
      </c>
      <c r="B117" s="202" t="s">
        <v>67</v>
      </c>
      <c r="C117" s="201"/>
      <c r="D117" s="201"/>
      <c r="E117" s="203"/>
      <c r="F117" s="123" t="s">
        <v>42</v>
      </c>
      <c r="G117" s="92" t="s">
        <v>4</v>
      </c>
    </row>
    <row r="118" spans="1:9" x14ac:dyDescent="0.25">
      <c r="A118" s="101" t="s">
        <v>9</v>
      </c>
      <c r="B118" s="217" t="s">
        <v>68</v>
      </c>
      <c r="C118" s="220"/>
      <c r="D118" s="220"/>
      <c r="E118" s="221"/>
      <c r="F118" s="82"/>
      <c r="G118" s="88"/>
    </row>
    <row r="119" spans="1:9" x14ac:dyDescent="0.25">
      <c r="A119" s="70"/>
      <c r="B119" s="202" t="s">
        <v>5</v>
      </c>
      <c r="C119" s="201"/>
      <c r="D119" s="201"/>
      <c r="E119" s="203"/>
      <c r="F119" s="83"/>
      <c r="G119" s="92"/>
    </row>
    <row r="120" spans="1:9" ht="17.25" customHeight="1" x14ac:dyDescent="0.25">
      <c r="A120" s="208" t="s">
        <v>164</v>
      </c>
      <c r="B120" s="209"/>
      <c r="C120" s="209"/>
      <c r="D120" s="209"/>
      <c r="E120" s="209"/>
      <c r="F120" s="209"/>
      <c r="G120" s="210"/>
    </row>
    <row r="121" spans="1:9" ht="12" customHeight="1" x14ac:dyDescent="0.25">
      <c r="A121" s="222"/>
      <c r="B121" s="199"/>
      <c r="C121" s="199"/>
      <c r="D121" s="199"/>
      <c r="E121" s="199"/>
      <c r="F121" s="199"/>
      <c r="G121" s="200"/>
    </row>
    <row r="122" spans="1:9" x14ac:dyDescent="0.25">
      <c r="A122" s="70"/>
      <c r="B122" s="202" t="s">
        <v>69</v>
      </c>
      <c r="C122" s="201"/>
      <c r="D122" s="201"/>
      <c r="E122" s="201"/>
      <c r="F122" s="201"/>
      <c r="G122" s="89"/>
    </row>
    <row r="123" spans="1:9" x14ac:dyDescent="0.25">
      <c r="A123" s="116">
        <v>4</v>
      </c>
      <c r="B123" s="212" t="s">
        <v>70</v>
      </c>
      <c r="C123" s="212"/>
      <c r="D123" s="212"/>
      <c r="E123" s="212"/>
      <c r="F123" s="123" t="s">
        <v>42</v>
      </c>
      <c r="G123" s="92" t="s">
        <v>4</v>
      </c>
    </row>
    <row r="124" spans="1:9" x14ac:dyDescent="0.25">
      <c r="A124" s="101" t="s">
        <v>62</v>
      </c>
      <c r="B124" s="211" t="s">
        <v>71</v>
      </c>
      <c r="C124" s="211"/>
      <c r="D124" s="211"/>
      <c r="E124" s="211"/>
      <c r="F124" s="102">
        <f>F111</f>
        <v>3.1755555555555558E-2</v>
      </c>
      <c r="G124" s="90">
        <f>G111</f>
        <v>162.43945531666668</v>
      </c>
    </row>
    <row r="125" spans="1:9" x14ac:dyDescent="0.25">
      <c r="A125" s="101" t="s">
        <v>66</v>
      </c>
      <c r="B125" s="211" t="s">
        <v>67</v>
      </c>
      <c r="C125" s="211"/>
      <c r="D125" s="211"/>
      <c r="E125" s="211"/>
      <c r="F125" s="102"/>
      <c r="G125" s="88">
        <f>G43/220*1*5*(4.345/1)*1.5</f>
        <v>629.03814187499995</v>
      </c>
    </row>
    <row r="126" spans="1:9" x14ac:dyDescent="0.25">
      <c r="A126" s="71"/>
      <c r="B126" s="202" t="s">
        <v>5</v>
      </c>
      <c r="C126" s="201"/>
      <c r="D126" s="201"/>
      <c r="E126" s="203"/>
      <c r="F126" s="123"/>
      <c r="G126" s="92">
        <f>SUM(G124:G125)</f>
        <v>791.47759719166663</v>
      </c>
    </row>
    <row r="127" spans="1:9" ht="10.5" customHeight="1" x14ac:dyDescent="0.25">
      <c r="A127" s="61"/>
      <c r="B127" s="122"/>
      <c r="C127" s="122"/>
      <c r="D127" s="122"/>
      <c r="E127" s="122"/>
      <c r="F127" s="74"/>
      <c r="G127" s="91"/>
    </row>
    <row r="128" spans="1:9" x14ac:dyDescent="0.25">
      <c r="A128" s="104"/>
      <c r="B128" s="202" t="s">
        <v>72</v>
      </c>
      <c r="C128" s="201"/>
      <c r="D128" s="201"/>
      <c r="E128" s="201"/>
      <c r="F128" s="201"/>
      <c r="G128" s="89"/>
    </row>
    <row r="129" spans="1:7" x14ac:dyDescent="0.25">
      <c r="A129" s="116">
        <v>5</v>
      </c>
      <c r="B129" s="214" t="s">
        <v>73</v>
      </c>
      <c r="C129" s="215"/>
      <c r="D129" s="215"/>
      <c r="E129" s="215"/>
      <c r="F129" s="216"/>
      <c r="G129" s="92" t="s">
        <v>4</v>
      </c>
    </row>
    <row r="130" spans="1:7" x14ac:dyDescent="0.25">
      <c r="A130" s="101" t="s">
        <v>9</v>
      </c>
      <c r="B130" s="217" t="s">
        <v>201</v>
      </c>
      <c r="C130" s="218"/>
      <c r="D130" s="218"/>
      <c r="E130" s="218"/>
      <c r="F130" s="219"/>
      <c r="G130" s="97">
        <f>Uniformes_Pesquisa!U24</f>
        <v>291.85283333333331</v>
      </c>
    </row>
    <row r="131" spans="1:7" x14ac:dyDescent="0.25">
      <c r="A131" s="101" t="s">
        <v>11</v>
      </c>
      <c r="B131" s="217" t="s">
        <v>145</v>
      </c>
      <c r="C131" s="220"/>
      <c r="D131" s="220"/>
      <c r="E131" s="220"/>
      <c r="F131" s="221"/>
      <c r="G131" s="97">
        <f>'Materiais Consumo_Consolidado'!N18</f>
        <v>5.1324404761904763</v>
      </c>
    </row>
    <row r="132" spans="1:7" x14ac:dyDescent="0.25">
      <c r="A132" s="121" t="s">
        <v>14</v>
      </c>
      <c r="B132" s="217" t="s">
        <v>146</v>
      </c>
      <c r="C132" s="220"/>
      <c r="D132" s="220"/>
      <c r="E132" s="220"/>
      <c r="F132" s="221"/>
      <c r="G132" s="97">
        <f>'Equips Básicos Consolidado'!K17</f>
        <v>0</v>
      </c>
    </row>
    <row r="133" spans="1:7" ht="15" customHeight="1" x14ac:dyDescent="0.25">
      <c r="A133" s="70"/>
      <c r="B133" s="202" t="s">
        <v>5</v>
      </c>
      <c r="C133" s="201"/>
      <c r="D133" s="201"/>
      <c r="E133" s="201"/>
      <c r="F133" s="203"/>
      <c r="G133" s="92">
        <f>SUM(G130:G132)</f>
        <v>296.98527380952379</v>
      </c>
    </row>
    <row r="134" spans="1:7" x14ac:dyDescent="0.25">
      <c r="A134" s="208" t="s">
        <v>165</v>
      </c>
      <c r="B134" s="209"/>
      <c r="C134" s="209"/>
      <c r="D134" s="209"/>
      <c r="E134" s="209"/>
      <c r="F134" s="209"/>
      <c r="G134" s="210"/>
    </row>
    <row r="135" spans="1:7" ht="11.25" customHeight="1" x14ac:dyDescent="0.25">
      <c r="A135" s="54"/>
      <c r="B135" s="115"/>
      <c r="C135" s="115"/>
      <c r="D135" s="115"/>
      <c r="E135" s="115"/>
      <c r="F135" s="74"/>
      <c r="G135" s="98"/>
    </row>
    <row r="136" spans="1:7" x14ac:dyDescent="0.25">
      <c r="A136" s="70"/>
      <c r="B136" s="202" t="s">
        <v>74</v>
      </c>
      <c r="C136" s="201"/>
      <c r="D136" s="201"/>
      <c r="E136" s="201"/>
      <c r="F136" s="201"/>
      <c r="G136" s="89"/>
    </row>
    <row r="137" spans="1:7" x14ac:dyDescent="0.25">
      <c r="A137" s="116">
        <v>6</v>
      </c>
      <c r="B137" s="212" t="s">
        <v>75</v>
      </c>
      <c r="C137" s="212"/>
      <c r="D137" s="212"/>
      <c r="E137" s="213" t="s">
        <v>42</v>
      </c>
      <c r="F137" s="213"/>
      <c r="G137" s="100" t="s">
        <v>4</v>
      </c>
    </row>
    <row r="138" spans="1:7" x14ac:dyDescent="0.25">
      <c r="A138" s="101" t="s">
        <v>9</v>
      </c>
      <c r="B138" s="211" t="s">
        <v>76</v>
      </c>
      <c r="C138" s="211"/>
      <c r="D138" s="211"/>
      <c r="E138" s="205">
        <v>0.05</v>
      </c>
      <c r="F138" s="206"/>
      <c r="G138" s="97">
        <f>(G43+G88+G98+G126+G133)*E138</f>
        <v>470.8225598901779</v>
      </c>
    </row>
    <row r="139" spans="1:7" x14ac:dyDescent="0.25">
      <c r="A139" s="101" t="s">
        <v>11</v>
      </c>
      <c r="B139" s="204" t="s">
        <v>178</v>
      </c>
      <c r="C139" s="204"/>
      <c r="D139" s="204"/>
      <c r="E139" s="205">
        <v>0.05</v>
      </c>
      <c r="F139" s="206"/>
      <c r="G139" s="88">
        <f>(G43+G88+G98+G126+G133+G138)*E139</f>
        <v>494.36368788468673</v>
      </c>
    </row>
    <row r="140" spans="1:7" x14ac:dyDescent="0.25">
      <c r="A140" s="101" t="s">
        <v>14</v>
      </c>
      <c r="B140" s="211" t="s">
        <v>77</v>
      </c>
      <c r="C140" s="204"/>
      <c r="D140" s="204"/>
      <c r="E140" s="205">
        <f>SUM(E141:F142)</f>
        <v>8.6499999999999994E-2</v>
      </c>
      <c r="F140" s="206"/>
      <c r="G140" s="96"/>
    </row>
    <row r="141" spans="1:7" x14ac:dyDescent="0.25">
      <c r="A141" s="82"/>
      <c r="B141" s="204" t="s">
        <v>237</v>
      </c>
      <c r="C141" s="204"/>
      <c r="D141" s="204"/>
      <c r="E141" s="205">
        <f>0.65%+3%</f>
        <v>3.6499999999999998E-2</v>
      </c>
      <c r="F141" s="206"/>
      <c r="G141" s="88">
        <f>E141*G156</f>
        <v>414.81091052393248</v>
      </c>
    </row>
    <row r="142" spans="1:7" x14ac:dyDescent="0.25">
      <c r="A142" s="82"/>
      <c r="B142" s="204" t="s">
        <v>190</v>
      </c>
      <c r="C142" s="204"/>
      <c r="D142" s="204"/>
      <c r="E142" s="205">
        <v>0.05</v>
      </c>
      <c r="F142" s="206"/>
      <c r="G142" s="88">
        <f>E142*G156</f>
        <v>568.234124005387</v>
      </c>
    </row>
    <row r="143" spans="1:7" x14ac:dyDescent="0.25">
      <c r="A143" s="70"/>
      <c r="B143" s="202" t="s">
        <v>5</v>
      </c>
      <c r="C143" s="201"/>
      <c r="D143" s="203"/>
      <c r="E143" s="207">
        <f>E138+E139+E140</f>
        <v>0.1865</v>
      </c>
      <c r="F143" s="203"/>
      <c r="G143" s="99">
        <f>SUM(G138:G142)</f>
        <v>1948.2312823041841</v>
      </c>
    </row>
    <row r="144" spans="1:7" ht="14.25" customHeight="1" x14ac:dyDescent="0.25">
      <c r="A144" s="208" t="s">
        <v>166</v>
      </c>
      <c r="B144" s="209"/>
      <c r="C144" s="209"/>
      <c r="D144" s="209"/>
      <c r="E144" s="209"/>
      <c r="F144" s="209"/>
      <c r="G144" s="210"/>
    </row>
    <row r="145" spans="1:7" ht="15.75" customHeight="1" x14ac:dyDescent="0.25">
      <c r="A145" s="208" t="s">
        <v>167</v>
      </c>
      <c r="B145" s="209"/>
      <c r="C145" s="209"/>
      <c r="D145" s="209"/>
      <c r="E145" s="209"/>
      <c r="F145" s="209"/>
      <c r="G145" s="210"/>
    </row>
    <row r="146" spans="1:7" ht="10.5" customHeight="1" x14ac:dyDescent="0.25">
      <c r="A146" s="199"/>
      <c r="B146" s="199"/>
      <c r="C146" s="199"/>
      <c r="D146" s="199"/>
      <c r="E146" s="199"/>
      <c r="F146" s="199"/>
      <c r="G146" s="200"/>
    </row>
    <row r="147" spans="1:7" x14ac:dyDescent="0.25">
      <c r="A147" s="71"/>
      <c r="B147" s="201" t="s">
        <v>78</v>
      </c>
      <c r="C147" s="201"/>
      <c r="D147" s="201"/>
      <c r="E147" s="201"/>
      <c r="F147" s="201"/>
      <c r="G147" s="89"/>
    </row>
    <row r="148" spans="1:7" x14ac:dyDescent="0.25">
      <c r="A148" s="118"/>
      <c r="B148" s="202" t="s">
        <v>79</v>
      </c>
      <c r="C148" s="201"/>
      <c r="D148" s="201"/>
      <c r="E148" s="201"/>
      <c r="F148" s="203"/>
      <c r="G148" s="92" t="s">
        <v>80</v>
      </c>
    </row>
    <row r="149" spans="1:7" x14ac:dyDescent="0.25">
      <c r="A149" s="101" t="s">
        <v>9</v>
      </c>
      <c r="B149" s="193" t="s">
        <v>171</v>
      </c>
      <c r="C149" s="194"/>
      <c r="D149" s="194"/>
      <c r="E149" s="194"/>
      <c r="F149" s="195"/>
      <c r="G149" s="88">
        <f>G43</f>
        <v>4246.6710000000003</v>
      </c>
    </row>
    <row r="150" spans="1:7" x14ac:dyDescent="0.25">
      <c r="A150" s="101" t="s">
        <v>11</v>
      </c>
      <c r="B150" s="193" t="s">
        <v>172</v>
      </c>
      <c r="C150" s="194"/>
      <c r="D150" s="194"/>
      <c r="E150" s="194"/>
      <c r="F150" s="195"/>
      <c r="G150" s="88">
        <f>G88</f>
        <v>3870.7655555565334</v>
      </c>
    </row>
    <row r="151" spans="1:7" x14ac:dyDescent="0.25">
      <c r="A151" s="101" t="s">
        <v>14</v>
      </c>
      <c r="B151" s="193" t="s">
        <v>173</v>
      </c>
      <c r="C151" s="194"/>
      <c r="D151" s="194"/>
      <c r="E151" s="194"/>
      <c r="F151" s="195"/>
      <c r="G151" s="88">
        <f>G98</f>
        <v>210.55177124583335</v>
      </c>
    </row>
    <row r="152" spans="1:7" x14ac:dyDescent="0.25">
      <c r="A152" s="101" t="s">
        <v>16</v>
      </c>
      <c r="B152" s="193" t="s">
        <v>174</v>
      </c>
      <c r="C152" s="194"/>
      <c r="D152" s="194"/>
      <c r="E152" s="194"/>
      <c r="F152" s="195"/>
      <c r="G152" s="88">
        <f>G126</f>
        <v>791.47759719166663</v>
      </c>
    </row>
    <row r="153" spans="1:7" x14ac:dyDescent="0.25">
      <c r="A153" s="101" t="s">
        <v>32</v>
      </c>
      <c r="B153" s="193" t="s">
        <v>175</v>
      </c>
      <c r="C153" s="194"/>
      <c r="D153" s="194"/>
      <c r="E153" s="194"/>
      <c r="F153" s="195"/>
      <c r="G153" s="88">
        <f>G133</f>
        <v>296.98527380952379</v>
      </c>
    </row>
    <row r="154" spans="1:7" x14ac:dyDescent="0.25">
      <c r="A154" s="108"/>
      <c r="B154" s="196" t="s">
        <v>182</v>
      </c>
      <c r="C154" s="197"/>
      <c r="D154" s="197"/>
      <c r="E154" s="197"/>
      <c r="F154" s="198"/>
      <c r="G154" s="92">
        <f>SUM(G149:G153)</f>
        <v>9416.4511978035571</v>
      </c>
    </row>
    <row r="155" spans="1:7" x14ac:dyDescent="0.25">
      <c r="A155" s="85" t="s">
        <v>34</v>
      </c>
      <c r="B155" s="193" t="s">
        <v>176</v>
      </c>
      <c r="C155" s="194"/>
      <c r="D155" s="194"/>
      <c r="E155" s="194"/>
      <c r="F155" s="195"/>
      <c r="G155" s="88">
        <f>G143</f>
        <v>1948.2312823041841</v>
      </c>
    </row>
    <row r="156" spans="1:7" x14ac:dyDescent="0.25">
      <c r="A156" s="86"/>
      <c r="B156" s="196" t="s">
        <v>81</v>
      </c>
      <c r="C156" s="197"/>
      <c r="D156" s="197"/>
      <c r="E156" s="197"/>
      <c r="F156" s="198"/>
      <c r="G156" s="92">
        <f>(G138+G139+G154)/(1-8.65/100)</f>
        <v>11364.68248010774</v>
      </c>
    </row>
    <row r="157" spans="1:7" x14ac:dyDescent="0.25">
      <c r="G157" s="163">
        <v>11364.68</v>
      </c>
    </row>
  </sheetData>
  <mergeCells count="166">
    <mergeCell ref="A1:G1"/>
    <mergeCell ref="A2:G2"/>
    <mergeCell ref="A3:G3"/>
    <mergeCell ref="A4:G4"/>
    <mergeCell ref="A5:G5"/>
    <mergeCell ref="A6:G6"/>
    <mergeCell ref="A13:G13"/>
    <mergeCell ref="B14:E14"/>
    <mergeCell ref="F14:G14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A56:G56"/>
    <mergeCell ref="B57:E57"/>
    <mergeCell ref="B58:E58"/>
    <mergeCell ref="B59:E59"/>
    <mergeCell ref="B60:E60"/>
    <mergeCell ref="B61:E61"/>
    <mergeCell ref="B49:E49"/>
    <mergeCell ref="B51:E51"/>
    <mergeCell ref="A52:G52"/>
    <mergeCell ref="A53:G53"/>
    <mergeCell ref="A54:G54"/>
    <mergeCell ref="B50:E5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B107:E107"/>
    <mergeCell ref="B108:E108"/>
    <mergeCell ref="B109:E109"/>
    <mergeCell ref="B110:E110"/>
    <mergeCell ref="B111:E111"/>
    <mergeCell ref="A114:G114"/>
    <mergeCell ref="A101:G101"/>
    <mergeCell ref="A102:G102"/>
    <mergeCell ref="A103:G103"/>
    <mergeCell ref="B104:E104"/>
    <mergeCell ref="B105:E105"/>
    <mergeCell ref="B106:E106"/>
    <mergeCell ref="B112:E112"/>
    <mergeCell ref="B113:E113"/>
    <mergeCell ref="A121:G121"/>
    <mergeCell ref="B122:F122"/>
    <mergeCell ref="B123:E123"/>
    <mergeCell ref="B124:E124"/>
    <mergeCell ref="B125:E125"/>
    <mergeCell ref="B126:E126"/>
    <mergeCell ref="A115:G115"/>
    <mergeCell ref="A116:G116"/>
    <mergeCell ref="B117:E117"/>
    <mergeCell ref="B118:E118"/>
    <mergeCell ref="B119:E119"/>
    <mergeCell ref="A120:G120"/>
    <mergeCell ref="A134:G134"/>
    <mergeCell ref="B136:F136"/>
    <mergeCell ref="B137:D137"/>
    <mergeCell ref="E137:F137"/>
    <mergeCell ref="B138:D138"/>
    <mergeCell ref="E138:F138"/>
    <mergeCell ref="B128:F128"/>
    <mergeCell ref="B129:F129"/>
    <mergeCell ref="B130:F130"/>
    <mergeCell ref="B131:F131"/>
    <mergeCell ref="B132:F132"/>
    <mergeCell ref="B133:F133"/>
    <mergeCell ref="B142:D142"/>
    <mergeCell ref="E142:F142"/>
    <mergeCell ref="B143:D143"/>
    <mergeCell ref="E143:F143"/>
    <mergeCell ref="A144:G144"/>
    <mergeCell ref="A145:G145"/>
    <mergeCell ref="B139:D139"/>
    <mergeCell ref="E139:F139"/>
    <mergeCell ref="B140:D140"/>
    <mergeCell ref="E140:F140"/>
    <mergeCell ref="B141:D141"/>
    <mergeCell ref="E141:F141"/>
    <mergeCell ref="B152:F152"/>
    <mergeCell ref="B153:F153"/>
    <mergeCell ref="B154:F154"/>
    <mergeCell ref="B155:F155"/>
    <mergeCell ref="B156:F156"/>
    <mergeCell ref="A146:G146"/>
    <mergeCell ref="B147:F147"/>
    <mergeCell ref="B148:F148"/>
    <mergeCell ref="B149:F149"/>
    <mergeCell ref="B150:F150"/>
    <mergeCell ref="B151:F151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 tint="0.59999389629810485"/>
  </sheetPr>
  <dimension ref="A1:J157"/>
  <sheetViews>
    <sheetView topLeftCell="A135" zoomScale="120" zoomScaleNormal="120" workbookViewId="0">
      <selection activeCell="G161" sqref="G161"/>
    </sheetView>
  </sheetViews>
  <sheetFormatPr defaultColWidth="9.42578125" defaultRowHeight="15" x14ac:dyDescent="0.25"/>
  <cols>
    <col min="1" max="1" width="3.140625" style="21" bestFit="1" customWidth="1"/>
    <col min="2" max="4" width="15.5703125" style="21" customWidth="1"/>
    <col min="5" max="5" width="17.5703125" style="21" customWidth="1"/>
    <col min="6" max="6" width="13.140625" style="87" customWidth="1"/>
    <col min="7" max="7" width="12.85546875" style="110" customWidth="1"/>
    <col min="8" max="8" width="4.5703125" style="1" customWidth="1"/>
    <col min="9" max="9" width="9.42578125" style="1"/>
    <col min="10" max="10" width="11.85546875" style="1" bestFit="1" customWidth="1"/>
    <col min="11" max="16384" width="9.42578125" style="1"/>
  </cols>
  <sheetData>
    <row r="1" spans="1:8" ht="12" customHeight="1" x14ac:dyDescent="0.25">
      <c r="A1" s="250" t="s">
        <v>0</v>
      </c>
      <c r="B1" s="250"/>
      <c r="C1" s="250"/>
      <c r="D1" s="250"/>
      <c r="E1" s="250"/>
      <c r="F1" s="250"/>
      <c r="G1" s="250"/>
    </row>
    <row r="2" spans="1:8" ht="12.75" customHeight="1" x14ac:dyDescent="0.25">
      <c r="A2" s="250" t="s">
        <v>1</v>
      </c>
      <c r="B2" s="250"/>
      <c r="C2" s="250"/>
      <c r="D2" s="250"/>
      <c r="E2" s="250"/>
      <c r="F2" s="250"/>
      <c r="G2" s="250"/>
    </row>
    <row r="3" spans="1:8" ht="13.5" customHeight="1" x14ac:dyDescent="0.25">
      <c r="A3" s="250" t="s">
        <v>2</v>
      </c>
      <c r="B3" s="250"/>
      <c r="C3" s="250"/>
      <c r="D3" s="250"/>
      <c r="E3" s="250"/>
      <c r="F3" s="250"/>
      <c r="G3" s="250"/>
    </row>
    <row r="4" spans="1:8" ht="12.75" customHeight="1" x14ac:dyDescent="0.25">
      <c r="A4" s="250" t="s">
        <v>156</v>
      </c>
      <c r="B4" s="250"/>
      <c r="C4" s="250"/>
      <c r="D4" s="250"/>
      <c r="E4" s="250"/>
      <c r="F4" s="250"/>
      <c r="G4" s="250"/>
    </row>
    <row r="5" spans="1:8" ht="10.5" customHeight="1" x14ac:dyDescent="0.25">
      <c r="A5" s="274"/>
      <c r="B5" s="274"/>
      <c r="C5" s="274"/>
      <c r="D5" s="274"/>
      <c r="E5" s="274"/>
      <c r="F5" s="274"/>
      <c r="G5" s="274"/>
    </row>
    <row r="6" spans="1:8" ht="49.5" customHeight="1" x14ac:dyDescent="0.25">
      <c r="A6" s="211" t="s">
        <v>203</v>
      </c>
      <c r="B6" s="211"/>
      <c r="C6" s="211"/>
      <c r="D6" s="211"/>
      <c r="E6" s="211"/>
      <c r="F6" s="211"/>
      <c r="G6" s="211"/>
    </row>
    <row r="7" spans="1:8" ht="18" customHeight="1" x14ac:dyDescent="0.25">
      <c r="A7" s="202" t="s">
        <v>144</v>
      </c>
      <c r="B7" s="201"/>
      <c r="C7" s="201"/>
      <c r="D7" s="201"/>
      <c r="E7" s="201"/>
      <c r="F7" s="201"/>
      <c r="G7" s="203"/>
    </row>
    <row r="8" spans="1:8" ht="15.75" customHeight="1" x14ac:dyDescent="0.25">
      <c r="A8" s="202" t="s">
        <v>177</v>
      </c>
      <c r="B8" s="201"/>
      <c r="C8" s="201"/>
      <c r="D8" s="201"/>
      <c r="E8" s="201"/>
      <c r="F8" s="201"/>
      <c r="G8" s="203"/>
    </row>
    <row r="9" spans="1:8" ht="12" customHeight="1" x14ac:dyDescent="0.25">
      <c r="A9" s="279" t="s">
        <v>157</v>
      </c>
      <c r="B9" s="280"/>
      <c r="C9" s="280"/>
      <c r="D9" s="280"/>
      <c r="E9" s="280"/>
      <c r="F9" s="280"/>
      <c r="G9" s="281"/>
    </row>
    <row r="10" spans="1:8" ht="12.75" customHeight="1" x14ac:dyDescent="0.25">
      <c r="A10" s="279" t="s">
        <v>158</v>
      </c>
      <c r="B10" s="280"/>
      <c r="C10" s="280"/>
      <c r="D10" s="280"/>
      <c r="E10" s="280"/>
      <c r="F10" s="280"/>
      <c r="G10" s="281"/>
    </row>
    <row r="11" spans="1:8" ht="12.75" customHeight="1" x14ac:dyDescent="0.25">
      <c r="A11" s="282" t="s">
        <v>7</v>
      </c>
      <c r="B11" s="282"/>
      <c r="C11" s="282"/>
      <c r="D11" s="282"/>
      <c r="E11" s="282"/>
      <c r="F11" s="282"/>
      <c r="G11" s="282"/>
    </row>
    <row r="12" spans="1:8" ht="11.25" customHeight="1" x14ac:dyDescent="0.25">
      <c r="A12" s="283"/>
      <c r="B12" s="283"/>
      <c r="C12" s="283"/>
      <c r="D12" s="283"/>
      <c r="E12" s="283"/>
      <c r="F12" s="283"/>
      <c r="G12" s="283"/>
    </row>
    <row r="13" spans="1:8" x14ac:dyDescent="0.25">
      <c r="A13" s="275" t="s">
        <v>8</v>
      </c>
      <c r="B13" s="276"/>
      <c r="C13" s="276"/>
      <c r="D13" s="276"/>
      <c r="E13" s="276"/>
      <c r="F13" s="276"/>
      <c r="G13" s="277"/>
    </row>
    <row r="14" spans="1:8" x14ac:dyDescent="0.25">
      <c r="A14" s="101" t="s">
        <v>9</v>
      </c>
      <c r="B14" s="259" t="s">
        <v>10</v>
      </c>
      <c r="C14" s="260"/>
      <c r="D14" s="260"/>
      <c r="E14" s="261"/>
      <c r="F14" s="278">
        <f ca="1">NOW()</f>
        <v>45832.614331828707</v>
      </c>
      <c r="G14" s="278"/>
    </row>
    <row r="15" spans="1:8" ht="13.5" customHeight="1" x14ac:dyDescent="0.25">
      <c r="A15" s="101" t="s">
        <v>11</v>
      </c>
      <c r="B15" s="259" t="s">
        <v>12</v>
      </c>
      <c r="C15" s="260"/>
      <c r="D15" s="260"/>
      <c r="E15" s="261"/>
      <c r="F15" s="223" t="s">
        <v>13</v>
      </c>
      <c r="G15" s="225"/>
    </row>
    <row r="16" spans="1:8" ht="20.25" customHeight="1" x14ac:dyDescent="0.25">
      <c r="A16" s="103" t="s">
        <v>14</v>
      </c>
      <c r="B16" s="266" t="s">
        <v>15</v>
      </c>
      <c r="C16" s="267"/>
      <c r="D16" s="267"/>
      <c r="E16" s="268"/>
      <c r="F16" s="223" t="s">
        <v>244</v>
      </c>
      <c r="G16" s="225"/>
      <c r="H16" s="55"/>
    </row>
    <row r="17" spans="1:8" ht="15" customHeight="1" x14ac:dyDescent="0.25">
      <c r="A17" s="101" t="s">
        <v>16</v>
      </c>
      <c r="B17" s="259" t="s">
        <v>179</v>
      </c>
      <c r="C17" s="260"/>
      <c r="D17" s="260"/>
      <c r="E17" s="261"/>
      <c r="F17" s="223">
        <v>36</v>
      </c>
      <c r="G17" s="225"/>
      <c r="H17" s="56"/>
    </row>
    <row r="18" spans="1:8" ht="9" customHeight="1" x14ac:dyDescent="0.25">
      <c r="A18" s="84"/>
      <c r="B18" s="84"/>
      <c r="C18" s="84"/>
      <c r="D18" s="84"/>
      <c r="E18" s="84"/>
      <c r="F18" s="84"/>
      <c r="G18" s="105"/>
      <c r="H18" s="56"/>
    </row>
    <row r="19" spans="1:8" x14ac:dyDescent="0.25">
      <c r="A19" s="202" t="s">
        <v>17</v>
      </c>
      <c r="B19" s="201"/>
      <c r="C19" s="201"/>
      <c r="D19" s="201"/>
      <c r="E19" s="201"/>
      <c r="F19" s="201"/>
      <c r="G19" s="203"/>
    </row>
    <row r="20" spans="1:8" ht="32.25" customHeight="1" x14ac:dyDescent="0.25">
      <c r="A20" s="262" t="s">
        <v>18</v>
      </c>
      <c r="B20" s="262"/>
      <c r="C20" s="262"/>
      <c r="D20" s="262"/>
      <c r="E20" s="121" t="s">
        <v>19</v>
      </c>
      <c r="F20" s="223" t="s">
        <v>20</v>
      </c>
      <c r="G20" s="225"/>
    </row>
    <row r="21" spans="1:8" ht="18.75" customHeight="1" x14ac:dyDescent="0.25">
      <c r="A21" s="263" t="s">
        <v>119</v>
      </c>
      <c r="B21" s="264"/>
      <c r="C21" s="264"/>
      <c r="D21" s="265"/>
      <c r="E21" s="121" t="s">
        <v>21</v>
      </c>
      <c r="F21" s="262">
        <v>1</v>
      </c>
      <c r="G21" s="262"/>
    </row>
    <row r="22" spans="1:8" ht="21.75" customHeight="1" x14ac:dyDescent="0.25">
      <c r="A22" s="208" t="s">
        <v>168</v>
      </c>
      <c r="B22" s="209"/>
      <c r="C22" s="209"/>
      <c r="D22" s="209"/>
      <c r="E22" s="209"/>
      <c r="F22" s="209"/>
      <c r="G22" s="210"/>
    </row>
    <row r="23" spans="1:8" ht="21.75" customHeight="1" x14ac:dyDescent="0.25">
      <c r="A23" s="208" t="s">
        <v>169</v>
      </c>
      <c r="B23" s="209"/>
      <c r="C23" s="209"/>
      <c r="D23" s="209"/>
      <c r="E23" s="209"/>
      <c r="F23" s="209"/>
      <c r="G23" s="210"/>
    </row>
    <row r="24" spans="1:8" ht="10.5" customHeight="1" x14ac:dyDescent="0.25">
      <c r="A24" s="63"/>
      <c r="B24" s="64"/>
      <c r="C24" s="64"/>
      <c r="D24" s="64"/>
      <c r="E24" s="64"/>
      <c r="F24" s="64"/>
      <c r="G24" s="106"/>
    </row>
    <row r="25" spans="1:8" x14ac:dyDescent="0.25">
      <c r="A25" s="212" t="s">
        <v>22</v>
      </c>
      <c r="B25" s="212"/>
      <c r="C25" s="212"/>
      <c r="D25" s="212"/>
      <c r="E25" s="212"/>
      <c r="F25" s="212"/>
      <c r="G25" s="212"/>
    </row>
    <row r="26" spans="1:8" x14ac:dyDescent="0.25">
      <c r="A26" s="212" t="s">
        <v>23</v>
      </c>
      <c r="B26" s="212"/>
      <c r="C26" s="212"/>
      <c r="D26" s="212"/>
      <c r="E26" s="212"/>
      <c r="F26" s="212"/>
      <c r="G26" s="212"/>
    </row>
    <row r="27" spans="1:8" x14ac:dyDescent="0.25">
      <c r="A27" s="212" t="s">
        <v>24</v>
      </c>
      <c r="B27" s="212"/>
      <c r="C27" s="212"/>
      <c r="D27" s="212"/>
      <c r="E27" s="212"/>
      <c r="F27" s="212"/>
      <c r="G27" s="212"/>
    </row>
    <row r="28" spans="1:8" ht="20.25" customHeight="1" x14ac:dyDescent="0.25">
      <c r="A28" s="101">
        <v>1</v>
      </c>
      <c r="B28" s="217" t="s">
        <v>25</v>
      </c>
      <c r="C28" s="220"/>
      <c r="D28" s="220"/>
      <c r="E28" s="221"/>
      <c r="F28" s="223" t="str">
        <f>A21</f>
        <v>Vigilante Diurno Desarmado - 12/36 hs</v>
      </c>
      <c r="G28" s="225"/>
    </row>
    <row r="29" spans="1:8" x14ac:dyDescent="0.25">
      <c r="A29" s="101">
        <v>2</v>
      </c>
      <c r="B29" s="217" t="s">
        <v>26</v>
      </c>
      <c r="C29" s="220"/>
      <c r="D29" s="220"/>
      <c r="E29" s="221"/>
      <c r="F29" s="223" t="s">
        <v>88</v>
      </c>
      <c r="G29" s="225"/>
    </row>
    <row r="30" spans="1:8" ht="19.5" customHeight="1" x14ac:dyDescent="0.25">
      <c r="A30" s="101">
        <v>3</v>
      </c>
      <c r="B30" s="217" t="s">
        <v>193</v>
      </c>
      <c r="C30" s="220"/>
      <c r="D30" s="220"/>
      <c r="E30" s="221"/>
      <c r="F30" s="257">
        <v>2723.41</v>
      </c>
      <c r="G30" s="258"/>
    </row>
    <row r="31" spans="1:8" ht="19.5" customHeight="1" x14ac:dyDescent="0.25">
      <c r="A31" s="101">
        <v>4</v>
      </c>
      <c r="B31" s="217" t="s">
        <v>27</v>
      </c>
      <c r="C31" s="220"/>
      <c r="D31" s="220"/>
      <c r="E31" s="221"/>
      <c r="F31" s="223" t="str">
        <f>A21</f>
        <v>Vigilante Diurno Desarmado - 12/36 hs</v>
      </c>
      <c r="G31" s="225"/>
    </row>
    <row r="32" spans="1:8" ht="26.45" customHeight="1" x14ac:dyDescent="0.25">
      <c r="A32" s="101">
        <v>5</v>
      </c>
      <c r="B32" s="211" t="s">
        <v>230</v>
      </c>
      <c r="C32" s="211"/>
      <c r="D32" s="211"/>
      <c r="E32" s="211"/>
      <c r="F32" s="255" t="s">
        <v>82</v>
      </c>
      <c r="G32" s="225"/>
    </row>
    <row r="33" spans="1:7" ht="11.25" customHeight="1" x14ac:dyDescent="0.25">
      <c r="A33" s="222"/>
      <c r="B33" s="199"/>
      <c r="C33" s="199"/>
      <c r="D33" s="199"/>
      <c r="E33" s="199"/>
      <c r="F33" s="199"/>
      <c r="G33" s="200"/>
    </row>
    <row r="34" spans="1:7" x14ac:dyDescent="0.25">
      <c r="A34" s="65"/>
      <c r="B34" s="256" t="s">
        <v>170</v>
      </c>
      <c r="C34" s="256"/>
      <c r="D34" s="256"/>
      <c r="E34" s="256"/>
      <c r="F34" s="66"/>
      <c r="G34" s="89"/>
    </row>
    <row r="35" spans="1:7" x14ac:dyDescent="0.25">
      <c r="A35" s="116">
        <v>1</v>
      </c>
      <c r="B35" s="202" t="s">
        <v>28</v>
      </c>
      <c r="C35" s="201"/>
      <c r="D35" s="201"/>
      <c r="E35" s="203"/>
      <c r="F35" s="116" t="s">
        <v>29</v>
      </c>
      <c r="G35" s="92" t="s">
        <v>4</v>
      </c>
    </row>
    <row r="36" spans="1:7" ht="12.75" customHeight="1" x14ac:dyDescent="0.25">
      <c r="A36" s="101" t="s">
        <v>9</v>
      </c>
      <c r="B36" s="217" t="s">
        <v>202</v>
      </c>
      <c r="C36" s="218"/>
      <c r="D36" s="218"/>
      <c r="E36" s="219"/>
      <c r="F36" s="68">
        <v>1</v>
      </c>
      <c r="G36" s="88">
        <f>F30</f>
        <v>2723.41</v>
      </c>
    </row>
    <row r="37" spans="1:7" ht="13.5" customHeight="1" x14ac:dyDescent="0.25">
      <c r="A37" s="101" t="s">
        <v>11</v>
      </c>
      <c r="B37" s="217" t="s">
        <v>198</v>
      </c>
      <c r="C37" s="220"/>
      <c r="D37" s="220"/>
      <c r="E37" s="221"/>
      <c r="F37" s="69">
        <v>0.3</v>
      </c>
      <c r="G37" s="97">
        <f>G36*F37</f>
        <v>817.02299999999991</v>
      </c>
    </row>
    <row r="38" spans="1:7" ht="13.5" customHeight="1" x14ac:dyDescent="0.25">
      <c r="A38" s="101" t="s">
        <v>14</v>
      </c>
      <c r="B38" s="217" t="s">
        <v>30</v>
      </c>
      <c r="C38" s="220"/>
      <c r="D38" s="220"/>
      <c r="E38" s="221"/>
      <c r="F38" s="68">
        <v>0</v>
      </c>
      <c r="G38" s="88">
        <f>G37*F38</f>
        <v>0</v>
      </c>
    </row>
    <row r="39" spans="1:7" ht="13.5" customHeight="1" x14ac:dyDescent="0.25">
      <c r="A39" s="101" t="s">
        <v>16</v>
      </c>
      <c r="B39" s="217" t="s">
        <v>31</v>
      </c>
      <c r="C39" s="220"/>
      <c r="D39" s="220"/>
      <c r="E39" s="221"/>
      <c r="F39" s="68">
        <v>0</v>
      </c>
      <c r="G39" s="88">
        <f>G38*F39</f>
        <v>0</v>
      </c>
    </row>
    <row r="40" spans="1:7" ht="13.5" customHeight="1" x14ac:dyDescent="0.25">
      <c r="A40" s="101" t="s">
        <v>32</v>
      </c>
      <c r="B40" s="217" t="s">
        <v>33</v>
      </c>
      <c r="C40" s="220"/>
      <c r="D40" s="220"/>
      <c r="E40" s="221"/>
      <c r="F40" s="68">
        <v>0</v>
      </c>
      <c r="G40" s="88">
        <f>G39*F40</f>
        <v>0</v>
      </c>
    </row>
    <row r="41" spans="1:7" ht="13.5" customHeight="1" x14ac:dyDescent="0.25">
      <c r="A41" s="101" t="s">
        <v>34</v>
      </c>
      <c r="B41" s="217" t="s">
        <v>118</v>
      </c>
      <c r="C41" s="220"/>
      <c r="D41" s="220"/>
      <c r="E41" s="221"/>
      <c r="F41" s="68"/>
      <c r="G41" s="88"/>
    </row>
    <row r="42" spans="1:7" ht="14.25" customHeight="1" x14ac:dyDescent="0.25">
      <c r="A42" s="101" t="s">
        <v>48</v>
      </c>
      <c r="B42" s="217" t="s">
        <v>153</v>
      </c>
      <c r="C42" s="220"/>
      <c r="D42" s="220"/>
      <c r="E42" s="221"/>
      <c r="F42" s="72"/>
      <c r="G42" s="88"/>
    </row>
    <row r="43" spans="1:7" ht="15.75" customHeight="1" x14ac:dyDescent="0.25">
      <c r="A43" s="118"/>
      <c r="B43" s="202" t="s">
        <v>35</v>
      </c>
      <c r="C43" s="201"/>
      <c r="D43" s="201"/>
      <c r="E43" s="201"/>
      <c r="F43" s="123">
        <f>SUM(F36:F42)</f>
        <v>1.3</v>
      </c>
      <c r="G43" s="92">
        <f>SUM(G36:G42)</f>
        <v>3540.433</v>
      </c>
    </row>
    <row r="44" spans="1:7" ht="12.75" customHeight="1" x14ac:dyDescent="0.25">
      <c r="A44" s="208" t="s">
        <v>159</v>
      </c>
      <c r="B44" s="209"/>
      <c r="C44" s="209"/>
      <c r="D44" s="209"/>
      <c r="E44" s="209"/>
      <c r="F44" s="209"/>
      <c r="G44" s="210"/>
    </row>
    <row r="45" spans="1:7" ht="10.5" customHeight="1" x14ac:dyDescent="0.25">
      <c r="A45" s="222"/>
      <c r="B45" s="199"/>
      <c r="C45" s="199"/>
      <c r="D45" s="199"/>
      <c r="E45" s="199"/>
      <c r="F45" s="199"/>
      <c r="G45" s="200"/>
    </row>
    <row r="46" spans="1:7" x14ac:dyDescent="0.25">
      <c r="A46" s="70"/>
      <c r="B46" s="202" t="s">
        <v>36</v>
      </c>
      <c r="C46" s="201"/>
      <c r="D46" s="201"/>
      <c r="E46" s="201"/>
      <c r="F46" s="71"/>
      <c r="G46" s="89"/>
    </row>
    <row r="47" spans="1:7" x14ac:dyDescent="0.25">
      <c r="A47" s="214" t="s">
        <v>205</v>
      </c>
      <c r="B47" s="215"/>
      <c r="C47" s="215"/>
      <c r="D47" s="215"/>
      <c r="E47" s="215"/>
      <c r="F47" s="215"/>
      <c r="G47" s="216"/>
    </row>
    <row r="48" spans="1:7" x14ac:dyDescent="0.25">
      <c r="A48" s="116" t="s">
        <v>37</v>
      </c>
      <c r="B48" s="214" t="s">
        <v>204</v>
      </c>
      <c r="C48" s="215"/>
      <c r="D48" s="215"/>
      <c r="E48" s="215"/>
      <c r="F48" s="216"/>
      <c r="G48" s="92" t="s">
        <v>4</v>
      </c>
    </row>
    <row r="49" spans="1:8" x14ac:dyDescent="0.25">
      <c r="A49" s="101" t="s">
        <v>9</v>
      </c>
      <c r="B49" s="217" t="s">
        <v>180</v>
      </c>
      <c r="C49" s="220"/>
      <c r="D49" s="220"/>
      <c r="E49" s="221"/>
      <c r="F49" s="72">
        <f>1/12</f>
        <v>8.3333333333333329E-2</v>
      </c>
      <c r="G49" s="88">
        <f>F49*G43</f>
        <v>295.03608333333329</v>
      </c>
      <c r="H49" s="57"/>
    </row>
    <row r="50" spans="1:8" x14ac:dyDescent="0.25">
      <c r="A50" s="101" t="s">
        <v>11</v>
      </c>
      <c r="B50" s="217" t="s">
        <v>38</v>
      </c>
      <c r="C50" s="220"/>
      <c r="D50" s="220"/>
      <c r="E50" s="221"/>
      <c r="F50" s="72">
        <f>(1/11)+((1/11)*(1/3))</f>
        <v>0.12121212121212122</v>
      </c>
      <c r="G50" s="88">
        <f>F50*G43</f>
        <v>429.14339393939395</v>
      </c>
      <c r="H50" s="57"/>
    </row>
    <row r="51" spans="1:8" x14ac:dyDescent="0.25">
      <c r="A51" s="70"/>
      <c r="B51" s="202" t="s">
        <v>5</v>
      </c>
      <c r="C51" s="201"/>
      <c r="D51" s="201"/>
      <c r="E51" s="203"/>
      <c r="F51" s="123">
        <f>SUM(F49:F50)</f>
        <v>0.20454545454545453</v>
      </c>
      <c r="G51" s="92">
        <f>SUM(G49:G50)</f>
        <v>724.17947727272724</v>
      </c>
    </row>
    <row r="52" spans="1:8" ht="35.1" customHeight="1" x14ac:dyDescent="0.25">
      <c r="A52" s="247" t="s">
        <v>207</v>
      </c>
      <c r="B52" s="248"/>
      <c r="C52" s="248"/>
      <c r="D52" s="248"/>
      <c r="E52" s="248"/>
      <c r="F52" s="248"/>
      <c r="G52" s="249"/>
    </row>
    <row r="53" spans="1:8" ht="18.75" customHeight="1" x14ac:dyDescent="0.25">
      <c r="A53" s="247" t="s">
        <v>206</v>
      </c>
      <c r="B53" s="248"/>
      <c r="C53" s="248"/>
      <c r="D53" s="248"/>
      <c r="E53" s="248"/>
      <c r="F53" s="248"/>
      <c r="G53" s="249"/>
    </row>
    <row r="54" spans="1:8" ht="30" customHeight="1" x14ac:dyDescent="0.25">
      <c r="A54" s="253" t="s">
        <v>245</v>
      </c>
      <c r="B54" s="253"/>
      <c r="C54" s="253"/>
      <c r="D54" s="253"/>
      <c r="E54" s="253"/>
      <c r="F54" s="253"/>
      <c r="G54" s="254"/>
    </row>
    <row r="55" spans="1:8" ht="10.5" customHeight="1" x14ac:dyDescent="0.25">
      <c r="A55" s="120"/>
      <c r="B55" s="119"/>
      <c r="C55" s="119"/>
      <c r="D55" s="119"/>
      <c r="E55" s="119"/>
      <c r="F55" s="119"/>
      <c r="G55" s="107"/>
    </row>
    <row r="56" spans="1:8" x14ac:dyDescent="0.25">
      <c r="A56" s="214" t="s">
        <v>39</v>
      </c>
      <c r="B56" s="215"/>
      <c r="C56" s="215"/>
      <c r="D56" s="215"/>
      <c r="E56" s="215"/>
      <c r="F56" s="215"/>
      <c r="G56" s="216"/>
    </row>
    <row r="57" spans="1:8" x14ac:dyDescent="0.25">
      <c r="A57" s="116" t="s">
        <v>40</v>
      </c>
      <c r="B57" s="214" t="s">
        <v>41</v>
      </c>
      <c r="C57" s="251"/>
      <c r="D57" s="251"/>
      <c r="E57" s="252"/>
      <c r="F57" s="123" t="s">
        <v>42</v>
      </c>
      <c r="G57" s="92" t="s">
        <v>4</v>
      </c>
    </row>
    <row r="58" spans="1:8" x14ac:dyDescent="0.25">
      <c r="A58" s="101" t="s">
        <v>9</v>
      </c>
      <c r="B58" s="217" t="s">
        <v>43</v>
      </c>
      <c r="C58" s="220"/>
      <c r="D58" s="220"/>
      <c r="E58" s="221"/>
      <c r="F58" s="73">
        <v>0.2</v>
      </c>
      <c r="G58" s="90">
        <f>F58*(G43+G51+G111)</f>
        <v>880.00752314353542</v>
      </c>
      <c r="H58" s="11"/>
    </row>
    <row r="59" spans="1:8" x14ac:dyDescent="0.25">
      <c r="A59" s="101" t="s">
        <v>11</v>
      </c>
      <c r="B59" s="217" t="s">
        <v>44</v>
      </c>
      <c r="C59" s="220"/>
      <c r="D59" s="220"/>
      <c r="E59" s="221"/>
      <c r="F59" s="73">
        <v>2.5000000000000001E-2</v>
      </c>
      <c r="G59" s="90">
        <f>F59*(G43+G51+G111)</f>
        <v>110.00094039294193</v>
      </c>
      <c r="H59" s="12"/>
    </row>
    <row r="60" spans="1:8" ht="37.700000000000003" customHeight="1" x14ac:dyDescent="0.25">
      <c r="A60" s="101" t="s">
        <v>14</v>
      </c>
      <c r="B60" s="217" t="s">
        <v>200</v>
      </c>
      <c r="C60" s="220"/>
      <c r="D60" s="220"/>
      <c r="E60" s="221"/>
      <c r="F60" s="73">
        <v>0.03</v>
      </c>
      <c r="G60" s="88">
        <f>F60*(G43+G51+G111)</f>
        <v>132.00112847153031</v>
      </c>
      <c r="H60" s="12"/>
    </row>
    <row r="61" spans="1:8" x14ac:dyDescent="0.25">
      <c r="A61" s="101" t="s">
        <v>16</v>
      </c>
      <c r="B61" s="217" t="s">
        <v>45</v>
      </c>
      <c r="C61" s="220"/>
      <c r="D61" s="220"/>
      <c r="E61" s="221"/>
      <c r="F61" s="73">
        <v>1.4999999999999999E-2</v>
      </c>
      <c r="G61" s="90">
        <f>F61*(G43+G51+G111)</f>
        <v>66.000564235765154</v>
      </c>
      <c r="H61" s="13"/>
    </row>
    <row r="62" spans="1:8" x14ac:dyDescent="0.25">
      <c r="A62" s="101" t="s">
        <v>32</v>
      </c>
      <c r="B62" s="217" t="s">
        <v>46</v>
      </c>
      <c r="C62" s="220"/>
      <c r="D62" s="220"/>
      <c r="E62" s="221"/>
      <c r="F62" s="73">
        <v>0.01</v>
      </c>
      <c r="G62" s="90">
        <f>F62*(G43+G51+G111)</f>
        <v>44.000376157176774</v>
      </c>
    </row>
    <row r="63" spans="1:8" x14ac:dyDescent="0.25">
      <c r="A63" s="101" t="s">
        <v>34</v>
      </c>
      <c r="B63" s="217" t="s">
        <v>47</v>
      </c>
      <c r="C63" s="220"/>
      <c r="D63" s="220"/>
      <c r="E63" s="221"/>
      <c r="F63" s="73">
        <v>6.0000000000000001E-3</v>
      </c>
      <c r="G63" s="90">
        <f>F63*(G43+G51+G111)</f>
        <v>26.400225694306062</v>
      </c>
    </row>
    <row r="64" spans="1:8" x14ac:dyDescent="0.25">
      <c r="A64" s="101" t="s">
        <v>48</v>
      </c>
      <c r="B64" s="217" t="s">
        <v>49</v>
      </c>
      <c r="C64" s="220"/>
      <c r="D64" s="220"/>
      <c r="E64" s="221"/>
      <c r="F64" s="73">
        <v>2E-3</v>
      </c>
      <c r="G64" s="90">
        <f>F64*(G43+G51+G111)</f>
        <v>8.8000752314353541</v>
      </c>
    </row>
    <row r="65" spans="1:7" x14ac:dyDescent="0.25">
      <c r="A65" s="101" t="s">
        <v>50</v>
      </c>
      <c r="B65" s="217" t="s">
        <v>51</v>
      </c>
      <c r="C65" s="220"/>
      <c r="D65" s="220"/>
      <c r="E65" s="221"/>
      <c r="F65" s="73">
        <v>0.08</v>
      </c>
      <c r="G65" s="90">
        <f>F65*(G43+G51+G111)</f>
        <v>352.00300925741419</v>
      </c>
    </row>
    <row r="66" spans="1:7" x14ac:dyDescent="0.25">
      <c r="A66" s="70"/>
      <c r="B66" s="202" t="s">
        <v>5</v>
      </c>
      <c r="C66" s="201"/>
      <c r="D66" s="201"/>
      <c r="E66" s="203"/>
      <c r="F66" s="123">
        <f>SUM(F58:F65)</f>
        <v>0.36800000000000005</v>
      </c>
      <c r="G66" s="100">
        <f>SUM(G58:G65)</f>
        <v>1619.2138425841054</v>
      </c>
    </row>
    <row r="67" spans="1:7" x14ac:dyDescent="0.25">
      <c r="A67" s="244" t="s">
        <v>270</v>
      </c>
      <c r="B67" s="245"/>
      <c r="C67" s="245"/>
      <c r="D67" s="245"/>
      <c r="E67" s="245"/>
      <c r="F67" s="245"/>
      <c r="G67" s="246"/>
    </row>
    <row r="68" spans="1:7" x14ac:dyDescent="0.25">
      <c r="A68" s="244" t="s">
        <v>271</v>
      </c>
      <c r="B68" s="245"/>
      <c r="C68" s="245"/>
      <c r="D68" s="245"/>
      <c r="E68" s="245"/>
      <c r="F68" s="245"/>
      <c r="G68" s="246"/>
    </row>
    <row r="69" spans="1:7" x14ac:dyDescent="0.25">
      <c r="A69" s="247" t="s">
        <v>52</v>
      </c>
      <c r="B69" s="248"/>
      <c r="C69" s="248"/>
      <c r="D69" s="248"/>
      <c r="E69" s="248"/>
      <c r="F69" s="248"/>
      <c r="G69" s="249"/>
    </row>
    <row r="70" spans="1:7" ht="12" customHeight="1" x14ac:dyDescent="0.25">
      <c r="A70" s="121"/>
      <c r="B70" s="117"/>
      <c r="C70" s="119"/>
      <c r="D70" s="119"/>
      <c r="E70" s="119"/>
      <c r="F70" s="74"/>
      <c r="G70" s="91"/>
    </row>
    <row r="71" spans="1:7" x14ac:dyDescent="0.25">
      <c r="A71" s="214" t="s">
        <v>53</v>
      </c>
      <c r="B71" s="215"/>
      <c r="C71" s="215"/>
      <c r="D71" s="215"/>
      <c r="E71" s="215"/>
      <c r="F71" s="215"/>
      <c r="G71" s="216"/>
    </row>
    <row r="72" spans="1:7" x14ac:dyDescent="0.25">
      <c r="A72" s="116" t="s">
        <v>54</v>
      </c>
      <c r="B72" s="212" t="s">
        <v>55</v>
      </c>
      <c r="C72" s="212"/>
      <c r="D72" s="212"/>
      <c r="E72" s="212"/>
      <c r="F72" s="212"/>
      <c r="G72" s="92" t="s">
        <v>4</v>
      </c>
    </row>
    <row r="73" spans="1:7" ht="24.95" customHeight="1" x14ac:dyDescent="0.25">
      <c r="A73" s="103" t="s">
        <v>9</v>
      </c>
      <c r="B73" s="250" t="s">
        <v>239</v>
      </c>
      <c r="C73" s="250"/>
      <c r="D73" s="250"/>
      <c r="E73" s="250"/>
      <c r="F73" s="250"/>
      <c r="G73" s="95">
        <f>((5.5)*2*15.5)-6%*G36</f>
        <v>7.0954000000000121</v>
      </c>
    </row>
    <row r="74" spans="1:7" ht="22.5" customHeight="1" x14ac:dyDescent="0.25">
      <c r="A74" s="101" t="s">
        <v>11</v>
      </c>
      <c r="B74" s="211" t="s">
        <v>240</v>
      </c>
      <c r="C74" s="211"/>
      <c r="D74" s="211"/>
      <c r="E74" s="211"/>
      <c r="F74" s="211"/>
      <c r="G74" s="88">
        <f>47.37*15.5</f>
        <v>734.23500000000001</v>
      </c>
    </row>
    <row r="75" spans="1:7" x14ac:dyDescent="0.25">
      <c r="A75" s="101" t="s">
        <v>14</v>
      </c>
      <c r="B75" s="211" t="s">
        <v>195</v>
      </c>
      <c r="C75" s="211"/>
      <c r="D75" s="211"/>
      <c r="E75" s="211"/>
      <c r="F75" s="211"/>
      <c r="G75" s="88"/>
    </row>
    <row r="76" spans="1:7" ht="29.25" customHeight="1" x14ac:dyDescent="0.25">
      <c r="A76" s="101" t="s">
        <v>16</v>
      </c>
      <c r="B76" s="211" t="s">
        <v>241</v>
      </c>
      <c r="C76" s="211"/>
      <c r="D76" s="211"/>
      <c r="E76" s="211"/>
      <c r="F76" s="211"/>
      <c r="G76" s="88">
        <f>6029.47/12*6%</f>
        <v>30.147350000000003</v>
      </c>
    </row>
    <row r="77" spans="1:7" ht="19.5" customHeight="1" x14ac:dyDescent="0.25">
      <c r="A77" s="101" t="s">
        <v>16</v>
      </c>
      <c r="B77" s="211" t="s">
        <v>196</v>
      </c>
      <c r="C77" s="211"/>
      <c r="D77" s="211"/>
      <c r="E77" s="211"/>
      <c r="F77" s="211"/>
      <c r="G77" s="88"/>
    </row>
    <row r="78" spans="1:7" ht="24" customHeight="1" x14ac:dyDescent="0.25">
      <c r="A78" s="101" t="s">
        <v>32</v>
      </c>
      <c r="B78" s="211" t="s">
        <v>197</v>
      </c>
      <c r="C78" s="211"/>
      <c r="D78" s="211"/>
      <c r="E78" s="211"/>
      <c r="F78" s="211"/>
      <c r="G78" s="88"/>
    </row>
    <row r="79" spans="1:7" x14ac:dyDescent="0.25">
      <c r="A79" s="118"/>
      <c r="B79" s="202" t="s">
        <v>5</v>
      </c>
      <c r="C79" s="201"/>
      <c r="D79" s="201"/>
      <c r="E79" s="201"/>
      <c r="F79" s="203"/>
      <c r="G79" s="92">
        <f>SUM(G73:G78)</f>
        <v>771.47775000000001</v>
      </c>
    </row>
    <row r="80" spans="1:7" ht="15.75" customHeight="1" x14ac:dyDescent="0.25">
      <c r="A80" s="208" t="s">
        <v>160</v>
      </c>
      <c r="B80" s="209"/>
      <c r="C80" s="209"/>
      <c r="D80" s="209"/>
      <c r="E80" s="209"/>
      <c r="F80" s="209"/>
      <c r="G80" s="210"/>
    </row>
    <row r="81" spans="1:8" ht="18" customHeight="1" x14ac:dyDescent="0.25">
      <c r="A81" s="208" t="s">
        <v>161</v>
      </c>
      <c r="B81" s="209"/>
      <c r="C81" s="209"/>
      <c r="D81" s="209"/>
      <c r="E81" s="209"/>
      <c r="F81" s="209"/>
      <c r="G81" s="210"/>
    </row>
    <row r="82" spans="1:8" ht="11.25" customHeight="1" x14ac:dyDescent="0.25">
      <c r="A82" s="120"/>
      <c r="B82" s="119"/>
      <c r="C82" s="119"/>
      <c r="D82" s="119"/>
      <c r="E82" s="119"/>
      <c r="F82" s="119"/>
      <c r="G82" s="107"/>
    </row>
    <row r="83" spans="1:8" x14ac:dyDescent="0.25">
      <c r="A83" s="70"/>
      <c r="B83" s="212" t="s">
        <v>56</v>
      </c>
      <c r="C83" s="212"/>
      <c r="D83" s="212"/>
      <c r="E83" s="212"/>
      <c r="F83" s="212"/>
      <c r="G83" s="93"/>
    </row>
    <row r="84" spans="1:8" x14ac:dyDescent="0.25">
      <c r="A84" s="116">
        <v>2</v>
      </c>
      <c r="B84" s="212" t="s">
        <v>57</v>
      </c>
      <c r="C84" s="212"/>
      <c r="D84" s="212"/>
      <c r="E84" s="212"/>
      <c r="F84" s="212"/>
      <c r="G84" s="92" t="s">
        <v>4</v>
      </c>
    </row>
    <row r="85" spans="1:8" x14ac:dyDescent="0.25">
      <c r="A85" s="101" t="s">
        <v>37</v>
      </c>
      <c r="B85" s="211" t="s">
        <v>181</v>
      </c>
      <c r="C85" s="211"/>
      <c r="D85" s="211"/>
      <c r="E85" s="211"/>
      <c r="F85" s="211"/>
      <c r="G85" s="88">
        <f>G51</f>
        <v>724.17947727272724</v>
      </c>
    </row>
    <row r="86" spans="1:8" x14ac:dyDescent="0.25">
      <c r="A86" s="101" t="s">
        <v>40</v>
      </c>
      <c r="B86" s="211" t="s">
        <v>41</v>
      </c>
      <c r="C86" s="211"/>
      <c r="D86" s="211"/>
      <c r="E86" s="211"/>
      <c r="F86" s="211"/>
      <c r="G86" s="88">
        <f>G66</f>
        <v>1619.2138425841054</v>
      </c>
    </row>
    <row r="87" spans="1:8" x14ac:dyDescent="0.25">
      <c r="A87" s="101" t="s">
        <v>54</v>
      </c>
      <c r="B87" s="211" t="s">
        <v>55</v>
      </c>
      <c r="C87" s="211"/>
      <c r="D87" s="211"/>
      <c r="E87" s="211"/>
      <c r="F87" s="211"/>
      <c r="G87" s="88">
        <f>G79</f>
        <v>771.47775000000001</v>
      </c>
    </row>
    <row r="88" spans="1:8" x14ac:dyDescent="0.25">
      <c r="A88" s="75"/>
      <c r="B88" s="241" t="s">
        <v>5</v>
      </c>
      <c r="C88" s="242"/>
      <c r="D88" s="242"/>
      <c r="E88" s="242"/>
      <c r="F88" s="243"/>
      <c r="G88" s="92">
        <f>SUM(G85:G87)</f>
        <v>3114.8710698568325</v>
      </c>
    </row>
    <row r="89" spans="1:8" ht="11.25" customHeight="1" x14ac:dyDescent="0.25">
      <c r="A89" s="241"/>
      <c r="B89" s="242"/>
      <c r="C89" s="242"/>
      <c r="D89" s="242"/>
      <c r="E89" s="242"/>
      <c r="F89" s="242"/>
      <c r="G89" s="243"/>
    </row>
    <row r="90" spans="1:8" x14ac:dyDescent="0.25">
      <c r="A90" s="67"/>
      <c r="B90" s="202" t="s">
        <v>58</v>
      </c>
      <c r="C90" s="201"/>
      <c r="D90" s="201"/>
      <c r="E90" s="203"/>
      <c r="F90" s="71"/>
      <c r="G90" s="89"/>
    </row>
    <row r="91" spans="1:8" x14ac:dyDescent="0.25">
      <c r="A91" s="116">
        <v>3</v>
      </c>
      <c r="B91" s="202" t="s">
        <v>59</v>
      </c>
      <c r="C91" s="201"/>
      <c r="D91" s="201"/>
      <c r="E91" s="203"/>
      <c r="F91" s="123" t="s">
        <v>42</v>
      </c>
      <c r="G91" s="92" t="s">
        <v>4</v>
      </c>
    </row>
    <row r="92" spans="1:8" ht="44.1" customHeight="1" x14ac:dyDescent="0.25">
      <c r="A92" s="61" t="s">
        <v>9</v>
      </c>
      <c r="B92" s="232" t="s">
        <v>208</v>
      </c>
      <c r="C92" s="233"/>
      <c r="D92" s="233"/>
      <c r="E92" s="234"/>
      <c r="F92" s="72">
        <f>5.5%*1*1/12</f>
        <v>4.5833333333333334E-3</v>
      </c>
      <c r="G92" s="88">
        <f>F92*(G43+G51)</f>
        <v>19.546140520833333</v>
      </c>
      <c r="H92" s="58"/>
    </row>
    <row r="93" spans="1:8" ht="18" customHeight="1" x14ac:dyDescent="0.25">
      <c r="A93" s="61" t="s">
        <v>11</v>
      </c>
      <c r="B93" s="232" t="s">
        <v>209</v>
      </c>
      <c r="C93" s="233"/>
      <c r="D93" s="233"/>
      <c r="E93" s="234"/>
      <c r="F93" s="109">
        <f>F65*F92</f>
        <v>3.6666666666666667E-4</v>
      </c>
      <c r="G93" s="90">
        <f>F93*(G43+G51)</f>
        <v>1.5636912416666666</v>
      </c>
    </row>
    <row r="94" spans="1:8" ht="35.450000000000003" customHeight="1" x14ac:dyDescent="0.25">
      <c r="A94" s="60" t="s">
        <v>14</v>
      </c>
      <c r="B94" s="232" t="s">
        <v>210</v>
      </c>
      <c r="C94" s="233"/>
      <c r="D94" s="233"/>
      <c r="E94" s="234"/>
      <c r="F94" s="76">
        <f xml:space="preserve"> (40%)*F92</f>
        <v>1.8333333333333335E-3</v>
      </c>
      <c r="G94" s="88">
        <f>F94*(G43+G51)</f>
        <v>7.818456208333334</v>
      </c>
      <c r="H94" s="124"/>
    </row>
    <row r="95" spans="1:8" ht="36" customHeight="1" x14ac:dyDescent="0.25">
      <c r="A95" s="60" t="s">
        <v>16</v>
      </c>
      <c r="B95" s="232" t="s">
        <v>183</v>
      </c>
      <c r="C95" s="233"/>
      <c r="D95" s="233"/>
      <c r="E95" s="234"/>
      <c r="F95" s="76">
        <f>(7/30)/12</f>
        <v>1.9444444444444445E-2</v>
      </c>
      <c r="G95" s="88">
        <f>F95*(G43+G51)</f>
        <v>82.923020391414141</v>
      </c>
    </row>
    <row r="96" spans="1:8" ht="19.7" customHeight="1" x14ac:dyDescent="0.25">
      <c r="A96" s="60" t="s">
        <v>32</v>
      </c>
      <c r="B96" s="284" t="s">
        <v>191</v>
      </c>
      <c r="C96" s="218"/>
      <c r="D96" s="218"/>
      <c r="E96" s="219"/>
      <c r="F96" s="76">
        <f>F66*F95</f>
        <v>7.1555555555555565E-3</v>
      </c>
      <c r="G96" s="88">
        <f>F96*(G43+G51)</f>
        <v>30.515671504040405</v>
      </c>
    </row>
    <row r="97" spans="1:8" ht="14.45" customHeight="1" x14ac:dyDescent="0.25">
      <c r="A97" s="60" t="s">
        <v>34</v>
      </c>
      <c r="B97" s="285" t="s">
        <v>184</v>
      </c>
      <c r="C97" s="233"/>
      <c r="D97" s="233"/>
      <c r="E97" s="234"/>
      <c r="F97" s="72">
        <f>40%*F95</f>
        <v>7.7777777777777784E-3</v>
      </c>
      <c r="G97" s="88">
        <f>F97*(G43+G51)</f>
        <v>33.169208156565659</v>
      </c>
    </row>
    <row r="98" spans="1:8" x14ac:dyDescent="0.25">
      <c r="A98" s="70"/>
      <c r="B98" s="202" t="s">
        <v>5</v>
      </c>
      <c r="C98" s="201"/>
      <c r="D98" s="201"/>
      <c r="E98" s="203"/>
      <c r="F98" s="77">
        <f>SUM(F92:F97)</f>
        <v>4.1161111111111114E-2</v>
      </c>
      <c r="G98" s="92">
        <f>SUM(G92:G97)</f>
        <v>175.53618802285354</v>
      </c>
    </row>
    <row r="99" spans="1:8" ht="12" customHeight="1" x14ac:dyDescent="0.25">
      <c r="A99" s="114"/>
      <c r="B99" s="115"/>
      <c r="C99" s="115"/>
      <c r="D99" s="115"/>
      <c r="E99" s="115"/>
      <c r="F99" s="115"/>
      <c r="G99" s="94"/>
    </row>
    <row r="100" spans="1:8" x14ac:dyDescent="0.25">
      <c r="A100" s="70"/>
      <c r="B100" s="202" t="s">
        <v>60</v>
      </c>
      <c r="C100" s="201"/>
      <c r="D100" s="201"/>
      <c r="E100" s="203"/>
      <c r="F100" s="71"/>
      <c r="G100" s="89"/>
    </row>
    <row r="101" spans="1:8" ht="24" customHeight="1" x14ac:dyDescent="0.25">
      <c r="A101" s="229" t="s">
        <v>162</v>
      </c>
      <c r="B101" s="209"/>
      <c r="C101" s="209"/>
      <c r="D101" s="209"/>
      <c r="E101" s="209"/>
      <c r="F101" s="209"/>
      <c r="G101" s="210"/>
    </row>
    <row r="102" spans="1:8" ht="12" customHeight="1" x14ac:dyDescent="0.25">
      <c r="A102" s="222"/>
      <c r="B102" s="199"/>
      <c r="C102" s="199"/>
      <c r="D102" s="199"/>
      <c r="E102" s="199"/>
      <c r="F102" s="199"/>
      <c r="G102" s="200"/>
    </row>
    <row r="103" spans="1:8" x14ac:dyDescent="0.25">
      <c r="A103" s="214" t="s">
        <v>61</v>
      </c>
      <c r="B103" s="215"/>
      <c r="C103" s="215"/>
      <c r="D103" s="215"/>
      <c r="E103" s="215"/>
      <c r="F103" s="215"/>
      <c r="G103" s="216"/>
    </row>
    <row r="104" spans="1:8" x14ac:dyDescent="0.25">
      <c r="A104" s="113" t="s">
        <v>62</v>
      </c>
      <c r="B104" s="202" t="s">
        <v>63</v>
      </c>
      <c r="C104" s="201"/>
      <c r="D104" s="201"/>
      <c r="E104" s="201"/>
      <c r="F104" s="123" t="s">
        <v>42</v>
      </c>
      <c r="G104" s="92" t="s">
        <v>4</v>
      </c>
    </row>
    <row r="105" spans="1:8" ht="12.75" customHeight="1" x14ac:dyDescent="0.25">
      <c r="A105" s="62" t="s">
        <v>9</v>
      </c>
      <c r="B105" s="230" t="s">
        <v>64</v>
      </c>
      <c r="C105" s="231"/>
      <c r="D105" s="231"/>
      <c r="E105" s="231"/>
      <c r="F105" s="78">
        <f>(8.33%+(8.33%*1/3))/12</f>
        <v>9.2555555555555551E-3</v>
      </c>
      <c r="G105" s="95">
        <f>F105*(G43+G51)</f>
        <v>39.471357706313128</v>
      </c>
      <c r="H105" s="59"/>
    </row>
    <row r="106" spans="1:8" ht="12.75" customHeight="1" x14ac:dyDescent="0.25">
      <c r="A106" s="62" t="s">
        <v>11</v>
      </c>
      <c r="B106" s="226" t="s">
        <v>185</v>
      </c>
      <c r="C106" s="227"/>
      <c r="D106" s="227"/>
      <c r="E106" s="227"/>
      <c r="F106" s="78">
        <f>(1/12)/30</f>
        <v>2.7777777777777775E-3</v>
      </c>
      <c r="G106" s="95">
        <f>F106*(G43+G51)</f>
        <v>11.846145770202018</v>
      </c>
    </row>
    <row r="107" spans="1:8" x14ac:dyDescent="0.25">
      <c r="A107" s="62" t="s">
        <v>14</v>
      </c>
      <c r="B107" s="226" t="s">
        <v>186</v>
      </c>
      <c r="C107" s="227"/>
      <c r="D107" s="227"/>
      <c r="E107" s="227"/>
      <c r="F107" s="79">
        <f>1.5%/12</f>
        <v>1.25E-3</v>
      </c>
      <c r="G107" s="95">
        <f>F107*(G43+G51)</f>
        <v>5.3307655965909087</v>
      </c>
    </row>
    <row r="108" spans="1:8" ht="21" customHeight="1" x14ac:dyDescent="0.25">
      <c r="A108" s="62" t="s">
        <v>16</v>
      </c>
      <c r="B108" s="226" t="s">
        <v>187</v>
      </c>
      <c r="C108" s="227"/>
      <c r="D108" s="227"/>
      <c r="E108" s="227"/>
      <c r="F108" s="80">
        <f>8%/12/2</f>
        <v>3.3333333333333335E-3</v>
      </c>
      <c r="G108" s="95">
        <f>F108*(G43+G51)</f>
        <v>14.215374924242425</v>
      </c>
    </row>
    <row r="109" spans="1:8" ht="35.450000000000003" customHeight="1" x14ac:dyDescent="0.25">
      <c r="A109" s="62" t="s">
        <v>32</v>
      </c>
      <c r="B109" s="228" t="s">
        <v>188</v>
      </c>
      <c r="C109" s="227"/>
      <c r="D109" s="227"/>
      <c r="E109" s="227"/>
      <c r="F109" s="81">
        <f>1.5%/12</f>
        <v>1.25E-3</v>
      </c>
      <c r="G109" s="95">
        <f>F109*(G43+G51)</f>
        <v>5.3307655965909087</v>
      </c>
    </row>
    <row r="110" spans="1:8" ht="16.5" customHeight="1" x14ac:dyDescent="0.25">
      <c r="A110" s="62" t="s">
        <v>34</v>
      </c>
      <c r="B110" s="226" t="s">
        <v>189</v>
      </c>
      <c r="C110" s="227"/>
      <c r="D110" s="227"/>
      <c r="E110" s="227"/>
      <c r="F110" s="80">
        <f>(5/12)/30</f>
        <v>1.388888888888889E-2</v>
      </c>
      <c r="G110" s="95">
        <f>F110*(G43+G51)</f>
        <v>59.230728851010106</v>
      </c>
    </row>
    <row r="111" spans="1:8" ht="12.75" customHeight="1" x14ac:dyDescent="0.25">
      <c r="A111" s="70"/>
      <c r="B111" s="202" t="s">
        <v>212</v>
      </c>
      <c r="C111" s="201"/>
      <c r="D111" s="201"/>
      <c r="E111" s="203"/>
      <c r="F111" s="123">
        <f>SUM(F105:F110)</f>
        <v>3.1755555555555558E-2</v>
      </c>
      <c r="G111" s="92">
        <f>SUM(G105:G110)</f>
        <v>135.42513844494948</v>
      </c>
    </row>
    <row r="112" spans="1:8" ht="12.75" customHeight="1" x14ac:dyDescent="0.25">
      <c r="A112" s="113" t="s">
        <v>48</v>
      </c>
      <c r="B112" s="215" t="s">
        <v>211</v>
      </c>
      <c r="C112" s="215"/>
      <c r="D112" s="215"/>
      <c r="E112" s="215"/>
      <c r="F112" s="123">
        <f>F66*F111</f>
        <v>1.1686044444444446E-2</v>
      </c>
      <c r="G112" s="92">
        <f>F112*(G43+G51)</f>
        <v>49.836450947741419</v>
      </c>
    </row>
    <row r="113" spans="1:10" ht="12.75" customHeight="1" x14ac:dyDescent="0.25">
      <c r="A113" s="116"/>
      <c r="B113" s="202" t="s">
        <v>5</v>
      </c>
      <c r="C113" s="201"/>
      <c r="D113" s="201"/>
      <c r="E113" s="203"/>
      <c r="F113" s="123">
        <f>SUM(F111:F112)</f>
        <v>4.3441600000000004E-2</v>
      </c>
      <c r="G113" s="126">
        <f>SUM(G111:G112)</f>
        <v>185.26158939269089</v>
      </c>
      <c r="I113" s="127"/>
    </row>
    <row r="114" spans="1:10" ht="18.75" customHeight="1" x14ac:dyDescent="0.25">
      <c r="A114" s="208" t="s">
        <v>163</v>
      </c>
      <c r="B114" s="209"/>
      <c r="C114" s="209"/>
      <c r="D114" s="209"/>
      <c r="E114" s="209"/>
      <c r="F114" s="209"/>
      <c r="G114" s="210"/>
    </row>
    <row r="115" spans="1:10" ht="11.25" customHeight="1" x14ac:dyDescent="0.25">
      <c r="A115" s="223"/>
      <c r="B115" s="224"/>
      <c r="C115" s="224"/>
      <c r="D115" s="224"/>
      <c r="E115" s="224"/>
      <c r="F115" s="224"/>
      <c r="G115" s="225"/>
    </row>
    <row r="116" spans="1:10" x14ac:dyDescent="0.25">
      <c r="A116" s="214" t="s">
        <v>65</v>
      </c>
      <c r="B116" s="215"/>
      <c r="C116" s="215"/>
      <c r="D116" s="215"/>
      <c r="E116" s="215"/>
      <c r="F116" s="215"/>
      <c r="G116" s="216"/>
    </row>
    <row r="117" spans="1:10" x14ac:dyDescent="0.25">
      <c r="A117" s="116" t="s">
        <v>66</v>
      </c>
      <c r="B117" s="202" t="s">
        <v>67</v>
      </c>
      <c r="C117" s="201"/>
      <c r="D117" s="201"/>
      <c r="E117" s="203"/>
      <c r="F117" s="123" t="s">
        <v>42</v>
      </c>
      <c r="G117" s="92" t="s">
        <v>4</v>
      </c>
      <c r="J117" s="165"/>
    </row>
    <row r="118" spans="1:10" x14ac:dyDescent="0.25">
      <c r="A118" s="101" t="s">
        <v>9</v>
      </c>
      <c r="B118" s="217" t="s">
        <v>68</v>
      </c>
      <c r="C118" s="220"/>
      <c r="D118" s="220"/>
      <c r="E118" s="221"/>
      <c r="F118" s="82"/>
      <c r="G118" s="88"/>
      <c r="J118" s="165"/>
    </row>
    <row r="119" spans="1:10" x14ac:dyDescent="0.25">
      <c r="A119" s="70"/>
      <c r="B119" s="202" t="s">
        <v>5</v>
      </c>
      <c r="C119" s="201"/>
      <c r="D119" s="201"/>
      <c r="E119" s="203"/>
      <c r="F119" s="83"/>
      <c r="G119" s="92"/>
    </row>
    <row r="120" spans="1:10" ht="17.25" customHeight="1" x14ac:dyDescent="0.25">
      <c r="A120" s="208" t="s">
        <v>164</v>
      </c>
      <c r="B120" s="209"/>
      <c r="C120" s="209"/>
      <c r="D120" s="209"/>
      <c r="E120" s="209"/>
      <c r="F120" s="209"/>
      <c r="G120" s="210"/>
      <c r="J120" s="127"/>
    </row>
    <row r="121" spans="1:10" ht="12" customHeight="1" x14ac:dyDescent="0.25">
      <c r="A121" s="222"/>
      <c r="B121" s="199"/>
      <c r="C121" s="199"/>
      <c r="D121" s="199"/>
      <c r="E121" s="199"/>
      <c r="F121" s="199"/>
      <c r="G121" s="200"/>
    </row>
    <row r="122" spans="1:10" x14ac:dyDescent="0.25">
      <c r="A122" s="70"/>
      <c r="B122" s="202" t="s">
        <v>69</v>
      </c>
      <c r="C122" s="201"/>
      <c r="D122" s="201"/>
      <c r="E122" s="201"/>
      <c r="F122" s="201"/>
      <c r="G122" s="89"/>
      <c r="J122" s="164"/>
    </row>
    <row r="123" spans="1:10" x14ac:dyDescent="0.25">
      <c r="A123" s="116">
        <v>4</v>
      </c>
      <c r="B123" s="212" t="s">
        <v>70</v>
      </c>
      <c r="C123" s="212"/>
      <c r="D123" s="212"/>
      <c r="E123" s="212"/>
      <c r="F123" s="123" t="s">
        <v>42</v>
      </c>
      <c r="G123" s="92" t="s">
        <v>4</v>
      </c>
    </row>
    <row r="124" spans="1:10" x14ac:dyDescent="0.25">
      <c r="A124" s="101" t="s">
        <v>62</v>
      </c>
      <c r="B124" s="211" t="s">
        <v>71</v>
      </c>
      <c r="C124" s="211"/>
      <c r="D124" s="211"/>
      <c r="E124" s="211"/>
      <c r="F124" s="102">
        <f>F111</f>
        <v>3.1755555555555558E-2</v>
      </c>
      <c r="G124" s="90">
        <f>G111</f>
        <v>135.42513844494948</v>
      </c>
    </row>
    <row r="125" spans="1:10" x14ac:dyDescent="0.25">
      <c r="A125" s="101" t="s">
        <v>66</v>
      </c>
      <c r="B125" s="211" t="s">
        <v>67</v>
      </c>
      <c r="C125" s="211"/>
      <c r="D125" s="211"/>
      <c r="E125" s="211"/>
      <c r="F125" s="102"/>
      <c r="G125" s="90">
        <f>G43/220*1*7*(4.345/2)*1.5</f>
        <v>367.09864668749998</v>
      </c>
    </row>
    <row r="126" spans="1:10" x14ac:dyDescent="0.25">
      <c r="A126" s="71"/>
      <c r="B126" s="202" t="s">
        <v>5</v>
      </c>
      <c r="C126" s="201"/>
      <c r="D126" s="201"/>
      <c r="E126" s="203"/>
      <c r="F126" s="123"/>
      <c r="G126" s="92">
        <f>SUM(G124:G125)</f>
        <v>502.52378513244946</v>
      </c>
    </row>
    <row r="127" spans="1:10" ht="10.5" customHeight="1" x14ac:dyDescent="0.25">
      <c r="A127" s="61"/>
      <c r="B127" s="122"/>
      <c r="C127" s="122"/>
      <c r="D127" s="122"/>
      <c r="E127" s="122"/>
      <c r="F127" s="74"/>
      <c r="G127" s="91"/>
    </row>
    <row r="128" spans="1:10" x14ac:dyDescent="0.25">
      <c r="A128" s="104"/>
      <c r="B128" s="202" t="s">
        <v>72</v>
      </c>
      <c r="C128" s="201"/>
      <c r="D128" s="201"/>
      <c r="E128" s="201"/>
      <c r="F128" s="201"/>
      <c r="G128" s="89"/>
    </row>
    <row r="129" spans="1:7" x14ac:dyDescent="0.25">
      <c r="A129" s="116">
        <v>5</v>
      </c>
      <c r="B129" s="214" t="s">
        <v>73</v>
      </c>
      <c r="C129" s="215"/>
      <c r="D129" s="215"/>
      <c r="E129" s="215"/>
      <c r="F129" s="216"/>
      <c r="G129" s="92" t="s">
        <v>4</v>
      </c>
    </row>
    <row r="130" spans="1:7" x14ac:dyDescent="0.25">
      <c r="A130" s="101" t="s">
        <v>9</v>
      </c>
      <c r="B130" s="217" t="s">
        <v>201</v>
      </c>
      <c r="C130" s="218"/>
      <c r="D130" s="218"/>
      <c r="E130" s="218"/>
      <c r="F130" s="219"/>
      <c r="G130" s="97">
        <f>Uniformes_Pesquisa!U24</f>
        <v>291.85283333333331</v>
      </c>
    </row>
    <row r="131" spans="1:7" x14ac:dyDescent="0.25">
      <c r="A131" s="101" t="s">
        <v>11</v>
      </c>
      <c r="B131" s="217" t="s">
        <v>145</v>
      </c>
      <c r="C131" s="220"/>
      <c r="D131" s="220"/>
      <c r="E131" s="220"/>
      <c r="F131" s="221"/>
      <c r="G131" s="97">
        <f>'Materiais Consumo_Consolidado'!N18</f>
        <v>5.1324404761904763</v>
      </c>
    </row>
    <row r="132" spans="1:7" x14ac:dyDescent="0.25">
      <c r="A132" s="121" t="s">
        <v>14</v>
      </c>
      <c r="B132" s="217" t="s">
        <v>146</v>
      </c>
      <c r="C132" s="220"/>
      <c r="D132" s="220"/>
      <c r="E132" s="220"/>
      <c r="F132" s="221"/>
      <c r="G132" s="97">
        <f>'Equips Básicos Consolidado'!K17</f>
        <v>0</v>
      </c>
    </row>
    <row r="133" spans="1:7" ht="15" customHeight="1" x14ac:dyDescent="0.25">
      <c r="A133" s="70"/>
      <c r="B133" s="202" t="s">
        <v>5</v>
      </c>
      <c r="C133" s="201"/>
      <c r="D133" s="201"/>
      <c r="E133" s="201"/>
      <c r="F133" s="203"/>
      <c r="G133" s="92">
        <f>SUM(G130:G132)</f>
        <v>296.98527380952379</v>
      </c>
    </row>
    <row r="134" spans="1:7" x14ac:dyDescent="0.25">
      <c r="A134" s="208" t="s">
        <v>165</v>
      </c>
      <c r="B134" s="209"/>
      <c r="C134" s="209"/>
      <c r="D134" s="209"/>
      <c r="E134" s="209"/>
      <c r="F134" s="209"/>
      <c r="G134" s="210"/>
    </row>
    <row r="135" spans="1:7" ht="11.25" customHeight="1" x14ac:dyDescent="0.25">
      <c r="A135" s="54"/>
      <c r="B135" s="115"/>
      <c r="C135" s="115"/>
      <c r="D135" s="115"/>
      <c r="E135" s="115"/>
      <c r="F135" s="74"/>
      <c r="G135" s="98"/>
    </row>
    <row r="136" spans="1:7" x14ac:dyDescent="0.25">
      <c r="A136" s="70"/>
      <c r="B136" s="202" t="s">
        <v>74</v>
      </c>
      <c r="C136" s="201"/>
      <c r="D136" s="201"/>
      <c r="E136" s="201"/>
      <c r="F136" s="201"/>
      <c r="G136" s="89"/>
    </row>
    <row r="137" spans="1:7" x14ac:dyDescent="0.25">
      <c r="A137" s="116">
        <v>6</v>
      </c>
      <c r="B137" s="212" t="s">
        <v>75</v>
      </c>
      <c r="C137" s="212"/>
      <c r="D137" s="212"/>
      <c r="E137" s="213" t="s">
        <v>42</v>
      </c>
      <c r="F137" s="213"/>
      <c r="G137" s="100" t="s">
        <v>4</v>
      </c>
    </row>
    <row r="138" spans="1:7" x14ac:dyDescent="0.25">
      <c r="A138" s="101" t="s">
        <v>9</v>
      </c>
      <c r="B138" s="211" t="s">
        <v>76</v>
      </c>
      <c r="C138" s="211"/>
      <c r="D138" s="211"/>
      <c r="E138" s="205">
        <v>0.05</v>
      </c>
      <c r="F138" s="206"/>
      <c r="G138" s="97">
        <f>(G43+G88+G98+G126+G133)*E138</f>
        <v>381.51746584108304</v>
      </c>
    </row>
    <row r="139" spans="1:7" x14ac:dyDescent="0.25">
      <c r="A139" s="101" t="s">
        <v>11</v>
      </c>
      <c r="B139" s="204" t="s">
        <v>178</v>
      </c>
      <c r="C139" s="204"/>
      <c r="D139" s="204"/>
      <c r="E139" s="205">
        <v>0.05</v>
      </c>
      <c r="F139" s="206"/>
      <c r="G139" s="88">
        <f>(G43+G88+G98+G126+G133+G138)*E139</f>
        <v>400.59333913313719</v>
      </c>
    </row>
    <row r="140" spans="1:7" x14ac:dyDescent="0.25">
      <c r="A140" s="101" t="s">
        <v>14</v>
      </c>
      <c r="B140" s="211" t="s">
        <v>77</v>
      </c>
      <c r="C140" s="204"/>
      <c r="D140" s="204"/>
      <c r="E140" s="205">
        <f>SUM(E141:F142)</f>
        <v>8.6499999999999994E-2</v>
      </c>
      <c r="F140" s="206"/>
      <c r="G140" s="96"/>
    </row>
    <row r="141" spans="1:7" ht="14.45" customHeight="1" x14ac:dyDescent="0.25">
      <c r="A141" s="82"/>
      <c r="B141" s="204" t="s">
        <v>237</v>
      </c>
      <c r="C141" s="204"/>
      <c r="D141" s="204"/>
      <c r="E141" s="205">
        <f>0.65%+3%</f>
        <v>3.6499999999999998E-2</v>
      </c>
      <c r="F141" s="206"/>
      <c r="G141" s="88">
        <f>E141*G156</f>
        <v>336.13004318067829</v>
      </c>
    </row>
    <row r="142" spans="1:7" x14ac:dyDescent="0.25">
      <c r="A142" s="82"/>
      <c r="B142" s="204" t="s">
        <v>190</v>
      </c>
      <c r="C142" s="204"/>
      <c r="D142" s="204"/>
      <c r="E142" s="205">
        <v>0.05</v>
      </c>
      <c r="F142" s="206"/>
      <c r="G142" s="88">
        <f>E142*G156</f>
        <v>460.45211394613472</v>
      </c>
    </row>
    <row r="143" spans="1:7" x14ac:dyDescent="0.25">
      <c r="A143" s="70"/>
      <c r="B143" s="202" t="s">
        <v>5</v>
      </c>
      <c r="C143" s="201"/>
      <c r="D143" s="203"/>
      <c r="E143" s="207">
        <f>E138+E139+E140</f>
        <v>0.1865</v>
      </c>
      <c r="F143" s="203"/>
      <c r="G143" s="99">
        <f>SUM(G138:G142)</f>
        <v>1578.6929621010331</v>
      </c>
    </row>
    <row r="144" spans="1:7" ht="14.25" customHeight="1" x14ac:dyDescent="0.25">
      <c r="A144" s="208" t="s">
        <v>166</v>
      </c>
      <c r="B144" s="209"/>
      <c r="C144" s="209"/>
      <c r="D144" s="209"/>
      <c r="E144" s="209"/>
      <c r="F144" s="209"/>
      <c r="G144" s="210"/>
    </row>
    <row r="145" spans="1:7" ht="15.75" customHeight="1" x14ac:dyDescent="0.25">
      <c r="A145" s="208" t="s">
        <v>167</v>
      </c>
      <c r="B145" s="209"/>
      <c r="C145" s="209"/>
      <c r="D145" s="209"/>
      <c r="E145" s="209"/>
      <c r="F145" s="209"/>
      <c r="G145" s="210"/>
    </row>
    <row r="146" spans="1:7" ht="10.5" customHeight="1" x14ac:dyDescent="0.25">
      <c r="A146" s="199"/>
      <c r="B146" s="199"/>
      <c r="C146" s="199"/>
      <c r="D146" s="199"/>
      <c r="E146" s="199"/>
      <c r="F146" s="199"/>
      <c r="G146" s="200"/>
    </row>
    <row r="147" spans="1:7" x14ac:dyDescent="0.25">
      <c r="A147" s="71"/>
      <c r="B147" s="201" t="s">
        <v>78</v>
      </c>
      <c r="C147" s="201"/>
      <c r="D147" s="201"/>
      <c r="E147" s="201"/>
      <c r="F147" s="201"/>
      <c r="G147" s="89"/>
    </row>
    <row r="148" spans="1:7" x14ac:dyDescent="0.25">
      <c r="A148" s="118"/>
      <c r="B148" s="202" t="s">
        <v>79</v>
      </c>
      <c r="C148" s="201"/>
      <c r="D148" s="201"/>
      <c r="E148" s="201"/>
      <c r="F148" s="203"/>
      <c r="G148" s="92" t="s">
        <v>80</v>
      </c>
    </row>
    <row r="149" spans="1:7" x14ac:dyDescent="0.25">
      <c r="A149" s="101" t="s">
        <v>9</v>
      </c>
      <c r="B149" s="193" t="s">
        <v>171</v>
      </c>
      <c r="C149" s="194"/>
      <c r="D149" s="194"/>
      <c r="E149" s="194"/>
      <c r="F149" s="195"/>
      <c r="G149" s="88">
        <f>G43</f>
        <v>3540.433</v>
      </c>
    </row>
    <row r="150" spans="1:7" x14ac:dyDescent="0.25">
      <c r="A150" s="101" t="s">
        <v>11</v>
      </c>
      <c r="B150" s="193" t="s">
        <v>172</v>
      </c>
      <c r="C150" s="194"/>
      <c r="D150" s="194"/>
      <c r="E150" s="194"/>
      <c r="F150" s="195"/>
      <c r="G150" s="88">
        <f>G88</f>
        <v>3114.8710698568325</v>
      </c>
    </row>
    <row r="151" spans="1:7" x14ac:dyDescent="0.25">
      <c r="A151" s="101" t="s">
        <v>14</v>
      </c>
      <c r="B151" s="193" t="s">
        <v>173</v>
      </c>
      <c r="C151" s="194"/>
      <c r="D151" s="194"/>
      <c r="E151" s="194"/>
      <c r="F151" s="195"/>
      <c r="G151" s="88">
        <f>G98</f>
        <v>175.53618802285354</v>
      </c>
    </row>
    <row r="152" spans="1:7" x14ac:dyDescent="0.25">
      <c r="A152" s="101" t="s">
        <v>16</v>
      </c>
      <c r="B152" s="193" t="s">
        <v>174</v>
      </c>
      <c r="C152" s="194"/>
      <c r="D152" s="194"/>
      <c r="E152" s="194"/>
      <c r="F152" s="195"/>
      <c r="G152" s="88">
        <f>G126</f>
        <v>502.52378513244946</v>
      </c>
    </row>
    <row r="153" spans="1:7" x14ac:dyDescent="0.25">
      <c r="A153" s="101" t="s">
        <v>32</v>
      </c>
      <c r="B153" s="193" t="s">
        <v>175</v>
      </c>
      <c r="C153" s="194"/>
      <c r="D153" s="194"/>
      <c r="E153" s="194"/>
      <c r="F153" s="195"/>
      <c r="G153" s="88">
        <f>G133</f>
        <v>296.98527380952379</v>
      </c>
    </row>
    <row r="154" spans="1:7" x14ac:dyDescent="0.25">
      <c r="A154" s="108"/>
      <c r="B154" s="196" t="s">
        <v>182</v>
      </c>
      <c r="C154" s="197"/>
      <c r="D154" s="197"/>
      <c r="E154" s="197"/>
      <c r="F154" s="198"/>
      <c r="G154" s="92">
        <f>SUM(G149:G153)</f>
        <v>7630.3493168216601</v>
      </c>
    </row>
    <row r="155" spans="1:7" x14ac:dyDescent="0.25">
      <c r="A155" s="85" t="s">
        <v>34</v>
      </c>
      <c r="B155" s="193" t="s">
        <v>176</v>
      </c>
      <c r="C155" s="194"/>
      <c r="D155" s="194"/>
      <c r="E155" s="194"/>
      <c r="F155" s="195"/>
      <c r="G155" s="88">
        <f>G143</f>
        <v>1578.6929621010331</v>
      </c>
    </row>
    <row r="156" spans="1:7" x14ac:dyDescent="0.25">
      <c r="A156" s="86"/>
      <c r="B156" s="196" t="s">
        <v>81</v>
      </c>
      <c r="C156" s="197"/>
      <c r="D156" s="197"/>
      <c r="E156" s="197"/>
      <c r="F156" s="198"/>
      <c r="G156" s="92">
        <f>(G138+G139+G154)/(1-8.65/100)</f>
        <v>9209.0422789226941</v>
      </c>
    </row>
    <row r="157" spans="1:7" x14ac:dyDescent="0.25">
      <c r="G157" s="163">
        <v>9209.0400000000009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G157"/>
  <sheetViews>
    <sheetView topLeftCell="A140" zoomScale="140" zoomScaleNormal="140" workbookViewId="0">
      <selection activeCell="J156" sqref="J156"/>
    </sheetView>
  </sheetViews>
  <sheetFormatPr defaultRowHeight="15" x14ac:dyDescent="0.25"/>
  <cols>
    <col min="1" max="1" width="5.5703125" customWidth="1"/>
    <col min="2" max="2" width="15.140625" customWidth="1"/>
    <col min="3" max="3" width="11.140625" customWidth="1"/>
    <col min="4" max="4" width="13" customWidth="1"/>
    <col min="6" max="6" width="17.42578125" customWidth="1"/>
    <col min="7" max="7" width="20.140625" customWidth="1"/>
  </cols>
  <sheetData>
    <row r="1" spans="1:7" x14ac:dyDescent="0.25">
      <c r="A1" s="250" t="s">
        <v>0</v>
      </c>
      <c r="B1" s="250"/>
      <c r="C1" s="250"/>
      <c r="D1" s="250"/>
      <c r="E1" s="250"/>
      <c r="F1" s="250"/>
      <c r="G1" s="250"/>
    </row>
    <row r="2" spans="1:7" x14ac:dyDescent="0.25">
      <c r="A2" s="250" t="s">
        <v>1</v>
      </c>
      <c r="B2" s="250"/>
      <c r="C2" s="250"/>
      <c r="D2" s="250"/>
      <c r="E2" s="250"/>
      <c r="F2" s="250"/>
      <c r="G2" s="250"/>
    </row>
    <row r="3" spans="1:7" x14ac:dyDescent="0.25">
      <c r="A3" s="250" t="s">
        <v>2</v>
      </c>
      <c r="B3" s="250"/>
      <c r="C3" s="250"/>
      <c r="D3" s="250"/>
      <c r="E3" s="250"/>
      <c r="F3" s="250"/>
      <c r="G3" s="250"/>
    </row>
    <row r="4" spans="1:7" x14ac:dyDescent="0.25">
      <c r="A4" s="250" t="s">
        <v>156</v>
      </c>
      <c r="B4" s="250"/>
      <c r="C4" s="250"/>
      <c r="D4" s="250"/>
      <c r="E4" s="250"/>
      <c r="F4" s="250"/>
      <c r="G4" s="250"/>
    </row>
    <row r="5" spans="1:7" x14ac:dyDescent="0.25">
      <c r="A5" s="274"/>
      <c r="B5" s="274"/>
      <c r="C5" s="274"/>
      <c r="D5" s="274"/>
      <c r="E5" s="274"/>
      <c r="F5" s="274"/>
      <c r="G5" s="274"/>
    </row>
    <row r="6" spans="1:7" ht="60" customHeight="1" x14ac:dyDescent="0.25">
      <c r="A6" s="211" t="s">
        <v>203</v>
      </c>
      <c r="B6" s="211"/>
      <c r="C6" s="211"/>
      <c r="D6" s="211"/>
      <c r="E6" s="211"/>
      <c r="F6" s="211"/>
      <c r="G6" s="211"/>
    </row>
    <row r="7" spans="1:7" x14ac:dyDescent="0.25">
      <c r="A7" s="202" t="s">
        <v>144</v>
      </c>
      <c r="B7" s="201"/>
      <c r="C7" s="201"/>
      <c r="D7" s="201"/>
      <c r="E7" s="201"/>
      <c r="F7" s="201"/>
      <c r="G7" s="203"/>
    </row>
    <row r="8" spans="1:7" x14ac:dyDescent="0.25">
      <c r="A8" s="202" t="s">
        <v>177</v>
      </c>
      <c r="B8" s="201"/>
      <c r="C8" s="201"/>
      <c r="D8" s="201"/>
      <c r="E8" s="201"/>
      <c r="F8" s="201"/>
      <c r="G8" s="203"/>
    </row>
    <row r="9" spans="1:7" x14ac:dyDescent="0.25">
      <c r="A9" s="279" t="s">
        <v>157</v>
      </c>
      <c r="B9" s="280"/>
      <c r="C9" s="280"/>
      <c r="D9" s="280"/>
      <c r="E9" s="280"/>
      <c r="F9" s="280"/>
      <c r="G9" s="281"/>
    </row>
    <row r="10" spans="1:7" x14ac:dyDescent="0.25">
      <c r="A10" s="279" t="s">
        <v>158</v>
      </c>
      <c r="B10" s="280"/>
      <c r="C10" s="280"/>
      <c r="D10" s="280"/>
      <c r="E10" s="280"/>
      <c r="F10" s="280"/>
      <c r="G10" s="281"/>
    </row>
    <row r="11" spans="1:7" x14ac:dyDescent="0.25">
      <c r="A11" s="282" t="s">
        <v>7</v>
      </c>
      <c r="B11" s="282"/>
      <c r="C11" s="282"/>
      <c r="D11" s="282"/>
      <c r="E11" s="282"/>
      <c r="F11" s="282"/>
      <c r="G11" s="282"/>
    </row>
    <row r="12" spans="1:7" x14ac:dyDescent="0.25">
      <c r="A12" s="283"/>
      <c r="B12" s="283"/>
      <c r="C12" s="283"/>
      <c r="D12" s="283"/>
      <c r="E12" s="283"/>
      <c r="F12" s="283"/>
      <c r="G12" s="283"/>
    </row>
    <row r="13" spans="1:7" x14ac:dyDescent="0.25">
      <c r="A13" s="275" t="s">
        <v>8</v>
      </c>
      <c r="B13" s="276"/>
      <c r="C13" s="276"/>
      <c r="D13" s="276"/>
      <c r="E13" s="276"/>
      <c r="F13" s="276"/>
      <c r="G13" s="277"/>
    </row>
    <row r="14" spans="1:7" x14ac:dyDescent="0.25">
      <c r="A14" s="101" t="s">
        <v>9</v>
      </c>
      <c r="B14" s="259" t="s">
        <v>10</v>
      </c>
      <c r="C14" s="260"/>
      <c r="D14" s="260"/>
      <c r="E14" s="261"/>
      <c r="F14" s="286">
        <f ca="1">NOW()</f>
        <v>45832.614331828707</v>
      </c>
      <c r="G14" s="286"/>
    </row>
    <row r="15" spans="1:7" x14ac:dyDescent="0.25">
      <c r="A15" s="101" t="s">
        <v>11</v>
      </c>
      <c r="B15" s="259" t="s">
        <v>12</v>
      </c>
      <c r="C15" s="260"/>
      <c r="D15" s="260"/>
      <c r="E15" s="261"/>
      <c r="F15" s="223" t="s">
        <v>13</v>
      </c>
      <c r="G15" s="225"/>
    </row>
    <row r="16" spans="1:7" ht="32.25" customHeight="1" x14ac:dyDescent="0.25">
      <c r="A16" s="103" t="s">
        <v>14</v>
      </c>
      <c r="B16" s="266" t="s">
        <v>15</v>
      </c>
      <c r="C16" s="267"/>
      <c r="D16" s="267"/>
      <c r="E16" s="268"/>
      <c r="F16" s="223" t="s">
        <v>244</v>
      </c>
      <c r="G16" s="225"/>
    </row>
    <row r="17" spans="1:7" x14ac:dyDescent="0.25">
      <c r="A17" s="101" t="s">
        <v>16</v>
      </c>
      <c r="B17" s="259" t="s">
        <v>179</v>
      </c>
      <c r="C17" s="260"/>
      <c r="D17" s="260"/>
      <c r="E17" s="261"/>
      <c r="F17" s="223">
        <v>36</v>
      </c>
      <c r="G17" s="225"/>
    </row>
    <row r="18" spans="1:7" x14ac:dyDescent="0.25">
      <c r="A18" s="84"/>
      <c r="B18" s="84"/>
      <c r="C18" s="84"/>
      <c r="D18" s="84"/>
      <c r="E18" s="84"/>
      <c r="F18" s="84"/>
      <c r="G18" s="105"/>
    </row>
    <row r="19" spans="1:7" x14ac:dyDescent="0.25">
      <c r="A19" s="202" t="s">
        <v>17</v>
      </c>
      <c r="B19" s="201"/>
      <c r="C19" s="201"/>
      <c r="D19" s="201"/>
      <c r="E19" s="201"/>
      <c r="F19" s="201"/>
      <c r="G19" s="203"/>
    </row>
    <row r="20" spans="1:7" ht="22.5" x14ac:dyDescent="0.25">
      <c r="A20" s="262" t="s">
        <v>18</v>
      </c>
      <c r="B20" s="262"/>
      <c r="C20" s="262"/>
      <c r="D20" s="262"/>
      <c r="E20" s="121" t="s">
        <v>19</v>
      </c>
      <c r="F20" s="223" t="s">
        <v>20</v>
      </c>
      <c r="G20" s="225"/>
    </row>
    <row r="21" spans="1:7" x14ac:dyDescent="0.25">
      <c r="A21" s="263" t="s">
        <v>247</v>
      </c>
      <c r="B21" s="264"/>
      <c r="C21" s="264"/>
      <c r="D21" s="265"/>
      <c r="E21" s="121" t="s">
        <v>21</v>
      </c>
      <c r="F21" s="262">
        <v>1</v>
      </c>
      <c r="G21" s="262"/>
    </row>
    <row r="22" spans="1:7" ht="21" customHeight="1" x14ac:dyDescent="0.25">
      <c r="A22" s="208" t="s">
        <v>168</v>
      </c>
      <c r="B22" s="209"/>
      <c r="C22" s="209"/>
      <c r="D22" s="209"/>
      <c r="E22" s="209"/>
      <c r="F22" s="209"/>
      <c r="G22" s="210"/>
    </row>
    <row r="23" spans="1:7" ht="24" customHeight="1" x14ac:dyDescent="0.25">
      <c r="A23" s="208" t="s">
        <v>169</v>
      </c>
      <c r="B23" s="209"/>
      <c r="C23" s="209"/>
      <c r="D23" s="209"/>
      <c r="E23" s="209"/>
      <c r="F23" s="209"/>
      <c r="G23" s="210"/>
    </row>
    <row r="24" spans="1:7" x14ac:dyDescent="0.25">
      <c r="A24" s="63"/>
      <c r="B24" s="64"/>
      <c r="C24" s="64"/>
      <c r="D24" s="64"/>
      <c r="E24" s="64"/>
      <c r="F24" s="64"/>
      <c r="G24" s="106"/>
    </row>
    <row r="25" spans="1:7" x14ac:dyDescent="0.25">
      <c r="A25" s="212" t="s">
        <v>22</v>
      </c>
      <c r="B25" s="212"/>
      <c r="C25" s="212"/>
      <c r="D25" s="212"/>
      <c r="E25" s="212"/>
      <c r="F25" s="212"/>
      <c r="G25" s="212"/>
    </row>
    <row r="26" spans="1:7" x14ac:dyDescent="0.25">
      <c r="A26" s="212" t="s">
        <v>23</v>
      </c>
      <c r="B26" s="212"/>
      <c r="C26" s="212"/>
      <c r="D26" s="212"/>
      <c r="E26" s="212"/>
      <c r="F26" s="212"/>
      <c r="G26" s="212"/>
    </row>
    <row r="27" spans="1:7" x14ac:dyDescent="0.25">
      <c r="A27" s="212" t="s">
        <v>24</v>
      </c>
      <c r="B27" s="212"/>
      <c r="C27" s="212"/>
      <c r="D27" s="212"/>
      <c r="E27" s="212"/>
      <c r="F27" s="212"/>
      <c r="G27" s="212"/>
    </row>
    <row r="28" spans="1:7" x14ac:dyDescent="0.25">
      <c r="A28" s="101">
        <v>1</v>
      </c>
      <c r="B28" s="217" t="s">
        <v>25</v>
      </c>
      <c r="C28" s="220"/>
      <c r="D28" s="220"/>
      <c r="E28" s="221"/>
      <c r="F28" s="223" t="str">
        <f>A21</f>
        <v>Vigilante Diurno Desarmado - 44 hs</v>
      </c>
      <c r="G28" s="225"/>
    </row>
    <row r="29" spans="1:7" x14ac:dyDescent="0.25">
      <c r="A29" s="101">
        <v>2</v>
      </c>
      <c r="B29" s="217" t="s">
        <v>26</v>
      </c>
      <c r="C29" s="220"/>
      <c r="D29" s="220"/>
      <c r="E29" s="221"/>
      <c r="F29" s="223" t="s">
        <v>88</v>
      </c>
      <c r="G29" s="225"/>
    </row>
    <row r="30" spans="1:7" x14ac:dyDescent="0.25">
      <c r="A30" s="101">
        <v>3</v>
      </c>
      <c r="B30" s="217" t="s">
        <v>193</v>
      </c>
      <c r="C30" s="220"/>
      <c r="D30" s="220"/>
      <c r="E30" s="221"/>
      <c r="F30" s="257">
        <v>2723.41</v>
      </c>
      <c r="G30" s="258"/>
    </row>
    <row r="31" spans="1:7" ht="21" customHeight="1" x14ac:dyDescent="0.25">
      <c r="A31" s="101">
        <v>4</v>
      </c>
      <c r="B31" s="217" t="s">
        <v>27</v>
      </c>
      <c r="C31" s="220"/>
      <c r="D31" s="220"/>
      <c r="E31" s="221"/>
      <c r="F31" s="223" t="str">
        <f>A21</f>
        <v>Vigilante Diurno Desarmado - 44 hs</v>
      </c>
      <c r="G31" s="225"/>
    </row>
    <row r="32" spans="1:7" ht="24.75" customHeight="1" x14ac:dyDescent="0.25">
      <c r="A32" s="101">
        <v>5</v>
      </c>
      <c r="B32" s="211" t="s">
        <v>230</v>
      </c>
      <c r="C32" s="211"/>
      <c r="D32" s="211"/>
      <c r="E32" s="211"/>
      <c r="F32" s="255" t="s">
        <v>82</v>
      </c>
      <c r="G32" s="225"/>
    </row>
    <row r="33" spans="1:7" x14ac:dyDescent="0.25">
      <c r="A33" s="222"/>
      <c r="B33" s="199"/>
      <c r="C33" s="199"/>
      <c r="D33" s="199"/>
      <c r="E33" s="199"/>
      <c r="F33" s="199"/>
      <c r="G33" s="200"/>
    </row>
    <row r="34" spans="1:7" x14ac:dyDescent="0.25">
      <c r="A34" s="65"/>
      <c r="B34" s="256" t="s">
        <v>170</v>
      </c>
      <c r="C34" s="256"/>
      <c r="D34" s="256"/>
      <c r="E34" s="256"/>
      <c r="F34" s="66"/>
      <c r="G34" s="89"/>
    </row>
    <row r="35" spans="1:7" x14ac:dyDescent="0.25">
      <c r="A35" s="116">
        <v>1</v>
      </c>
      <c r="B35" s="202" t="s">
        <v>28</v>
      </c>
      <c r="C35" s="201"/>
      <c r="D35" s="201"/>
      <c r="E35" s="203"/>
      <c r="F35" s="116" t="s">
        <v>29</v>
      </c>
      <c r="G35" s="92" t="s">
        <v>4</v>
      </c>
    </row>
    <row r="36" spans="1:7" x14ac:dyDescent="0.25">
      <c r="A36" s="101" t="s">
        <v>9</v>
      </c>
      <c r="B36" s="217" t="s">
        <v>254</v>
      </c>
      <c r="C36" s="218"/>
      <c r="D36" s="218"/>
      <c r="E36" s="219"/>
      <c r="F36" s="68">
        <v>1</v>
      </c>
      <c r="G36" s="88">
        <f>F30</f>
        <v>2723.41</v>
      </c>
    </row>
    <row r="37" spans="1:7" x14ac:dyDescent="0.25">
      <c r="A37" s="101" t="s">
        <v>11</v>
      </c>
      <c r="B37" s="217" t="s">
        <v>198</v>
      </c>
      <c r="C37" s="220"/>
      <c r="D37" s="220"/>
      <c r="E37" s="221"/>
      <c r="F37" s="69">
        <v>0.3</v>
      </c>
      <c r="G37" s="97">
        <f>G36*F37</f>
        <v>817.02299999999991</v>
      </c>
    </row>
    <row r="38" spans="1:7" x14ac:dyDescent="0.25">
      <c r="A38" s="101" t="s">
        <v>14</v>
      </c>
      <c r="B38" s="217" t="s">
        <v>30</v>
      </c>
      <c r="C38" s="220"/>
      <c r="D38" s="220"/>
      <c r="E38" s="221"/>
      <c r="F38" s="68">
        <v>0</v>
      </c>
      <c r="G38" s="88">
        <f>G37*F38</f>
        <v>0</v>
      </c>
    </row>
    <row r="39" spans="1:7" x14ac:dyDescent="0.25">
      <c r="A39" s="101" t="s">
        <v>16</v>
      </c>
      <c r="B39" s="217" t="s">
        <v>31</v>
      </c>
      <c r="C39" s="220"/>
      <c r="D39" s="220"/>
      <c r="E39" s="221"/>
      <c r="F39" s="68">
        <v>0</v>
      </c>
      <c r="G39" s="88">
        <f>G38*F39</f>
        <v>0</v>
      </c>
    </row>
    <row r="40" spans="1:7" x14ac:dyDescent="0.25">
      <c r="A40" s="101" t="s">
        <v>32</v>
      </c>
      <c r="B40" s="217" t="s">
        <v>33</v>
      </c>
      <c r="C40" s="220"/>
      <c r="D40" s="220"/>
      <c r="E40" s="221"/>
      <c r="F40" s="68">
        <v>0</v>
      </c>
      <c r="G40" s="88">
        <f>G39*F40</f>
        <v>0</v>
      </c>
    </row>
    <row r="41" spans="1:7" x14ac:dyDescent="0.25">
      <c r="A41" s="101" t="s">
        <v>34</v>
      </c>
      <c r="B41" s="217" t="s">
        <v>118</v>
      </c>
      <c r="C41" s="220"/>
      <c r="D41" s="220"/>
      <c r="E41" s="221"/>
      <c r="F41" s="68"/>
      <c r="G41" s="88"/>
    </row>
    <row r="42" spans="1:7" x14ac:dyDescent="0.25">
      <c r="A42" s="101" t="s">
        <v>48</v>
      </c>
      <c r="B42" s="217" t="s">
        <v>153</v>
      </c>
      <c r="C42" s="220"/>
      <c r="D42" s="220"/>
      <c r="E42" s="221"/>
      <c r="F42" s="72"/>
      <c r="G42" s="88"/>
    </row>
    <row r="43" spans="1:7" x14ac:dyDescent="0.25">
      <c r="A43" s="118"/>
      <c r="B43" s="202" t="s">
        <v>35</v>
      </c>
      <c r="C43" s="201"/>
      <c r="D43" s="201"/>
      <c r="E43" s="201"/>
      <c r="F43" s="123">
        <f>SUM(F36:F42)</f>
        <v>1.3</v>
      </c>
      <c r="G43" s="92">
        <f>SUM(G36:G42)</f>
        <v>3540.433</v>
      </c>
    </row>
    <row r="44" spans="1:7" x14ac:dyDescent="0.25">
      <c r="A44" s="208" t="s">
        <v>159</v>
      </c>
      <c r="B44" s="209"/>
      <c r="C44" s="209"/>
      <c r="D44" s="209"/>
      <c r="E44" s="209"/>
      <c r="F44" s="209"/>
      <c r="G44" s="210"/>
    </row>
    <row r="45" spans="1:7" x14ac:dyDescent="0.25">
      <c r="A45" s="222"/>
      <c r="B45" s="199"/>
      <c r="C45" s="199"/>
      <c r="D45" s="199"/>
      <c r="E45" s="199"/>
      <c r="F45" s="199"/>
      <c r="G45" s="200"/>
    </row>
    <row r="46" spans="1:7" x14ac:dyDescent="0.25">
      <c r="A46" s="70"/>
      <c r="B46" s="202" t="s">
        <v>36</v>
      </c>
      <c r="C46" s="201"/>
      <c r="D46" s="201"/>
      <c r="E46" s="201"/>
      <c r="F46" s="71"/>
      <c r="G46" s="89"/>
    </row>
    <row r="47" spans="1:7" x14ac:dyDescent="0.25">
      <c r="A47" s="214" t="s">
        <v>205</v>
      </c>
      <c r="B47" s="215"/>
      <c r="C47" s="215"/>
      <c r="D47" s="215"/>
      <c r="E47" s="215"/>
      <c r="F47" s="215"/>
      <c r="G47" s="216"/>
    </row>
    <row r="48" spans="1:7" x14ac:dyDescent="0.25">
      <c r="A48" s="116" t="s">
        <v>37</v>
      </c>
      <c r="B48" s="214" t="s">
        <v>204</v>
      </c>
      <c r="C48" s="215"/>
      <c r="D48" s="215"/>
      <c r="E48" s="215"/>
      <c r="F48" s="216"/>
      <c r="G48" s="92" t="s">
        <v>4</v>
      </c>
    </row>
    <row r="49" spans="1:7" x14ac:dyDescent="0.25">
      <c r="A49" s="101" t="s">
        <v>9</v>
      </c>
      <c r="B49" s="217" t="s">
        <v>180</v>
      </c>
      <c r="C49" s="220"/>
      <c r="D49" s="220"/>
      <c r="E49" s="221"/>
      <c r="F49" s="72">
        <f>1/12</f>
        <v>8.3333333333333329E-2</v>
      </c>
      <c r="G49" s="88">
        <f>F49*G43</f>
        <v>295.03608333333329</v>
      </c>
    </row>
    <row r="50" spans="1:7" x14ac:dyDescent="0.25">
      <c r="A50" s="101" t="s">
        <v>11</v>
      </c>
      <c r="B50" s="217" t="s">
        <v>38</v>
      </c>
      <c r="C50" s="220"/>
      <c r="D50" s="220"/>
      <c r="E50" s="221"/>
      <c r="F50" s="72">
        <f>(1/11)+((1/11)*(1/3))</f>
        <v>0.12121212121212122</v>
      </c>
      <c r="G50" s="88">
        <f>F50*G43</f>
        <v>429.14339393939395</v>
      </c>
    </row>
    <row r="51" spans="1:7" x14ac:dyDescent="0.25">
      <c r="A51" s="70"/>
      <c r="B51" s="202" t="s">
        <v>5</v>
      </c>
      <c r="C51" s="201"/>
      <c r="D51" s="201"/>
      <c r="E51" s="203"/>
      <c r="F51" s="123">
        <f>SUM(F49:F50)</f>
        <v>0.20454545454545453</v>
      </c>
      <c r="G51" s="92">
        <f>SUM(G49:G50)</f>
        <v>724.17947727272724</v>
      </c>
    </row>
    <row r="52" spans="1:7" ht="28.5" customHeight="1" x14ac:dyDescent="0.25">
      <c r="A52" s="247" t="s">
        <v>207</v>
      </c>
      <c r="B52" s="248"/>
      <c r="C52" s="248"/>
      <c r="D52" s="248"/>
      <c r="E52" s="248"/>
      <c r="F52" s="248"/>
      <c r="G52" s="249"/>
    </row>
    <row r="53" spans="1:7" ht="23.25" customHeight="1" x14ac:dyDescent="0.25">
      <c r="A53" s="247" t="s">
        <v>206</v>
      </c>
      <c r="B53" s="248"/>
      <c r="C53" s="248"/>
      <c r="D53" s="248"/>
      <c r="E53" s="248"/>
      <c r="F53" s="248"/>
      <c r="G53" s="249"/>
    </row>
    <row r="54" spans="1:7" ht="25.5" customHeight="1" x14ac:dyDescent="0.25">
      <c r="A54" s="253" t="s">
        <v>245</v>
      </c>
      <c r="B54" s="253"/>
      <c r="C54" s="253"/>
      <c r="D54" s="253"/>
      <c r="E54" s="253"/>
      <c r="F54" s="253"/>
      <c r="G54" s="254"/>
    </row>
    <row r="55" spans="1:7" x14ac:dyDescent="0.25">
      <c r="A55" s="185"/>
      <c r="B55" s="182"/>
      <c r="C55" s="182"/>
      <c r="D55" s="182"/>
      <c r="E55" s="182"/>
      <c r="F55" s="182"/>
      <c r="G55" s="186"/>
    </row>
    <row r="56" spans="1:7" x14ac:dyDescent="0.25">
      <c r="A56" s="287" t="s">
        <v>39</v>
      </c>
      <c r="B56" s="288"/>
      <c r="C56" s="288"/>
      <c r="D56" s="288"/>
      <c r="E56" s="288"/>
      <c r="F56" s="288"/>
      <c r="G56" s="289"/>
    </row>
    <row r="57" spans="1:7" x14ac:dyDescent="0.25">
      <c r="A57" s="168" t="s">
        <v>40</v>
      </c>
      <c r="B57" s="287" t="s">
        <v>41</v>
      </c>
      <c r="C57" s="290"/>
      <c r="D57" s="290"/>
      <c r="E57" s="291"/>
      <c r="F57" s="187" t="s">
        <v>42</v>
      </c>
      <c r="G57" s="188" t="s">
        <v>4</v>
      </c>
    </row>
    <row r="58" spans="1:7" x14ac:dyDescent="0.25">
      <c r="A58" s="180" t="s">
        <v>9</v>
      </c>
      <c r="B58" s="269" t="s">
        <v>43</v>
      </c>
      <c r="C58" s="270"/>
      <c r="D58" s="270"/>
      <c r="E58" s="271"/>
      <c r="F58" s="189">
        <v>0.2</v>
      </c>
      <c r="G58" s="190">
        <f>F58*(G43+G51+G111)</f>
        <v>880.00752314353542</v>
      </c>
    </row>
    <row r="59" spans="1:7" x14ac:dyDescent="0.25">
      <c r="A59" s="180" t="s">
        <v>11</v>
      </c>
      <c r="B59" s="269" t="s">
        <v>44</v>
      </c>
      <c r="C59" s="270"/>
      <c r="D59" s="270"/>
      <c r="E59" s="271"/>
      <c r="F59" s="189">
        <v>2.5000000000000001E-2</v>
      </c>
      <c r="G59" s="190">
        <f>F59*(G43+G51+G111)</f>
        <v>110.00094039294193</v>
      </c>
    </row>
    <row r="60" spans="1:7" ht="30" customHeight="1" x14ac:dyDescent="0.25">
      <c r="A60" s="180" t="s">
        <v>14</v>
      </c>
      <c r="B60" s="269" t="s">
        <v>275</v>
      </c>
      <c r="C60" s="270"/>
      <c r="D60" s="270"/>
      <c r="E60" s="271"/>
      <c r="F60" s="189">
        <v>0.03</v>
      </c>
      <c r="G60" s="97">
        <f>F60*(G43+G51+G111)</f>
        <v>132.00112847153031</v>
      </c>
    </row>
    <row r="61" spans="1:7" x14ac:dyDescent="0.25">
      <c r="A61" s="180" t="s">
        <v>16</v>
      </c>
      <c r="B61" s="269" t="s">
        <v>45</v>
      </c>
      <c r="C61" s="270"/>
      <c r="D61" s="270"/>
      <c r="E61" s="271"/>
      <c r="F61" s="189">
        <v>1.4999999999999999E-2</v>
      </c>
      <c r="G61" s="190">
        <f>F61*(G43+G51+G111)</f>
        <v>66.000564235765154</v>
      </c>
    </row>
    <row r="62" spans="1:7" x14ac:dyDescent="0.25">
      <c r="A62" s="180" t="s">
        <v>32</v>
      </c>
      <c r="B62" s="269" t="s">
        <v>46</v>
      </c>
      <c r="C62" s="270"/>
      <c r="D62" s="270"/>
      <c r="E62" s="271"/>
      <c r="F62" s="189">
        <v>0.01</v>
      </c>
      <c r="G62" s="190">
        <f>F62*(G43+G51+G111)</f>
        <v>44.000376157176774</v>
      </c>
    </row>
    <row r="63" spans="1:7" x14ac:dyDescent="0.25">
      <c r="A63" s="180" t="s">
        <v>34</v>
      </c>
      <c r="B63" s="269" t="s">
        <v>47</v>
      </c>
      <c r="C63" s="270"/>
      <c r="D63" s="270"/>
      <c r="E63" s="271"/>
      <c r="F63" s="189">
        <v>6.0000000000000001E-3</v>
      </c>
      <c r="G63" s="190">
        <f>F63*(G43+G51+G111)</f>
        <v>26.400225694306062</v>
      </c>
    </row>
    <row r="64" spans="1:7" x14ac:dyDescent="0.25">
      <c r="A64" s="180" t="s">
        <v>48</v>
      </c>
      <c r="B64" s="269" t="s">
        <v>49</v>
      </c>
      <c r="C64" s="270"/>
      <c r="D64" s="270"/>
      <c r="E64" s="271"/>
      <c r="F64" s="189">
        <v>2E-3</v>
      </c>
      <c r="G64" s="190">
        <f>F64*(G43+G51+G111)</f>
        <v>8.8000752314353541</v>
      </c>
    </row>
    <row r="65" spans="1:7" x14ac:dyDescent="0.25">
      <c r="A65" s="180" t="s">
        <v>50</v>
      </c>
      <c r="B65" s="269" t="s">
        <v>51</v>
      </c>
      <c r="C65" s="270"/>
      <c r="D65" s="270"/>
      <c r="E65" s="271"/>
      <c r="F65" s="189">
        <v>0.08</v>
      </c>
      <c r="G65" s="190">
        <f>F65*(G43+G51+G111)</f>
        <v>352.00300925741419</v>
      </c>
    </row>
    <row r="66" spans="1:7" x14ac:dyDescent="0.25">
      <c r="A66" s="191"/>
      <c r="B66" s="292" t="s">
        <v>5</v>
      </c>
      <c r="C66" s="293"/>
      <c r="D66" s="293"/>
      <c r="E66" s="294"/>
      <c r="F66" s="187">
        <f>SUM(F58:F65)</f>
        <v>0.36800000000000005</v>
      </c>
      <c r="G66" s="192">
        <f>SUM(G58:G65)</f>
        <v>1619.2138425841054</v>
      </c>
    </row>
    <row r="67" spans="1:7" x14ac:dyDescent="0.25">
      <c r="A67" s="244" t="s">
        <v>270</v>
      </c>
      <c r="B67" s="245"/>
      <c r="C67" s="245"/>
      <c r="D67" s="245"/>
      <c r="E67" s="245"/>
      <c r="F67" s="245"/>
      <c r="G67" s="246"/>
    </row>
    <row r="68" spans="1:7" x14ac:dyDescent="0.25">
      <c r="A68" s="244" t="s">
        <v>271</v>
      </c>
      <c r="B68" s="245"/>
      <c r="C68" s="245"/>
      <c r="D68" s="245"/>
      <c r="E68" s="245"/>
      <c r="F68" s="245"/>
      <c r="G68" s="246"/>
    </row>
    <row r="69" spans="1:7" x14ac:dyDescent="0.25">
      <c r="A69" s="247" t="s">
        <v>52</v>
      </c>
      <c r="B69" s="248"/>
      <c r="C69" s="248"/>
      <c r="D69" s="248"/>
      <c r="E69" s="248"/>
      <c r="F69" s="248"/>
      <c r="G69" s="249"/>
    </row>
    <row r="70" spans="1:7" x14ac:dyDescent="0.25">
      <c r="A70" s="121"/>
      <c r="B70" s="117"/>
      <c r="C70" s="119"/>
      <c r="D70" s="119"/>
      <c r="E70" s="119"/>
      <c r="F70" s="74"/>
      <c r="G70" s="91"/>
    </row>
    <row r="71" spans="1:7" x14ac:dyDescent="0.25">
      <c r="A71" s="214" t="s">
        <v>53</v>
      </c>
      <c r="B71" s="215"/>
      <c r="C71" s="215"/>
      <c r="D71" s="215"/>
      <c r="E71" s="215"/>
      <c r="F71" s="215"/>
      <c r="G71" s="216"/>
    </row>
    <row r="72" spans="1:7" x14ac:dyDescent="0.25">
      <c r="A72" s="116" t="s">
        <v>54</v>
      </c>
      <c r="B72" s="212" t="s">
        <v>55</v>
      </c>
      <c r="C72" s="212"/>
      <c r="D72" s="212"/>
      <c r="E72" s="212"/>
      <c r="F72" s="212"/>
      <c r="G72" s="92" t="s">
        <v>4</v>
      </c>
    </row>
    <row r="73" spans="1:7" ht="24.75" customHeight="1" x14ac:dyDescent="0.25">
      <c r="A73" s="103" t="s">
        <v>9</v>
      </c>
      <c r="B73" s="250" t="s">
        <v>253</v>
      </c>
      <c r="C73" s="250"/>
      <c r="D73" s="250"/>
      <c r="E73" s="250"/>
      <c r="F73" s="250"/>
      <c r="G73" s="95">
        <f>((5.5)*2*21)-6%*G36</f>
        <v>67.595400000000012</v>
      </c>
    </row>
    <row r="74" spans="1:7" ht="23.25" customHeight="1" x14ac:dyDescent="0.25">
      <c r="A74" s="101" t="s">
        <v>11</v>
      </c>
      <c r="B74" s="211" t="s">
        <v>252</v>
      </c>
      <c r="C74" s="211"/>
      <c r="D74" s="211"/>
      <c r="E74" s="211"/>
      <c r="F74" s="211"/>
      <c r="G74" s="88">
        <f>47.37*21</f>
        <v>994.77</v>
      </c>
    </row>
    <row r="75" spans="1:7" x14ac:dyDescent="0.25">
      <c r="A75" s="101" t="s">
        <v>14</v>
      </c>
      <c r="B75" s="211" t="s">
        <v>195</v>
      </c>
      <c r="C75" s="211"/>
      <c r="D75" s="211"/>
      <c r="E75" s="211"/>
      <c r="F75" s="211"/>
      <c r="G75" s="88"/>
    </row>
    <row r="76" spans="1:7" ht="19.5" customHeight="1" x14ac:dyDescent="0.25">
      <c r="A76" s="101" t="s">
        <v>16</v>
      </c>
      <c r="B76" s="211" t="s">
        <v>241</v>
      </c>
      <c r="C76" s="211"/>
      <c r="D76" s="211"/>
      <c r="E76" s="211"/>
      <c r="F76" s="211"/>
      <c r="G76" s="88">
        <f>6029.47/12*6%</f>
        <v>30.147350000000003</v>
      </c>
    </row>
    <row r="77" spans="1:7" ht="22.5" customHeight="1" x14ac:dyDescent="0.25">
      <c r="A77" s="101" t="s">
        <v>16</v>
      </c>
      <c r="B77" s="211" t="s">
        <v>196</v>
      </c>
      <c r="C77" s="211"/>
      <c r="D77" s="211"/>
      <c r="E77" s="211"/>
      <c r="F77" s="211"/>
      <c r="G77" s="88"/>
    </row>
    <row r="78" spans="1:7" ht="22.5" customHeight="1" x14ac:dyDescent="0.25">
      <c r="A78" s="101" t="s">
        <v>32</v>
      </c>
      <c r="B78" s="211" t="s">
        <v>197</v>
      </c>
      <c r="C78" s="211"/>
      <c r="D78" s="211"/>
      <c r="E78" s="211"/>
      <c r="F78" s="211"/>
      <c r="G78" s="88"/>
    </row>
    <row r="79" spans="1:7" x14ac:dyDescent="0.25">
      <c r="A79" s="118"/>
      <c r="B79" s="202" t="s">
        <v>5</v>
      </c>
      <c r="C79" s="201"/>
      <c r="D79" s="201"/>
      <c r="E79" s="201"/>
      <c r="F79" s="203"/>
      <c r="G79" s="92">
        <f>SUM(G73:G78)</f>
        <v>1092.5127499999999</v>
      </c>
    </row>
    <row r="80" spans="1:7" x14ac:dyDescent="0.25">
      <c r="A80" s="208" t="s">
        <v>160</v>
      </c>
      <c r="B80" s="209"/>
      <c r="C80" s="209"/>
      <c r="D80" s="209"/>
      <c r="E80" s="209"/>
      <c r="F80" s="209"/>
      <c r="G80" s="210"/>
    </row>
    <row r="81" spans="1:7" ht="18.75" customHeight="1" x14ac:dyDescent="0.25">
      <c r="A81" s="208" t="s">
        <v>161</v>
      </c>
      <c r="B81" s="209"/>
      <c r="C81" s="209"/>
      <c r="D81" s="209"/>
      <c r="E81" s="209"/>
      <c r="F81" s="209"/>
      <c r="G81" s="210"/>
    </row>
    <row r="82" spans="1:7" x14ac:dyDescent="0.25">
      <c r="A82" s="120"/>
      <c r="B82" s="119"/>
      <c r="C82" s="119"/>
      <c r="D82" s="119"/>
      <c r="E82" s="119"/>
      <c r="F82" s="119"/>
      <c r="G82" s="107"/>
    </row>
    <row r="83" spans="1:7" x14ac:dyDescent="0.25">
      <c r="A83" s="70"/>
      <c r="B83" s="212" t="s">
        <v>56</v>
      </c>
      <c r="C83" s="212"/>
      <c r="D83" s="212"/>
      <c r="E83" s="212"/>
      <c r="F83" s="212"/>
      <c r="G83" s="93"/>
    </row>
    <row r="84" spans="1:7" x14ac:dyDescent="0.25">
      <c r="A84" s="116">
        <v>2</v>
      </c>
      <c r="B84" s="212" t="s">
        <v>57</v>
      </c>
      <c r="C84" s="212"/>
      <c r="D84" s="212"/>
      <c r="E84" s="212"/>
      <c r="F84" s="212"/>
      <c r="G84" s="92" t="s">
        <v>4</v>
      </c>
    </row>
    <row r="85" spans="1:7" x14ac:dyDescent="0.25">
      <c r="A85" s="101" t="s">
        <v>37</v>
      </c>
      <c r="B85" s="211" t="s">
        <v>181</v>
      </c>
      <c r="C85" s="211"/>
      <c r="D85" s="211"/>
      <c r="E85" s="211"/>
      <c r="F85" s="211"/>
      <c r="G85" s="88">
        <f>G51</f>
        <v>724.17947727272724</v>
      </c>
    </row>
    <row r="86" spans="1:7" x14ac:dyDescent="0.25">
      <c r="A86" s="101" t="s">
        <v>40</v>
      </c>
      <c r="B86" s="211" t="s">
        <v>41</v>
      </c>
      <c r="C86" s="211"/>
      <c r="D86" s="211"/>
      <c r="E86" s="211"/>
      <c r="F86" s="211"/>
      <c r="G86" s="88">
        <f>G66</f>
        <v>1619.2138425841054</v>
      </c>
    </row>
    <row r="87" spans="1:7" x14ac:dyDescent="0.25">
      <c r="A87" s="101" t="s">
        <v>54</v>
      </c>
      <c r="B87" s="211" t="s">
        <v>55</v>
      </c>
      <c r="C87" s="211"/>
      <c r="D87" s="211"/>
      <c r="E87" s="211"/>
      <c r="F87" s="211"/>
      <c r="G87" s="88">
        <f>G79</f>
        <v>1092.5127499999999</v>
      </c>
    </row>
    <row r="88" spans="1:7" x14ac:dyDescent="0.25">
      <c r="A88" s="75"/>
      <c r="B88" s="241" t="s">
        <v>5</v>
      </c>
      <c r="C88" s="242"/>
      <c r="D88" s="242"/>
      <c r="E88" s="242"/>
      <c r="F88" s="243"/>
      <c r="G88" s="92">
        <f>SUM(G85:G87)</f>
        <v>3435.9060698568323</v>
      </c>
    </row>
    <row r="89" spans="1:7" x14ac:dyDescent="0.25">
      <c r="A89" s="241"/>
      <c r="B89" s="242"/>
      <c r="C89" s="242"/>
      <c r="D89" s="242"/>
      <c r="E89" s="242"/>
      <c r="F89" s="242"/>
      <c r="G89" s="243"/>
    </row>
    <row r="90" spans="1:7" x14ac:dyDescent="0.25">
      <c r="A90" s="67"/>
      <c r="B90" s="202" t="s">
        <v>58</v>
      </c>
      <c r="C90" s="201"/>
      <c r="D90" s="201"/>
      <c r="E90" s="203"/>
      <c r="F90" s="71"/>
      <c r="G90" s="89"/>
    </row>
    <row r="91" spans="1:7" x14ac:dyDescent="0.25">
      <c r="A91" s="116">
        <v>3</v>
      </c>
      <c r="B91" s="202" t="s">
        <v>59</v>
      </c>
      <c r="C91" s="201"/>
      <c r="D91" s="201"/>
      <c r="E91" s="203"/>
      <c r="F91" s="123" t="s">
        <v>42</v>
      </c>
      <c r="G91" s="92" t="s">
        <v>4</v>
      </c>
    </row>
    <row r="92" spans="1:7" ht="38.25" customHeight="1" x14ac:dyDescent="0.25">
      <c r="A92" s="61" t="s">
        <v>9</v>
      </c>
      <c r="B92" s="232" t="s">
        <v>208</v>
      </c>
      <c r="C92" s="233"/>
      <c r="D92" s="233"/>
      <c r="E92" s="234"/>
      <c r="F92" s="72">
        <f>5.5%*1*1/12</f>
        <v>4.5833333333333334E-3</v>
      </c>
      <c r="G92" s="88">
        <f>F92*(G43+G51)</f>
        <v>19.546140520833333</v>
      </c>
    </row>
    <row r="93" spans="1:7" ht="29.25" customHeight="1" x14ac:dyDescent="0.25">
      <c r="A93" s="61" t="s">
        <v>11</v>
      </c>
      <c r="B93" s="232" t="s">
        <v>209</v>
      </c>
      <c r="C93" s="233"/>
      <c r="D93" s="233"/>
      <c r="E93" s="234"/>
      <c r="F93" s="109">
        <f>F65*F92</f>
        <v>3.6666666666666667E-4</v>
      </c>
      <c r="G93" s="90">
        <f>F93*(G43+G51)</f>
        <v>1.5636912416666666</v>
      </c>
    </row>
    <row r="94" spans="1:7" ht="30" customHeight="1" x14ac:dyDescent="0.25">
      <c r="A94" s="60" t="s">
        <v>14</v>
      </c>
      <c r="B94" s="232" t="s">
        <v>210</v>
      </c>
      <c r="C94" s="233"/>
      <c r="D94" s="233"/>
      <c r="E94" s="234"/>
      <c r="F94" s="76">
        <f xml:space="preserve"> (40%)*F92</f>
        <v>1.8333333333333335E-3</v>
      </c>
      <c r="G94" s="88">
        <f>F94*(G43+G51)</f>
        <v>7.818456208333334</v>
      </c>
    </row>
    <row r="95" spans="1:7" ht="33" customHeight="1" x14ac:dyDescent="0.25">
      <c r="A95" s="60" t="s">
        <v>16</v>
      </c>
      <c r="B95" s="232" t="s">
        <v>183</v>
      </c>
      <c r="C95" s="233"/>
      <c r="D95" s="233"/>
      <c r="E95" s="234"/>
      <c r="F95" s="76">
        <f>(7/30)/12</f>
        <v>1.9444444444444445E-2</v>
      </c>
      <c r="G95" s="88">
        <f>F95*(G43+G51)</f>
        <v>82.923020391414141</v>
      </c>
    </row>
    <row r="96" spans="1:7" ht="21.75" customHeight="1" x14ac:dyDescent="0.25">
      <c r="A96" s="60" t="s">
        <v>32</v>
      </c>
      <c r="B96" s="284" t="s">
        <v>191</v>
      </c>
      <c r="C96" s="218"/>
      <c r="D96" s="218"/>
      <c r="E96" s="219"/>
      <c r="F96" s="76">
        <f>F66*F95</f>
        <v>7.1555555555555565E-3</v>
      </c>
      <c r="G96" s="88">
        <f>F96*(G43+G51)</f>
        <v>30.515671504040405</v>
      </c>
    </row>
    <row r="97" spans="1:7" x14ac:dyDescent="0.25">
      <c r="A97" s="60" t="s">
        <v>34</v>
      </c>
      <c r="B97" s="285" t="s">
        <v>184</v>
      </c>
      <c r="C97" s="233"/>
      <c r="D97" s="233"/>
      <c r="E97" s="234"/>
      <c r="F97" s="72">
        <f>40%*F95</f>
        <v>7.7777777777777784E-3</v>
      </c>
      <c r="G97" s="88">
        <f>F97*(G43+G51)</f>
        <v>33.169208156565659</v>
      </c>
    </row>
    <row r="98" spans="1:7" x14ac:dyDescent="0.25">
      <c r="A98" s="70"/>
      <c r="B98" s="202" t="s">
        <v>5</v>
      </c>
      <c r="C98" s="201"/>
      <c r="D98" s="201"/>
      <c r="E98" s="203"/>
      <c r="F98" s="77">
        <f>SUM(F92:F97)</f>
        <v>4.1161111111111114E-2</v>
      </c>
      <c r="G98" s="92">
        <f>SUM(G92:G97)</f>
        <v>175.53618802285354</v>
      </c>
    </row>
    <row r="99" spans="1:7" x14ac:dyDescent="0.25">
      <c r="A99" s="114"/>
      <c r="B99" s="115"/>
      <c r="C99" s="115"/>
      <c r="D99" s="115"/>
      <c r="E99" s="115"/>
      <c r="F99" s="115"/>
      <c r="G99" s="94"/>
    </row>
    <row r="100" spans="1:7" x14ac:dyDescent="0.25">
      <c r="A100" s="70"/>
      <c r="B100" s="202" t="s">
        <v>60</v>
      </c>
      <c r="C100" s="201"/>
      <c r="D100" s="201"/>
      <c r="E100" s="203"/>
      <c r="F100" s="71"/>
      <c r="G100" s="89"/>
    </row>
    <row r="101" spans="1:7" x14ac:dyDescent="0.25">
      <c r="A101" s="229" t="s">
        <v>162</v>
      </c>
      <c r="B101" s="209"/>
      <c r="C101" s="209"/>
      <c r="D101" s="209"/>
      <c r="E101" s="209"/>
      <c r="F101" s="209"/>
      <c r="G101" s="210"/>
    </row>
    <row r="102" spans="1:7" x14ac:dyDescent="0.25">
      <c r="A102" s="222"/>
      <c r="B102" s="199"/>
      <c r="C102" s="199"/>
      <c r="D102" s="199"/>
      <c r="E102" s="199"/>
      <c r="F102" s="199"/>
      <c r="G102" s="200"/>
    </row>
    <row r="103" spans="1:7" x14ac:dyDescent="0.25">
      <c r="A103" s="214" t="s">
        <v>61</v>
      </c>
      <c r="B103" s="215"/>
      <c r="C103" s="215"/>
      <c r="D103" s="215"/>
      <c r="E103" s="215"/>
      <c r="F103" s="215"/>
      <c r="G103" s="216"/>
    </row>
    <row r="104" spans="1:7" x14ac:dyDescent="0.25">
      <c r="A104" s="113" t="s">
        <v>62</v>
      </c>
      <c r="B104" s="202" t="s">
        <v>63</v>
      </c>
      <c r="C104" s="201"/>
      <c r="D104" s="201"/>
      <c r="E104" s="201"/>
      <c r="F104" s="123" t="s">
        <v>42</v>
      </c>
      <c r="G104" s="92" t="s">
        <v>4</v>
      </c>
    </row>
    <row r="105" spans="1:7" x14ac:dyDescent="0.25">
      <c r="A105" s="62" t="s">
        <v>9</v>
      </c>
      <c r="B105" s="230" t="s">
        <v>64</v>
      </c>
      <c r="C105" s="231"/>
      <c r="D105" s="231"/>
      <c r="E105" s="231"/>
      <c r="F105" s="78">
        <f>(8.33%+(8.33%*1/3))/12</f>
        <v>9.2555555555555551E-3</v>
      </c>
      <c r="G105" s="95">
        <f>F105*(G43+G51)</f>
        <v>39.471357706313128</v>
      </c>
    </row>
    <row r="106" spans="1:7" ht="27.75" customHeight="1" x14ac:dyDescent="0.25">
      <c r="A106" s="62" t="s">
        <v>11</v>
      </c>
      <c r="B106" s="226" t="s">
        <v>185</v>
      </c>
      <c r="C106" s="227"/>
      <c r="D106" s="227"/>
      <c r="E106" s="227"/>
      <c r="F106" s="78">
        <f>(1/12)/30</f>
        <v>2.7777777777777775E-3</v>
      </c>
      <c r="G106" s="95">
        <f>F106*(G43+G51)</f>
        <v>11.846145770202018</v>
      </c>
    </row>
    <row r="107" spans="1:7" x14ac:dyDescent="0.25">
      <c r="A107" s="62" t="s">
        <v>14</v>
      </c>
      <c r="B107" s="226" t="s">
        <v>186</v>
      </c>
      <c r="C107" s="227"/>
      <c r="D107" s="227"/>
      <c r="E107" s="227"/>
      <c r="F107" s="79">
        <f>1.5%/12</f>
        <v>1.25E-3</v>
      </c>
      <c r="G107" s="95">
        <f>F107*(G43+G51)</f>
        <v>5.3307655965909087</v>
      </c>
    </row>
    <row r="108" spans="1:7" ht="26.25" customHeight="1" x14ac:dyDescent="0.25">
      <c r="A108" s="62" t="s">
        <v>16</v>
      </c>
      <c r="B108" s="226" t="s">
        <v>187</v>
      </c>
      <c r="C108" s="227"/>
      <c r="D108" s="227"/>
      <c r="E108" s="227"/>
      <c r="F108" s="80">
        <f>8%/12/2</f>
        <v>3.3333333333333335E-3</v>
      </c>
      <c r="G108" s="95">
        <f>F108*(G43+G51)</f>
        <v>14.215374924242425</v>
      </c>
    </row>
    <row r="109" spans="1:7" ht="38.25" customHeight="1" x14ac:dyDescent="0.25">
      <c r="A109" s="62" t="s">
        <v>32</v>
      </c>
      <c r="B109" s="228" t="s">
        <v>188</v>
      </c>
      <c r="C109" s="227"/>
      <c r="D109" s="227"/>
      <c r="E109" s="227"/>
      <c r="F109" s="81">
        <f>1.5%/12</f>
        <v>1.25E-3</v>
      </c>
      <c r="G109" s="95">
        <f>F109*(G43+G51)</f>
        <v>5.3307655965909087</v>
      </c>
    </row>
    <row r="110" spans="1:7" ht="24" customHeight="1" x14ac:dyDescent="0.25">
      <c r="A110" s="62" t="s">
        <v>34</v>
      </c>
      <c r="B110" s="226" t="s">
        <v>189</v>
      </c>
      <c r="C110" s="227"/>
      <c r="D110" s="227"/>
      <c r="E110" s="227"/>
      <c r="F110" s="80">
        <f>(5/12)/30</f>
        <v>1.388888888888889E-2</v>
      </c>
      <c r="G110" s="95">
        <f>F110*(G43+G51)</f>
        <v>59.230728851010106</v>
      </c>
    </row>
    <row r="111" spans="1:7" x14ac:dyDescent="0.25">
      <c r="A111" s="70"/>
      <c r="B111" s="202" t="s">
        <v>212</v>
      </c>
      <c r="C111" s="201"/>
      <c r="D111" s="201"/>
      <c r="E111" s="203"/>
      <c r="F111" s="123">
        <f>SUM(F105:F110)</f>
        <v>3.1755555555555558E-2</v>
      </c>
      <c r="G111" s="92">
        <f>SUM(G105:G110)</f>
        <v>135.42513844494948</v>
      </c>
    </row>
    <row r="112" spans="1:7" x14ac:dyDescent="0.25">
      <c r="A112" s="113" t="s">
        <v>48</v>
      </c>
      <c r="B112" s="215" t="s">
        <v>211</v>
      </c>
      <c r="C112" s="215"/>
      <c r="D112" s="215"/>
      <c r="E112" s="215"/>
      <c r="F112" s="123">
        <f>F66*F111</f>
        <v>1.1686044444444446E-2</v>
      </c>
      <c r="G112" s="92">
        <f>F112*(G43+G51)</f>
        <v>49.836450947741419</v>
      </c>
    </row>
    <row r="113" spans="1:7" x14ac:dyDescent="0.25">
      <c r="A113" s="116"/>
      <c r="B113" s="202" t="s">
        <v>5</v>
      </c>
      <c r="C113" s="201"/>
      <c r="D113" s="201"/>
      <c r="E113" s="203"/>
      <c r="F113" s="123">
        <f>SUM(F111:F112)</f>
        <v>4.3441600000000004E-2</v>
      </c>
      <c r="G113" s="126">
        <f>SUM(G111:G112)</f>
        <v>185.26158939269089</v>
      </c>
    </row>
    <row r="114" spans="1:7" x14ac:dyDescent="0.25">
      <c r="A114" s="208" t="s">
        <v>163</v>
      </c>
      <c r="B114" s="209"/>
      <c r="C114" s="209"/>
      <c r="D114" s="209"/>
      <c r="E114" s="209"/>
      <c r="F114" s="209"/>
      <c r="G114" s="210"/>
    </row>
    <row r="115" spans="1:7" x14ac:dyDescent="0.25">
      <c r="A115" s="223"/>
      <c r="B115" s="224"/>
      <c r="C115" s="224"/>
      <c r="D115" s="224"/>
      <c r="E115" s="224"/>
      <c r="F115" s="224"/>
      <c r="G115" s="225"/>
    </row>
    <row r="116" spans="1:7" x14ac:dyDescent="0.25">
      <c r="A116" s="214" t="s">
        <v>65</v>
      </c>
      <c r="B116" s="215"/>
      <c r="C116" s="215"/>
      <c r="D116" s="215"/>
      <c r="E116" s="215"/>
      <c r="F116" s="215"/>
      <c r="G116" s="216"/>
    </row>
    <row r="117" spans="1:7" x14ac:dyDescent="0.25">
      <c r="A117" s="116" t="s">
        <v>66</v>
      </c>
      <c r="B117" s="202" t="s">
        <v>67</v>
      </c>
      <c r="C117" s="201"/>
      <c r="D117" s="201"/>
      <c r="E117" s="203"/>
      <c r="F117" s="123" t="s">
        <v>42</v>
      </c>
      <c r="G117" s="92" t="s">
        <v>4</v>
      </c>
    </row>
    <row r="118" spans="1:7" x14ac:dyDescent="0.25">
      <c r="A118" s="101" t="s">
        <v>9</v>
      </c>
      <c r="B118" s="217" t="s">
        <v>68</v>
      </c>
      <c r="C118" s="220"/>
      <c r="D118" s="220"/>
      <c r="E118" s="221"/>
      <c r="F118" s="82"/>
      <c r="G118" s="88"/>
    </row>
    <row r="119" spans="1:7" x14ac:dyDescent="0.25">
      <c r="A119" s="70"/>
      <c r="B119" s="202" t="s">
        <v>5</v>
      </c>
      <c r="C119" s="201"/>
      <c r="D119" s="201"/>
      <c r="E119" s="203"/>
      <c r="F119" s="83"/>
      <c r="G119" s="92"/>
    </row>
    <row r="120" spans="1:7" x14ac:dyDescent="0.25">
      <c r="A120" s="208" t="s">
        <v>164</v>
      </c>
      <c r="B120" s="209"/>
      <c r="C120" s="209"/>
      <c r="D120" s="209"/>
      <c r="E120" s="209"/>
      <c r="F120" s="209"/>
      <c r="G120" s="210"/>
    </row>
    <row r="121" spans="1:7" x14ac:dyDescent="0.25">
      <c r="A121" s="222"/>
      <c r="B121" s="199"/>
      <c r="C121" s="199"/>
      <c r="D121" s="199"/>
      <c r="E121" s="199"/>
      <c r="F121" s="199"/>
      <c r="G121" s="200"/>
    </row>
    <row r="122" spans="1:7" x14ac:dyDescent="0.25">
      <c r="A122" s="70"/>
      <c r="B122" s="202" t="s">
        <v>69</v>
      </c>
      <c r="C122" s="201"/>
      <c r="D122" s="201"/>
      <c r="E122" s="201"/>
      <c r="F122" s="201"/>
      <c r="G122" s="89"/>
    </row>
    <row r="123" spans="1:7" x14ac:dyDescent="0.25">
      <c r="A123" s="116">
        <v>4</v>
      </c>
      <c r="B123" s="212" t="s">
        <v>70</v>
      </c>
      <c r="C123" s="212"/>
      <c r="D123" s="212"/>
      <c r="E123" s="212"/>
      <c r="F123" s="123" t="s">
        <v>42</v>
      </c>
      <c r="G123" s="92" t="s">
        <v>4</v>
      </c>
    </row>
    <row r="124" spans="1:7" x14ac:dyDescent="0.25">
      <c r="A124" s="101" t="s">
        <v>62</v>
      </c>
      <c r="B124" s="211" t="s">
        <v>71</v>
      </c>
      <c r="C124" s="211"/>
      <c r="D124" s="211"/>
      <c r="E124" s="211"/>
      <c r="F124" s="102">
        <f>F111</f>
        <v>3.1755555555555558E-2</v>
      </c>
      <c r="G124" s="90">
        <f>G111</f>
        <v>135.42513844494948</v>
      </c>
    </row>
    <row r="125" spans="1:7" x14ac:dyDescent="0.25">
      <c r="A125" s="101" t="s">
        <v>66</v>
      </c>
      <c r="B125" s="211" t="s">
        <v>67</v>
      </c>
      <c r="C125" s="211"/>
      <c r="D125" s="211"/>
      <c r="E125" s="211"/>
      <c r="F125" s="102"/>
      <c r="G125" s="88">
        <f>G43/220*1*5*(4.345/1)*1.5</f>
        <v>524.42663812499995</v>
      </c>
    </row>
    <row r="126" spans="1:7" x14ac:dyDescent="0.25">
      <c r="A126" s="71"/>
      <c r="B126" s="202" t="s">
        <v>5</v>
      </c>
      <c r="C126" s="201"/>
      <c r="D126" s="201"/>
      <c r="E126" s="203"/>
      <c r="F126" s="123"/>
      <c r="G126" s="92">
        <f>SUM(G124:G125)</f>
        <v>659.85177656994938</v>
      </c>
    </row>
    <row r="127" spans="1:7" x14ac:dyDescent="0.25">
      <c r="A127" s="61"/>
      <c r="B127" s="122"/>
      <c r="C127" s="122"/>
      <c r="D127" s="122"/>
      <c r="E127" s="122"/>
      <c r="F127" s="74"/>
      <c r="G127" s="91"/>
    </row>
    <row r="128" spans="1:7" x14ac:dyDescent="0.25">
      <c r="A128" s="104"/>
      <c r="B128" s="202" t="s">
        <v>72</v>
      </c>
      <c r="C128" s="201"/>
      <c r="D128" s="201"/>
      <c r="E128" s="201"/>
      <c r="F128" s="201"/>
      <c r="G128" s="89"/>
    </row>
    <row r="129" spans="1:7" x14ac:dyDescent="0.25">
      <c r="A129" s="116">
        <v>5</v>
      </c>
      <c r="B129" s="214" t="s">
        <v>73</v>
      </c>
      <c r="C129" s="215"/>
      <c r="D129" s="215"/>
      <c r="E129" s="215"/>
      <c r="F129" s="216"/>
      <c r="G129" s="92" t="s">
        <v>4</v>
      </c>
    </row>
    <row r="130" spans="1:7" x14ac:dyDescent="0.25">
      <c r="A130" s="101" t="s">
        <v>9</v>
      </c>
      <c r="B130" s="217" t="s">
        <v>201</v>
      </c>
      <c r="C130" s="218"/>
      <c r="D130" s="218"/>
      <c r="E130" s="218"/>
      <c r="F130" s="219"/>
      <c r="G130" s="97">
        <f>Uniformes_Pesquisa!U24</f>
        <v>291.85283333333331</v>
      </c>
    </row>
    <row r="131" spans="1:7" x14ac:dyDescent="0.25">
      <c r="A131" s="101" t="s">
        <v>11</v>
      </c>
      <c r="B131" s="217" t="s">
        <v>145</v>
      </c>
      <c r="C131" s="220"/>
      <c r="D131" s="220"/>
      <c r="E131" s="220"/>
      <c r="F131" s="221"/>
      <c r="G131" s="97">
        <f>'Materiais Consumo_Consolidado'!N18</f>
        <v>5.1324404761904763</v>
      </c>
    </row>
    <row r="132" spans="1:7" x14ac:dyDescent="0.25">
      <c r="A132" s="121" t="s">
        <v>14</v>
      </c>
      <c r="B132" s="217" t="s">
        <v>146</v>
      </c>
      <c r="C132" s="220"/>
      <c r="D132" s="220"/>
      <c r="E132" s="220"/>
      <c r="F132" s="221"/>
      <c r="G132" s="97">
        <f>'Equips Básicos Consolidado'!K17</f>
        <v>0</v>
      </c>
    </row>
    <row r="133" spans="1:7" x14ac:dyDescent="0.25">
      <c r="A133" s="70"/>
      <c r="B133" s="202" t="s">
        <v>5</v>
      </c>
      <c r="C133" s="201"/>
      <c r="D133" s="201"/>
      <c r="E133" s="201"/>
      <c r="F133" s="203"/>
      <c r="G133" s="92">
        <f>SUM(G130:G132)</f>
        <v>296.98527380952379</v>
      </c>
    </row>
    <row r="134" spans="1:7" x14ac:dyDescent="0.25">
      <c r="A134" s="208" t="s">
        <v>165</v>
      </c>
      <c r="B134" s="209"/>
      <c r="C134" s="209"/>
      <c r="D134" s="209"/>
      <c r="E134" s="209"/>
      <c r="F134" s="209"/>
      <c r="G134" s="210"/>
    </row>
    <row r="135" spans="1:7" x14ac:dyDescent="0.25">
      <c r="A135" s="54"/>
      <c r="B135" s="115"/>
      <c r="C135" s="115"/>
      <c r="D135" s="115"/>
      <c r="E135" s="115"/>
      <c r="F135" s="74"/>
      <c r="G135" s="98"/>
    </row>
    <row r="136" spans="1:7" x14ac:dyDescent="0.25">
      <c r="A136" s="70"/>
      <c r="B136" s="202" t="s">
        <v>74</v>
      </c>
      <c r="C136" s="201"/>
      <c r="D136" s="201"/>
      <c r="E136" s="201"/>
      <c r="F136" s="201"/>
      <c r="G136" s="89"/>
    </row>
    <row r="137" spans="1:7" x14ac:dyDescent="0.25">
      <c r="A137" s="116">
        <v>6</v>
      </c>
      <c r="B137" s="212" t="s">
        <v>75</v>
      </c>
      <c r="C137" s="212"/>
      <c r="D137" s="212"/>
      <c r="E137" s="213" t="s">
        <v>42</v>
      </c>
      <c r="F137" s="213"/>
      <c r="G137" s="100" t="s">
        <v>4</v>
      </c>
    </row>
    <row r="138" spans="1:7" x14ac:dyDescent="0.25">
      <c r="A138" s="101" t="s">
        <v>9</v>
      </c>
      <c r="B138" s="211" t="s">
        <v>76</v>
      </c>
      <c r="C138" s="211"/>
      <c r="D138" s="211"/>
      <c r="E138" s="205">
        <v>0.05</v>
      </c>
      <c r="F138" s="206"/>
      <c r="G138" s="97">
        <f>(G43+G88+G98+G126+G133)*E138</f>
        <v>405.43561541295799</v>
      </c>
    </row>
    <row r="139" spans="1:7" x14ac:dyDescent="0.25">
      <c r="A139" s="101" t="s">
        <v>11</v>
      </c>
      <c r="B139" s="204" t="s">
        <v>178</v>
      </c>
      <c r="C139" s="204"/>
      <c r="D139" s="204"/>
      <c r="E139" s="205">
        <v>0.05</v>
      </c>
      <c r="F139" s="206"/>
      <c r="G139" s="88">
        <f>(G43+G88+G98+G126+G133+G138)*E139</f>
        <v>425.70739618360585</v>
      </c>
    </row>
    <row r="140" spans="1:7" x14ac:dyDescent="0.25">
      <c r="A140" s="101" t="s">
        <v>14</v>
      </c>
      <c r="B140" s="211" t="s">
        <v>77</v>
      </c>
      <c r="C140" s="204"/>
      <c r="D140" s="204"/>
      <c r="E140" s="205">
        <f>SUM(E141:F142)</f>
        <v>8.6499999999999994E-2</v>
      </c>
      <c r="F140" s="206"/>
      <c r="G140" s="96"/>
    </row>
    <row r="141" spans="1:7" x14ac:dyDescent="0.25">
      <c r="A141" s="82"/>
      <c r="B141" s="204" t="s">
        <v>237</v>
      </c>
      <c r="C141" s="204"/>
      <c r="D141" s="204"/>
      <c r="E141" s="205">
        <f>0.65%+3%</f>
        <v>3.6499999999999998E-2</v>
      </c>
      <c r="F141" s="206"/>
      <c r="G141" s="88">
        <f>E141*G156</f>
        <v>357.20275771727853</v>
      </c>
    </row>
    <row r="142" spans="1:7" x14ac:dyDescent="0.25">
      <c r="A142" s="82"/>
      <c r="B142" s="204" t="s">
        <v>190</v>
      </c>
      <c r="C142" s="204"/>
      <c r="D142" s="204"/>
      <c r="E142" s="205">
        <v>0.05</v>
      </c>
      <c r="F142" s="206"/>
      <c r="G142" s="88">
        <f>E142*G156</f>
        <v>489.31884618805282</v>
      </c>
    </row>
    <row r="143" spans="1:7" x14ac:dyDescent="0.25">
      <c r="A143" s="70"/>
      <c r="B143" s="202" t="s">
        <v>5</v>
      </c>
      <c r="C143" s="201"/>
      <c r="D143" s="203"/>
      <c r="E143" s="207">
        <f>E138+E139+E140</f>
        <v>0.1865</v>
      </c>
      <c r="F143" s="203"/>
      <c r="G143" s="99">
        <f>SUM(G138:G142)</f>
        <v>1677.6646155018952</v>
      </c>
    </row>
    <row r="144" spans="1:7" x14ac:dyDescent="0.25">
      <c r="A144" s="208" t="s">
        <v>166</v>
      </c>
      <c r="B144" s="209"/>
      <c r="C144" s="209"/>
      <c r="D144" s="209"/>
      <c r="E144" s="209"/>
      <c r="F144" s="209"/>
      <c r="G144" s="210"/>
    </row>
    <row r="145" spans="1:7" x14ac:dyDescent="0.25">
      <c r="A145" s="208" t="s">
        <v>167</v>
      </c>
      <c r="B145" s="209"/>
      <c r="C145" s="209"/>
      <c r="D145" s="209"/>
      <c r="E145" s="209"/>
      <c r="F145" s="209"/>
      <c r="G145" s="210"/>
    </row>
    <row r="146" spans="1:7" x14ac:dyDescent="0.25">
      <c r="A146" s="199"/>
      <c r="B146" s="199"/>
      <c r="C146" s="199"/>
      <c r="D146" s="199"/>
      <c r="E146" s="199"/>
      <c r="F146" s="199"/>
      <c r="G146" s="200"/>
    </row>
    <row r="147" spans="1:7" x14ac:dyDescent="0.25">
      <c r="A147" s="71"/>
      <c r="B147" s="201" t="s">
        <v>78</v>
      </c>
      <c r="C147" s="201"/>
      <c r="D147" s="201"/>
      <c r="E147" s="201"/>
      <c r="F147" s="201"/>
      <c r="G147" s="89"/>
    </row>
    <row r="148" spans="1:7" x14ac:dyDescent="0.25">
      <c r="A148" s="118"/>
      <c r="B148" s="202" t="s">
        <v>79</v>
      </c>
      <c r="C148" s="201"/>
      <c r="D148" s="201"/>
      <c r="E148" s="201"/>
      <c r="F148" s="203"/>
      <c r="G148" s="92" t="s">
        <v>80</v>
      </c>
    </row>
    <row r="149" spans="1:7" x14ac:dyDescent="0.25">
      <c r="A149" s="101" t="s">
        <v>9</v>
      </c>
      <c r="B149" s="193" t="s">
        <v>171</v>
      </c>
      <c r="C149" s="194"/>
      <c r="D149" s="194"/>
      <c r="E149" s="194"/>
      <c r="F149" s="195"/>
      <c r="G149" s="88">
        <f>G43</f>
        <v>3540.433</v>
      </c>
    </row>
    <row r="150" spans="1:7" x14ac:dyDescent="0.25">
      <c r="A150" s="101" t="s">
        <v>11</v>
      </c>
      <c r="B150" s="193" t="s">
        <v>172</v>
      </c>
      <c r="C150" s="194"/>
      <c r="D150" s="194"/>
      <c r="E150" s="194"/>
      <c r="F150" s="195"/>
      <c r="G150" s="88">
        <f>G88</f>
        <v>3435.9060698568323</v>
      </c>
    </row>
    <row r="151" spans="1:7" x14ac:dyDescent="0.25">
      <c r="A151" s="101" t="s">
        <v>14</v>
      </c>
      <c r="B151" s="193" t="s">
        <v>173</v>
      </c>
      <c r="C151" s="194"/>
      <c r="D151" s="194"/>
      <c r="E151" s="194"/>
      <c r="F151" s="195"/>
      <c r="G151" s="88">
        <f>G98</f>
        <v>175.53618802285354</v>
      </c>
    </row>
    <row r="152" spans="1:7" x14ac:dyDescent="0.25">
      <c r="A152" s="101" t="s">
        <v>16</v>
      </c>
      <c r="B152" s="193" t="s">
        <v>174</v>
      </c>
      <c r="C152" s="194"/>
      <c r="D152" s="194"/>
      <c r="E152" s="194"/>
      <c r="F152" s="195"/>
      <c r="G152" s="88">
        <f>G126</f>
        <v>659.85177656994938</v>
      </c>
    </row>
    <row r="153" spans="1:7" x14ac:dyDescent="0.25">
      <c r="A153" s="101" t="s">
        <v>32</v>
      </c>
      <c r="B153" s="193" t="s">
        <v>175</v>
      </c>
      <c r="C153" s="194"/>
      <c r="D153" s="194"/>
      <c r="E153" s="194"/>
      <c r="F153" s="195"/>
      <c r="G153" s="88">
        <f>G133</f>
        <v>296.98527380952379</v>
      </c>
    </row>
    <row r="154" spans="1:7" x14ac:dyDescent="0.25">
      <c r="A154" s="108"/>
      <c r="B154" s="196" t="s">
        <v>182</v>
      </c>
      <c r="C154" s="197"/>
      <c r="D154" s="197"/>
      <c r="E154" s="197"/>
      <c r="F154" s="198"/>
      <c r="G154" s="92">
        <f>SUM(G149:G153)</f>
        <v>8108.7123082591597</v>
      </c>
    </row>
    <row r="155" spans="1:7" x14ac:dyDescent="0.25">
      <c r="A155" s="85" t="s">
        <v>34</v>
      </c>
      <c r="B155" s="193" t="s">
        <v>176</v>
      </c>
      <c r="C155" s="194"/>
      <c r="D155" s="194"/>
      <c r="E155" s="194"/>
      <c r="F155" s="195"/>
      <c r="G155" s="88">
        <f>G143</f>
        <v>1677.6646155018952</v>
      </c>
    </row>
    <row r="156" spans="1:7" x14ac:dyDescent="0.25">
      <c r="A156" s="86"/>
      <c r="B156" s="196" t="s">
        <v>81</v>
      </c>
      <c r="C156" s="197"/>
      <c r="D156" s="197"/>
      <c r="E156" s="197"/>
      <c r="F156" s="198"/>
      <c r="G156" s="92">
        <f>(G138+G139+G154)/(1-8.65/100)</f>
        <v>9786.3769237610559</v>
      </c>
    </row>
    <row r="157" spans="1:7" x14ac:dyDescent="0.25">
      <c r="G157" s="166">
        <v>9786.3799999999992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orientation="portrait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4" tint="0.59999389629810485"/>
  </sheetPr>
  <dimension ref="A1:H157"/>
  <sheetViews>
    <sheetView topLeftCell="A154" zoomScale="140" zoomScaleNormal="140" workbookViewId="0">
      <selection activeCell="L161" sqref="L161"/>
    </sheetView>
  </sheetViews>
  <sheetFormatPr defaultColWidth="9.42578125" defaultRowHeight="15" x14ac:dyDescent="0.25"/>
  <cols>
    <col min="1" max="1" width="3.140625" style="21" bestFit="1" customWidth="1"/>
    <col min="2" max="4" width="15.5703125" style="21" customWidth="1"/>
    <col min="5" max="5" width="17.5703125" style="21" customWidth="1"/>
    <col min="6" max="6" width="13.140625" style="87" customWidth="1"/>
    <col min="7" max="7" width="11.7109375" style="110" customWidth="1"/>
    <col min="8" max="8" width="4.5703125" style="1" customWidth="1"/>
    <col min="9" max="16384" width="9.42578125" style="1"/>
  </cols>
  <sheetData>
    <row r="1" spans="1:8" ht="12" customHeight="1" x14ac:dyDescent="0.25">
      <c r="A1" s="250" t="s">
        <v>0</v>
      </c>
      <c r="B1" s="250"/>
      <c r="C1" s="250"/>
      <c r="D1" s="250"/>
      <c r="E1" s="250"/>
      <c r="F1" s="250"/>
      <c r="G1" s="250"/>
    </row>
    <row r="2" spans="1:8" ht="12.75" customHeight="1" x14ac:dyDescent="0.25">
      <c r="A2" s="250" t="s">
        <v>1</v>
      </c>
      <c r="B2" s="250"/>
      <c r="C2" s="250"/>
      <c r="D2" s="250"/>
      <c r="E2" s="250"/>
      <c r="F2" s="250"/>
      <c r="G2" s="250"/>
    </row>
    <row r="3" spans="1:8" ht="13.5" customHeight="1" x14ac:dyDescent="0.25">
      <c r="A3" s="250" t="s">
        <v>2</v>
      </c>
      <c r="B3" s="250"/>
      <c r="C3" s="250"/>
      <c r="D3" s="250"/>
      <c r="E3" s="250"/>
      <c r="F3" s="250"/>
      <c r="G3" s="250"/>
    </row>
    <row r="4" spans="1:8" ht="12.75" customHeight="1" x14ac:dyDescent="0.25">
      <c r="A4" s="250" t="s">
        <v>156</v>
      </c>
      <c r="B4" s="250"/>
      <c r="C4" s="250"/>
      <c r="D4" s="250"/>
      <c r="E4" s="250"/>
      <c r="F4" s="250"/>
      <c r="G4" s="250"/>
    </row>
    <row r="5" spans="1:8" ht="10.5" customHeight="1" x14ac:dyDescent="0.25">
      <c r="A5" s="274"/>
      <c r="B5" s="274"/>
      <c r="C5" s="274"/>
      <c r="D5" s="274"/>
      <c r="E5" s="274"/>
      <c r="F5" s="274"/>
      <c r="G5" s="274"/>
    </row>
    <row r="6" spans="1:8" ht="49.5" customHeight="1" x14ac:dyDescent="0.25">
      <c r="A6" s="211" t="s">
        <v>203</v>
      </c>
      <c r="B6" s="211"/>
      <c r="C6" s="211"/>
      <c r="D6" s="211"/>
      <c r="E6" s="211"/>
      <c r="F6" s="211"/>
      <c r="G6" s="211"/>
    </row>
    <row r="7" spans="1:8" ht="18" customHeight="1" x14ac:dyDescent="0.25">
      <c r="A7" s="202" t="s">
        <v>144</v>
      </c>
      <c r="B7" s="201"/>
      <c r="C7" s="201"/>
      <c r="D7" s="201"/>
      <c r="E7" s="201"/>
      <c r="F7" s="201"/>
      <c r="G7" s="203"/>
    </row>
    <row r="8" spans="1:8" ht="15.75" customHeight="1" x14ac:dyDescent="0.25">
      <c r="A8" s="202" t="s">
        <v>177</v>
      </c>
      <c r="B8" s="201"/>
      <c r="C8" s="201"/>
      <c r="D8" s="201"/>
      <c r="E8" s="201"/>
      <c r="F8" s="201"/>
      <c r="G8" s="203"/>
    </row>
    <row r="9" spans="1:8" ht="12" customHeight="1" x14ac:dyDescent="0.25">
      <c r="A9" s="269" t="s">
        <v>267</v>
      </c>
      <c r="B9" s="270"/>
      <c r="C9" s="270"/>
      <c r="D9" s="270"/>
      <c r="E9" s="270"/>
      <c r="F9" s="270"/>
      <c r="G9" s="271"/>
    </row>
    <row r="10" spans="1:8" ht="12.75" customHeight="1" x14ac:dyDescent="0.25">
      <c r="A10" s="269" t="s">
        <v>268</v>
      </c>
      <c r="B10" s="270"/>
      <c r="C10" s="270"/>
      <c r="D10" s="270"/>
      <c r="E10" s="270"/>
      <c r="F10" s="270"/>
      <c r="G10" s="271"/>
    </row>
    <row r="11" spans="1:8" ht="12.75" customHeight="1" x14ac:dyDescent="0.25">
      <c r="A11" s="272" t="s">
        <v>7</v>
      </c>
      <c r="B11" s="272"/>
      <c r="C11" s="272"/>
      <c r="D11" s="272"/>
      <c r="E11" s="272"/>
      <c r="F11" s="272"/>
      <c r="G11" s="272"/>
    </row>
    <row r="12" spans="1:8" ht="11.25" customHeight="1" x14ac:dyDescent="0.25">
      <c r="A12" s="273"/>
      <c r="B12" s="273"/>
      <c r="C12" s="273"/>
      <c r="D12" s="273"/>
      <c r="E12" s="273"/>
      <c r="F12" s="273"/>
      <c r="G12" s="273"/>
    </row>
    <row r="13" spans="1:8" x14ac:dyDescent="0.25">
      <c r="A13" s="295" t="s">
        <v>8</v>
      </c>
      <c r="B13" s="296"/>
      <c r="C13" s="296"/>
      <c r="D13" s="296"/>
      <c r="E13" s="296"/>
      <c r="F13" s="296"/>
      <c r="G13" s="297"/>
    </row>
    <row r="14" spans="1:8" x14ac:dyDescent="0.25">
      <c r="A14" s="180" t="s">
        <v>9</v>
      </c>
      <c r="B14" s="298" t="s">
        <v>10</v>
      </c>
      <c r="C14" s="299"/>
      <c r="D14" s="299"/>
      <c r="E14" s="300"/>
      <c r="F14" s="278">
        <f ca="1">NOW()</f>
        <v>45832.614331828707</v>
      </c>
      <c r="G14" s="278"/>
    </row>
    <row r="15" spans="1:8" ht="13.5" customHeight="1" x14ac:dyDescent="0.25">
      <c r="A15" s="101" t="s">
        <v>11</v>
      </c>
      <c r="B15" s="259" t="s">
        <v>12</v>
      </c>
      <c r="C15" s="260"/>
      <c r="D15" s="260"/>
      <c r="E15" s="261"/>
      <c r="F15" s="223" t="s">
        <v>13</v>
      </c>
      <c r="G15" s="225"/>
    </row>
    <row r="16" spans="1:8" ht="20.25" customHeight="1" x14ac:dyDescent="0.25">
      <c r="A16" s="103" t="s">
        <v>14</v>
      </c>
      <c r="B16" s="266" t="s">
        <v>15</v>
      </c>
      <c r="C16" s="267"/>
      <c r="D16" s="267"/>
      <c r="E16" s="268"/>
      <c r="F16" s="223" t="s">
        <v>244</v>
      </c>
      <c r="G16" s="225"/>
      <c r="H16" s="55"/>
    </row>
    <row r="17" spans="1:8" ht="15" customHeight="1" x14ac:dyDescent="0.25">
      <c r="A17" s="101" t="s">
        <v>16</v>
      </c>
      <c r="B17" s="259" t="s">
        <v>179</v>
      </c>
      <c r="C17" s="260"/>
      <c r="D17" s="260"/>
      <c r="E17" s="261"/>
      <c r="F17" s="223">
        <v>36</v>
      </c>
      <c r="G17" s="225"/>
      <c r="H17" s="56"/>
    </row>
    <row r="18" spans="1:8" ht="9" customHeight="1" x14ac:dyDescent="0.25">
      <c r="A18" s="84"/>
      <c r="B18" s="84"/>
      <c r="C18" s="84"/>
      <c r="D18" s="84"/>
      <c r="E18" s="84"/>
      <c r="F18" s="84"/>
      <c r="G18" s="105"/>
      <c r="H18" s="56"/>
    </row>
    <row r="19" spans="1:8" x14ac:dyDescent="0.25">
      <c r="A19" s="202" t="s">
        <v>17</v>
      </c>
      <c r="B19" s="201"/>
      <c r="C19" s="201"/>
      <c r="D19" s="201"/>
      <c r="E19" s="201"/>
      <c r="F19" s="201"/>
      <c r="G19" s="203"/>
    </row>
    <row r="20" spans="1:8" ht="32.25" customHeight="1" x14ac:dyDescent="0.25">
      <c r="A20" s="262" t="s">
        <v>18</v>
      </c>
      <c r="B20" s="262"/>
      <c r="C20" s="262"/>
      <c r="D20" s="262"/>
      <c r="E20" s="121" t="s">
        <v>19</v>
      </c>
      <c r="F20" s="223" t="s">
        <v>20</v>
      </c>
      <c r="G20" s="225"/>
    </row>
    <row r="21" spans="1:8" ht="18.75" customHeight="1" x14ac:dyDescent="0.25">
      <c r="A21" s="263" t="s">
        <v>120</v>
      </c>
      <c r="B21" s="264"/>
      <c r="C21" s="264"/>
      <c r="D21" s="265"/>
      <c r="E21" s="121" t="s">
        <v>21</v>
      </c>
      <c r="F21" s="262">
        <v>1</v>
      </c>
      <c r="G21" s="262"/>
    </row>
    <row r="22" spans="1:8" ht="21.75" customHeight="1" x14ac:dyDescent="0.25">
      <c r="A22" s="208" t="s">
        <v>168</v>
      </c>
      <c r="B22" s="209"/>
      <c r="C22" s="209"/>
      <c r="D22" s="209"/>
      <c r="E22" s="209"/>
      <c r="F22" s="209"/>
      <c r="G22" s="210"/>
    </row>
    <row r="23" spans="1:8" ht="21.75" customHeight="1" x14ac:dyDescent="0.25">
      <c r="A23" s="208" t="s">
        <v>169</v>
      </c>
      <c r="B23" s="209"/>
      <c r="C23" s="209"/>
      <c r="D23" s="209"/>
      <c r="E23" s="209"/>
      <c r="F23" s="209"/>
      <c r="G23" s="210"/>
    </row>
    <row r="24" spans="1:8" ht="10.5" customHeight="1" x14ac:dyDescent="0.25">
      <c r="A24" s="63"/>
      <c r="B24" s="64"/>
      <c r="C24" s="64"/>
      <c r="D24" s="64"/>
      <c r="E24" s="64"/>
      <c r="F24" s="64"/>
      <c r="G24" s="106"/>
    </row>
    <row r="25" spans="1:8" x14ac:dyDescent="0.25">
      <c r="A25" s="212" t="s">
        <v>22</v>
      </c>
      <c r="B25" s="212"/>
      <c r="C25" s="212"/>
      <c r="D25" s="212"/>
      <c r="E25" s="212"/>
      <c r="F25" s="212"/>
      <c r="G25" s="212"/>
    </row>
    <row r="26" spans="1:8" x14ac:dyDescent="0.25">
      <c r="A26" s="212" t="s">
        <v>23</v>
      </c>
      <c r="B26" s="212"/>
      <c r="C26" s="212"/>
      <c r="D26" s="212"/>
      <c r="E26" s="212"/>
      <c r="F26" s="212"/>
      <c r="G26" s="212"/>
    </row>
    <row r="27" spans="1:8" x14ac:dyDescent="0.25">
      <c r="A27" s="212" t="s">
        <v>24</v>
      </c>
      <c r="B27" s="212"/>
      <c r="C27" s="212"/>
      <c r="D27" s="212"/>
      <c r="E27" s="212"/>
      <c r="F27" s="212"/>
      <c r="G27" s="212"/>
    </row>
    <row r="28" spans="1:8" ht="20.25" customHeight="1" x14ac:dyDescent="0.25">
      <c r="A28" s="101">
        <v>1</v>
      </c>
      <c r="B28" s="217" t="s">
        <v>25</v>
      </c>
      <c r="C28" s="220"/>
      <c r="D28" s="220"/>
      <c r="E28" s="221"/>
      <c r="F28" s="223" t="str">
        <f>A21</f>
        <v>Vigilante Noturno Desarmado - 12/36 hs</v>
      </c>
      <c r="G28" s="225"/>
    </row>
    <row r="29" spans="1:8" x14ac:dyDescent="0.25">
      <c r="A29" s="101">
        <v>2</v>
      </c>
      <c r="B29" s="217" t="s">
        <v>26</v>
      </c>
      <c r="C29" s="220"/>
      <c r="D29" s="220"/>
      <c r="E29" s="221"/>
      <c r="F29" s="223" t="s">
        <v>88</v>
      </c>
      <c r="G29" s="225"/>
    </row>
    <row r="30" spans="1:8" ht="19.5" customHeight="1" x14ac:dyDescent="0.25">
      <c r="A30" s="101">
        <v>3</v>
      </c>
      <c r="B30" s="217" t="s">
        <v>193</v>
      </c>
      <c r="C30" s="220"/>
      <c r="D30" s="220"/>
      <c r="E30" s="221"/>
      <c r="F30" s="257">
        <v>2723.41</v>
      </c>
      <c r="G30" s="258"/>
    </row>
    <row r="31" spans="1:8" ht="19.5" customHeight="1" x14ac:dyDescent="0.25">
      <c r="A31" s="101">
        <v>4</v>
      </c>
      <c r="B31" s="217" t="s">
        <v>27</v>
      </c>
      <c r="C31" s="220"/>
      <c r="D31" s="220"/>
      <c r="E31" s="221"/>
      <c r="F31" s="223" t="str">
        <f>A21</f>
        <v>Vigilante Noturno Desarmado - 12/36 hs</v>
      </c>
      <c r="G31" s="225"/>
    </row>
    <row r="32" spans="1:8" ht="26.45" customHeight="1" x14ac:dyDescent="0.25">
      <c r="A32" s="101">
        <v>5</v>
      </c>
      <c r="B32" s="211" t="s">
        <v>230</v>
      </c>
      <c r="C32" s="211"/>
      <c r="D32" s="211"/>
      <c r="E32" s="211"/>
      <c r="F32" s="255" t="s">
        <v>82</v>
      </c>
      <c r="G32" s="225"/>
    </row>
    <row r="33" spans="1:7" ht="11.25" customHeight="1" x14ac:dyDescent="0.25">
      <c r="A33" s="222"/>
      <c r="B33" s="199"/>
      <c r="C33" s="199"/>
      <c r="D33" s="199"/>
      <c r="E33" s="199"/>
      <c r="F33" s="199"/>
      <c r="G33" s="200"/>
    </row>
    <row r="34" spans="1:7" x14ac:dyDescent="0.25">
      <c r="A34" s="65"/>
      <c r="B34" s="256" t="s">
        <v>170</v>
      </c>
      <c r="C34" s="256"/>
      <c r="D34" s="256"/>
      <c r="E34" s="256"/>
      <c r="F34" s="66"/>
      <c r="G34" s="89"/>
    </row>
    <row r="35" spans="1:7" x14ac:dyDescent="0.25">
      <c r="A35" s="116">
        <v>1</v>
      </c>
      <c r="B35" s="202" t="s">
        <v>28</v>
      </c>
      <c r="C35" s="201"/>
      <c r="D35" s="201"/>
      <c r="E35" s="203"/>
      <c r="F35" s="116" t="s">
        <v>29</v>
      </c>
      <c r="G35" s="92" t="s">
        <v>4</v>
      </c>
    </row>
    <row r="36" spans="1:7" ht="12.75" customHeight="1" x14ac:dyDescent="0.25">
      <c r="A36" s="101" t="s">
        <v>9</v>
      </c>
      <c r="B36" s="217" t="s">
        <v>202</v>
      </c>
      <c r="C36" s="218"/>
      <c r="D36" s="218"/>
      <c r="E36" s="219"/>
      <c r="F36" s="68">
        <v>1</v>
      </c>
      <c r="G36" s="88">
        <f>F30</f>
        <v>2723.41</v>
      </c>
    </row>
    <row r="37" spans="1:7" ht="13.5" customHeight="1" x14ac:dyDescent="0.25">
      <c r="A37" s="101" t="s">
        <v>11</v>
      </c>
      <c r="B37" s="217" t="s">
        <v>198</v>
      </c>
      <c r="C37" s="220"/>
      <c r="D37" s="220"/>
      <c r="E37" s="221"/>
      <c r="F37" s="69">
        <v>0.3</v>
      </c>
      <c r="G37" s="97">
        <f>G36*F37</f>
        <v>817.02299999999991</v>
      </c>
    </row>
    <row r="38" spans="1:7" ht="13.5" customHeight="1" x14ac:dyDescent="0.25">
      <c r="A38" s="101" t="s">
        <v>14</v>
      </c>
      <c r="B38" s="217" t="s">
        <v>30</v>
      </c>
      <c r="C38" s="220"/>
      <c r="D38" s="220"/>
      <c r="E38" s="221"/>
      <c r="F38" s="68">
        <v>0</v>
      </c>
      <c r="G38" s="88">
        <f>G37*F38</f>
        <v>0</v>
      </c>
    </row>
    <row r="39" spans="1:7" ht="42" customHeight="1" x14ac:dyDescent="0.25">
      <c r="A39" s="101" t="s">
        <v>16</v>
      </c>
      <c r="B39" s="217" t="s">
        <v>238</v>
      </c>
      <c r="C39" s="218"/>
      <c r="D39" s="218"/>
      <c r="E39" s="219"/>
      <c r="F39" s="102">
        <v>0.14649999999999999</v>
      </c>
      <c r="G39" s="170">
        <f>1.142857*7*(G36+G37)/220*20%*15.5</f>
        <v>399.10330647571681</v>
      </c>
    </row>
    <row r="40" spans="1:7" ht="13.5" customHeight="1" x14ac:dyDescent="0.25">
      <c r="A40" s="101" t="s">
        <v>32</v>
      </c>
      <c r="B40" s="217" t="s">
        <v>33</v>
      </c>
      <c r="C40" s="220"/>
      <c r="D40" s="220"/>
      <c r="E40" s="221"/>
      <c r="F40" s="68">
        <v>0</v>
      </c>
      <c r="G40" s="88"/>
    </row>
    <row r="41" spans="1:7" ht="13.5" customHeight="1" x14ac:dyDescent="0.25">
      <c r="A41" s="101" t="s">
        <v>34</v>
      </c>
      <c r="B41" s="217" t="s">
        <v>118</v>
      </c>
      <c r="C41" s="220"/>
      <c r="D41" s="220"/>
      <c r="E41" s="221"/>
      <c r="F41" s="68"/>
      <c r="G41" s="88"/>
    </row>
    <row r="42" spans="1:7" ht="14.25" customHeight="1" x14ac:dyDescent="0.25">
      <c r="A42" s="101" t="s">
        <v>48</v>
      </c>
      <c r="B42" s="217" t="s">
        <v>153</v>
      </c>
      <c r="C42" s="220"/>
      <c r="D42" s="220"/>
      <c r="E42" s="221"/>
      <c r="F42" s="72"/>
      <c r="G42" s="88"/>
    </row>
    <row r="43" spans="1:7" ht="15.75" customHeight="1" x14ac:dyDescent="0.25">
      <c r="A43" s="118"/>
      <c r="B43" s="202" t="s">
        <v>35</v>
      </c>
      <c r="C43" s="201"/>
      <c r="D43" s="201"/>
      <c r="E43" s="201"/>
      <c r="F43" s="123">
        <f>SUM(F36:F42)</f>
        <v>1.4465000000000001</v>
      </c>
      <c r="G43" s="88">
        <f>SUM(G36:G42)</f>
        <v>3939.5363064757166</v>
      </c>
    </row>
    <row r="44" spans="1:7" ht="12.75" customHeight="1" x14ac:dyDescent="0.25">
      <c r="A44" s="208" t="s">
        <v>159</v>
      </c>
      <c r="B44" s="209"/>
      <c r="C44" s="209"/>
      <c r="D44" s="209"/>
      <c r="E44" s="209"/>
      <c r="F44" s="209"/>
      <c r="G44" s="210"/>
    </row>
    <row r="45" spans="1:7" ht="10.5" customHeight="1" x14ac:dyDescent="0.25">
      <c r="A45" s="222"/>
      <c r="B45" s="199"/>
      <c r="C45" s="199"/>
      <c r="D45" s="199"/>
      <c r="E45" s="199"/>
      <c r="F45" s="199"/>
      <c r="G45" s="200"/>
    </row>
    <row r="46" spans="1:7" x14ac:dyDescent="0.25">
      <c r="A46" s="70"/>
      <c r="B46" s="202" t="s">
        <v>36</v>
      </c>
      <c r="C46" s="201"/>
      <c r="D46" s="201"/>
      <c r="E46" s="201"/>
      <c r="F46" s="71"/>
      <c r="G46" s="89"/>
    </row>
    <row r="47" spans="1:7" x14ac:dyDescent="0.25">
      <c r="A47" s="214" t="s">
        <v>205</v>
      </c>
      <c r="B47" s="215"/>
      <c r="C47" s="215"/>
      <c r="D47" s="215"/>
      <c r="E47" s="215"/>
      <c r="F47" s="215"/>
      <c r="G47" s="216"/>
    </row>
    <row r="48" spans="1:7" x14ac:dyDescent="0.25">
      <c r="A48" s="116" t="s">
        <v>37</v>
      </c>
      <c r="B48" s="214" t="s">
        <v>204</v>
      </c>
      <c r="C48" s="215"/>
      <c r="D48" s="215"/>
      <c r="E48" s="215"/>
      <c r="F48" s="216"/>
      <c r="G48" s="92" t="s">
        <v>4</v>
      </c>
    </row>
    <row r="49" spans="1:8" x14ac:dyDescent="0.25">
      <c r="A49" s="101" t="s">
        <v>9</v>
      </c>
      <c r="B49" s="217" t="s">
        <v>180</v>
      </c>
      <c r="C49" s="220"/>
      <c r="D49" s="220"/>
      <c r="E49" s="221"/>
      <c r="F49" s="72">
        <f>1/12</f>
        <v>8.3333333333333329E-2</v>
      </c>
      <c r="G49" s="88">
        <f>F49*G43</f>
        <v>328.29469220630972</v>
      </c>
      <c r="H49" s="57"/>
    </row>
    <row r="50" spans="1:8" x14ac:dyDescent="0.25">
      <c r="A50" s="101" t="s">
        <v>11</v>
      </c>
      <c r="B50" s="217" t="s">
        <v>38</v>
      </c>
      <c r="C50" s="220"/>
      <c r="D50" s="220"/>
      <c r="E50" s="221"/>
      <c r="F50" s="72">
        <f>(1/11)+((1/11)*(1/3))</f>
        <v>0.12121212121212122</v>
      </c>
      <c r="G50" s="88">
        <f>F50*G43</f>
        <v>477.5195523000869</v>
      </c>
      <c r="H50" s="57"/>
    </row>
    <row r="51" spans="1:8" x14ac:dyDescent="0.25">
      <c r="A51" s="70"/>
      <c r="B51" s="202" t="s">
        <v>5</v>
      </c>
      <c r="C51" s="201"/>
      <c r="D51" s="201"/>
      <c r="E51" s="203"/>
      <c r="F51" s="123">
        <f>SUM(F49:F50)</f>
        <v>0.20454545454545453</v>
      </c>
      <c r="G51" s="92">
        <f>SUM(G49:G50)</f>
        <v>805.81424450639656</v>
      </c>
    </row>
    <row r="52" spans="1:8" ht="35.1" customHeight="1" x14ac:dyDescent="0.25">
      <c r="A52" s="247" t="s">
        <v>207</v>
      </c>
      <c r="B52" s="248"/>
      <c r="C52" s="248"/>
      <c r="D52" s="248"/>
      <c r="E52" s="248"/>
      <c r="F52" s="248"/>
      <c r="G52" s="249"/>
    </row>
    <row r="53" spans="1:8" ht="18.75" customHeight="1" x14ac:dyDescent="0.25">
      <c r="A53" s="247" t="s">
        <v>206</v>
      </c>
      <c r="B53" s="248"/>
      <c r="C53" s="248"/>
      <c r="D53" s="248"/>
      <c r="E53" s="248"/>
      <c r="F53" s="248"/>
      <c r="G53" s="249"/>
    </row>
    <row r="54" spans="1:8" ht="30" customHeight="1" x14ac:dyDescent="0.25">
      <c r="A54" s="253" t="s">
        <v>245</v>
      </c>
      <c r="B54" s="253"/>
      <c r="C54" s="253"/>
      <c r="D54" s="253"/>
      <c r="E54" s="253"/>
      <c r="F54" s="253"/>
      <c r="G54" s="254"/>
    </row>
    <row r="55" spans="1:8" ht="10.5" customHeight="1" x14ac:dyDescent="0.25">
      <c r="A55" s="120"/>
      <c r="B55" s="119"/>
      <c r="C55" s="119"/>
      <c r="D55" s="119"/>
      <c r="E55" s="119"/>
      <c r="F55" s="119"/>
      <c r="G55" s="107"/>
    </row>
    <row r="56" spans="1:8" x14ac:dyDescent="0.25">
      <c r="A56" s="214" t="s">
        <v>39</v>
      </c>
      <c r="B56" s="215"/>
      <c r="C56" s="215"/>
      <c r="D56" s="215"/>
      <c r="E56" s="215"/>
      <c r="F56" s="215"/>
      <c r="G56" s="216"/>
    </row>
    <row r="57" spans="1:8" x14ac:dyDescent="0.25">
      <c r="A57" s="116" t="s">
        <v>40</v>
      </c>
      <c r="B57" s="214" t="s">
        <v>41</v>
      </c>
      <c r="C57" s="251"/>
      <c r="D57" s="251"/>
      <c r="E57" s="252"/>
      <c r="F57" s="123" t="s">
        <v>42</v>
      </c>
      <c r="G57" s="92" t="s">
        <v>4</v>
      </c>
    </row>
    <row r="58" spans="1:8" x14ac:dyDescent="0.25">
      <c r="A58" s="101" t="s">
        <v>9</v>
      </c>
      <c r="B58" s="217" t="s">
        <v>43</v>
      </c>
      <c r="C58" s="220"/>
      <c r="D58" s="220"/>
      <c r="E58" s="221"/>
      <c r="F58" s="73">
        <v>0.2</v>
      </c>
      <c r="G58" s="90">
        <f>F58*(G43+G51+G111)</f>
        <v>979.20835880688253</v>
      </c>
      <c r="H58" s="11"/>
    </row>
    <row r="59" spans="1:8" x14ac:dyDescent="0.25">
      <c r="A59" s="101" t="s">
        <v>11</v>
      </c>
      <c r="B59" s="217" t="s">
        <v>44</v>
      </c>
      <c r="C59" s="220"/>
      <c r="D59" s="220"/>
      <c r="E59" s="221"/>
      <c r="F59" s="73">
        <v>2.5000000000000001E-2</v>
      </c>
      <c r="G59" s="90">
        <f>F59*(G43+G51+G111)</f>
        <v>122.40104485086032</v>
      </c>
      <c r="H59" s="12"/>
    </row>
    <row r="60" spans="1:8" ht="37.700000000000003" customHeight="1" x14ac:dyDescent="0.25">
      <c r="A60" s="101" t="s">
        <v>14</v>
      </c>
      <c r="B60" s="217" t="s">
        <v>200</v>
      </c>
      <c r="C60" s="220"/>
      <c r="D60" s="220"/>
      <c r="E60" s="221"/>
      <c r="F60" s="73">
        <v>0.03</v>
      </c>
      <c r="G60" s="88">
        <f>F60*(G43+G51+G111)</f>
        <v>146.88125382103237</v>
      </c>
      <c r="H60" s="12"/>
    </row>
    <row r="61" spans="1:8" x14ac:dyDescent="0.25">
      <c r="A61" s="101" t="s">
        <v>16</v>
      </c>
      <c r="B61" s="217" t="s">
        <v>45</v>
      </c>
      <c r="C61" s="220"/>
      <c r="D61" s="220"/>
      <c r="E61" s="221"/>
      <c r="F61" s="73">
        <v>1.4999999999999999E-2</v>
      </c>
      <c r="G61" s="90">
        <f>F61*(G43+G51+G111)</f>
        <v>73.440626910516187</v>
      </c>
      <c r="H61" s="13"/>
    </row>
    <row r="62" spans="1:8" x14ac:dyDescent="0.25">
      <c r="A62" s="101" t="s">
        <v>32</v>
      </c>
      <c r="B62" s="217" t="s">
        <v>46</v>
      </c>
      <c r="C62" s="220"/>
      <c r="D62" s="220"/>
      <c r="E62" s="221"/>
      <c r="F62" s="73">
        <v>0.01</v>
      </c>
      <c r="G62" s="90">
        <f>F62*(G43+G51+G111)</f>
        <v>48.960417940344122</v>
      </c>
    </row>
    <row r="63" spans="1:8" x14ac:dyDescent="0.25">
      <c r="A63" s="101" t="s">
        <v>34</v>
      </c>
      <c r="B63" s="217" t="s">
        <v>47</v>
      </c>
      <c r="C63" s="220"/>
      <c r="D63" s="220"/>
      <c r="E63" s="221"/>
      <c r="F63" s="73">
        <v>6.0000000000000001E-3</v>
      </c>
      <c r="G63" s="90">
        <f>F63*(G43+G51+G111)</f>
        <v>29.376250764206475</v>
      </c>
    </row>
    <row r="64" spans="1:8" x14ac:dyDescent="0.25">
      <c r="A64" s="101" t="s">
        <v>48</v>
      </c>
      <c r="B64" s="217" t="s">
        <v>49</v>
      </c>
      <c r="C64" s="220"/>
      <c r="D64" s="220"/>
      <c r="E64" s="221"/>
      <c r="F64" s="73">
        <v>2E-3</v>
      </c>
      <c r="G64" s="90">
        <f>F64*(G43+G51+G111)</f>
        <v>9.7920835880688255</v>
      </c>
    </row>
    <row r="65" spans="1:7" x14ac:dyDescent="0.25">
      <c r="A65" s="101" t="s">
        <v>50</v>
      </c>
      <c r="B65" s="217" t="s">
        <v>51</v>
      </c>
      <c r="C65" s="220"/>
      <c r="D65" s="220"/>
      <c r="E65" s="221"/>
      <c r="F65" s="73">
        <v>0.08</v>
      </c>
      <c r="G65" s="90">
        <f>F65*(G43+G51+G111)</f>
        <v>391.68334352275298</v>
      </c>
    </row>
    <row r="66" spans="1:7" x14ac:dyDescent="0.25">
      <c r="A66" s="70"/>
      <c r="B66" s="202" t="s">
        <v>5</v>
      </c>
      <c r="C66" s="201"/>
      <c r="D66" s="201"/>
      <c r="E66" s="203"/>
      <c r="F66" s="123">
        <f>SUM(F58:F65)</f>
        <v>0.36800000000000005</v>
      </c>
      <c r="G66" s="100">
        <f>SUM(G58:G65)</f>
        <v>1801.7433802046635</v>
      </c>
    </row>
    <row r="67" spans="1:7" x14ac:dyDescent="0.25">
      <c r="A67" s="244" t="s">
        <v>270</v>
      </c>
      <c r="B67" s="245"/>
      <c r="C67" s="245"/>
      <c r="D67" s="245"/>
      <c r="E67" s="245"/>
      <c r="F67" s="245"/>
      <c r="G67" s="246"/>
    </row>
    <row r="68" spans="1:7" x14ac:dyDescent="0.25">
      <c r="A68" s="244" t="s">
        <v>271</v>
      </c>
      <c r="B68" s="245"/>
      <c r="C68" s="245"/>
      <c r="D68" s="245"/>
      <c r="E68" s="245"/>
      <c r="F68" s="245"/>
      <c r="G68" s="246"/>
    </row>
    <row r="69" spans="1:7" x14ac:dyDescent="0.25">
      <c r="A69" s="247" t="s">
        <v>52</v>
      </c>
      <c r="B69" s="248"/>
      <c r="C69" s="248"/>
      <c r="D69" s="248"/>
      <c r="E69" s="248"/>
      <c r="F69" s="248"/>
      <c r="G69" s="249"/>
    </row>
    <row r="70" spans="1:7" ht="12" customHeight="1" x14ac:dyDescent="0.25">
      <c r="A70" s="181"/>
      <c r="B70" s="179"/>
      <c r="C70" s="182"/>
      <c r="D70" s="182"/>
      <c r="E70" s="182"/>
      <c r="F70" s="183"/>
      <c r="G70" s="184"/>
    </row>
    <row r="71" spans="1:7" x14ac:dyDescent="0.25">
      <c r="A71" s="214" t="s">
        <v>53</v>
      </c>
      <c r="B71" s="215"/>
      <c r="C71" s="215"/>
      <c r="D71" s="215"/>
      <c r="E71" s="215"/>
      <c r="F71" s="215"/>
      <c r="G71" s="216"/>
    </row>
    <row r="72" spans="1:7" x14ac:dyDescent="0.25">
      <c r="A72" s="116" t="s">
        <v>54</v>
      </c>
      <c r="B72" s="212" t="s">
        <v>55</v>
      </c>
      <c r="C72" s="212"/>
      <c r="D72" s="212"/>
      <c r="E72" s="212"/>
      <c r="F72" s="212"/>
      <c r="G72" s="92" t="s">
        <v>4</v>
      </c>
    </row>
    <row r="73" spans="1:7" ht="24.95" customHeight="1" x14ac:dyDescent="0.25">
      <c r="A73" s="103" t="s">
        <v>9</v>
      </c>
      <c r="B73" s="250" t="s">
        <v>239</v>
      </c>
      <c r="C73" s="250"/>
      <c r="D73" s="250"/>
      <c r="E73" s="250"/>
      <c r="F73" s="250"/>
      <c r="G73" s="95">
        <f>((5.5)*2*15.5)-6%*G36</f>
        <v>7.0954000000000121</v>
      </c>
    </row>
    <row r="74" spans="1:7" ht="22.5" customHeight="1" x14ac:dyDescent="0.25">
      <c r="A74" s="101" t="s">
        <v>11</v>
      </c>
      <c r="B74" s="211" t="s">
        <v>240</v>
      </c>
      <c r="C74" s="211"/>
      <c r="D74" s="211"/>
      <c r="E74" s="211"/>
      <c r="F74" s="211"/>
      <c r="G74" s="88">
        <f>47.37*15.5</f>
        <v>734.23500000000001</v>
      </c>
    </row>
    <row r="75" spans="1:7" x14ac:dyDescent="0.25">
      <c r="A75" s="101" t="s">
        <v>14</v>
      </c>
      <c r="B75" s="211" t="s">
        <v>195</v>
      </c>
      <c r="C75" s="211"/>
      <c r="D75" s="211"/>
      <c r="E75" s="211"/>
      <c r="F75" s="211"/>
      <c r="G75" s="88">
        <v>0</v>
      </c>
    </row>
    <row r="76" spans="1:7" ht="23.25" customHeight="1" x14ac:dyDescent="0.25">
      <c r="A76" s="101" t="s">
        <v>16</v>
      </c>
      <c r="B76" s="211" t="s">
        <v>241</v>
      </c>
      <c r="C76" s="211"/>
      <c r="D76" s="211"/>
      <c r="E76" s="211"/>
      <c r="F76" s="211"/>
      <c r="G76" s="88">
        <f>6029.47/12*6%</f>
        <v>30.147350000000003</v>
      </c>
    </row>
    <row r="77" spans="1:7" x14ac:dyDescent="0.25">
      <c r="A77" s="101" t="s">
        <v>16</v>
      </c>
      <c r="B77" s="211" t="s">
        <v>196</v>
      </c>
      <c r="C77" s="211"/>
      <c r="D77" s="211"/>
      <c r="E77" s="211"/>
      <c r="F77" s="211"/>
      <c r="G77" s="88">
        <v>0</v>
      </c>
    </row>
    <row r="78" spans="1:7" ht="17.45" customHeight="1" x14ac:dyDescent="0.25">
      <c r="A78" s="101" t="s">
        <v>32</v>
      </c>
      <c r="B78" s="211" t="s">
        <v>197</v>
      </c>
      <c r="C78" s="211"/>
      <c r="D78" s="211"/>
      <c r="E78" s="211"/>
      <c r="F78" s="211"/>
      <c r="G78" s="88">
        <v>0</v>
      </c>
    </row>
    <row r="79" spans="1:7" x14ac:dyDescent="0.25">
      <c r="A79" s="118"/>
      <c r="B79" s="202" t="s">
        <v>5</v>
      </c>
      <c r="C79" s="201"/>
      <c r="D79" s="201"/>
      <c r="E79" s="201"/>
      <c r="F79" s="203"/>
      <c r="G79" s="92">
        <f>SUM(G73:G78)</f>
        <v>771.47775000000001</v>
      </c>
    </row>
    <row r="80" spans="1:7" ht="15.75" customHeight="1" x14ac:dyDescent="0.25">
      <c r="A80" s="208" t="s">
        <v>160</v>
      </c>
      <c r="B80" s="209"/>
      <c r="C80" s="209"/>
      <c r="D80" s="209"/>
      <c r="E80" s="209"/>
      <c r="F80" s="209"/>
      <c r="G80" s="210"/>
    </row>
    <row r="81" spans="1:8" ht="18" customHeight="1" x14ac:dyDescent="0.25">
      <c r="A81" s="208" t="s">
        <v>161</v>
      </c>
      <c r="B81" s="209"/>
      <c r="C81" s="209"/>
      <c r="D81" s="209"/>
      <c r="E81" s="209"/>
      <c r="F81" s="209"/>
      <c r="G81" s="210"/>
    </row>
    <row r="82" spans="1:8" ht="11.25" customHeight="1" x14ac:dyDescent="0.25">
      <c r="A82" s="120"/>
      <c r="B82" s="119"/>
      <c r="C82" s="119"/>
      <c r="D82" s="119"/>
      <c r="E82" s="119"/>
      <c r="F82" s="119"/>
      <c r="G82" s="107"/>
    </row>
    <row r="83" spans="1:8" x14ac:dyDescent="0.25">
      <c r="A83" s="70"/>
      <c r="B83" s="212" t="s">
        <v>56</v>
      </c>
      <c r="C83" s="212"/>
      <c r="D83" s="212"/>
      <c r="E83" s="212"/>
      <c r="F83" s="212"/>
      <c r="G83" s="93"/>
    </row>
    <row r="84" spans="1:8" x14ac:dyDescent="0.25">
      <c r="A84" s="116">
        <v>2</v>
      </c>
      <c r="B84" s="212" t="s">
        <v>57</v>
      </c>
      <c r="C84" s="212"/>
      <c r="D84" s="212"/>
      <c r="E84" s="212"/>
      <c r="F84" s="212"/>
      <c r="G84" s="92" t="s">
        <v>4</v>
      </c>
    </row>
    <row r="85" spans="1:8" x14ac:dyDescent="0.25">
      <c r="A85" s="101" t="s">
        <v>37</v>
      </c>
      <c r="B85" s="211" t="s">
        <v>181</v>
      </c>
      <c r="C85" s="211"/>
      <c r="D85" s="211"/>
      <c r="E85" s="211"/>
      <c r="F85" s="211"/>
      <c r="G85" s="88">
        <f>G51</f>
        <v>805.81424450639656</v>
      </c>
    </row>
    <row r="86" spans="1:8" x14ac:dyDescent="0.25">
      <c r="A86" s="101" t="s">
        <v>40</v>
      </c>
      <c r="B86" s="211" t="s">
        <v>41</v>
      </c>
      <c r="C86" s="211"/>
      <c r="D86" s="211"/>
      <c r="E86" s="211"/>
      <c r="F86" s="211"/>
      <c r="G86" s="88">
        <f>G66</f>
        <v>1801.7433802046635</v>
      </c>
    </row>
    <row r="87" spans="1:8" x14ac:dyDescent="0.25">
      <c r="A87" s="101" t="s">
        <v>54</v>
      </c>
      <c r="B87" s="211" t="s">
        <v>55</v>
      </c>
      <c r="C87" s="211"/>
      <c r="D87" s="211"/>
      <c r="E87" s="211"/>
      <c r="F87" s="211"/>
      <c r="G87" s="88">
        <f>G79</f>
        <v>771.47775000000001</v>
      </c>
    </row>
    <row r="88" spans="1:8" x14ac:dyDescent="0.25">
      <c r="A88" s="75"/>
      <c r="B88" s="241" t="s">
        <v>5</v>
      </c>
      <c r="C88" s="242"/>
      <c r="D88" s="242"/>
      <c r="E88" s="242"/>
      <c r="F88" s="243"/>
      <c r="G88" s="92">
        <f>SUM(G85:G87)</f>
        <v>3379.0353747110603</v>
      </c>
    </row>
    <row r="89" spans="1:8" ht="11.25" customHeight="1" x14ac:dyDescent="0.25">
      <c r="A89" s="241"/>
      <c r="B89" s="242"/>
      <c r="C89" s="242"/>
      <c r="D89" s="242"/>
      <c r="E89" s="242"/>
      <c r="F89" s="242"/>
      <c r="G89" s="243"/>
    </row>
    <row r="90" spans="1:8" x14ac:dyDescent="0.25">
      <c r="A90" s="67"/>
      <c r="B90" s="202" t="s">
        <v>58</v>
      </c>
      <c r="C90" s="201"/>
      <c r="D90" s="201"/>
      <c r="E90" s="203"/>
      <c r="F90" s="71"/>
      <c r="G90" s="89"/>
    </row>
    <row r="91" spans="1:8" x14ac:dyDescent="0.25">
      <c r="A91" s="116">
        <v>3</v>
      </c>
      <c r="B91" s="202" t="s">
        <v>59</v>
      </c>
      <c r="C91" s="201"/>
      <c r="D91" s="201"/>
      <c r="E91" s="203"/>
      <c r="F91" s="123" t="s">
        <v>42</v>
      </c>
      <c r="G91" s="92" t="s">
        <v>4</v>
      </c>
    </row>
    <row r="92" spans="1:8" ht="44.1" customHeight="1" x14ac:dyDescent="0.25">
      <c r="A92" s="61" t="s">
        <v>9</v>
      </c>
      <c r="B92" s="232" t="s">
        <v>208</v>
      </c>
      <c r="C92" s="233"/>
      <c r="D92" s="233"/>
      <c r="E92" s="234"/>
      <c r="F92" s="72">
        <f>5.5%*1*1/12</f>
        <v>4.5833333333333334E-3</v>
      </c>
      <c r="G92" s="88">
        <f>F92*(G43+G51)</f>
        <v>21.749523358668021</v>
      </c>
      <c r="H92" s="58"/>
    </row>
    <row r="93" spans="1:8" ht="18" customHeight="1" x14ac:dyDescent="0.25">
      <c r="A93" s="61" t="s">
        <v>11</v>
      </c>
      <c r="B93" s="232" t="s">
        <v>209</v>
      </c>
      <c r="C93" s="233"/>
      <c r="D93" s="233"/>
      <c r="E93" s="234"/>
      <c r="F93" s="109">
        <f>F65*F92</f>
        <v>3.6666666666666667E-4</v>
      </c>
      <c r="G93" s="90">
        <f>F93*(G43+G51)</f>
        <v>1.7399618686934417</v>
      </c>
    </row>
    <row r="94" spans="1:8" ht="35.450000000000003" customHeight="1" x14ac:dyDescent="0.25">
      <c r="A94" s="60" t="s">
        <v>14</v>
      </c>
      <c r="B94" s="232" t="s">
        <v>210</v>
      </c>
      <c r="C94" s="233"/>
      <c r="D94" s="233"/>
      <c r="E94" s="234"/>
      <c r="F94" s="76">
        <f xml:space="preserve"> (40%)*F92</f>
        <v>1.8333333333333335E-3</v>
      </c>
      <c r="G94" s="88">
        <f>F94*(G43+G51)</f>
        <v>8.6998093434672086</v>
      </c>
      <c r="H94" s="124"/>
    </row>
    <row r="95" spans="1:8" ht="36" customHeight="1" x14ac:dyDescent="0.25">
      <c r="A95" s="60" t="s">
        <v>16</v>
      </c>
      <c r="B95" s="301" t="s">
        <v>272</v>
      </c>
      <c r="C95" s="239"/>
      <c r="D95" s="239"/>
      <c r="E95" s="240"/>
      <c r="F95" s="76">
        <f>(7/30)/12</f>
        <v>1.9444444444444445E-2</v>
      </c>
      <c r="G95" s="88">
        <f>F95*(G43+G51)</f>
        <v>92.270705157985546</v>
      </c>
    </row>
    <row r="96" spans="1:8" ht="19.7" customHeight="1" x14ac:dyDescent="0.25">
      <c r="A96" s="60" t="s">
        <v>32</v>
      </c>
      <c r="B96" s="235" t="s">
        <v>273</v>
      </c>
      <c r="C96" s="236"/>
      <c r="D96" s="236"/>
      <c r="E96" s="237"/>
      <c r="F96" s="76">
        <f>F66*F95</f>
        <v>7.1555555555555565E-3</v>
      </c>
      <c r="G96" s="88">
        <f>F96*(G43+G51)</f>
        <v>33.955619498138681</v>
      </c>
    </row>
    <row r="97" spans="1:8" ht="14.45" customHeight="1" x14ac:dyDescent="0.25">
      <c r="A97" s="60" t="s">
        <v>34</v>
      </c>
      <c r="B97" s="238" t="s">
        <v>274</v>
      </c>
      <c r="C97" s="239"/>
      <c r="D97" s="239"/>
      <c r="E97" s="240"/>
      <c r="F97" s="72">
        <f>40%*F95</f>
        <v>7.7777777777777784E-3</v>
      </c>
      <c r="G97" s="88">
        <f>F97*(G43+G51)</f>
        <v>36.908282063194221</v>
      </c>
    </row>
    <row r="98" spans="1:8" x14ac:dyDescent="0.25">
      <c r="A98" s="70"/>
      <c r="B98" s="202" t="s">
        <v>5</v>
      </c>
      <c r="C98" s="201"/>
      <c r="D98" s="201"/>
      <c r="E98" s="203"/>
      <c r="F98" s="77">
        <f>SUM(F92:F97)</f>
        <v>4.1161111111111114E-2</v>
      </c>
      <c r="G98" s="92">
        <f>SUM(G92:G97)</f>
        <v>195.32390129014709</v>
      </c>
    </row>
    <row r="99" spans="1:8" ht="12" customHeight="1" x14ac:dyDescent="0.25">
      <c r="A99" s="114"/>
      <c r="B99" s="115"/>
      <c r="C99" s="115"/>
      <c r="D99" s="115"/>
      <c r="E99" s="115"/>
      <c r="F99" s="115"/>
      <c r="G99" s="94"/>
    </row>
    <row r="100" spans="1:8" x14ac:dyDescent="0.25">
      <c r="A100" s="70"/>
      <c r="B100" s="202" t="s">
        <v>60</v>
      </c>
      <c r="C100" s="201"/>
      <c r="D100" s="201"/>
      <c r="E100" s="203"/>
      <c r="F100" s="71"/>
      <c r="G100" s="89"/>
    </row>
    <row r="101" spans="1:8" ht="24" customHeight="1" x14ac:dyDescent="0.25">
      <c r="A101" s="229" t="s">
        <v>162</v>
      </c>
      <c r="B101" s="209"/>
      <c r="C101" s="209"/>
      <c r="D101" s="209"/>
      <c r="E101" s="209"/>
      <c r="F101" s="209"/>
      <c r="G101" s="210"/>
    </row>
    <row r="102" spans="1:8" ht="12" customHeight="1" x14ac:dyDescent="0.25">
      <c r="A102" s="222"/>
      <c r="B102" s="199"/>
      <c r="C102" s="199"/>
      <c r="D102" s="199"/>
      <c r="E102" s="199"/>
      <c r="F102" s="199"/>
      <c r="G102" s="200"/>
    </row>
    <row r="103" spans="1:8" x14ac:dyDescent="0.25">
      <c r="A103" s="214" t="s">
        <v>61</v>
      </c>
      <c r="B103" s="215"/>
      <c r="C103" s="215"/>
      <c r="D103" s="215"/>
      <c r="E103" s="215"/>
      <c r="F103" s="215"/>
      <c r="G103" s="216"/>
    </row>
    <row r="104" spans="1:8" x14ac:dyDescent="0.25">
      <c r="A104" s="113" t="s">
        <v>62</v>
      </c>
      <c r="B104" s="202" t="s">
        <v>63</v>
      </c>
      <c r="C104" s="201"/>
      <c r="D104" s="201"/>
      <c r="E104" s="201"/>
      <c r="F104" s="123" t="s">
        <v>42</v>
      </c>
      <c r="G104" s="92" t="s">
        <v>4</v>
      </c>
    </row>
    <row r="105" spans="1:8" ht="12.75" customHeight="1" x14ac:dyDescent="0.25">
      <c r="A105" s="62" t="s">
        <v>9</v>
      </c>
      <c r="B105" s="230" t="s">
        <v>64</v>
      </c>
      <c r="C105" s="231"/>
      <c r="D105" s="231"/>
      <c r="E105" s="231"/>
      <c r="F105" s="78">
        <f>(8.33%+(8.33%*1/3))/12</f>
        <v>9.2555555555555551E-3</v>
      </c>
      <c r="G105" s="95">
        <f>F105*(G43+G51)</f>
        <v>43.920855655201116</v>
      </c>
      <c r="H105" s="59"/>
    </row>
    <row r="106" spans="1:8" ht="12.75" customHeight="1" x14ac:dyDescent="0.25">
      <c r="A106" s="62" t="s">
        <v>11</v>
      </c>
      <c r="B106" s="226" t="s">
        <v>185</v>
      </c>
      <c r="C106" s="227"/>
      <c r="D106" s="227"/>
      <c r="E106" s="227"/>
      <c r="F106" s="78">
        <f>(1/12)/30</f>
        <v>2.7777777777777775E-3</v>
      </c>
      <c r="G106" s="95">
        <f>F106*(G43+G51)</f>
        <v>13.181529308283647</v>
      </c>
    </row>
    <row r="107" spans="1:8" x14ac:dyDescent="0.25">
      <c r="A107" s="62" t="s">
        <v>14</v>
      </c>
      <c r="B107" s="226" t="s">
        <v>186</v>
      </c>
      <c r="C107" s="227"/>
      <c r="D107" s="227"/>
      <c r="E107" s="227"/>
      <c r="F107" s="79">
        <f>1.5%/12</f>
        <v>1.25E-3</v>
      </c>
      <c r="G107" s="95">
        <f>F107*(G43+G51)</f>
        <v>5.9316881887276418</v>
      </c>
    </row>
    <row r="108" spans="1:8" ht="21" customHeight="1" x14ac:dyDescent="0.25">
      <c r="A108" s="62" t="s">
        <v>16</v>
      </c>
      <c r="B108" s="226" t="s">
        <v>187</v>
      </c>
      <c r="C108" s="227"/>
      <c r="D108" s="227"/>
      <c r="E108" s="227"/>
      <c r="F108" s="80">
        <f>8%/12/2</f>
        <v>3.3333333333333335E-3</v>
      </c>
      <c r="G108" s="95">
        <f>F108*(G43+G51)</f>
        <v>15.817835169940379</v>
      </c>
    </row>
    <row r="109" spans="1:8" ht="35.450000000000003" customHeight="1" x14ac:dyDescent="0.25">
      <c r="A109" s="62" t="s">
        <v>32</v>
      </c>
      <c r="B109" s="228" t="s">
        <v>188</v>
      </c>
      <c r="C109" s="227"/>
      <c r="D109" s="227"/>
      <c r="E109" s="227"/>
      <c r="F109" s="81">
        <f>1.5%/12</f>
        <v>1.25E-3</v>
      </c>
      <c r="G109" s="95">
        <f>F109*(G43+G51)</f>
        <v>5.9316881887276418</v>
      </c>
    </row>
    <row r="110" spans="1:8" ht="16.5" customHeight="1" x14ac:dyDescent="0.25">
      <c r="A110" s="62" t="s">
        <v>34</v>
      </c>
      <c r="B110" s="226" t="s">
        <v>189</v>
      </c>
      <c r="C110" s="227"/>
      <c r="D110" s="227"/>
      <c r="E110" s="227"/>
      <c r="F110" s="80">
        <f>(5/12)/30</f>
        <v>1.388888888888889E-2</v>
      </c>
      <c r="G110" s="95">
        <f>F110*(G43+G51)</f>
        <v>65.907646541418245</v>
      </c>
    </row>
    <row r="111" spans="1:8" ht="12.75" customHeight="1" x14ac:dyDescent="0.25">
      <c r="A111" s="70"/>
      <c r="B111" s="202" t="s">
        <v>212</v>
      </c>
      <c r="C111" s="201"/>
      <c r="D111" s="201"/>
      <c r="E111" s="203"/>
      <c r="F111" s="123">
        <f>SUM(F105:F110)</f>
        <v>3.1755555555555558E-2</v>
      </c>
      <c r="G111" s="92">
        <f>SUM(G105:G110)</f>
        <v>150.69124305229866</v>
      </c>
    </row>
    <row r="112" spans="1:8" ht="12.75" customHeight="1" x14ac:dyDescent="0.25">
      <c r="A112" s="113" t="s">
        <v>48</v>
      </c>
      <c r="B112" s="215" t="s">
        <v>211</v>
      </c>
      <c r="C112" s="215"/>
      <c r="D112" s="215"/>
      <c r="E112" s="215"/>
      <c r="F112" s="123">
        <f>F66*F111</f>
        <v>1.1686044444444446E-2</v>
      </c>
      <c r="G112" s="92">
        <f>F112*(G43+G51)</f>
        <v>55.454377443245917</v>
      </c>
    </row>
    <row r="113" spans="1:7" ht="12.75" customHeight="1" x14ac:dyDescent="0.25">
      <c r="A113" s="116"/>
      <c r="B113" s="202" t="s">
        <v>5</v>
      </c>
      <c r="C113" s="201"/>
      <c r="D113" s="201"/>
      <c r="E113" s="203"/>
      <c r="F113" s="123">
        <f>SUM(F111:F112)</f>
        <v>4.3441600000000004E-2</v>
      </c>
      <c r="G113" s="126">
        <f>SUM(G111:G112)</f>
        <v>206.14562049554456</v>
      </c>
    </row>
    <row r="114" spans="1:7" ht="18.75" customHeight="1" x14ac:dyDescent="0.25">
      <c r="A114" s="208" t="s">
        <v>163</v>
      </c>
      <c r="B114" s="209"/>
      <c r="C114" s="209"/>
      <c r="D114" s="209"/>
      <c r="E114" s="209"/>
      <c r="F114" s="209"/>
      <c r="G114" s="210"/>
    </row>
    <row r="115" spans="1:7" ht="11.25" customHeight="1" x14ac:dyDescent="0.25">
      <c r="A115" s="223"/>
      <c r="B115" s="224"/>
      <c r="C115" s="224"/>
      <c r="D115" s="224"/>
      <c r="E115" s="224"/>
      <c r="F115" s="224"/>
      <c r="G115" s="225"/>
    </row>
    <row r="116" spans="1:7" x14ac:dyDescent="0.25">
      <c r="A116" s="214" t="s">
        <v>65</v>
      </c>
      <c r="B116" s="215"/>
      <c r="C116" s="215"/>
      <c r="D116" s="215"/>
      <c r="E116" s="215"/>
      <c r="F116" s="215"/>
      <c r="G116" s="216"/>
    </row>
    <row r="117" spans="1:7" x14ac:dyDescent="0.25">
      <c r="A117" s="116" t="s">
        <v>66</v>
      </c>
      <c r="B117" s="202" t="s">
        <v>67</v>
      </c>
      <c r="C117" s="201"/>
      <c r="D117" s="201"/>
      <c r="E117" s="203"/>
      <c r="F117" s="123" t="s">
        <v>42</v>
      </c>
      <c r="G117" s="92" t="s">
        <v>4</v>
      </c>
    </row>
    <row r="118" spans="1:7" x14ac:dyDescent="0.25">
      <c r="A118" s="101" t="s">
        <v>9</v>
      </c>
      <c r="B118" s="217" t="s">
        <v>68</v>
      </c>
      <c r="C118" s="220"/>
      <c r="D118" s="220"/>
      <c r="E118" s="221"/>
      <c r="F118" s="82"/>
      <c r="G118" s="88"/>
    </row>
    <row r="119" spans="1:7" x14ac:dyDescent="0.25">
      <c r="A119" s="70"/>
      <c r="B119" s="202" t="s">
        <v>5</v>
      </c>
      <c r="C119" s="201"/>
      <c r="D119" s="201"/>
      <c r="E119" s="203"/>
      <c r="F119" s="83"/>
      <c r="G119" s="92"/>
    </row>
    <row r="120" spans="1:7" ht="17.25" customHeight="1" x14ac:dyDescent="0.25">
      <c r="A120" s="208" t="s">
        <v>164</v>
      </c>
      <c r="B120" s="209"/>
      <c r="C120" s="209"/>
      <c r="D120" s="209"/>
      <c r="E120" s="209"/>
      <c r="F120" s="209"/>
      <c r="G120" s="210"/>
    </row>
    <row r="121" spans="1:7" ht="12" customHeight="1" x14ac:dyDescent="0.25">
      <c r="A121" s="222"/>
      <c r="B121" s="199"/>
      <c r="C121" s="199"/>
      <c r="D121" s="199"/>
      <c r="E121" s="199"/>
      <c r="F121" s="199"/>
      <c r="G121" s="200"/>
    </row>
    <row r="122" spans="1:7" x14ac:dyDescent="0.25">
      <c r="A122" s="70"/>
      <c r="B122" s="202" t="s">
        <v>69</v>
      </c>
      <c r="C122" s="201"/>
      <c r="D122" s="201"/>
      <c r="E122" s="201"/>
      <c r="F122" s="201"/>
      <c r="G122" s="89"/>
    </row>
    <row r="123" spans="1:7" x14ac:dyDescent="0.25">
      <c r="A123" s="116">
        <v>4</v>
      </c>
      <c r="B123" s="212" t="s">
        <v>70</v>
      </c>
      <c r="C123" s="212"/>
      <c r="D123" s="212"/>
      <c r="E123" s="212"/>
      <c r="F123" s="123" t="s">
        <v>42</v>
      </c>
      <c r="G123" s="92" t="s">
        <v>4</v>
      </c>
    </row>
    <row r="124" spans="1:7" x14ac:dyDescent="0.25">
      <c r="A124" s="101" t="s">
        <v>62</v>
      </c>
      <c r="B124" s="211" t="s">
        <v>71</v>
      </c>
      <c r="C124" s="211"/>
      <c r="D124" s="211"/>
      <c r="E124" s="211"/>
      <c r="F124" s="102">
        <f>F111</f>
        <v>3.1755555555555558E-2</v>
      </c>
      <c r="G124" s="90">
        <f>G111</f>
        <v>150.69124305229866</v>
      </c>
    </row>
    <row r="125" spans="1:7" x14ac:dyDescent="0.25">
      <c r="A125" s="101" t="s">
        <v>66</v>
      </c>
      <c r="B125" s="211" t="s">
        <v>67</v>
      </c>
      <c r="C125" s="211"/>
      <c r="D125" s="211"/>
      <c r="E125" s="211"/>
      <c r="F125" s="102"/>
      <c r="G125" s="88">
        <f>G43/220*1*7*(4.345/2)*1.5</f>
        <v>408.48067077770088</v>
      </c>
    </row>
    <row r="126" spans="1:7" x14ac:dyDescent="0.25">
      <c r="A126" s="71"/>
      <c r="B126" s="202" t="s">
        <v>5</v>
      </c>
      <c r="C126" s="201"/>
      <c r="D126" s="201"/>
      <c r="E126" s="203"/>
      <c r="F126" s="123"/>
      <c r="G126" s="92">
        <f>SUM(G124:G125)</f>
        <v>559.17191382999954</v>
      </c>
    </row>
    <row r="127" spans="1:7" ht="10.5" customHeight="1" x14ac:dyDescent="0.25">
      <c r="A127" s="61"/>
      <c r="B127" s="122"/>
      <c r="C127" s="122"/>
      <c r="D127" s="122"/>
      <c r="E127" s="122"/>
      <c r="F127" s="74"/>
      <c r="G127" s="91"/>
    </row>
    <row r="128" spans="1:7" x14ac:dyDescent="0.25">
      <c r="A128" s="104"/>
      <c r="B128" s="202" t="s">
        <v>72</v>
      </c>
      <c r="C128" s="201"/>
      <c r="D128" s="201"/>
      <c r="E128" s="201"/>
      <c r="F128" s="201"/>
      <c r="G128" s="89"/>
    </row>
    <row r="129" spans="1:7" x14ac:dyDescent="0.25">
      <c r="A129" s="116">
        <v>5</v>
      </c>
      <c r="B129" s="214" t="s">
        <v>73</v>
      </c>
      <c r="C129" s="215"/>
      <c r="D129" s="215"/>
      <c r="E129" s="215"/>
      <c r="F129" s="216"/>
      <c r="G129" s="92" t="s">
        <v>4</v>
      </c>
    </row>
    <row r="130" spans="1:7" x14ac:dyDescent="0.25">
      <c r="A130" s="101" t="s">
        <v>9</v>
      </c>
      <c r="B130" s="217" t="s">
        <v>201</v>
      </c>
      <c r="C130" s="218"/>
      <c r="D130" s="218"/>
      <c r="E130" s="218"/>
      <c r="F130" s="219"/>
      <c r="G130" s="97">
        <f>Uniformes_Pesquisa!U24</f>
        <v>291.85283333333331</v>
      </c>
    </row>
    <row r="131" spans="1:7" x14ac:dyDescent="0.25">
      <c r="A131" s="101" t="s">
        <v>11</v>
      </c>
      <c r="B131" s="217" t="s">
        <v>145</v>
      </c>
      <c r="C131" s="220"/>
      <c r="D131" s="220"/>
      <c r="E131" s="220"/>
      <c r="F131" s="221"/>
      <c r="G131" s="97">
        <f>'Materiais Consumo_Consolidado'!N18</f>
        <v>5.1324404761904763</v>
      </c>
    </row>
    <row r="132" spans="1:7" x14ac:dyDescent="0.25">
      <c r="A132" s="121" t="s">
        <v>14</v>
      </c>
      <c r="B132" s="217" t="s">
        <v>146</v>
      </c>
      <c r="C132" s="220"/>
      <c r="D132" s="220"/>
      <c r="E132" s="220"/>
      <c r="F132" s="221"/>
      <c r="G132" s="97">
        <f>'Equips Básicos Consolidado'!K17</f>
        <v>0</v>
      </c>
    </row>
    <row r="133" spans="1:7" ht="15" customHeight="1" x14ac:dyDescent="0.25">
      <c r="A133" s="70"/>
      <c r="B133" s="202" t="s">
        <v>5</v>
      </c>
      <c r="C133" s="201"/>
      <c r="D133" s="201"/>
      <c r="E133" s="201"/>
      <c r="F133" s="203"/>
      <c r="G133" s="92">
        <f>SUM(G130:G132)</f>
        <v>296.98527380952379</v>
      </c>
    </row>
    <row r="134" spans="1:7" x14ac:dyDescent="0.25">
      <c r="A134" s="208" t="s">
        <v>165</v>
      </c>
      <c r="B134" s="209"/>
      <c r="C134" s="209"/>
      <c r="D134" s="209"/>
      <c r="E134" s="209"/>
      <c r="F134" s="209"/>
      <c r="G134" s="210"/>
    </row>
    <row r="135" spans="1:7" ht="11.25" customHeight="1" x14ac:dyDescent="0.25">
      <c r="A135" s="54"/>
      <c r="B135" s="115"/>
      <c r="C135" s="115"/>
      <c r="D135" s="115"/>
      <c r="E135" s="115"/>
      <c r="F135" s="74"/>
      <c r="G135" s="98"/>
    </row>
    <row r="136" spans="1:7" x14ac:dyDescent="0.25">
      <c r="A136" s="70"/>
      <c r="B136" s="202" t="s">
        <v>74</v>
      </c>
      <c r="C136" s="201"/>
      <c r="D136" s="201"/>
      <c r="E136" s="201"/>
      <c r="F136" s="201"/>
      <c r="G136" s="89"/>
    </row>
    <row r="137" spans="1:7" x14ac:dyDescent="0.25">
      <c r="A137" s="116">
        <v>6</v>
      </c>
      <c r="B137" s="212" t="s">
        <v>75</v>
      </c>
      <c r="C137" s="212"/>
      <c r="D137" s="212"/>
      <c r="E137" s="213" t="s">
        <v>42</v>
      </c>
      <c r="F137" s="213"/>
      <c r="G137" s="100" t="s">
        <v>4</v>
      </c>
    </row>
    <row r="138" spans="1:7" x14ac:dyDescent="0.25">
      <c r="A138" s="101" t="s">
        <v>9</v>
      </c>
      <c r="B138" s="211" t="s">
        <v>76</v>
      </c>
      <c r="C138" s="211"/>
      <c r="D138" s="211"/>
      <c r="E138" s="205">
        <v>0.05</v>
      </c>
      <c r="F138" s="206"/>
      <c r="G138" s="97">
        <f>(G43+G88+G98+G126+G133)*E138</f>
        <v>418.50263850582235</v>
      </c>
    </row>
    <row r="139" spans="1:7" x14ac:dyDescent="0.25">
      <c r="A139" s="101" t="s">
        <v>11</v>
      </c>
      <c r="B139" s="204" t="s">
        <v>178</v>
      </c>
      <c r="C139" s="204"/>
      <c r="D139" s="204"/>
      <c r="E139" s="205">
        <v>0.05</v>
      </c>
      <c r="F139" s="206"/>
      <c r="G139" s="88">
        <f>(G43+G88+G98+G126+G133+G138)*E139</f>
        <v>439.42777043111346</v>
      </c>
    </row>
    <row r="140" spans="1:7" x14ac:dyDescent="0.25">
      <c r="A140" s="101" t="s">
        <v>14</v>
      </c>
      <c r="B140" s="211" t="s">
        <v>77</v>
      </c>
      <c r="C140" s="204"/>
      <c r="D140" s="204"/>
      <c r="E140" s="205">
        <f>SUM(E141:F142)</f>
        <v>8.6499999999999994E-2</v>
      </c>
      <c r="F140" s="206"/>
      <c r="G140" s="96"/>
    </row>
    <row r="141" spans="1:7" ht="14.45" customHeight="1" x14ac:dyDescent="0.25">
      <c r="A141" s="82"/>
      <c r="B141" s="204" t="s">
        <v>237</v>
      </c>
      <c r="C141" s="204"/>
      <c r="D141" s="204"/>
      <c r="E141" s="205">
        <f>0.65%+3%</f>
        <v>3.6499999999999998E-2</v>
      </c>
      <c r="F141" s="206"/>
      <c r="G141" s="88">
        <f>E141*G156</f>
        <v>368.71525564909518</v>
      </c>
    </row>
    <row r="142" spans="1:7" x14ac:dyDescent="0.25">
      <c r="A142" s="82"/>
      <c r="B142" s="204" t="s">
        <v>190</v>
      </c>
      <c r="C142" s="204"/>
      <c r="D142" s="204"/>
      <c r="E142" s="205">
        <v>0.05</v>
      </c>
      <c r="F142" s="206"/>
      <c r="G142" s="88">
        <f>E142*G156</f>
        <v>505.08939130013044</v>
      </c>
    </row>
    <row r="143" spans="1:7" x14ac:dyDescent="0.25">
      <c r="A143" s="70"/>
      <c r="B143" s="202" t="s">
        <v>5</v>
      </c>
      <c r="C143" s="201"/>
      <c r="D143" s="203"/>
      <c r="E143" s="207">
        <f>E138+E139+E140</f>
        <v>0.1865</v>
      </c>
      <c r="F143" s="203"/>
      <c r="G143" s="99">
        <f>SUM(G138:G142)</f>
        <v>1731.7350558861615</v>
      </c>
    </row>
    <row r="144" spans="1:7" ht="14.25" customHeight="1" x14ac:dyDescent="0.25">
      <c r="A144" s="208" t="s">
        <v>166</v>
      </c>
      <c r="B144" s="209"/>
      <c r="C144" s="209"/>
      <c r="D144" s="209"/>
      <c r="E144" s="209"/>
      <c r="F144" s="209"/>
      <c r="G144" s="210"/>
    </row>
    <row r="145" spans="1:7" ht="15.75" customHeight="1" x14ac:dyDescent="0.25">
      <c r="A145" s="208" t="s">
        <v>167</v>
      </c>
      <c r="B145" s="209"/>
      <c r="C145" s="209"/>
      <c r="D145" s="209"/>
      <c r="E145" s="209"/>
      <c r="F145" s="209"/>
      <c r="G145" s="210"/>
    </row>
    <row r="146" spans="1:7" ht="10.5" customHeight="1" x14ac:dyDescent="0.25">
      <c r="A146" s="199"/>
      <c r="B146" s="199"/>
      <c r="C146" s="199"/>
      <c r="D146" s="199"/>
      <c r="E146" s="199"/>
      <c r="F146" s="199"/>
      <c r="G146" s="200"/>
    </row>
    <row r="147" spans="1:7" x14ac:dyDescent="0.25">
      <c r="A147" s="71"/>
      <c r="B147" s="201" t="s">
        <v>78</v>
      </c>
      <c r="C147" s="201"/>
      <c r="D147" s="201"/>
      <c r="E147" s="201"/>
      <c r="F147" s="201"/>
      <c r="G147" s="89"/>
    </row>
    <row r="148" spans="1:7" x14ac:dyDescent="0.25">
      <c r="A148" s="118"/>
      <c r="B148" s="202" t="s">
        <v>79</v>
      </c>
      <c r="C148" s="201"/>
      <c r="D148" s="201"/>
      <c r="E148" s="201"/>
      <c r="F148" s="203"/>
      <c r="G148" s="92" t="s">
        <v>80</v>
      </c>
    </row>
    <row r="149" spans="1:7" x14ac:dyDescent="0.25">
      <c r="A149" s="101" t="s">
        <v>9</v>
      </c>
      <c r="B149" s="193" t="s">
        <v>171</v>
      </c>
      <c r="C149" s="194"/>
      <c r="D149" s="194"/>
      <c r="E149" s="194"/>
      <c r="F149" s="195"/>
      <c r="G149" s="88">
        <f>G43</f>
        <v>3939.5363064757166</v>
      </c>
    </row>
    <row r="150" spans="1:7" x14ac:dyDescent="0.25">
      <c r="A150" s="101" t="s">
        <v>11</v>
      </c>
      <c r="B150" s="193" t="s">
        <v>172</v>
      </c>
      <c r="C150" s="194"/>
      <c r="D150" s="194"/>
      <c r="E150" s="194"/>
      <c r="F150" s="195"/>
      <c r="G150" s="88">
        <f>G88</f>
        <v>3379.0353747110603</v>
      </c>
    </row>
    <row r="151" spans="1:7" x14ac:dyDescent="0.25">
      <c r="A151" s="101" t="s">
        <v>14</v>
      </c>
      <c r="B151" s="193" t="s">
        <v>173</v>
      </c>
      <c r="C151" s="194"/>
      <c r="D151" s="194"/>
      <c r="E151" s="194"/>
      <c r="F151" s="195"/>
      <c r="G151" s="88">
        <f>G98</f>
        <v>195.32390129014709</v>
      </c>
    </row>
    <row r="152" spans="1:7" x14ac:dyDescent="0.25">
      <c r="A152" s="101" t="s">
        <v>16</v>
      </c>
      <c r="B152" s="193" t="s">
        <v>174</v>
      </c>
      <c r="C152" s="194"/>
      <c r="D152" s="194"/>
      <c r="E152" s="194"/>
      <c r="F152" s="195"/>
      <c r="G152" s="88">
        <f>G126</f>
        <v>559.17191382999954</v>
      </c>
    </row>
    <row r="153" spans="1:7" x14ac:dyDescent="0.25">
      <c r="A153" s="101" t="s">
        <v>32</v>
      </c>
      <c r="B153" s="193" t="s">
        <v>175</v>
      </c>
      <c r="C153" s="194"/>
      <c r="D153" s="194"/>
      <c r="E153" s="194"/>
      <c r="F153" s="195"/>
      <c r="G153" s="88">
        <f>G133</f>
        <v>296.98527380952379</v>
      </c>
    </row>
    <row r="154" spans="1:7" x14ac:dyDescent="0.25">
      <c r="A154" s="108"/>
      <c r="B154" s="196" t="s">
        <v>182</v>
      </c>
      <c r="C154" s="197"/>
      <c r="D154" s="197"/>
      <c r="E154" s="197"/>
      <c r="F154" s="198"/>
      <c r="G154" s="92">
        <f>SUM(G149:G153)</f>
        <v>8370.0527701164465</v>
      </c>
    </row>
    <row r="155" spans="1:7" x14ac:dyDescent="0.25">
      <c r="A155" s="85" t="s">
        <v>34</v>
      </c>
      <c r="B155" s="193" t="s">
        <v>176</v>
      </c>
      <c r="C155" s="194"/>
      <c r="D155" s="194"/>
      <c r="E155" s="194"/>
      <c r="F155" s="195"/>
      <c r="G155" s="88">
        <f>G143</f>
        <v>1731.7350558861615</v>
      </c>
    </row>
    <row r="156" spans="1:7" x14ac:dyDescent="0.25">
      <c r="A156" s="86"/>
      <c r="B156" s="196" t="s">
        <v>81</v>
      </c>
      <c r="C156" s="197"/>
      <c r="D156" s="197"/>
      <c r="E156" s="197"/>
      <c r="F156" s="198"/>
      <c r="G156" s="92">
        <f>(G138+G139+G154)/(1-8.65/100)</f>
        <v>10101.787826002608</v>
      </c>
    </row>
    <row r="157" spans="1:7" x14ac:dyDescent="0.25">
      <c r="G157" s="163">
        <v>10101.790000000001</v>
      </c>
    </row>
  </sheetData>
  <mergeCells count="166">
    <mergeCell ref="B156:F156"/>
    <mergeCell ref="B150:F150"/>
    <mergeCell ref="B151:F151"/>
    <mergeCell ref="B152:F152"/>
    <mergeCell ref="B153:F153"/>
    <mergeCell ref="B154:F154"/>
    <mergeCell ref="B155:F155"/>
    <mergeCell ref="A144:G144"/>
    <mergeCell ref="A145:G145"/>
    <mergeCell ref="A146:G146"/>
    <mergeCell ref="B147:F147"/>
    <mergeCell ref="B148:F148"/>
    <mergeCell ref="B149:F149"/>
    <mergeCell ref="B141:D141"/>
    <mergeCell ref="E141:F141"/>
    <mergeCell ref="B142:D142"/>
    <mergeCell ref="E142:F142"/>
    <mergeCell ref="B143:D143"/>
    <mergeCell ref="E143:F143"/>
    <mergeCell ref="B138:D138"/>
    <mergeCell ref="E138:F138"/>
    <mergeCell ref="B139:D139"/>
    <mergeCell ref="E139:F139"/>
    <mergeCell ref="B140:D140"/>
    <mergeCell ref="E140:F140"/>
    <mergeCell ref="B132:F132"/>
    <mergeCell ref="B133:F133"/>
    <mergeCell ref="A134:G134"/>
    <mergeCell ref="B136:F136"/>
    <mergeCell ref="B137:D137"/>
    <mergeCell ref="E137:F137"/>
    <mergeCell ref="B125:E125"/>
    <mergeCell ref="B126:E126"/>
    <mergeCell ref="B128:F128"/>
    <mergeCell ref="B129:F129"/>
    <mergeCell ref="B130:F130"/>
    <mergeCell ref="B131:F131"/>
    <mergeCell ref="B119:E119"/>
    <mergeCell ref="A120:G120"/>
    <mergeCell ref="A121:G121"/>
    <mergeCell ref="B122:F122"/>
    <mergeCell ref="B123:E123"/>
    <mergeCell ref="B124:E124"/>
    <mergeCell ref="B113:E113"/>
    <mergeCell ref="A114:G114"/>
    <mergeCell ref="A115:G115"/>
    <mergeCell ref="A116:G116"/>
    <mergeCell ref="B117:E117"/>
    <mergeCell ref="B118:E118"/>
    <mergeCell ref="B107:E107"/>
    <mergeCell ref="B108:E108"/>
    <mergeCell ref="B109:E109"/>
    <mergeCell ref="B110:E110"/>
    <mergeCell ref="B111:E111"/>
    <mergeCell ref="B112:E112"/>
    <mergeCell ref="A101:G101"/>
    <mergeCell ref="A102:G102"/>
    <mergeCell ref="A103:G103"/>
    <mergeCell ref="B104:E104"/>
    <mergeCell ref="B105:E105"/>
    <mergeCell ref="B106:E106"/>
    <mergeCell ref="B94:E94"/>
    <mergeCell ref="B95:E95"/>
    <mergeCell ref="B96:E96"/>
    <mergeCell ref="B97:E97"/>
    <mergeCell ref="B98:E98"/>
    <mergeCell ref="B100:E100"/>
    <mergeCell ref="B88:F88"/>
    <mergeCell ref="A89:G89"/>
    <mergeCell ref="B90:E90"/>
    <mergeCell ref="B91:E91"/>
    <mergeCell ref="B92:E92"/>
    <mergeCell ref="B93:E93"/>
    <mergeCell ref="A81:G81"/>
    <mergeCell ref="B83:F83"/>
    <mergeCell ref="B84:F84"/>
    <mergeCell ref="B85:F85"/>
    <mergeCell ref="B86:F86"/>
    <mergeCell ref="B87:F87"/>
    <mergeCell ref="B75:F75"/>
    <mergeCell ref="B76:F76"/>
    <mergeCell ref="B77:F77"/>
    <mergeCell ref="B78:F78"/>
    <mergeCell ref="B79:F79"/>
    <mergeCell ref="A80:G80"/>
    <mergeCell ref="A68:G68"/>
    <mergeCell ref="A69:G69"/>
    <mergeCell ref="A71:G71"/>
    <mergeCell ref="B72:F72"/>
    <mergeCell ref="B73:F73"/>
    <mergeCell ref="B74:F74"/>
    <mergeCell ref="B62:E62"/>
    <mergeCell ref="B63:E63"/>
    <mergeCell ref="B64:E64"/>
    <mergeCell ref="B65:E65"/>
    <mergeCell ref="B66:E66"/>
    <mergeCell ref="A67:G67"/>
    <mergeCell ref="A56:G56"/>
    <mergeCell ref="B57:E57"/>
    <mergeCell ref="B58:E58"/>
    <mergeCell ref="B59:E59"/>
    <mergeCell ref="B60:E60"/>
    <mergeCell ref="B61:E61"/>
    <mergeCell ref="B49:E49"/>
    <mergeCell ref="B50:E50"/>
    <mergeCell ref="B51:E51"/>
    <mergeCell ref="A52:G52"/>
    <mergeCell ref="A53:G53"/>
    <mergeCell ref="A54:G54"/>
    <mergeCell ref="B43:E43"/>
    <mergeCell ref="A44:G44"/>
    <mergeCell ref="A45:G45"/>
    <mergeCell ref="B46:E46"/>
    <mergeCell ref="A47:G47"/>
    <mergeCell ref="B48:F48"/>
    <mergeCell ref="B37:E37"/>
    <mergeCell ref="B38:E38"/>
    <mergeCell ref="B39:E39"/>
    <mergeCell ref="B40:E40"/>
    <mergeCell ref="B41:E41"/>
    <mergeCell ref="B42:E42"/>
    <mergeCell ref="B32:E32"/>
    <mergeCell ref="F32:G32"/>
    <mergeCell ref="A33:G33"/>
    <mergeCell ref="B34:E34"/>
    <mergeCell ref="B35:E35"/>
    <mergeCell ref="B36:E36"/>
    <mergeCell ref="B29:E29"/>
    <mergeCell ref="F29:G29"/>
    <mergeCell ref="B30:E30"/>
    <mergeCell ref="F30:G30"/>
    <mergeCell ref="B31:E31"/>
    <mergeCell ref="F31:G31"/>
    <mergeCell ref="A22:G22"/>
    <mergeCell ref="A23:G23"/>
    <mergeCell ref="A25:G25"/>
    <mergeCell ref="A26:G26"/>
    <mergeCell ref="A27:G27"/>
    <mergeCell ref="B28:E28"/>
    <mergeCell ref="F28:G28"/>
    <mergeCell ref="B17:E17"/>
    <mergeCell ref="F17:G17"/>
    <mergeCell ref="A19:G19"/>
    <mergeCell ref="A20:D20"/>
    <mergeCell ref="F20:G20"/>
    <mergeCell ref="A21:D21"/>
    <mergeCell ref="F21:G21"/>
    <mergeCell ref="B15:E15"/>
    <mergeCell ref="F15:G15"/>
    <mergeCell ref="B16:E16"/>
    <mergeCell ref="F16:G16"/>
    <mergeCell ref="A7:G7"/>
    <mergeCell ref="A8:G8"/>
    <mergeCell ref="A9:G9"/>
    <mergeCell ref="A10:G10"/>
    <mergeCell ref="A11:G11"/>
    <mergeCell ref="A12:G12"/>
    <mergeCell ref="A1:G1"/>
    <mergeCell ref="A2:G2"/>
    <mergeCell ref="A3:G3"/>
    <mergeCell ref="A4:G4"/>
    <mergeCell ref="A5:G5"/>
    <mergeCell ref="A6:G6"/>
    <mergeCell ref="A13:G13"/>
    <mergeCell ref="B14:E14"/>
    <mergeCell ref="F14:G14"/>
  </mergeCells>
  <pageMargins left="0.511811024" right="0.511811024" top="0.78740157499999996" bottom="0.78740157499999996" header="0.31496062000000002" footer="0.31496062000000002"/>
  <pageSetup paperSize="9" scale="82" orientation="portrait" horizontalDpi="300" verticalDpi="300" r:id="rId1"/>
  <rowBreaks count="3" manualBreakCount="3">
    <brk id="44" max="16383" man="1"/>
    <brk id="90" max="16383" man="1"/>
    <brk id="134" max="16383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4" tint="0.59999389629810485"/>
  </sheetPr>
  <dimension ref="B1:U31"/>
  <sheetViews>
    <sheetView zoomScaleNormal="100" zoomScaleSheetLayoutView="75" workbookViewId="0">
      <selection activeCell="U25" sqref="U25"/>
    </sheetView>
  </sheetViews>
  <sheetFormatPr defaultColWidth="9.42578125" defaultRowHeight="12.75" x14ac:dyDescent="0.2"/>
  <cols>
    <col min="1" max="1" width="4.140625" style="2" customWidth="1"/>
    <col min="2" max="2" width="4.85546875" style="27" customWidth="1"/>
    <col min="3" max="3" width="41" style="28" customWidth="1"/>
    <col min="4" max="4" width="4.5703125" style="29" customWidth="1"/>
    <col min="5" max="5" width="5.5703125" style="29" customWidth="1"/>
    <col min="6" max="6" width="4.5703125" style="29" customWidth="1"/>
    <col min="7" max="7" width="9.5703125" style="29" customWidth="1"/>
    <col min="8" max="8" width="8.5703125" style="24" customWidth="1"/>
    <col min="9" max="9" width="5.5703125" style="24" customWidth="1"/>
    <col min="10" max="10" width="5.85546875" style="24" customWidth="1"/>
    <col min="11" max="13" width="6" style="24" customWidth="1"/>
    <col min="14" max="16" width="7.5703125" style="24" customWidth="1"/>
    <col min="17" max="18" width="12.140625" style="24" customWidth="1"/>
    <col min="19" max="19" width="9.7109375" style="24" customWidth="1"/>
    <col min="20" max="20" width="11" style="24" customWidth="1"/>
    <col min="21" max="21" width="9.5703125" style="24" customWidth="1"/>
    <col min="22" max="16384" width="9.42578125" style="2"/>
  </cols>
  <sheetData>
    <row r="1" spans="2:21" x14ac:dyDescent="0.2">
      <c r="B1" s="331" t="s">
        <v>0</v>
      </c>
      <c r="C1" s="331"/>
      <c r="D1" s="331"/>
      <c r="E1" s="331"/>
      <c r="F1" s="22"/>
      <c r="G1" s="22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</row>
    <row r="2" spans="2:21" x14ac:dyDescent="0.2">
      <c r="B2" s="331" t="s">
        <v>84</v>
      </c>
      <c r="C2" s="331"/>
      <c r="D2" s="331"/>
      <c r="E2" s="331"/>
      <c r="F2" s="22"/>
      <c r="G2" s="22"/>
      <c r="H2" s="23"/>
      <c r="I2" s="23"/>
      <c r="J2" s="23"/>
      <c r="K2" s="23"/>
      <c r="L2" s="23"/>
      <c r="M2" s="23"/>
      <c r="N2" s="23"/>
      <c r="O2" s="23"/>
      <c r="P2" s="23"/>
      <c r="Q2" s="23"/>
      <c r="R2" s="23"/>
      <c r="S2" s="23"/>
      <c r="T2" s="23"/>
      <c r="U2" s="23"/>
    </row>
    <row r="3" spans="2:21" x14ac:dyDescent="0.2">
      <c r="B3" s="331" t="s">
        <v>85</v>
      </c>
      <c r="C3" s="331"/>
      <c r="D3" s="331"/>
      <c r="E3" s="331"/>
      <c r="F3" s="22"/>
      <c r="G3" s="22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3"/>
      <c r="U3" s="23"/>
    </row>
    <row r="4" spans="2:21" x14ac:dyDescent="0.2">
      <c r="B4" s="331" t="s">
        <v>86</v>
      </c>
      <c r="C4" s="331"/>
      <c r="D4" s="331"/>
      <c r="E4" s="331"/>
      <c r="F4" s="22"/>
      <c r="G4" s="22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</row>
    <row r="5" spans="2:21" x14ac:dyDescent="0.2">
      <c r="B5" s="331" t="s">
        <v>87</v>
      </c>
      <c r="C5" s="331"/>
      <c r="D5" s="331"/>
      <c r="E5" s="331"/>
      <c r="F5" s="22"/>
      <c r="G5" s="22"/>
      <c r="H5" s="23"/>
      <c r="I5" s="23"/>
      <c r="J5" s="23"/>
      <c r="K5" s="23"/>
      <c r="L5" s="23"/>
      <c r="M5" s="23"/>
      <c r="N5" s="23"/>
      <c r="O5" s="23"/>
      <c r="P5" s="23"/>
      <c r="Q5" s="23"/>
      <c r="R5" s="23"/>
      <c r="S5" s="23"/>
      <c r="T5" s="23"/>
      <c r="U5" s="23"/>
    </row>
    <row r="6" spans="2:21" ht="8.25" customHeight="1" thickBot="1" x14ac:dyDescent="0.25">
      <c r="B6" s="328"/>
      <c r="C6" s="328"/>
      <c r="D6" s="328"/>
      <c r="E6" s="328"/>
      <c r="F6" s="328"/>
      <c r="G6" s="328"/>
      <c r="H6" s="328"/>
      <c r="I6" s="328"/>
      <c r="J6" s="328"/>
      <c r="K6" s="328"/>
      <c r="L6" s="328"/>
      <c r="M6" s="328"/>
      <c r="N6" s="328"/>
      <c r="O6" s="328"/>
      <c r="P6" s="328"/>
      <c r="Q6" s="328"/>
      <c r="R6" s="328"/>
      <c r="S6" s="328"/>
      <c r="T6" s="328"/>
      <c r="U6" s="328"/>
    </row>
    <row r="7" spans="2:21" x14ac:dyDescent="0.2">
      <c r="B7" s="322" t="s">
        <v>144</v>
      </c>
      <c r="C7" s="323"/>
      <c r="D7" s="323"/>
      <c r="E7" s="323"/>
      <c r="F7" s="323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4"/>
    </row>
    <row r="8" spans="2:21" x14ac:dyDescent="0.2">
      <c r="B8" s="325" t="s">
        <v>113</v>
      </c>
      <c r="C8" s="326"/>
      <c r="D8" s="326"/>
      <c r="E8" s="326"/>
      <c r="F8" s="326"/>
      <c r="G8" s="326"/>
      <c r="H8" s="326"/>
      <c r="I8" s="326"/>
      <c r="J8" s="326"/>
      <c r="K8" s="326"/>
      <c r="L8" s="326"/>
      <c r="M8" s="326"/>
      <c r="N8" s="326"/>
      <c r="O8" s="326"/>
      <c r="P8" s="326"/>
      <c r="Q8" s="326"/>
      <c r="R8" s="326"/>
      <c r="S8" s="326"/>
      <c r="T8" s="326"/>
      <c r="U8" s="327"/>
    </row>
    <row r="9" spans="2:21" x14ac:dyDescent="0.2">
      <c r="B9" s="332" t="s">
        <v>141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4"/>
    </row>
    <row r="10" spans="2:21" ht="12" customHeight="1" x14ac:dyDescent="0.2">
      <c r="B10" s="335" t="s">
        <v>121</v>
      </c>
      <c r="C10" s="336"/>
      <c r="D10" s="336"/>
      <c r="E10" s="336"/>
      <c r="F10" s="336"/>
      <c r="G10" s="336"/>
      <c r="H10" s="336"/>
      <c r="I10" s="336"/>
      <c r="J10" s="336"/>
      <c r="K10" s="336"/>
      <c r="L10" s="336"/>
      <c r="M10" s="336"/>
      <c r="N10" s="336"/>
      <c r="O10" s="336"/>
      <c r="P10" s="336"/>
      <c r="Q10" s="336"/>
      <c r="R10" s="336"/>
      <c r="S10" s="336"/>
      <c r="T10" s="336"/>
      <c r="U10" s="337"/>
    </row>
    <row r="11" spans="2:21" ht="14.45" customHeight="1" x14ac:dyDescent="0.2">
      <c r="B11" s="338" t="s">
        <v>3</v>
      </c>
      <c r="C11" s="310" t="s">
        <v>122</v>
      </c>
      <c r="D11" s="33"/>
      <c r="E11" s="310" t="s">
        <v>123</v>
      </c>
      <c r="F11" s="310"/>
      <c r="G11" s="310"/>
      <c r="H11" s="310" t="s">
        <v>255</v>
      </c>
      <c r="I11" s="312" t="s">
        <v>217</v>
      </c>
      <c r="J11" s="313"/>
      <c r="K11" s="313"/>
      <c r="L11" s="313"/>
      <c r="M11" s="313"/>
      <c r="N11" s="313"/>
      <c r="O11" s="313"/>
      <c r="P11" s="313"/>
      <c r="Q11" s="313"/>
      <c r="R11" s="313"/>
      <c r="S11" s="314"/>
      <c r="T11" s="340" t="s">
        <v>218</v>
      </c>
      <c r="U11" s="302" t="s">
        <v>124</v>
      </c>
    </row>
    <row r="12" spans="2:21" ht="33.75" customHeight="1" x14ac:dyDescent="0.2">
      <c r="B12" s="338"/>
      <c r="C12" s="310"/>
      <c r="D12" s="310" t="s">
        <v>6</v>
      </c>
      <c r="E12" s="310" t="s">
        <v>125</v>
      </c>
      <c r="F12" s="310" t="s">
        <v>126</v>
      </c>
      <c r="G12" s="310" t="s">
        <v>127</v>
      </c>
      <c r="H12" s="310"/>
      <c r="I12" s="315" t="s">
        <v>216</v>
      </c>
      <c r="J12" s="316"/>
      <c r="K12" s="316"/>
      <c r="L12" s="316"/>
      <c r="M12" s="317"/>
      <c r="N12" s="310" t="s">
        <v>221</v>
      </c>
      <c r="O12" s="310"/>
      <c r="P12" s="310"/>
      <c r="Q12" s="318" t="s">
        <v>246</v>
      </c>
      <c r="R12" s="319"/>
      <c r="S12" s="329" t="s">
        <v>256</v>
      </c>
      <c r="T12" s="341"/>
      <c r="U12" s="303"/>
    </row>
    <row r="13" spans="2:21" ht="18.95" customHeight="1" thickBot="1" x14ac:dyDescent="0.25">
      <c r="B13" s="339"/>
      <c r="C13" s="311"/>
      <c r="D13" s="311"/>
      <c r="E13" s="311"/>
      <c r="F13" s="311"/>
      <c r="G13" s="311"/>
      <c r="H13" s="311"/>
      <c r="I13" s="137" t="s">
        <v>9</v>
      </c>
      <c r="J13" s="137" t="s">
        <v>11</v>
      </c>
      <c r="K13" s="137" t="s">
        <v>14</v>
      </c>
      <c r="L13" s="137" t="s">
        <v>16</v>
      </c>
      <c r="M13" s="137" t="s">
        <v>32</v>
      </c>
      <c r="N13" s="37" t="s">
        <v>128</v>
      </c>
      <c r="O13" s="140" t="s">
        <v>129</v>
      </c>
      <c r="P13" s="140" t="s">
        <v>130</v>
      </c>
      <c r="Q13" s="320"/>
      <c r="R13" s="321"/>
      <c r="S13" s="330"/>
      <c r="T13" s="342"/>
      <c r="U13" s="304"/>
    </row>
    <row r="14" spans="2:21" ht="42" customHeight="1" thickBot="1" x14ac:dyDescent="0.25">
      <c r="B14" s="32">
        <v>1</v>
      </c>
      <c r="C14" s="35" t="s">
        <v>225</v>
      </c>
      <c r="D14" s="135" t="s">
        <v>90</v>
      </c>
      <c r="E14" s="36">
        <v>2</v>
      </c>
      <c r="F14" s="36">
        <v>2</v>
      </c>
      <c r="G14" s="36">
        <v>4</v>
      </c>
      <c r="H14" s="36">
        <f t="shared" ref="H14:H22" si="0">G14*28</f>
        <v>112</v>
      </c>
      <c r="I14" s="160">
        <v>50</v>
      </c>
      <c r="J14" s="138"/>
      <c r="K14" s="138">
        <v>220</v>
      </c>
      <c r="L14" s="138"/>
      <c r="M14" s="138">
        <v>244.77</v>
      </c>
      <c r="N14" s="128"/>
      <c r="O14" s="129"/>
      <c r="P14" s="129"/>
      <c r="Q14" s="129">
        <v>137.06</v>
      </c>
      <c r="R14" s="129">
        <v>171.23</v>
      </c>
      <c r="S14" s="158">
        <v>55</v>
      </c>
      <c r="T14" s="129">
        <f>AVERAGE(K14,M14)</f>
        <v>232.38499999999999</v>
      </c>
      <c r="U14" s="129">
        <f t="shared" ref="U14:U22" si="1">H14*T14</f>
        <v>26027.119999999999</v>
      </c>
    </row>
    <row r="15" spans="2:21" ht="41.1" customHeight="1" x14ac:dyDescent="0.2">
      <c r="B15" s="32">
        <v>2</v>
      </c>
      <c r="C15" s="35" t="s">
        <v>226</v>
      </c>
      <c r="D15" s="135" t="s">
        <v>90</v>
      </c>
      <c r="E15" s="36">
        <v>3</v>
      </c>
      <c r="F15" s="36">
        <v>3</v>
      </c>
      <c r="G15" s="36">
        <v>6</v>
      </c>
      <c r="H15" s="36">
        <f t="shared" si="0"/>
        <v>168</v>
      </c>
      <c r="I15" s="160">
        <v>50</v>
      </c>
      <c r="J15" s="138">
        <v>133.25</v>
      </c>
      <c r="K15" s="138"/>
      <c r="L15" s="138">
        <v>111.53</v>
      </c>
      <c r="M15" s="138">
        <v>85</v>
      </c>
      <c r="N15" s="128"/>
      <c r="O15" s="128"/>
      <c r="P15" s="128"/>
      <c r="Q15" s="128">
        <v>79.97</v>
      </c>
      <c r="R15" s="128">
        <v>69.760000000000005</v>
      </c>
      <c r="S15" s="159">
        <v>21</v>
      </c>
      <c r="T15" s="129">
        <f>AVERAGE(J15,L15)</f>
        <v>122.39</v>
      </c>
      <c r="U15" s="129">
        <f t="shared" si="1"/>
        <v>20561.52</v>
      </c>
    </row>
    <row r="16" spans="2:21" ht="54.75" customHeight="1" x14ac:dyDescent="0.2">
      <c r="B16" s="32">
        <v>2</v>
      </c>
      <c r="C16" s="31" t="s">
        <v>215</v>
      </c>
      <c r="D16" s="32" t="s">
        <v>90</v>
      </c>
      <c r="E16" s="30">
        <v>5</v>
      </c>
      <c r="F16" s="30">
        <v>5</v>
      </c>
      <c r="G16" s="30">
        <v>10</v>
      </c>
      <c r="H16" s="36">
        <f t="shared" si="0"/>
        <v>280</v>
      </c>
      <c r="I16" s="160">
        <v>50</v>
      </c>
      <c r="J16" s="139">
        <v>150.79</v>
      </c>
      <c r="K16" s="161">
        <v>47.9</v>
      </c>
      <c r="L16" s="129">
        <v>66.53</v>
      </c>
      <c r="M16" s="129">
        <v>80</v>
      </c>
      <c r="N16" s="128">
        <v>76.5</v>
      </c>
      <c r="O16" s="129"/>
      <c r="P16" s="129"/>
      <c r="Q16" s="129">
        <v>81.03</v>
      </c>
      <c r="R16" s="129">
        <v>77.2</v>
      </c>
      <c r="S16" s="158">
        <v>15.5</v>
      </c>
      <c r="T16" s="129">
        <f>AVERAGE(J16,M16,Q16)</f>
        <v>103.94</v>
      </c>
      <c r="U16" s="129">
        <f t="shared" si="1"/>
        <v>29103.200000000001</v>
      </c>
    </row>
    <row r="17" spans="2:21" ht="36" x14ac:dyDescent="0.2">
      <c r="B17" s="32">
        <v>3</v>
      </c>
      <c r="C17" s="31" t="s">
        <v>132</v>
      </c>
      <c r="D17" s="32" t="s">
        <v>89</v>
      </c>
      <c r="E17" s="30">
        <v>2</v>
      </c>
      <c r="F17" s="30">
        <v>2</v>
      </c>
      <c r="G17" s="30">
        <v>4</v>
      </c>
      <c r="H17" s="36">
        <f t="shared" si="0"/>
        <v>112</v>
      </c>
      <c r="I17" s="162">
        <v>50</v>
      </c>
      <c r="J17" s="139"/>
      <c r="K17" s="129">
        <v>74.989999999999995</v>
      </c>
      <c r="L17" s="129">
        <v>137.31</v>
      </c>
      <c r="M17" s="129"/>
      <c r="N17" s="129"/>
      <c r="O17" s="129"/>
      <c r="P17" s="129"/>
      <c r="Q17" s="129">
        <v>93.62</v>
      </c>
      <c r="R17" s="129">
        <v>77.510000000000005</v>
      </c>
      <c r="S17" s="158">
        <v>10.199999999999999</v>
      </c>
      <c r="T17" s="129">
        <f>AVERAGE(I17:R17)</f>
        <v>86.686000000000007</v>
      </c>
      <c r="U17" s="129">
        <f t="shared" si="1"/>
        <v>9708.8320000000003</v>
      </c>
    </row>
    <row r="18" spans="2:21" ht="35.25" customHeight="1" x14ac:dyDescent="0.2">
      <c r="B18" s="32">
        <v>4</v>
      </c>
      <c r="C18" s="31" t="s">
        <v>131</v>
      </c>
      <c r="D18" s="32" t="s">
        <v>90</v>
      </c>
      <c r="E18" s="30">
        <v>2</v>
      </c>
      <c r="F18" s="30">
        <v>2</v>
      </c>
      <c r="G18" s="30">
        <v>4</v>
      </c>
      <c r="H18" s="36">
        <f t="shared" si="0"/>
        <v>112</v>
      </c>
      <c r="I18" s="138">
        <v>15</v>
      </c>
      <c r="J18" s="138"/>
      <c r="K18" s="129">
        <v>41</v>
      </c>
      <c r="L18" s="129"/>
      <c r="M18" s="129"/>
      <c r="N18" s="129"/>
      <c r="O18" s="129"/>
      <c r="P18" s="129"/>
      <c r="Q18" s="129">
        <v>35.549999999999997</v>
      </c>
      <c r="R18" s="129">
        <v>25.71</v>
      </c>
      <c r="S18" s="158">
        <v>5.15</v>
      </c>
      <c r="T18" s="129">
        <f>AVERAGE(K18,Q18,R18)</f>
        <v>34.086666666666666</v>
      </c>
      <c r="U18" s="129">
        <f t="shared" si="1"/>
        <v>3817.7066666666665</v>
      </c>
    </row>
    <row r="19" spans="2:21" ht="24" x14ac:dyDescent="0.2">
      <c r="B19" s="32">
        <v>5</v>
      </c>
      <c r="C19" s="31" t="s">
        <v>134</v>
      </c>
      <c r="D19" s="32" t="s">
        <v>90</v>
      </c>
      <c r="E19" s="30">
        <v>1</v>
      </c>
      <c r="F19" s="30">
        <v>1</v>
      </c>
      <c r="G19" s="30">
        <v>2</v>
      </c>
      <c r="H19" s="36">
        <f t="shared" si="0"/>
        <v>56</v>
      </c>
      <c r="I19" s="139"/>
      <c r="J19" s="139"/>
      <c r="K19" s="129">
        <v>73.5</v>
      </c>
      <c r="L19" s="129"/>
      <c r="M19" s="129"/>
      <c r="N19" s="129"/>
      <c r="O19" s="129"/>
      <c r="P19" s="129"/>
      <c r="Q19" s="129">
        <v>85.88</v>
      </c>
      <c r="R19" s="129">
        <v>50.81</v>
      </c>
      <c r="S19" s="158">
        <v>5.0599999999999996</v>
      </c>
      <c r="T19" s="129">
        <f>AVERAGE(K19,Q19)</f>
        <v>79.69</v>
      </c>
      <c r="U19" s="129">
        <f t="shared" si="1"/>
        <v>4462.6399999999994</v>
      </c>
    </row>
    <row r="20" spans="2:21" ht="24" customHeight="1" x14ac:dyDescent="0.2">
      <c r="B20" s="32">
        <v>6</v>
      </c>
      <c r="C20" s="31" t="s">
        <v>133</v>
      </c>
      <c r="D20" s="32" t="s">
        <v>89</v>
      </c>
      <c r="E20" s="30">
        <v>4</v>
      </c>
      <c r="F20" s="30">
        <v>4</v>
      </c>
      <c r="G20" s="30">
        <v>8</v>
      </c>
      <c r="H20" s="36">
        <f t="shared" si="0"/>
        <v>224</v>
      </c>
      <c r="I20" s="139">
        <v>4.5</v>
      </c>
      <c r="J20" s="162">
        <v>2</v>
      </c>
      <c r="K20" s="129">
        <v>8</v>
      </c>
      <c r="L20" s="129">
        <v>9.2200000000000006</v>
      </c>
      <c r="M20" s="129"/>
      <c r="N20" s="129">
        <v>5</v>
      </c>
      <c r="O20" s="129"/>
      <c r="P20" s="129"/>
      <c r="Q20" s="129">
        <v>12.41</v>
      </c>
      <c r="R20" s="129"/>
      <c r="S20" s="158">
        <v>5.0999999999999996</v>
      </c>
      <c r="T20" s="129">
        <f>AVERAGE(K20,L20,Q20)</f>
        <v>9.8766666666666669</v>
      </c>
      <c r="U20" s="129">
        <f t="shared" si="1"/>
        <v>2212.3733333333334</v>
      </c>
    </row>
    <row r="21" spans="2:21" x14ac:dyDescent="0.2">
      <c r="B21" s="32">
        <v>7</v>
      </c>
      <c r="C21" s="31" t="s">
        <v>213</v>
      </c>
      <c r="D21" s="32" t="s">
        <v>90</v>
      </c>
      <c r="E21" s="30">
        <v>1</v>
      </c>
      <c r="F21" s="30">
        <v>1</v>
      </c>
      <c r="G21" s="30">
        <v>2</v>
      </c>
      <c r="H21" s="36">
        <f t="shared" si="0"/>
        <v>56</v>
      </c>
      <c r="I21" s="139"/>
      <c r="J21" s="139">
        <v>28.38</v>
      </c>
      <c r="K21" s="139"/>
      <c r="L21" s="139"/>
      <c r="M21" s="139">
        <v>43</v>
      </c>
      <c r="N21" s="129"/>
      <c r="O21" s="129"/>
      <c r="P21" s="129"/>
      <c r="Q21" s="129">
        <v>33.409999999999997</v>
      </c>
      <c r="R21" s="129"/>
      <c r="S21" s="158">
        <v>8</v>
      </c>
      <c r="T21" s="129">
        <f>AVERAGE(J21,M21,Q21)</f>
        <v>34.93</v>
      </c>
      <c r="U21" s="129">
        <f t="shared" si="1"/>
        <v>1956.08</v>
      </c>
    </row>
    <row r="22" spans="2:21" x14ac:dyDescent="0.2">
      <c r="B22" s="32">
        <v>8</v>
      </c>
      <c r="C22" s="31" t="s">
        <v>214</v>
      </c>
      <c r="D22" s="32" t="s">
        <v>90</v>
      </c>
      <c r="E22" s="30">
        <v>1</v>
      </c>
      <c r="F22" s="30">
        <v>0</v>
      </c>
      <c r="G22" s="30">
        <v>1</v>
      </c>
      <c r="H22" s="36">
        <f t="shared" si="0"/>
        <v>28</v>
      </c>
      <c r="I22" s="139"/>
      <c r="J22" s="139">
        <v>9.56</v>
      </c>
      <c r="K22" s="139"/>
      <c r="L22" s="139"/>
      <c r="M22" s="139"/>
      <c r="N22" s="129">
        <v>6</v>
      </c>
      <c r="O22" s="129"/>
      <c r="P22" s="129"/>
      <c r="Q22" s="129">
        <v>7.27</v>
      </c>
      <c r="R22" s="129"/>
      <c r="S22" s="158">
        <v>2.8</v>
      </c>
      <c r="T22" s="129">
        <f>AVERAGE(J22,N22,Q22)</f>
        <v>7.6099999999999994</v>
      </c>
      <c r="U22" s="129">
        <f t="shared" si="1"/>
        <v>213.07999999999998</v>
      </c>
    </row>
    <row r="23" spans="2:21" x14ac:dyDescent="0.2">
      <c r="B23" s="34"/>
      <c r="C23" s="305" t="s">
        <v>142</v>
      </c>
      <c r="D23" s="305"/>
      <c r="E23" s="305"/>
      <c r="F23" s="305"/>
      <c r="G23" s="305"/>
      <c r="H23" s="305"/>
      <c r="I23" s="305"/>
      <c r="J23" s="305"/>
      <c r="K23" s="305"/>
      <c r="L23" s="305"/>
      <c r="M23" s="305"/>
      <c r="N23" s="305"/>
      <c r="O23" s="305"/>
      <c r="P23" s="305"/>
      <c r="Q23" s="305"/>
      <c r="R23" s="305"/>
      <c r="S23" s="305"/>
      <c r="T23" s="305"/>
      <c r="U23" s="146">
        <f>SUM(U14:U22)</f>
        <v>98062.551999999996</v>
      </c>
    </row>
    <row r="24" spans="2:21" x14ac:dyDescent="0.2">
      <c r="B24" s="306" t="s">
        <v>135</v>
      </c>
      <c r="C24" s="307"/>
      <c r="D24" s="307"/>
      <c r="E24" s="307"/>
      <c r="F24" s="307"/>
      <c r="G24" s="307"/>
      <c r="H24" s="307"/>
      <c r="I24" s="307"/>
      <c r="J24" s="307"/>
      <c r="K24" s="307"/>
      <c r="L24" s="307"/>
      <c r="M24" s="307"/>
      <c r="N24" s="307"/>
      <c r="O24" s="307"/>
      <c r="P24" s="307"/>
      <c r="Q24" s="307"/>
      <c r="R24" s="307"/>
      <c r="S24" s="307"/>
      <c r="T24" s="307"/>
      <c r="U24" s="141">
        <f>U23/12/28</f>
        <v>291.85283333333331</v>
      </c>
    </row>
    <row r="25" spans="2:21" ht="13.5" thickBot="1" x14ac:dyDescent="0.25">
      <c r="B25" s="308" t="s">
        <v>143</v>
      </c>
      <c r="C25" s="309"/>
      <c r="D25" s="309"/>
      <c r="E25" s="309"/>
      <c r="F25" s="309"/>
      <c r="G25" s="309"/>
      <c r="H25" s="309"/>
      <c r="I25" s="309"/>
      <c r="J25" s="309"/>
      <c r="K25" s="309"/>
      <c r="L25" s="309"/>
      <c r="M25" s="309"/>
      <c r="N25" s="309"/>
      <c r="O25" s="309"/>
      <c r="P25" s="309"/>
      <c r="Q25" s="309"/>
      <c r="R25" s="309"/>
      <c r="S25" s="309"/>
      <c r="T25" s="309"/>
      <c r="U25" s="142">
        <f>U24*12</f>
        <v>3502.2339999999995</v>
      </c>
    </row>
    <row r="26" spans="2:21" x14ac:dyDescent="0.2">
      <c r="B26" s="25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</row>
    <row r="27" spans="2:21" x14ac:dyDescent="0.2">
      <c r="B27" s="132" t="s">
        <v>222</v>
      </c>
      <c r="C27" s="133" t="s">
        <v>223</v>
      </c>
      <c r="D27" s="133"/>
      <c r="E27" s="133"/>
      <c r="F27" s="133"/>
      <c r="G27" s="133"/>
      <c r="H27" s="133"/>
      <c r="I27" s="133"/>
      <c r="J27" s="133"/>
      <c r="K27" s="133"/>
      <c r="L27" s="133"/>
      <c r="M27" s="133"/>
      <c r="N27" s="133"/>
      <c r="O27" s="133"/>
      <c r="P27" s="133"/>
      <c r="Q27" s="133"/>
      <c r="R27" s="133"/>
      <c r="S27" s="133"/>
      <c r="T27" s="133"/>
      <c r="U27" s="133"/>
    </row>
    <row r="28" spans="2:21" x14ac:dyDescent="0.2">
      <c r="B28" s="132" t="s">
        <v>11</v>
      </c>
      <c r="C28" s="133" t="s">
        <v>224</v>
      </c>
      <c r="D28" s="133"/>
      <c r="E28" s="133"/>
      <c r="F28" s="133"/>
      <c r="G28" s="133"/>
      <c r="H28" s="133"/>
      <c r="I28" s="133"/>
      <c r="J28" s="133"/>
      <c r="K28" s="133"/>
      <c r="L28" s="133"/>
      <c r="M28" s="133"/>
      <c r="N28" s="133"/>
      <c r="O28" s="133"/>
      <c r="P28" s="133"/>
      <c r="Q28" s="133"/>
      <c r="R28" s="133"/>
      <c r="S28" s="133"/>
      <c r="T28" s="133"/>
      <c r="U28" s="133"/>
    </row>
    <row r="29" spans="2:21" x14ac:dyDescent="0.2">
      <c r="B29" s="22" t="s">
        <v>14</v>
      </c>
      <c r="C29" s="134" t="s">
        <v>227</v>
      </c>
      <c r="D29" s="22"/>
      <c r="E29" s="22"/>
      <c r="F29" s="22"/>
      <c r="G29" s="22"/>
      <c r="H29" s="23"/>
      <c r="I29" s="23"/>
      <c r="J29" s="23"/>
      <c r="K29" s="23"/>
      <c r="L29" s="23"/>
      <c r="M29" s="23"/>
      <c r="N29" s="23"/>
      <c r="O29" s="23"/>
      <c r="P29" s="23"/>
      <c r="Q29" s="23"/>
      <c r="R29" s="23"/>
      <c r="S29" s="23"/>
      <c r="T29" s="23"/>
      <c r="U29" s="23"/>
    </row>
    <row r="30" spans="2:21" x14ac:dyDescent="0.2">
      <c r="B30" s="22" t="s">
        <v>228</v>
      </c>
      <c r="C30" s="134" t="s">
        <v>229</v>
      </c>
      <c r="D30" s="22"/>
      <c r="E30" s="22"/>
      <c r="F30" s="22"/>
      <c r="G30" s="22"/>
      <c r="H30" s="23"/>
      <c r="I30" s="23"/>
      <c r="J30" s="23"/>
      <c r="K30" s="23"/>
      <c r="L30" s="23"/>
      <c r="M30" s="23"/>
      <c r="N30" s="23"/>
      <c r="O30" s="23"/>
      <c r="P30" s="23"/>
      <c r="Q30" s="23"/>
      <c r="R30" s="23"/>
      <c r="S30" s="23"/>
      <c r="T30" s="23"/>
      <c r="U30" s="23"/>
    </row>
    <row r="31" spans="2:21" x14ac:dyDescent="0.2">
      <c r="B31" s="22"/>
      <c r="C31" s="134"/>
      <c r="D31" s="22"/>
      <c r="E31" s="22"/>
      <c r="F31" s="22"/>
      <c r="G31" s="22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</row>
  </sheetData>
  <mergeCells count="28">
    <mergeCell ref="B7:U7"/>
    <mergeCell ref="B8:U8"/>
    <mergeCell ref="B6:U6"/>
    <mergeCell ref="S12:S13"/>
    <mergeCell ref="B1:E1"/>
    <mergeCell ref="B2:E2"/>
    <mergeCell ref="B3:E3"/>
    <mergeCell ref="B4:E4"/>
    <mergeCell ref="B5:E5"/>
    <mergeCell ref="B9:U9"/>
    <mergeCell ref="B10:U10"/>
    <mergeCell ref="B11:B13"/>
    <mergeCell ref="C11:C13"/>
    <mergeCell ref="E11:G11"/>
    <mergeCell ref="H11:H13"/>
    <mergeCell ref="T11:T13"/>
    <mergeCell ref="U11:U13"/>
    <mergeCell ref="C23:T23"/>
    <mergeCell ref="B24:T24"/>
    <mergeCell ref="B25:T25"/>
    <mergeCell ref="D12:D13"/>
    <mergeCell ref="E12:E13"/>
    <mergeCell ref="F12:F13"/>
    <mergeCell ref="G12:G13"/>
    <mergeCell ref="N12:P12"/>
    <mergeCell ref="I11:S11"/>
    <mergeCell ref="I12:M12"/>
    <mergeCell ref="Q12:R13"/>
  </mergeCells>
  <pageMargins left="0.78740157480314965" right="0.78740157480314965" top="0.59055118110236227" bottom="0.59055118110236227" header="0.11811023622047245" footer="0.11811023622047245"/>
  <pageSetup paperSize="9" scale="9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theme="4" tint="0.59999389629810485"/>
  </sheetPr>
  <dimension ref="A1:N20"/>
  <sheetViews>
    <sheetView zoomScale="110" zoomScaleNormal="110" workbookViewId="0">
      <selection activeCell="O22" sqref="O22"/>
    </sheetView>
  </sheetViews>
  <sheetFormatPr defaultRowHeight="15" x14ac:dyDescent="0.25"/>
  <cols>
    <col min="1" max="1" width="5.140625" style="7" bestFit="1" customWidth="1"/>
    <col min="2" max="2" width="60.42578125" customWidth="1"/>
    <col min="3" max="3" width="5.5703125" style="7" customWidth="1"/>
    <col min="4" max="4" width="6.85546875" style="7" customWidth="1"/>
    <col min="5" max="5" width="8" style="8" bestFit="1" customWidth="1"/>
    <col min="6" max="11" width="10.28515625" style="8" customWidth="1"/>
    <col min="12" max="13" width="11.85546875" style="9" customWidth="1"/>
    <col min="14" max="14" width="7.85546875" customWidth="1"/>
  </cols>
  <sheetData>
    <row r="1" spans="1:14" ht="12.75" customHeight="1" x14ac:dyDescent="0.25">
      <c r="A1" s="331" t="s">
        <v>0</v>
      </c>
      <c r="B1" s="331"/>
      <c r="C1" s="331"/>
      <c r="D1" s="331"/>
      <c r="E1" s="19"/>
      <c r="F1" s="19"/>
      <c r="G1" s="19"/>
      <c r="H1" s="19"/>
      <c r="I1" s="19"/>
      <c r="J1" s="19"/>
      <c r="K1" s="19"/>
      <c r="L1" s="20"/>
      <c r="M1" s="20"/>
      <c r="N1" s="21"/>
    </row>
    <row r="2" spans="1:14" ht="11.25" customHeight="1" x14ac:dyDescent="0.25">
      <c r="A2" s="331" t="s">
        <v>84</v>
      </c>
      <c r="B2" s="331"/>
      <c r="C2" s="331"/>
      <c r="D2" s="331"/>
      <c r="E2" s="19"/>
      <c r="F2" s="19"/>
      <c r="G2" s="19"/>
      <c r="H2" s="19"/>
      <c r="I2" s="19"/>
      <c r="J2" s="19"/>
      <c r="K2" s="19"/>
      <c r="L2" s="20"/>
      <c r="M2" s="20"/>
      <c r="N2" s="21"/>
    </row>
    <row r="3" spans="1:14" ht="11.25" customHeight="1" x14ac:dyDescent="0.25">
      <c r="A3" s="331" t="s">
        <v>85</v>
      </c>
      <c r="B3" s="331"/>
      <c r="C3" s="331"/>
      <c r="D3" s="331"/>
      <c r="E3" s="19"/>
      <c r="F3" s="19"/>
      <c r="G3" s="19"/>
      <c r="H3" s="19"/>
      <c r="I3" s="19"/>
      <c r="J3" s="19"/>
      <c r="K3" s="19"/>
      <c r="L3" s="20"/>
      <c r="M3" s="20"/>
      <c r="N3" s="21"/>
    </row>
    <row r="4" spans="1:14" ht="10.5" customHeight="1" x14ac:dyDescent="0.25">
      <c r="A4" s="331" t="s">
        <v>86</v>
      </c>
      <c r="B4" s="331"/>
      <c r="C4" s="331"/>
      <c r="D4" s="331"/>
      <c r="E4" s="19"/>
      <c r="F4" s="19"/>
      <c r="G4" s="19"/>
      <c r="H4" s="19"/>
      <c r="I4" s="19"/>
      <c r="J4" s="19"/>
      <c r="K4" s="19"/>
      <c r="L4" s="20"/>
      <c r="M4" s="20"/>
      <c r="N4" s="21"/>
    </row>
    <row r="5" spans="1:14" ht="10.5" customHeight="1" x14ac:dyDescent="0.25">
      <c r="A5" s="331" t="s">
        <v>87</v>
      </c>
      <c r="B5" s="331"/>
      <c r="C5" s="331"/>
      <c r="D5" s="331"/>
      <c r="E5" s="19"/>
      <c r="F5" s="19"/>
      <c r="G5" s="19"/>
      <c r="H5" s="19"/>
      <c r="I5" s="19"/>
      <c r="J5" s="19"/>
      <c r="K5" s="19"/>
      <c r="L5" s="20"/>
      <c r="M5" s="20"/>
      <c r="N5" s="21"/>
    </row>
    <row r="6" spans="1:14" ht="11.25" customHeight="1" thickBot="1" x14ac:dyDescent="0.3">
      <c r="A6" s="343"/>
      <c r="B6" s="343"/>
      <c r="C6" s="343"/>
      <c r="D6" s="343"/>
      <c r="E6" s="343"/>
      <c r="F6" s="343"/>
      <c r="G6" s="343"/>
      <c r="H6" s="343"/>
      <c r="I6" s="343"/>
      <c r="J6" s="343"/>
      <c r="K6" s="343"/>
      <c r="L6" s="343"/>
      <c r="M6" s="343"/>
      <c r="N6" s="343"/>
    </row>
    <row r="7" spans="1:14" x14ac:dyDescent="0.25">
      <c r="A7" s="347" t="s">
        <v>144</v>
      </c>
      <c r="B7" s="348"/>
      <c r="C7" s="348"/>
      <c r="D7" s="348"/>
      <c r="E7" s="348"/>
      <c r="F7" s="348"/>
      <c r="G7" s="348"/>
      <c r="H7" s="348"/>
      <c r="I7" s="348"/>
      <c r="J7" s="348"/>
      <c r="K7" s="348"/>
      <c r="L7" s="348"/>
      <c r="M7" s="348"/>
      <c r="N7" s="349"/>
    </row>
    <row r="8" spans="1:14" ht="30.95" customHeight="1" x14ac:dyDescent="0.25">
      <c r="A8" s="350" t="s">
        <v>113</v>
      </c>
      <c r="B8" s="276"/>
      <c r="C8" s="276"/>
      <c r="D8" s="276"/>
      <c r="E8" s="276"/>
      <c r="F8" s="276"/>
      <c r="G8" s="276"/>
      <c r="H8" s="276"/>
      <c r="I8" s="276"/>
      <c r="J8" s="276"/>
      <c r="K8" s="276"/>
      <c r="L8" s="276"/>
      <c r="M8" s="276"/>
      <c r="N8" s="351"/>
    </row>
    <row r="9" spans="1:14" x14ac:dyDescent="0.25">
      <c r="A9" s="306" t="s">
        <v>147</v>
      </c>
      <c r="B9" s="307"/>
      <c r="C9" s="307"/>
      <c r="D9" s="307"/>
      <c r="E9" s="307"/>
      <c r="F9" s="307"/>
      <c r="G9" s="307"/>
      <c r="H9" s="307"/>
      <c r="I9" s="307"/>
      <c r="J9" s="307"/>
      <c r="K9" s="307"/>
      <c r="L9" s="307"/>
      <c r="M9" s="352"/>
      <c r="N9" s="353"/>
    </row>
    <row r="10" spans="1:14" ht="12" customHeight="1" x14ac:dyDescent="0.25">
      <c r="A10" s="307" t="s">
        <v>3</v>
      </c>
      <c r="B10" s="307" t="s">
        <v>122</v>
      </c>
      <c r="C10" s="307" t="s">
        <v>6</v>
      </c>
      <c r="D10" s="307" t="s">
        <v>117</v>
      </c>
      <c r="E10" s="307"/>
      <c r="F10" s="167"/>
      <c r="G10" s="167"/>
      <c r="H10" s="167"/>
      <c r="I10" s="167"/>
      <c r="J10" s="167"/>
      <c r="K10" s="167"/>
      <c r="L10" s="307" t="s">
        <v>121</v>
      </c>
      <c r="M10" s="307"/>
      <c r="N10" s="307"/>
    </row>
    <row r="11" spans="1:14" ht="9.9499999999999993" customHeight="1" x14ac:dyDescent="0.25">
      <c r="A11" s="307"/>
      <c r="B11" s="307"/>
      <c r="C11" s="307"/>
      <c r="D11" s="307"/>
      <c r="E11" s="307"/>
      <c r="F11" s="167"/>
      <c r="G11" s="167"/>
      <c r="H11" s="167"/>
      <c r="I11" s="167"/>
      <c r="J11" s="167"/>
      <c r="K11" s="167"/>
      <c r="L11" s="344" t="s">
        <v>236</v>
      </c>
      <c r="M11" s="344" t="s">
        <v>258</v>
      </c>
      <c r="N11" s="344" t="s">
        <v>266</v>
      </c>
    </row>
    <row r="12" spans="1:14" ht="65.25" customHeight="1" x14ac:dyDescent="0.25">
      <c r="A12" s="307"/>
      <c r="B12" s="307"/>
      <c r="C12" s="307"/>
      <c r="D12" s="125" t="s">
        <v>136</v>
      </c>
      <c r="E12" s="125" t="s">
        <v>114</v>
      </c>
      <c r="F12" s="168" t="s">
        <v>257</v>
      </c>
      <c r="G12" s="168" t="s">
        <v>261</v>
      </c>
      <c r="H12" s="168" t="s">
        <v>262</v>
      </c>
      <c r="I12" s="168" t="s">
        <v>263</v>
      </c>
      <c r="J12" s="168" t="s">
        <v>264</v>
      </c>
      <c r="K12" s="168" t="s">
        <v>269</v>
      </c>
      <c r="L12" s="344"/>
      <c r="M12" s="344"/>
      <c r="N12" s="344"/>
    </row>
    <row r="13" spans="1:14" ht="31.5" customHeight="1" x14ac:dyDescent="0.25">
      <c r="A13" s="147">
        <v>1</v>
      </c>
      <c r="B13" s="171" t="s">
        <v>137</v>
      </c>
      <c r="C13" s="172" t="s">
        <v>90</v>
      </c>
      <c r="D13" s="177">
        <v>1</v>
      </c>
      <c r="E13" s="177">
        <v>12</v>
      </c>
      <c r="F13" s="172">
        <v>11.99</v>
      </c>
      <c r="G13" s="172">
        <v>8.9</v>
      </c>
      <c r="H13" s="172">
        <v>11.5</v>
      </c>
      <c r="I13" s="172">
        <v>36.9</v>
      </c>
      <c r="J13" s="172">
        <v>35.53</v>
      </c>
      <c r="K13" s="172">
        <v>15.3</v>
      </c>
      <c r="L13" s="173">
        <v>36.22</v>
      </c>
      <c r="M13" s="173">
        <f>AVERAGE(I13,J13,L13)</f>
        <v>36.216666666666669</v>
      </c>
      <c r="N13" s="136">
        <f>M13*E13</f>
        <v>434.6</v>
      </c>
    </row>
    <row r="14" spans="1:14" ht="13.5" customHeight="1" x14ac:dyDescent="0.25">
      <c r="A14" s="147">
        <v>2</v>
      </c>
      <c r="B14" s="174" t="s">
        <v>148</v>
      </c>
      <c r="C14" s="175" t="s">
        <v>149</v>
      </c>
      <c r="D14" s="177">
        <v>0.5</v>
      </c>
      <c r="E14" s="177">
        <v>6</v>
      </c>
      <c r="F14" s="172"/>
      <c r="G14" s="172"/>
      <c r="H14" s="172"/>
      <c r="I14" s="172"/>
      <c r="J14" s="172">
        <v>52.02</v>
      </c>
      <c r="K14" s="172">
        <v>46</v>
      </c>
      <c r="L14" s="173">
        <v>55.03</v>
      </c>
      <c r="M14" s="173">
        <f>AVERAGE(J14:L14)</f>
        <v>51.016666666666673</v>
      </c>
      <c r="N14" s="136">
        <f t="shared" ref="N14:N16" si="0">M14*E14</f>
        <v>306.10000000000002</v>
      </c>
    </row>
    <row r="15" spans="1:14" ht="13.5" customHeight="1" x14ac:dyDescent="0.25">
      <c r="A15" s="147">
        <v>3</v>
      </c>
      <c r="B15" s="174" t="s">
        <v>151</v>
      </c>
      <c r="C15" s="175" t="s">
        <v>90</v>
      </c>
      <c r="D15" s="177">
        <v>2</v>
      </c>
      <c r="E15" s="177">
        <v>24</v>
      </c>
      <c r="F15" s="172"/>
      <c r="G15" s="172"/>
      <c r="H15" s="172"/>
      <c r="I15" s="172"/>
      <c r="J15" s="172">
        <v>9</v>
      </c>
      <c r="K15" s="172">
        <v>8.9</v>
      </c>
      <c r="L15" s="173">
        <v>9.6</v>
      </c>
      <c r="M15" s="173">
        <f>AVERAGE(J15:L15)</f>
        <v>9.1666666666666661</v>
      </c>
      <c r="N15" s="136">
        <f t="shared" si="0"/>
        <v>220</v>
      </c>
    </row>
    <row r="16" spans="1:14" x14ac:dyDescent="0.25">
      <c r="A16" s="147">
        <v>4</v>
      </c>
      <c r="B16" s="174" t="s">
        <v>150</v>
      </c>
      <c r="C16" s="175" t="s">
        <v>90</v>
      </c>
      <c r="D16" s="177">
        <v>10</v>
      </c>
      <c r="E16" s="177">
        <v>120</v>
      </c>
      <c r="F16" s="172"/>
      <c r="G16" s="172"/>
      <c r="H16" s="172"/>
      <c r="I16" s="172"/>
      <c r="J16" s="172">
        <v>8.1</v>
      </c>
      <c r="K16" s="172"/>
      <c r="L16" s="173">
        <v>4.63</v>
      </c>
      <c r="M16" s="173">
        <f>AVERAGE(J16:L16)</f>
        <v>6.3650000000000002</v>
      </c>
      <c r="N16" s="136">
        <f t="shared" si="0"/>
        <v>763.80000000000007</v>
      </c>
    </row>
    <row r="17" spans="1:14" x14ac:dyDescent="0.25">
      <c r="A17" s="148"/>
      <c r="B17" s="345" t="s">
        <v>138</v>
      </c>
      <c r="C17" s="345"/>
      <c r="D17" s="345"/>
      <c r="E17" s="345"/>
      <c r="F17" s="345"/>
      <c r="G17" s="345"/>
      <c r="H17" s="345"/>
      <c r="I17" s="345"/>
      <c r="J17" s="345"/>
      <c r="K17" s="345"/>
      <c r="L17" s="345"/>
      <c r="M17" s="176"/>
      <c r="N17" s="136">
        <f>SUM(N13:N16)</f>
        <v>1724.5</v>
      </c>
    </row>
    <row r="18" spans="1:14" x14ac:dyDescent="0.25">
      <c r="A18" s="346" t="s">
        <v>135</v>
      </c>
      <c r="B18" s="346"/>
      <c r="C18" s="346"/>
      <c r="D18" s="346"/>
      <c r="E18" s="346"/>
      <c r="F18" s="346"/>
      <c r="G18" s="346"/>
      <c r="H18" s="346"/>
      <c r="I18" s="346"/>
      <c r="J18" s="346"/>
      <c r="K18" s="346"/>
      <c r="L18" s="346"/>
      <c r="M18" s="169"/>
      <c r="N18" s="149">
        <f>N17/12/28</f>
        <v>5.1324404761904763</v>
      </c>
    </row>
    <row r="19" spans="1:14" x14ac:dyDescent="0.25">
      <c r="A19" s="15"/>
      <c r="B19" s="16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8"/>
    </row>
    <row r="20" spans="1:14" x14ac:dyDescent="0.25">
      <c r="A20" s="132" t="s">
        <v>11</v>
      </c>
      <c r="B20" s="133" t="s">
        <v>224</v>
      </c>
      <c r="C20" s="14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6"/>
    </row>
  </sheetData>
  <mergeCells count="19">
    <mergeCell ref="L11:L12"/>
    <mergeCell ref="N11:N12"/>
    <mergeCell ref="B17:L17"/>
    <mergeCell ref="A18:L18"/>
    <mergeCell ref="A7:N7"/>
    <mergeCell ref="A8:N8"/>
    <mergeCell ref="A9:N9"/>
    <mergeCell ref="A10:A12"/>
    <mergeCell ref="B10:B12"/>
    <mergeCell ref="C10:C12"/>
    <mergeCell ref="D10:E11"/>
    <mergeCell ref="L10:N10"/>
    <mergeCell ref="M11:M12"/>
    <mergeCell ref="A6:N6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4" tint="0.59999389629810485"/>
  </sheetPr>
  <dimension ref="A1:L20"/>
  <sheetViews>
    <sheetView zoomScaleNormal="100" workbookViewId="0">
      <selection activeCell="L17" sqref="L17"/>
    </sheetView>
  </sheetViews>
  <sheetFormatPr defaultColWidth="9.42578125" defaultRowHeight="12.75" x14ac:dyDescent="0.2"/>
  <cols>
    <col min="1" max="1" width="4.140625" style="3" customWidth="1"/>
    <col min="2" max="2" width="70.42578125" style="2" customWidth="1"/>
    <col min="3" max="3" width="5.5703125" style="3" customWidth="1"/>
    <col min="4" max="4" width="7.5703125" style="3" customWidth="1"/>
    <col min="5" max="7" width="8.5703125" style="10" customWidth="1"/>
    <col min="8" max="10" width="12.140625" style="10" customWidth="1"/>
    <col min="11" max="11" width="10.85546875" style="4" bestFit="1" customWidth="1"/>
    <col min="12" max="16384" width="9.42578125" style="2"/>
  </cols>
  <sheetData>
    <row r="1" spans="1:12" ht="11.25" customHeight="1" x14ac:dyDescent="0.2">
      <c r="A1" s="331" t="s">
        <v>0</v>
      </c>
      <c r="B1" s="331"/>
      <c r="C1" s="331"/>
      <c r="D1" s="331"/>
      <c r="E1" s="19"/>
      <c r="F1" s="19"/>
      <c r="G1" s="19"/>
      <c r="H1" s="19"/>
      <c r="I1" s="19"/>
      <c r="J1" s="19"/>
      <c r="K1" s="20"/>
    </row>
    <row r="2" spans="1:12" ht="11.25" customHeight="1" x14ac:dyDescent="0.2">
      <c r="A2" s="331" t="s">
        <v>84</v>
      </c>
      <c r="B2" s="331"/>
      <c r="C2" s="331"/>
      <c r="D2" s="331"/>
      <c r="E2" s="19"/>
      <c r="F2" s="19"/>
      <c r="G2" s="19"/>
      <c r="H2" s="19"/>
      <c r="I2" s="19"/>
      <c r="J2" s="19"/>
      <c r="K2" s="20"/>
    </row>
    <row r="3" spans="1:12" ht="11.25" customHeight="1" x14ac:dyDescent="0.2">
      <c r="A3" s="331" t="s">
        <v>85</v>
      </c>
      <c r="B3" s="331"/>
      <c r="C3" s="331"/>
      <c r="D3" s="331"/>
      <c r="E3" s="19"/>
      <c r="F3" s="19"/>
      <c r="G3" s="19"/>
      <c r="H3" s="19"/>
      <c r="I3" s="19"/>
      <c r="J3" s="19"/>
      <c r="K3" s="20"/>
    </row>
    <row r="4" spans="1:12" ht="11.25" customHeight="1" x14ac:dyDescent="0.2">
      <c r="A4" s="331" t="s">
        <v>86</v>
      </c>
      <c r="B4" s="331"/>
      <c r="C4" s="331"/>
      <c r="D4" s="331"/>
      <c r="E4" s="19"/>
      <c r="F4" s="19"/>
      <c r="G4" s="19"/>
      <c r="H4" s="19"/>
      <c r="I4" s="19"/>
      <c r="J4" s="19"/>
      <c r="K4" s="20"/>
    </row>
    <row r="5" spans="1:12" ht="11.25" customHeight="1" x14ac:dyDescent="0.2">
      <c r="A5" s="331" t="s">
        <v>87</v>
      </c>
      <c r="B5" s="331"/>
      <c r="C5" s="331"/>
      <c r="D5" s="331"/>
      <c r="E5" s="19"/>
      <c r="F5" s="19"/>
      <c r="G5" s="19"/>
      <c r="H5" s="19"/>
      <c r="I5" s="19"/>
      <c r="J5" s="19"/>
      <c r="K5" s="20"/>
    </row>
    <row r="6" spans="1:12" x14ac:dyDescent="0.2">
      <c r="A6" s="354"/>
      <c r="B6" s="354"/>
      <c r="C6" s="354"/>
      <c r="D6" s="354"/>
      <c r="E6" s="354"/>
      <c r="F6" s="354"/>
      <c r="G6" s="354"/>
      <c r="H6" s="354"/>
      <c r="I6" s="354"/>
      <c r="J6" s="354"/>
      <c r="K6" s="354"/>
    </row>
    <row r="7" spans="1:12" ht="12.75" customHeight="1" x14ac:dyDescent="0.2">
      <c r="A7" s="326" t="s">
        <v>144</v>
      </c>
      <c r="B7" s="326"/>
      <c r="C7" s="326"/>
      <c r="D7" s="326"/>
      <c r="E7" s="326"/>
      <c r="F7" s="326"/>
      <c r="G7" s="326"/>
      <c r="H7" s="326"/>
      <c r="I7" s="326"/>
      <c r="J7" s="326"/>
      <c r="K7" s="326"/>
      <c r="L7" s="326"/>
    </row>
    <row r="8" spans="1:12" ht="12.6" customHeight="1" x14ac:dyDescent="0.2">
      <c r="A8" s="326" t="s">
        <v>113</v>
      </c>
      <c r="B8" s="326"/>
      <c r="C8" s="326"/>
      <c r="D8" s="326"/>
      <c r="E8" s="326"/>
      <c r="F8" s="326"/>
      <c r="G8" s="326"/>
      <c r="H8" s="326"/>
      <c r="I8" s="326"/>
      <c r="J8" s="326"/>
      <c r="K8" s="326"/>
      <c r="L8" s="326"/>
    </row>
    <row r="9" spans="1:12" ht="9" customHeight="1" x14ac:dyDescent="0.2">
      <c r="A9" s="326"/>
      <c r="B9" s="326"/>
      <c r="C9" s="326"/>
      <c r="D9" s="326"/>
      <c r="E9" s="326"/>
      <c r="F9" s="326"/>
      <c r="G9" s="326"/>
      <c r="H9" s="326"/>
      <c r="I9" s="326"/>
      <c r="J9" s="326"/>
      <c r="K9" s="326"/>
      <c r="L9" s="326"/>
    </row>
    <row r="10" spans="1:12" ht="12.75" customHeight="1" x14ac:dyDescent="0.2">
      <c r="A10" s="344" t="s">
        <v>152</v>
      </c>
      <c r="B10" s="344"/>
      <c r="C10" s="344"/>
      <c r="D10" s="344"/>
      <c r="E10" s="344"/>
      <c r="F10" s="344"/>
      <c r="G10" s="344"/>
      <c r="H10" s="344"/>
      <c r="I10" s="344"/>
      <c r="J10" s="344"/>
      <c r="K10" s="344"/>
      <c r="L10" s="344"/>
    </row>
    <row r="11" spans="1:12" ht="14.45" customHeight="1" x14ac:dyDescent="0.2">
      <c r="A11" s="357" t="s">
        <v>3</v>
      </c>
      <c r="B11" s="359" t="s">
        <v>83</v>
      </c>
      <c r="C11" s="359" t="s">
        <v>6</v>
      </c>
      <c r="D11" s="359" t="s">
        <v>139</v>
      </c>
      <c r="E11" s="295"/>
      <c r="F11" s="296"/>
      <c r="G11" s="296"/>
      <c r="H11" s="296"/>
      <c r="I11" s="296"/>
      <c r="J11" s="296"/>
      <c r="K11" s="296"/>
      <c r="L11" s="361"/>
    </row>
    <row r="12" spans="1:12" ht="36" x14ac:dyDescent="0.2">
      <c r="A12" s="358"/>
      <c r="B12" s="360"/>
      <c r="C12" s="360"/>
      <c r="D12" s="360"/>
      <c r="E12" s="130" t="s">
        <v>219</v>
      </c>
      <c r="F12" s="344" t="s">
        <v>246</v>
      </c>
      <c r="G12" s="344"/>
      <c r="H12" s="155" t="s">
        <v>257</v>
      </c>
      <c r="I12" s="155" t="s">
        <v>265</v>
      </c>
      <c r="J12" s="155" t="s">
        <v>269</v>
      </c>
      <c r="K12" s="150" t="s">
        <v>259</v>
      </c>
      <c r="L12" s="150" t="s">
        <v>260</v>
      </c>
    </row>
    <row r="13" spans="1:12" ht="46.5" customHeight="1" x14ac:dyDescent="0.2">
      <c r="A13" s="30">
        <v>1</v>
      </c>
      <c r="B13" s="31" t="s">
        <v>155</v>
      </c>
      <c r="C13" s="30" t="s">
        <v>90</v>
      </c>
      <c r="D13" s="38">
        <v>8</v>
      </c>
      <c r="E13" s="173">
        <v>560</v>
      </c>
      <c r="F13" s="173">
        <v>245.64</v>
      </c>
      <c r="G13" s="173">
        <v>322.92</v>
      </c>
      <c r="H13" s="173">
        <v>475.2</v>
      </c>
      <c r="I13" s="173">
        <v>450</v>
      </c>
      <c r="J13" s="173">
        <v>681.9</v>
      </c>
      <c r="K13" s="178">
        <f>AVERAGE(E13,J13)</f>
        <v>620.95000000000005</v>
      </c>
      <c r="L13" s="131">
        <f>K13*D13</f>
        <v>4967.6000000000004</v>
      </c>
    </row>
    <row r="14" spans="1:12" ht="28.5" customHeight="1" x14ac:dyDescent="0.2">
      <c r="A14" s="153">
        <v>2</v>
      </c>
      <c r="B14" s="31" t="s">
        <v>220</v>
      </c>
      <c r="C14" s="30" t="s">
        <v>90</v>
      </c>
      <c r="D14" s="38">
        <v>5</v>
      </c>
      <c r="E14" s="173">
        <v>217.7</v>
      </c>
      <c r="F14" s="173">
        <v>140.99</v>
      </c>
      <c r="G14" s="173">
        <v>161.81</v>
      </c>
      <c r="H14" s="173">
        <v>355.68</v>
      </c>
      <c r="I14" s="173">
        <v>143.25</v>
      </c>
      <c r="J14" s="173">
        <v>204.4</v>
      </c>
      <c r="K14" s="178">
        <f>AVERAGE(E14,H14,J14)</f>
        <v>259.26</v>
      </c>
      <c r="L14" s="131">
        <f t="shared" ref="L14:L15" si="0">K14*D14</f>
        <v>1296.3</v>
      </c>
    </row>
    <row r="15" spans="1:12" ht="15.75" customHeight="1" x14ac:dyDescent="0.2">
      <c r="A15" s="30">
        <v>3</v>
      </c>
      <c r="B15" s="31" t="s">
        <v>140</v>
      </c>
      <c r="C15" s="30" t="s">
        <v>90</v>
      </c>
      <c r="D15" s="38">
        <v>24</v>
      </c>
      <c r="E15" s="173">
        <v>101.67</v>
      </c>
      <c r="F15" s="173">
        <v>90.09</v>
      </c>
      <c r="G15" s="173">
        <v>80</v>
      </c>
      <c r="H15" s="173"/>
      <c r="I15" s="173"/>
      <c r="J15" s="173">
        <v>95</v>
      </c>
      <c r="K15" s="178">
        <f>AVERAGE(E15,F15,J15)</f>
        <v>95.586666666666659</v>
      </c>
      <c r="L15" s="131">
        <f t="shared" si="0"/>
        <v>2294.08</v>
      </c>
    </row>
    <row r="16" spans="1:12" x14ac:dyDescent="0.2">
      <c r="A16" s="151"/>
      <c r="B16" s="355" t="s">
        <v>138</v>
      </c>
      <c r="C16" s="355"/>
      <c r="D16" s="355"/>
      <c r="E16" s="355"/>
      <c r="F16" s="32"/>
      <c r="G16" s="32"/>
      <c r="H16" s="32"/>
      <c r="I16" s="32"/>
      <c r="J16" s="32"/>
      <c r="K16" s="131"/>
      <c r="L16" s="131">
        <f>SUM(L13:L15)</f>
        <v>8557.98</v>
      </c>
    </row>
    <row r="17" spans="1:12" x14ac:dyDescent="0.2">
      <c r="A17" s="151"/>
      <c r="B17" s="356" t="s">
        <v>135</v>
      </c>
      <c r="C17" s="356"/>
      <c r="D17" s="356"/>
      <c r="E17" s="356"/>
      <c r="F17" s="154"/>
      <c r="G17" s="154"/>
      <c r="H17" s="154"/>
      <c r="I17" s="154"/>
      <c r="J17" s="154"/>
      <c r="K17" s="152"/>
      <c r="L17" s="152">
        <f>L16/12/28</f>
        <v>25.470178571428569</v>
      </c>
    </row>
    <row r="20" spans="1:12" x14ac:dyDescent="0.2">
      <c r="A20" s="22" t="s">
        <v>228</v>
      </c>
      <c r="B20" s="134" t="s">
        <v>229</v>
      </c>
    </row>
  </sheetData>
  <mergeCells count="17">
    <mergeCell ref="A10:L10"/>
    <mergeCell ref="A7:L7"/>
    <mergeCell ref="A8:L9"/>
    <mergeCell ref="F12:G12"/>
    <mergeCell ref="E11:L11"/>
    <mergeCell ref="B16:E16"/>
    <mergeCell ref="B17:E17"/>
    <mergeCell ref="A11:A12"/>
    <mergeCell ref="B11:B12"/>
    <mergeCell ref="C11:C12"/>
    <mergeCell ref="D11:D12"/>
    <mergeCell ref="A6:K6"/>
    <mergeCell ref="A1:D1"/>
    <mergeCell ref="A2:D2"/>
    <mergeCell ref="A3:D3"/>
    <mergeCell ref="A4:D4"/>
    <mergeCell ref="A5:D5"/>
  </mergeCells>
  <pageMargins left="0.51181102362204722" right="0.51181102362204722" top="0.59055118110236227" bottom="0.59055118110236227" header="0.31496062992125984" footer="0.31496062992125984"/>
  <pageSetup paperSize="9" scale="90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tabColor theme="4" tint="0.59999389629810485"/>
  </sheetPr>
  <dimension ref="A1:L42"/>
  <sheetViews>
    <sheetView tabSelected="1" zoomScale="140" zoomScaleNormal="140" workbookViewId="0">
      <selection activeCell="G28" sqref="G28:H28"/>
    </sheetView>
  </sheetViews>
  <sheetFormatPr defaultColWidth="9.42578125" defaultRowHeight="12.75" x14ac:dyDescent="0.2"/>
  <cols>
    <col min="1" max="1" width="4.5703125" style="24" customWidth="1"/>
    <col min="2" max="2" width="34.140625" style="24" customWidth="1"/>
    <col min="3" max="3" width="12.42578125" style="24" customWidth="1"/>
    <col min="4" max="4" width="10" style="24" customWidth="1"/>
    <col min="5" max="5" width="11.42578125" style="24" customWidth="1"/>
    <col min="6" max="6" width="8.42578125" style="24" customWidth="1"/>
    <col min="7" max="7" width="14.85546875" style="24" bestFit="1" customWidth="1"/>
    <col min="8" max="8" width="10.85546875" style="24" customWidth="1"/>
    <col min="9" max="10" width="9.42578125" style="2"/>
    <col min="11" max="11" width="13.5703125" style="2" bestFit="1" customWidth="1"/>
    <col min="12" max="12" width="12.5703125" style="2" bestFit="1" customWidth="1"/>
    <col min="13" max="16384" width="9.42578125" style="2"/>
  </cols>
  <sheetData>
    <row r="1" spans="1:12" ht="11.25" customHeight="1" x14ac:dyDescent="0.2">
      <c r="A1" s="406" t="s">
        <v>0</v>
      </c>
      <c r="B1" s="406"/>
      <c r="C1" s="406"/>
      <c r="D1" s="406"/>
      <c r="E1" s="406"/>
      <c r="F1" s="406"/>
      <c r="G1" s="406"/>
      <c r="H1" s="406"/>
      <c r="I1" s="5"/>
    </row>
    <row r="2" spans="1:12" ht="11.25" customHeight="1" x14ac:dyDescent="0.2">
      <c r="A2" s="406" t="s">
        <v>84</v>
      </c>
      <c r="B2" s="406"/>
      <c r="C2" s="406"/>
      <c r="D2" s="406"/>
      <c r="E2" s="406"/>
      <c r="F2" s="406"/>
      <c r="G2" s="406"/>
      <c r="H2" s="406"/>
      <c r="I2" s="5"/>
    </row>
    <row r="3" spans="1:12" ht="11.25" customHeight="1" x14ac:dyDescent="0.2">
      <c r="A3" s="406" t="s">
        <v>85</v>
      </c>
      <c r="B3" s="406"/>
      <c r="C3" s="406"/>
      <c r="D3" s="406"/>
      <c r="E3" s="406"/>
      <c r="F3" s="406"/>
      <c r="G3" s="406"/>
      <c r="H3" s="406"/>
      <c r="I3" s="5"/>
    </row>
    <row r="4" spans="1:12" ht="11.25" customHeight="1" x14ac:dyDescent="0.2">
      <c r="A4" s="406" t="s">
        <v>86</v>
      </c>
      <c r="B4" s="406"/>
      <c r="C4" s="406"/>
      <c r="D4" s="406"/>
      <c r="E4" s="406"/>
      <c r="F4" s="406"/>
      <c r="G4" s="406"/>
      <c r="H4" s="406"/>
      <c r="I4" s="5"/>
    </row>
    <row r="5" spans="1:12" ht="11.25" customHeight="1" x14ac:dyDescent="0.2">
      <c r="A5" s="406" t="s">
        <v>87</v>
      </c>
      <c r="B5" s="406"/>
      <c r="C5" s="406"/>
      <c r="D5" s="406"/>
      <c r="E5" s="406"/>
      <c r="F5" s="406"/>
      <c r="G5" s="406"/>
      <c r="H5" s="406"/>
      <c r="I5" s="5"/>
    </row>
    <row r="6" spans="1:12" ht="21" customHeight="1" x14ac:dyDescent="0.2">
      <c r="A6" s="408"/>
      <c r="B6" s="408"/>
      <c r="C6" s="408"/>
      <c r="D6" s="408"/>
      <c r="E6" s="408"/>
      <c r="F6" s="408"/>
      <c r="G6" s="408"/>
      <c r="H6" s="408"/>
      <c r="I6" s="5"/>
    </row>
    <row r="7" spans="1:12" ht="49.7" customHeight="1" x14ac:dyDescent="0.2">
      <c r="A7" s="407" t="s">
        <v>154</v>
      </c>
      <c r="B7" s="407"/>
      <c r="C7" s="407"/>
      <c r="D7" s="407"/>
      <c r="E7" s="407"/>
      <c r="F7" s="407"/>
      <c r="G7" s="407"/>
      <c r="H7" s="407"/>
      <c r="I7" s="5"/>
    </row>
    <row r="8" spans="1:12" ht="22.35" customHeight="1" thickBot="1" x14ac:dyDescent="0.25">
      <c r="A8" s="400"/>
      <c r="B8" s="400"/>
      <c r="C8" s="400"/>
      <c r="D8" s="400"/>
      <c r="E8" s="400"/>
      <c r="F8" s="400"/>
      <c r="G8" s="400"/>
      <c r="H8" s="400"/>
      <c r="I8" s="5"/>
    </row>
    <row r="9" spans="1:12" ht="28.35" customHeight="1" thickBot="1" x14ac:dyDescent="0.25">
      <c r="A9" s="410" t="s">
        <v>232</v>
      </c>
      <c r="B9" s="411"/>
      <c r="C9" s="411"/>
      <c r="D9" s="411"/>
      <c r="E9" s="411"/>
      <c r="F9" s="411"/>
      <c r="G9" s="411"/>
      <c r="H9" s="412"/>
      <c r="I9" s="5"/>
    </row>
    <row r="10" spans="1:12" ht="15" thickBot="1" x14ac:dyDescent="0.25">
      <c r="A10" s="413" t="s">
        <v>91</v>
      </c>
      <c r="B10" s="414"/>
      <c r="C10" s="414"/>
      <c r="D10" s="414"/>
      <c r="E10" s="414"/>
      <c r="F10" s="414"/>
      <c r="G10" s="414"/>
      <c r="H10" s="415"/>
      <c r="I10" s="5"/>
    </row>
    <row r="11" spans="1:12" ht="36" x14ac:dyDescent="0.2">
      <c r="A11" s="416" t="s">
        <v>92</v>
      </c>
      <c r="B11" s="417"/>
      <c r="C11" s="42" t="s">
        <v>93</v>
      </c>
      <c r="D11" s="42" t="s">
        <v>94</v>
      </c>
      <c r="E11" s="42" t="s">
        <v>95</v>
      </c>
      <c r="F11" s="42" t="s">
        <v>96</v>
      </c>
      <c r="G11" s="42" t="s">
        <v>97</v>
      </c>
      <c r="H11" s="418" t="s">
        <v>98</v>
      </c>
      <c r="I11" s="5"/>
    </row>
    <row r="12" spans="1:12" ht="14.25" x14ac:dyDescent="0.2">
      <c r="A12" s="398" t="s">
        <v>99</v>
      </c>
      <c r="B12" s="399"/>
      <c r="C12" s="41" t="s">
        <v>100</v>
      </c>
      <c r="D12" s="41" t="s">
        <v>101</v>
      </c>
      <c r="E12" s="41" t="s">
        <v>102</v>
      </c>
      <c r="F12" s="41" t="s">
        <v>103</v>
      </c>
      <c r="G12" s="41" t="s">
        <v>104</v>
      </c>
      <c r="H12" s="419"/>
      <c r="I12" s="5"/>
    </row>
    <row r="13" spans="1:12" ht="18" customHeight="1" x14ac:dyDescent="0.2">
      <c r="A13" s="49" t="s">
        <v>105</v>
      </c>
      <c r="B13" s="39" t="str">
        <f>' Supervisor Diurno Desarmado'!A21</f>
        <v>Supervisor Desarmado Diurno - 44 hs/semana</v>
      </c>
      <c r="C13" s="143">
        <f>' Supervisor Diurno Desarmado'!G157</f>
        <v>11364.68</v>
      </c>
      <c r="D13" s="45">
        <v>1</v>
      </c>
      <c r="E13" s="40">
        <f>C13*D13</f>
        <v>11364.68</v>
      </c>
      <c r="F13" s="45">
        <v>1</v>
      </c>
      <c r="G13" s="143">
        <f>E13*F13</f>
        <v>11364.68</v>
      </c>
      <c r="H13" s="46">
        <v>1</v>
      </c>
      <c r="I13" s="5"/>
      <c r="L13" s="6"/>
    </row>
    <row r="14" spans="1:12" ht="18" customHeight="1" x14ac:dyDescent="0.2">
      <c r="A14" s="49" t="s">
        <v>106</v>
      </c>
      <c r="B14" s="39" t="str">
        <f>'Vigilante Diurno 44 horas'!A21</f>
        <v>Vigilante Diurno Desarmado - 44 hs</v>
      </c>
      <c r="C14" s="143">
        <f>'Vigilante Diurno 44 horas'!G157</f>
        <v>9786.3799999999992</v>
      </c>
      <c r="D14" s="45">
        <v>1</v>
      </c>
      <c r="E14" s="40">
        <f>C14*D14</f>
        <v>9786.3799999999992</v>
      </c>
      <c r="F14" s="45">
        <v>1</v>
      </c>
      <c r="G14" s="143">
        <f>E14*F14</f>
        <v>9786.3799999999992</v>
      </c>
      <c r="H14" s="46">
        <v>1</v>
      </c>
      <c r="I14" s="5"/>
      <c r="L14" s="6"/>
    </row>
    <row r="15" spans="1:12" ht="18" customHeight="1" x14ac:dyDescent="0.2">
      <c r="A15" s="49" t="s">
        <v>116</v>
      </c>
      <c r="B15" s="39" t="str">
        <f>' Vigilante Diurno Desarmado'!A21</f>
        <v>Vigilante Diurno Desarmado - 12/36 hs</v>
      </c>
      <c r="C15" s="143">
        <f>' Vigilante Diurno Desarmado'!G157</f>
        <v>9209.0400000000009</v>
      </c>
      <c r="D15" s="45">
        <v>2</v>
      </c>
      <c r="E15" s="40">
        <f>C15*D15</f>
        <v>18418.080000000002</v>
      </c>
      <c r="F15" s="45">
        <v>8</v>
      </c>
      <c r="G15" s="143">
        <f>E15*F15</f>
        <v>147344.64000000001</v>
      </c>
      <c r="H15" s="46">
        <f t="shared" ref="H15" si="0">D15*F15</f>
        <v>16</v>
      </c>
      <c r="I15" s="5"/>
      <c r="K15" s="156"/>
      <c r="L15" s="6"/>
    </row>
    <row r="16" spans="1:12" ht="17.25" customHeight="1" thickBot="1" x14ac:dyDescent="0.25">
      <c r="A16" s="50" t="s">
        <v>248</v>
      </c>
      <c r="B16" s="44" t="str">
        <f>' Vigilante Noturno Desarmado'!A21</f>
        <v>Vigilante Noturno Desarmado - 12/36 hs</v>
      </c>
      <c r="C16" s="144">
        <f>' Vigilante Noturno Desarmado'!G157</f>
        <v>10101.790000000001</v>
      </c>
      <c r="D16" s="48">
        <v>2</v>
      </c>
      <c r="E16" s="47">
        <f>C16*D16</f>
        <v>20203.580000000002</v>
      </c>
      <c r="F16" s="48">
        <v>5</v>
      </c>
      <c r="G16" s="144">
        <f t="shared" ref="G16" si="1">E16*F16</f>
        <v>101017.90000000001</v>
      </c>
      <c r="H16" s="52">
        <f>D16*F16</f>
        <v>10</v>
      </c>
      <c r="I16" s="5"/>
      <c r="L16" s="6"/>
    </row>
    <row r="17" spans="1:12" ht="15" thickBot="1" x14ac:dyDescent="0.25">
      <c r="A17" s="401" t="s">
        <v>251</v>
      </c>
      <c r="B17" s="402"/>
      <c r="C17" s="402"/>
      <c r="D17" s="402"/>
      <c r="E17" s="402"/>
      <c r="F17" s="403"/>
      <c r="G17" s="145">
        <f>SUM(G13:G16)</f>
        <v>269513.60000000003</v>
      </c>
      <c r="H17" s="53">
        <f>SUM(H13:H16)</f>
        <v>28</v>
      </c>
      <c r="I17" s="5"/>
      <c r="L17" s="6"/>
    </row>
    <row r="18" spans="1:12" ht="14.25" x14ac:dyDescent="0.2">
      <c r="A18" s="409"/>
      <c r="B18" s="409"/>
      <c r="C18" s="409"/>
      <c r="D18" s="409"/>
      <c r="E18" s="409"/>
      <c r="F18" s="409"/>
      <c r="G18" s="409"/>
      <c r="H18" s="409"/>
      <c r="I18" s="5"/>
    </row>
    <row r="19" spans="1:12" ht="17.850000000000001" customHeight="1" thickBot="1" x14ac:dyDescent="0.25">
      <c r="A19" s="394" t="s">
        <v>107</v>
      </c>
      <c r="B19" s="394"/>
      <c r="C19" s="394"/>
      <c r="D19" s="394"/>
      <c r="E19" s="394"/>
      <c r="F19" s="394"/>
      <c r="G19" s="394"/>
      <c r="H19" s="394"/>
      <c r="I19" s="5"/>
    </row>
    <row r="20" spans="1:12" ht="17.100000000000001" customHeight="1" thickBot="1" x14ac:dyDescent="0.25">
      <c r="A20" s="401" t="s">
        <v>108</v>
      </c>
      <c r="B20" s="402"/>
      <c r="C20" s="402"/>
      <c r="D20" s="402"/>
      <c r="E20" s="402"/>
      <c r="F20" s="402"/>
      <c r="G20" s="402"/>
      <c r="H20" s="403"/>
      <c r="I20" s="5"/>
    </row>
    <row r="21" spans="1:12" ht="20.85" customHeight="1" x14ac:dyDescent="0.2">
      <c r="A21" s="111"/>
      <c r="B21" s="395" t="s">
        <v>83</v>
      </c>
      <c r="C21" s="395"/>
      <c r="D21" s="395"/>
      <c r="E21" s="395"/>
      <c r="F21" s="395"/>
      <c r="G21" s="395" t="s">
        <v>4</v>
      </c>
      <c r="H21" s="396"/>
      <c r="I21" s="5"/>
    </row>
    <row r="22" spans="1:12" ht="14.25" x14ac:dyDescent="0.2">
      <c r="A22" s="112" t="s">
        <v>9</v>
      </c>
      <c r="B22" s="397" t="s">
        <v>109</v>
      </c>
      <c r="C22" s="397"/>
      <c r="D22" s="397"/>
      <c r="E22" s="397"/>
      <c r="F22" s="397"/>
      <c r="G22" s="404"/>
      <c r="H22" s="405"/>
      <c r="I22" s="5"/>
    </row>
    <row r="23" spans="1:12" ht="14.25" x14ac:dyDescent="0.2">
      <c r="A23" s="43" t="s">
        <v>110</v>
      </c>
      <c r="B23" s="369" t="str">
        <f>B13</f>
        <v>Supervisor Desarmado Diurno - 44 hs/semana</v>
      </c>
      <c r="C23" s="370"/>
      <c r="D23" s="370"/>
      <c r="E23" s="370"/>
      <c r="F23" s="371"/>
      <c r="G23" s="377">
        <f>G13</f>
        <v>11364.68</v>
      </c>
      <c r="H23" s="378"/>
      <c r="I23" s="5"/>
    </row>
    <row r="24" spans="1:12" ht="14.25" x14ac:dyDescent="0.2">
      <c r="A24" s="43" t="s">
        <v>111</v>
      </c>
      <c r="B24" s="369" t="str">
        <f>B14</f>
        <v>Vigilante Diurno Desarmado - 44 hs</v>
      </c>
      <c r="C24" s="375"/>
      <c r="D24" s="375"/>
      <c r="E24" s="375"/>
      <c r="F24" s="376"/>
      <c r="G24" s="382">
        <f>G14</f>
        <v>9786.3799999999992</v>
      </c>
      <c r="H24" s="383"/>
      <c r="I24" s="5"/>
    </row>
    <row r="25" spans="1:12" ht="14.25" x14ac:dyDescent="0.2">
      <c r="A25" s="43" t="s">
        <v>249</v>
      </c>
      <c r="B25" s="369" t="str">
        <f>B15</f>
        <v>Vigilante Diurno Desarmado - 12/36 hs</v>
      </c>
      <c r="C25" s="375"/>
      <c r="D25" s="375"/>
      <c r="E25" s="375"/>
      <c r="F25" s="376"/>
      <c r="G25" s="377">
        <f>G15</f>
        <v>147344.64000000001</v>
      </c>
      <c r="H25" s="378"/>
      <c r="I25" s="5"/>
    </row>
    <row r="26" spans="1:12" ht="14.25" x14ac:dyDescent="0.2">
      <c r="A26" s="43" t="s">
        <v>250</v>
      </c>
      <c r="B26" s="369" t="str">
        <f>B16</f>
        <v>Vigilante Noturno Desarmado - 12/36 hs</v>
      </c>
      <c r="C26" s="375"/>
      <c r="D26" s="375"/>
      <c r="E26" s="375"/>
      <c r="F26" s="376"/>
      <c r="G26" s="377">
        <f>G16</f>
        <v>101017.90000000001</v>
      </c>
      <c r="H26" s="378"/>
      <c r="I26" s="5"/>
    </row>
    <row r="27" spans="1:12" ht="14.25" x14ac:dyDescent="0.2">
      <c r="A27" s="43" t="s">
        <v>11</v>
      </c>
      <c r="B27" s="381" t="s">
        <v>112</v>
      </c>
      <c r="C27" s="381"/>
      <c r="D27" s="381"/>
      <c r="E27" s="381"/>
      <c r="F27" s="381"/>
      <c r="G27" s="379">
        <f>G17</f>
        <v>269513.60000000003</v>
      </c>
      <c r="H27" s="380"/>
      <c r="I27" s="5"/>
    </row>
    <row r="28" spans="1:12" ht="15" thickBot="1" x14ac:dyDescent="0.25">
      <c r="A28" s="51" t="s">
        <v>14</v>
      </c>
      <c r="B28" s="372" t="s">
        <v>231</v>
      </c>
      <c r="C28" s="372"/>
      <c r="D28" s="372"/>
      <c r="E28" s="372"/>
      <c r="F28" s="372"/>
      <c r="G28" s="373">
        <f>36*G27</f>
        <v>9702489.6000000015</v>
      </c>
      <c r="H28" s="374"/>
      <c r="I28" s="5"/>
    </row>
    <row r="29" spans="1:12" ht="14.25" x14ac:dyDescent="0.2">
      <c r="A29" s="368" t="s">
        <v>192</v>
      </c>
      <c r="B29" s="368"/>
      <c r="C29" s="368"/>
      <c r="D29" s="368"/>
      <c r="E29" s="368"/>
      <c r="F29" s="368"/>
      <c r="G29" s="368"/>
      <c r="H29" s="368"/>
      <c r="I29" s="5"/>
    </row>
    <row r="30" spans="1:12" ht="15" thickBot="1" x14ac:dyDescent="0.25">
      <c r="A30" s="367"/>
      <c r="B30" s="367"/>
      <c r="C30" s="367"/>
      <c r="D30" s="367"/>
      <c r="E30" s="367"/>
      <c r="F30" s="367"/>
      <c r="G30" s="367"/>
      <c r="H30" s="367"/>
      <c r="I30" s="5"/>
    </row>
    <row r="31" spans="1:12" ht="15" thickBot="1" x14ac:dyDescent="0.25">
      <c r="A31" s="362" t="s">
        <v>233</v>
      </c>
      <c r="B31" s="363"/>
      <c r="C31" s="363"/>
      <c r="D31" s="363"/>
      <c r="E31" s="363"/>
      <c r="F31" s="363"/>
      <c r="G31" s="363"/>
      <c r="H31" s="364"/>
      <c r="I31" s="5"/>
    </row>
    <row r="32" spans="1:12" ht="14.25" x14ac:dyDescent="0.2">
      <c r="A32" s="386" t="s">
        <v>83</v>
      </c>
      <c r="B32" s="387"/>
      <c r="C32" s="387"/>
      <c r="D32" s="388"/>
      <c r="E32" s="365" t="s">
        <v>115</v>
      </c>
      <c r="F32" s="388"/>
      <c r="G32" s="365" t="s">
        <v>234</v>
      </c>
      <c r="H32" s="366"/>
      <c r="I32" s="5"/>
    </row>
    <row r="33" spans="1:9" ht="14.25" x14ac:dyDescent="0.2">
      <c r="A33" s="389" t="s">
        <v>235</v>
      </c>
      <c r="B33" s="390"/>
      <c r="C33" s="390"/>
      <c r="D33" s="391"/>
      <c r="E33" s="392">
        <f>G27</f>
        <v>269513.60000000003</v>
      </c>
      <c r="F33" s="393"/>
      <c r="G33" s="384">
        <f>G28</f>
        <v>9702489.6000000015</v>
      </c>
      <c r="H33" s="385"/>
      <c r="I33" s="5"/>
    </row>
    <row r="35" spans="1:9" x14ac:dyDescent="0.2">
      <c r="G35" s="157"/>
    </row>
    <row r="42" spans="1:9" x14ac:dyDescent="0.2">
      <c r="E42" s="24">
        <f>269513.6*36</f>
        <v>9702489.5999999996</v>
      </c>
    </row>
  </sheetData>
  <mergeCells count="42">
    <mergeCell ref="A7:H7"/>
    <mergeCell ref="A6:H6"/>
    <mergeCell ref="A18:H18"/>
    <mergeCell ref="A9:H9"/>
    <mergeCell ref="A10:H10"/>
    <mergeCell ref="A11:B11"/>
    <mergeCell ref="H11:H12"/>
    <mergeCell ref="A1:H1"/>
    <mergeCell ref="A2:H2"/>
    <mergeCell ref="A3:H3"/>
    <mergeCell ref="A4:H4"/>
    <mergeCell ref="A5:H5"/>
    <mergeCell ref="A19:H19"/>
    <mergeCell ref="G21:H21"/>
    <mergeCell ref="B22:F22"/>
    <mergeCell ref="A12:B12"/>
    <mergeCell ref="A8:H8"/>
    <mergeCell ref="A17:F17"/>
    <mergeCell ref="G22:H22"/>
    <mergeCell ref="A20:H20"/>
    <mergeCell ref="B21:F21"/>
    <mergeCell ref="G33:H33"/>
    <mergeCell ref="A32:D32"/>
    <mergeCell ref="E32:F32"/>
    <mergeCell ref="A33:D33"/>
    <mergeCell ref="E33:F33"/>
    <mergeCell ref="A31:H31"/>
    <mergeCell ref="G32:H32"/>
    <mergeCell ref="A30:H30"/>
    <mergeCell ref="A29:H29"/>
    <mergeCell ref="B23:F23"/>
    <mergeCell ref="B28:F28"/>
    <mergeCell ref="G28:H28"/>
    <mergeCell ref="B26:F26"/>
    <mergeCell ref="G23:H23"/>
    <mergeCell ref="G27:H27"/>
    <mergeCell ref="B25:F25"/>
    <mergeCell ref="G25:H25"/>
    <mergeCell ref="G26:H26"/>
    <mergeCell ref="B27:F27"/>
    <mergeCell ref="B24:F24"/>
    <mergeCell ref="G24:H24"/>
  </mergeCells>
  <pageMargins left="0.78740157480314965" right="0.78740157480314965" top="0.78740157480314965" bottom="0.78740157480314965" header="0.31496062992125984" footer="0.31496062992125984"/>
  <pageSetup paperSize="9" scale="90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8</vt:i4>
      </vt:variant>
    </vt:vector>
  </HeadingPairs>
  <TitlesOfParts>
    <vt:vector size="8" baseType="lpstr">
      <vt:lpstr> Supervisor Diurno Desarmado</vt:lpstr>
      <vt:lpstr> Vigilante Diurno Desarmado</vt:lpstr>
      <vt:lpstr>Vigilante Diurno 44 horas</vt:lpstr>
      <vt:lpstr> Vigilante Noturno Desarmado</vt:lpstr>
      <vt:lpstr>Uniformes_Pesquisa</vt:lpstr>
      <vt:lpstr>Materiais Consumo_Consolidado</vt:lpstr>
      <vt:lpstr>Equips Básicos Consolidado</vt:lpstr>
      <vt:lpstr>RESUMO GERAL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Alvanir da Silva Carvalho</dc:creator>
  <cp:lastModifiedBy>Maria Jose Soares Menon</cp:lastModifiedBy>
  <cp:lastPrinted>2023-11-21T18:48:00Z</cp:lastPrinted>
  <dcterms:created xsi:type="dcterms:W3CDTF">2020-06-17T10:05:11Z</dcterms:created>
  <dcterms:modified xsi:type="dcterms:W3CDTF">2025-06-24T17:45:23Z</dcterms:modified>
</cp:coreProperties>
</file>