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90" windowWidth="21075" windowHeight="9780" firstSheet="1" activeTab="1"/>
  </bookViews>
  <sheets>
    <sheet name="R$" sheetId="1" state="hidden" r:id="rId1"/>
    <sheet name="Reembolso" sheetId="3" r:id="rId2"/>
  </sheets>
  <calcPr calcId="125725"/>
</workbook>
</file>

<file path=xl/calcChain.xml><?xml version="1.0" encoding="utf-8"?>
<calcChain xmlns="http://schemas.openxmlformats.org/spreadsheetml/2006/main">
  <c r="N29" i="1"/>
  <c r="M29"/>
  <c r="L29"/>
  <c r="K29"/>
  <c r="M24" l="1"/>
  <c r="M19"/>
  <c r="L36" l="1"/>
  <c r="L7"/>
  <c r="K24"/>
  <c r="J24"/>
  <c r="I24"/>
  <c r="H24"/>
  <c r="G24"/>
  <c r="L24"/>
  <c r="K19"/>
  <c r="J19"/>
  <c r="I19"/>
  <c r="H19"/>
  <c r="L19"/>
  <c r="G19"/>
  <c r="J36"/>
  <c r="K36"/>
  <c r="E12" l="1"/>
  <c r="D12"/>
  <c r="K7"/>
  <c r="J7" l="1"/>
  <c r="J29"/>
  <c r="I7"/>
  <c r="I29"/>
  <c r="I32"/>
  <c r="H29"/>
  <c r="H7"/>
  <c r="G29"/>
  <c r="G7"/>
  <c r="F24" l="1"/>
  <c r="F29"/>
  <c r="F19"/>
  <c r="F7" l="1"/>
  <c r="F10" s="1"/>
  <c r="E24"/>
  <c r="C25" s="1"/>
  <c r="E7"/>
  <c r="E10" s="1"/>
  <c r="E11" s="1"/>
  <c r="D7"/>
  <c r="D10" s="1"/>
  <c r="D11" s="1"/>
  <c r="D15"/>
  <c r="D16" s="1"/>
  <c r="D22"/>
  <c r="D23" s="1"/>
  <c r="D27"/>
  <c r="D32"/>
  <c r="D39"/>
  <c r="D40" s="1"/>
  <c r="D41" s="1"/>
  <c r="C37"/>
  <c r="C38"/>
  <c r="C30"/>
  <c r="C31"/>
  <c r="C26"/>
  <c r="C13"/>
  <c r="C19"/>
  <c r="F15"/>
  <c r="F16" s="1"/>
  <c r="O39"/>
  <c r="O40" s="1"/>
  <c r="O41" s="1"/>
  <c r="N39"/>
  <c r="N40" s="1"/>
  <c r="M39"/>
  <c r="M40" s="1"/>
  <c r="L39"/>
  <c r="L40" s="1"/>
  <c r="L41" s="1"/>
  <c r="K39"/>
  <c r="K40" s="1"/>
  <c r="K41" s="1"/>
  <c r="J39"/>
  <c r="J40" s="1"/>
  <c r="J41" s="1"/>
  <c r="I39"/>
  <c r="I40" s="1"/>
  <c r="I41" s="1"/>
  <c r="H39"/>
  <c r="H40" s="1"/>
  <c r="H41" s="1"/>
  <c r="G39"/>
  <c r="G40" s="1"/>
  <c r="G41" s="1"/>
  <c r="F39"/>
  <c r="F40" s="1"/>
  <c r="E39"/>
  <c r="E40" s="1"/>
  <c r="E41" s="1"/>
  <c r="C36"/>
  <c r="O32"/>
  <c r="O33" s="1"/>
  <c r="N32"/>
  <c r="N33" s="1"/>
  <c r="M32"/>
  <c r="M33" s="1"/>
  <c r="L32"/>
  <c r="L33" s="1"/>
  <c r="K32"/>
  <c r="K33" s="1"/>
  <c r="J32"/>
  <c r="J33" s="1"/>
  <c r="I33"/>
  <c r="H32"/>
  <c r="H33" s="1"/>
  <c r="G32"/>
  <c r="G33" s="1"/>
  <c r="F32"/>
  <c r="F33" s="1"/>
  <c r="E32"/>
  <c r="E33" s="1"/>
  <c r="C29"/>
  <c r="O27"/>
  <c r="O28" s="1"/>
  <c r="O34" s="1"/>
  <c r="N27"/>
  <c r="N28" s="1"/>
  <c r="M27"/>
  <c r="M28" s="1"/>
  <c r="L27"/>
  <c r="L28" s="1"/>
  <c r="K27"/>
  <c r="K28" s="1"/>
  <c r="J27"/>
  <c r="J28" s="1"/>
  <c r="I27"/>
  <c r="I28" s="1"/>
  <c r="H27"/>
  <c r="H28" s="1"/>
  <c r="G27"/>
  <c r="G28" s="1"/>
  <c r="F27"/>
  <c r="F28" s="1"/>
  <c r="O22"/>
  <c r="O23" s="1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E22"/>
  <c r="E23" s="1"/>
  <c r="C21"/>
  <c r="C20"/>
  <c r="O10"/>
  <c r="O11" s="1"/>
  <c r="N10"/>
  <c r="M10"/>
  <c r="M11" s="1"/>
  <c r="L10"/>
  <c r="L11" s="1"/>
  <c r="K10"/>
  <c r="K11" s="1"/>
  <c r="J10"/>
  <c r="I10"/>
  <c r="H10"/>
  <c r="H11" s="1"/>
  <c r="G10"/>
  <c r="G11" s="1"/>
  <c r="O15"/>
  <c r="O16" s="1"/>
  <c r="N15"/>
  <c r="N16" s="1"/>
  <c r="M15"/>
  <c r="M16" s="1"/>
  <c r="L15"/>
  <c r="L16" s="1"/>
  <c r="K15"/>
  <c r="K16" s="1"/>
  <c r="J15"/>
  <c r="J16" s="1"/>
  <c r="I15"/>
  <c r="H15"/>
  <c r="H16" s="1"/>
  <c r="G15"/>
  <c r="G16" s="1"/>
  <c r="C14"/>
  <c r="C8"/>
  <c r="C9"/>
  <c r="F23" l="1"/>
  <c r="F35" s="1"/>
  <c r="C24"/>
  <c r="C7"/>
  <c r="E27"/>
  <c r="E28" s="1"/>
  <c r="E34" s="1"/>
  <c r="C47"/>
  <c r="C48"/>
  <c r="D33"/>
  <c r="C33" s="1"/>
  <c r="D28"/>
  <c r="D17"/>
  <c r="L34"/>
  <c r="H34"/>
  <c r="N41"/>
  <c r="F41"/>
  <c r="M41"/>
  <c r="G34"/>
  <c r="K34"/>
  <c r="J34"/>
  <c r="N34"/>
  <c r="I34"/>
  <c r="M34"/>
  <c r="C39"/>
  <c r="C22"/>
  <c r="I11"/>
  <c r="I16"/>
  <c r="N11"/>
  <c r="J11"/>
  <c r="F11"/>
  <c r="F17" s="1"/>
  <c r="M17"/>
  <c r="C32"/>
  <c r="L17"/>
  <c r="G17"/>
  <c r="C10"/>
  <c r="F34" l="1"/>
  <c r="C27"/>
  <c r="D34"/>
  <c r="D43" s="1"/>
  <c r="C28"/>
  <c r="J17"/>
  <c r="J43" s="1"/>
  <c r="C40"/>
  <c r="G43"/>
  <c r="L43"/>
  <c r="N17"/>
  <c r="N43" s="1"/>
  <c r="I17"/>
  <c r="I43" s="1"/>
  <c r="M43"/>
  <c r="K17"/>
  <c r="K43" s="1"/>
  <c r="O17"/>
  <c r="O43" s="1"/>
  <c r="C23"/>
  <c r="H17"/>
  <c r="H43" s="1"/>
  <c r="C11"/>
  <c r="C34" l="1"/>
  <c r="C41"/>
  <c r="F43" l="1"/>
  <c r="C12"/>
  <c r="C46" s="1"/>
  <c r="E15"/>
  <c r="C15" s="1"/>
  <c r="C49" s="1"/>
  <c r="E16" l="1"/>
  <c r="C16" l="1"/>
  <c r="C50" s="1"/>
  <c r="C53" s="1"/>
  <c r="E17"/>
  <c r="C17" l="1"/>
  <c r="E43"/>
  <c r="C43" s="1"/>
</calcChain>
</file>

<file path=xl/sharedStrings.xml><?xml version="1.0" encoding="utf-8"?>
<sst xmlns="http://schemas.openxmlformats.org/spreadsheetml/2006/main" count="159" uniqueCount="49">
  <si>
    <t>CARVÃO MINERAL</t>
  </si>
  <si>
    <t>ÓLEO COMBUSTÍVEL</t>
  </si>
  <si>
    <t>ÓLEO DIESEL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</si>
  <si>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</si>
  <si>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</si>
  <si>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</si>
  <si>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</si>
  <si>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</si>
  <si>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</si>
  <si>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</si>
  <si>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</si>
  <si>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</si>
  <si>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</si>
  <si>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</si>
  <si>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</si>
  <si>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COMPLEXO TERMELÉTRICO JORGE LACERDA</t>
  </si>
  <si>
    <t>CHARQUEADAS</t>
  </si>
  <si>
    <t>USINAS</t>
  </si>
  <si>
    <t>PRESIDENTE MÉDICI FASES A+B</t>
  </si>
  <si>
    <t>PRESIDENTE MÉDICI FASE C</t>
  </si>
  <si>
    <t>SÃO JERÔNIMO</t>
  </si>
  <si>
    <t>ELETROBRAS CGTEE</t>
  </si>
  <si>
    <t>FIGUEIRA</t>
  </si>
  <si>
    <t>TRACTEBEL ENERGIA</t>
  </si>
  <si>
    <t>COPEL</t>
  </si>
  <si>
    <t>TOTAL DOS REEMBOLSOS</t>
  </si>
  <si>
    <t>CT J.LACERDA</t>
  </si>
  <si>
    <t>P.M. FASES A+B</t>
  </si>
  <si>
    <t>P.M. FASE C</t>
  </si>
  <si>
    <t>S. JERÔNIMO</t>
  </si>
  <si>
    <t>NOTAS:</t>
  </si>
  <si>
    <t>FUNDO SETORIAL CDE - CARVÃO MINERAL - 2013</t>
  </si>
  <si>
    <t>CUSTOS</t>
  </si>
  <si>
    <t>R$</t>
  </si>
  <si>
    <t>TOTAL COMBUSTÍVEIS</t>
  </si>
  <si>
    <t>TOTAL COM REDUÇÃO</t>
  </si>
  <si>
    <t>REDUÇÃO RN 500/2012</t>
  </si>
  <si>
    <t xml:space="preserve">VALORES REEMBOLSADOS POR MÊS DE COMPETÊNCIA </t>
  </si>
  <si>
    <t>COBERTURA CDE 2013</t>
  </si>
  <si>
    <r>
      <t xml:space="preserve">O OFÍCIO </t>
    </r>
    <r>
      <rPr>
        <b/>
        <sz val="9"/>
        <color theme="1"/>
        <rFont val="Calibri"/>
        <family val="2"/>
        <scheme val="minor"/>
      </rPr>
      <t>Nº 086/2013-SEE-MME</t>
    </r>
    <r>
      <rPr>
        <sz val="9"/>
        <color theme="1"/>
        <rFont val="Calibri"/>
        <family val="2"/>
        <scheme val="minor"/>
      </rPr>
      <t xml:space="preserve"> DE 08/03/2013 INDICA QUE "TENDO EM VISTA A LEGISLAÇÃO VIGENTE, QUE DETERMINA A OBRIGATORIEDADE DA DOTAÇÃO ORÇAMENTÁRIA NA CDE, PARA A COMPRA MÍNIMA CONTRATUAL DE CARVÃO MINERAL NACIONAL, FICA AUTORIZADO O REEMBOLSO ASSOCIADO, ATÉ QUE HAJA MANIFESTAÇÃO EM CONTRÁRIO."</t>
    </r>
  </si>
  <si>
    <r>
      <t xml:space="preserve">A RESOLUÇÃO NORMATIVA Nº </t>
    </r>
    <r>
      <rPr>
        <b/>
        <sz val="9"/>
        <rFont val="Calibri"/>
        <family val="2"/>
        <scheme val="minor"/>
      </rPr>
      <t>500/2012</t>
    </r>
    <r>
      <rPr>
        <sz val="9"/>
        <rFont val="Calibri"/>
        <family val="2"/>
        <scheme val="minor"/>
      </rPr>
      <t xml:space="preserve"> - ARTIGO Nº 14 - INDICA QUE A ELETROBRAS DEVERÁ ELABORAR E ENCAMINHAR À ANEEL, ATÉ 1º DE DEZEMBRO DE CADA ANO, A PREVISÃO PARA O ANO SEGUINTE DA QUANTIDADE E DOS CUSTOS DOS COMBUSTÍVEIS DAS CENTRAIS TERMELÉTRICAS QUE UTILIZAM CARVÃO MINERAL NACIONAL PARA REEMBOLSO PELA CDE, CONSIDERANDO A PREVISÃO DA GERAÇÃO DE ENERGIA, DO CONSUMO E DO PREÇO DOS COMBUSTÍVEIS, INCLUINDO OS LIMITES DE PREÇOS DOS COMBUSTÍVEIS SECUNDÁRIOS E A REDUÇÃO DE REEMBOLSO PELOS CRITÉRIOS DE EFICIÊNCIA ENERGÉTICA E DE ATENDIMENDIMENTO À META DE GERAÇÃO ANUAL DA CENTRAL GERADORA.</t>
    </r>
  </si>
  <si>
    <t>DF/DFT/DFTG</t>
  </si>
  <si>
    <t>*DESPACHO ANEEL 899/2013 AUTORIZOU O REEMBOLSO DOS VALORES RETIDOS PARA A CGTEE, DETERMINADOS PELO TN-025/2011-ANEEL.</t>
  </si>
  <si>
    <t>DESPACHO ANEEL 899/2013*</t>
  </si>
  <si>
    <t>OFICIO ANEEL 121/2013**</t>
  </si>
  <si>
    <r>
      <t xml:space="preserve">**O OFICIO 121/2013-SRG/ANEEL AUTORIZOU O REEMBOLSO PARA A EMPRESA COPEL DE O.D. REF. </t>
    </r>
    <r>
      <rPr>
        <b/>
        <sz val="9"/>
        <color theme="1"/>
        <rFont val="Calibri"/>
        <family val="2"/>
        <scheme val="minor"/>
      </rPr>
      <t>DEZ/2011</t>
    </r>
    <r>
      <rPr>
        <sz val="9"/>
        <color theme="1"/>
        <rFont val="Calibri"/>
        <family val="2"/>
        <scheme val="minor"/>
      </rPr>
      <t xml:space="preserve"> USINA FIGUEIRA.</t>
    </r>
  </si>
  <si>
    <t>O OFÍCIO Nº 086/2013-SEE-MME DE 08/03/2013 INDICA QUE "TENDO EM VISTA A LEGISLAÇÃO VIGENTE, QUE DETERMINA A OBRIGATORIEDADE DA DOTAÇÃO ORÇAMENTÁRIA NA CDE, PARA A COMPRA MÍNIMA CONTRATUAL DE CARVÃO MINERAL NACIONAL, FICA AUTORIZADO O REEMBOLSO ASSOCIADO, ATÉ QUE HAJA MANIFESTAÇÃO EM CONTRÁRIO."</t>
  </si>
  <si>
    <t>A RESOLUÇÃO NORMATIVA Nº 500/2012 - ARTIGO Nº 14 - INDICA QUE A ELETROBRAS DEVERÁ ELABORAR E ENCAMINHAR À ANEEL, ATÉ 1º DE DEZEMBRO DE CADA ANO, A PREVISÃO PARA O ANO SEGUINTE DA QUANTIDADE E DOS CUSTOS DOS COMBUSTÍVEIS DAS CENTRAIS TERMELÉTRICAS QUE UTILIZAM CARVÃO MINERAL NACIONAL PARA REEMBOLSO PELA CDE, CONSIDERANDO A PREVISÃO DA GERAÇÃO DE ENERGIA, DO CONSUMO E DO PREÇO DOS COMBUSTÍVEIS, INCLUINDO OS LIMITES DE PREÇOS DOS COMBUSTÍVEIS SECUNDÁRIOS E A REDUÇÃO DE REEMBOLSO PELOS CRITÉRIOS DE EFICIÊNCIA ENERGÉTICA E DE ATENDIMENDIMENTO À META DE GERAÇÃO ANUAL DA CENTRAL GERADORA.</t>
  </si>
  <si>
    <t>**O OFICIO 121/2013-SRG/ANEEL AUTORIZOU O REEMBOLSO PARA A EMPRESA COPEL DE O.D. REF. DEZ/2011 USINA FIGUEIRA.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</si>
</sst>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43" fontId="2" fillId="0" borderId="1" xfId="1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3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9" fontId="2" fillId="0" borderId="0" xfId="0" applyNumberFormat="1" applyFont="1" applyFill="1"/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2" fillId="0" borderId="0" xfId="0" applyNumberFormat="1" applyFont="1" applyFill="1"/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14" fontId="2" fillId="0" borderId="0" xfId="0" applyNumberFormat="1" applyFont="1" applyFill="1"/>
    <xf numFmtId="43" fontId="2" fillId="2" borderId="1" xfId="1" applyFont="1" applyFill="1" applyBorder="1"/>
    <xf numFmtId="43" fontId="3" fillId="2" borderId="1" xfId="1" applyFont="1" applyFill="1" applyBorder="1"/>
    <xf numFmtId="43" fontId="3" fillId="2" borderId="11" xfId="0" applyNumberFormat="1" applyFont="1" applyFill="1" applyBorder="1"/>
    <xf numFmtId="43" fontId="3" fillId="2" borderId="12" xfId="0" applyNumberFormat="1" applyFont="1" applyFill="1" applyBorder="1"/>
    <xf numFmtId="9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3" fillId="3" borderId="11" xfId="0" applyNumberFormat="1" applyFont="1" applyFill="1" applyBorder="1"/>
    <xf numFmtId="43" fontId="3" fillId="3" borderId="12" xfId="0" applyNumberFormat="1" applyFont="1" applyFill="1" applyBorder="1"/>
    <xf numFmtId="43" fontId="2" fillId="0" borderId="0" xfId="1" applyFont="1" applyFill="1"/>
    <xf numFmtId="43" fontId="3" fillId="4" borderId="1" xfId="1" applyFont="1" applyFill="1" applyBorder="1"/>
    <xf numFmtId="43" fontId="3" fillId="5" borderId="1" xfId="1" applyFont="1" applyFill="1" applyBorder="1"/>
    <xf numFmtId="43" fontId="2" fillId="5" borderId="1" xfId="1" applyFont="1" applyFill="1" applyBorder="1"/>
    <xf numFmtId="0" fontId="3" fillId="0" borderId="1" xfId="0" applyFont="1" applyFill="1" applyBorder="1"/>
    <xf numFmtId="0" fontId="3" fillId="6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43" fontId="7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43" fontId="3" fillId="0" borderId="0" xfId="1" applyFont="1" applyFill="1"/>
    <xf numFmtId="43" fontId="2" fillId="4" borderId="0" xfId="1" applyFont="1" applyFill="1"/>
    <xf numFmtId="0" fontId="2" fillId="4" borderId="0" xfId="0" applyFont="1" applyFill="1"/>
    <xf numFmtId="43" fontId="3" fillId="4" borderId="0" xfId="1" applyFont="1" applyFill="1"/>
    <xf numFmtId="0" fontId="3" fillId="4" borderId="0" xfId="0" applyFont="1" applyFill="1"/>
    <xf numFmtId="43" fontId="2" fillId="4" borderId="0" xfId="0" applyNumberFormat="1" applyFont="1" applyFill="1"/>
    <xf numFmtId="43" fontId="3" fillId="4" borderId="0" xfId="0" applyNumberFormat="1" applyFont="1" applyFill="1"/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justify" vertical="justify" wrapText="1"/>
    </xf>
    <xf numFmtId="0" fontId="5" fillId="0" borderId="0" xfId="0" applyFont="1" applyFill="1" applyBorder="1" applyAlignment="1">
      <alignment horizontal="justify" vertical="justify" wrapText="1"/>
    </xf>
    <xf numFmtId="0" fontId="5" fillId="0" borderId="6" xfId="0" applyFont="1" applyFill="1" applyBorder="1" applyAlignment="1">
      <alignment horizontal="justify" vertical="justify" wrapText="1"/>
    </xf>
    <xf numFmtId="0" fontId="2" fillId="0" borderId="5" xfId="0" applyFont="1" applyFill="1" applyBorder="1" applyAlignment="1">
      <alignment horizontal="justify" vertical="justify" wrapText="1"/>
    </xf>
    <xf numFmtId="0" fontId="2" fillId="0" borderId="0" xfId="0" applyFont="1" applyFill="1" applyBorder="1" applyAlignment="1">
      <alignment horizontal="justify" vertical="justify" wrapText="1"/>
    </xf>
    <xf numFmtId="0" fontId="2" fillId="0" borderId="6" xfId="0" applyFont="1" applyFill="1" applyBorder="1" applyAlignment="1">
      <alignment horizontal="justify" vertical="justify" wrapText="1"/>
    </xf>
    <xf numFmtId="0" fontId="0" fillId="0" borderId="5" xfId="0" applyBorder="1" applyAlignment="1">
      <alignment horizontal="justify" vertical="justify" wrapText="1"/>
    </xf>
    <xf numFmtId="0" fontId="0" fillId="0" borderId="0" xfId="0" applyBorder="1" applyAlignment="1">
      <alignment horizontal="justify" vertical="justify" wrapText="1"/>
    </xf>
    <xf numFmtId="0" fontId="0" fillId="0" borderId="6" xfId="0" applyBorder="1" applyAlignment="1">
      <alignment horizontal="justify" vertical="justify" wrapText="1"/>
    </xf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95250</xdr:rowOff>
    </xdr:from>
    <xdr:to>
      <xdr:col>0</xdr:col>
      <xdr:colOff>476251</xdr:colOff>
      <xdr:row>2</xdr:row>
      <xdr:rowOff>142875</xdr:rowOff>
    </xdr:to>
    <xdr:pic>
      <xdr:nvPicPr>
        <xdr:cNvPr id="2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95250"/>
          <a:ext cx="409576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0</xdr:rowOff>
    </xdr:from>
    <xdr:to>
      <xdr:col>0</xdr:col>
      <xdr:colOff>923925</xdr:colOff>
      <xdr:row>3</xdr:row>
      <xdr:rowOff>28384</xdr:rowOff>
    </xdr:to>
    <xdr:pic>
      <xdr:nvPicPr>
        <xdr:cNvPr id="3" name="Imagem 2" descr="Eletrobras_marca_princ_cor_RGB_alta[1]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0"/>
          <a:ext cx="809624" cy="514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0"/>
  <sheetViews>
    <sheetView showGridLines="0" topLeftCell="A28" zoomScaleNormal="100" workbookViewId="0">
      <selection activeCell="C60" sqref="C60"/>
    </sheetView>
  </sheetViews>
  <sheetFormatPr defaultRowHeight="12.95" customHeight="1"/>
  <cols>
    <col min="1" max="1" width="16" style="2" customWidth="1"/>
    <col min="2" max="2" width="17" style="2" customWidth="1"/>
    <col min="3" max="3" width="14.28515625" style="4" customWidth="1"/>
    <col min="4" max="15" width="12.7109375" style="2" customWidth="1"/>
    <col min="16" max="17" width="9.140625" style="2"/>
    <col min="18" max="18" width="11.140625" style="31" bestFit="1" customWidth="1"/>
    <col min="19" max="19" width="9.85546875" style="31" bestFit="1" customWidth="1"/>
    <col min="20" max="21" width="9.85546875" style="2" bestFit="1" customWidth="1"/>
    <col min="22" max="22" width="11.140625" style="2" bestFit="1" customWidth="1"/>
    <col min="23" max="16384" width="9.140625" style="2"/>
  </cols>
  <sheetData>
    <row r="1" spans="1:22" ht="12.95" customHeight="1">
      <c r="B1" s="4" t="s">
        <v>31</v>
      </c>
    </row>
    <row r="2" spans="1:22" ht="12.95" customHeight="1">
      <c r="B2" s="4" t="s">
        <v>37</v>
      </c>
    </row>
    <row r="3" spans="1:22" ht="12.95" customHeight="1">
      <c r="B3" s="4" t="s">
        <v>33</v>
      </c>
      <c r="D3" s="13"/>
    </row>
    <row r="5" spans="1:22" s="4" customFormat="1" ht="12.95" customHeight="1">
      <c r="A5" s="28" t="s">
        <v>17</v>
      </c>
      <c r="B5" s="5" t="s">
        <v>32</v>
      </c>
      <c r="C5" s="5">
        <v>2013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R5" s="42"/>
      <c r="S5" s="42"/>
    </row>
    <row r="7" spans="1:22" ht="12.95" customHeight="1">
      <c r="A7" s="58" t="s">
        <v>15</v>
      </c>
      <c r="B7" s="35" t="s">
        <v>0</v>
      </c>
      <c r="C7" s="33">
        <f>SUM(D7:O7)</f>
        <v>701728000</v>
      </c>
      <c r="D7" s="34">
        <f>44820904.69+307695.31+3115200</f>
        <v>48243800</v>
      </c>
      <c r="E7" s="34">
        <f>41026000+6153900+3256800</f>
        <v>50436700</v>
      </c>
      <c r="F7" s="34">
        <f>43858000+8771600</f>
        <v>52629600</v>
      </c>
      <c r="G7" s="34">
        <f>43858000+10964500</f>
        <v>54822500</v>
      </c>
      <c r="H7" s="34">
        <f>43858000+13157400</f>
        <v>57015400</v>
      </c>
      <c r="I7" s="34">
        <f>43858000+13157400</f>
        <v>57015400</v>
      </c>
      <c r="J7" s="34">
        <f>43858000+15350300</f>
        <v>59208300</v>
      </c>
      <c r="K7" s="34">
        <f>43858000+17543200</f>
        <v>61401200</v>
      </c>
      <c r="L7" s="34">
        <f>43858000+19736100</f>
        <v>63594100</v>
      </c>
      <c r="M7" s="34">
        <v>65787000</v>
      </c>
      <c r="N7" s="34">
        <v>65787000</v>
      </c>
      <c r="O7" s="34">
        <v>65787000</v>
      </c>
    </row>
    <row r="8" spans="1:22" ht="12.95" customHeight="1">
      <c r="A8" s="59"/>
      <c r="B8" s="35" t="s">
        <v>1</v>
      </c>
      <c r="C8" s="32">
        <f t="shared" ref="C8:C11" si="0">SUM(D8:O8)</f>
        <v>2458709.3799360045</v>
      </c>
      <c r="D8" s="3">
        <v>228746.73</v>
      </c>
      <c r="E8" s="3">
        <v>227421.24</v>
      </c>
      <c r="F8" s="3">
        <v>221626.62</v>
      </c>
      <c r="G8" s="3">
        <v>224500.47</v>
      </c>
      <c r="H8" s="3">
        <v>225743.85</v>
      </c>
      <c r="I8" s="3">
        <v>224887.56</v>
      </c>
      <c r="J8" s="3">
        <v>227516.50560123194</v>
      </c>
      <c r="K8" s="3">
        <v>225077.4123347729</v>
      </c>
      <c r="L8" s="3">
        <v>229026.25199999998</v>
      </c>
      <c r="M8" s="3">
        <v>263621.01</v>
      </c>
      <c r="N8" s="3">
        <v>160541.73000000001</v>
      </c>
      <c r="O8" s="3"/>
    </row>
    <row r="9" spans="1:22" ht="12.95" customHeight="1">
      <c r="A9" s="59"/>
      <c r="B9" s="35" t="s">
        <v>2</v>
      </c>
      <c r="C9" s="33">
        <f t="shared" si="0"/>
        <v>4198539.4000000004</v>
      </c>
      <c r="D9" s="34">
        <v>323360</v>
      </c>
      <c r="E9" s="34">
        <v>340576</v>
      </c>
      <c r="F9" s="34">
        <v>349147.4</v>
      </c>
      <c r="G9" s="34">
        <v>353750</v>
      </c>
      <c r="H9" s="34">
        <v>353880</v>
      </c>
      <c r="I9" s="34">
        <v>352680</v>
      </c>
      <c r="J9" s="34">
        <v>350879.99999999994</v>
      </c>
      <c r="K9" s="34">
        <v>349680</v>
      </c>
      <c r="L9" s="34">
        <v>353279.99999999994</v>
      </c>
      <c r="M9" s="34">
        <v>353080</v>
      </c>
      <c r="N9" s="34">
        <v>353880</v>
      </c>
      <c r="O9" s="34">
        <v>364346</v>
      </c>
    </row>
    <row r="10" spans="1:22" ht="12.95" customHeight="1">
      <c r="A10" s="59"/>
      <c r="B10" s="35" t="s">
        <v>34</v>
      </c>
      <c r="C10" s="24">
        <f t="shared" si="0"/>
        <v>708385248.77993596</v>
      </c>
      <c r="D10" s="23">
        <f>SUM(D7:D9)</f>
        <v>48795906.729999997</v>
      </c>
      <c r="E10" s="23">
        <f t="shared" ref="E10:O10" si="1">SUM(E7:E9)</f>
        <v>51004697.240000002</v>
      </c>
      <c r="F10" s="23">
        <f t="shared" si="1"/>
        <v>53200374.019999996</v>
      </c>
      <c r="G10" s="23">
        <f t="shared" si="1"/>
        <v>55400750.469999999</v>
      </c>
      <c r="H10" s="23">
        <f t="shared" si="1"/>
        <v>57595023.850000001</v>
      </c>
      <c r="I10" s="23">
        <f t="shared" si="1"/>
        <v>57592967.560000002</v>
      </c>
      <c r="J10" s="23">
        <f t="shared" si="1"/>
        <v>59786696.505601235</v>
      </c>
      <c r="K10" s="23">
        <f t="shared" si="1"/>
        <v>61975957.41233477</v>
      </c>
      <c r="L10" s="23">
        <f t="shared" si="1"/>
        <v>64176406.251999997</v>
      </c>
      <c r="M10" s="23">
        <f t="shared" si="1"/>
        <v>66403701.009999998</v>
      </c>
      <c r="N10" s="23">
        <f t="shared" si="1"/>
        <v>66301421.729999997</v>
      </c>
      <c r="O10" s="23">
        <f t="shared" si="1"/>
        <v>66151346</v>
      </c>
      <c r="R10" s="43"/>
      <c r="S10" s="43"/>
      <c r="T10" s="44"/>
      <c r="U10" s="44"/>
      <c r="V10" s="44"/>
    </row>
    <row r="11" spans="1:22" ht="12.95" customHeight="1">
      <c r="A11" s="60"/>
      <c r="B11" s="35" t="s">
        <v>35</v>
      </c>
      <c r="C11" s="24">
        <f t="shared" si="0"/>
        <v>708385248.77993596</v>
      </c>
      <c r="D11" s="24">
        <f t="shared" ref="D11:O11" si="2">D10*$F46</f>
        <v>48795906.729999997</v>
      </c>
      <c r="E11" s="24">
        <f t="shared" si="2"/>
        <v>51004697.240000002</v>
      </c>
      <c r="F11" s="24">
        <f t="shared" si="2"/>
        <v>53200374.019999996</v>
      </c>
      <c r="G11" s="24">
        <f t="shared" si="2"/>
        <v>55400750.469999999</v>
      </c>
      <c r="H11" s="24">
        <f t="shared" si="2"/>
        <v>57595023.850000001</v>
      </c>
      <c r="I11" s="24">
        <f t="shared" si="2"/>
        <v>57592967.560000002</v>
      </c>
      <c r="J11" s="24">
        <f t="shared" si="2"/>
        <v>59786696.505601235</v>
      </c>
      <c r="K11" s="24">
        <f t="shared" si="2"/>
        <v>61975957.41233477</v>
      </c>
      <c r="L11" s="24">
        <f t="shared" si="2"/>
        <v>64176406.251999997</v>
      </c>
      <c r="M11" s="24">
        <f t="shared" si="2"/>
        <v>66403701.009999998</v>
      </c>
      <c r="N11" s="24">
        <f t="shared" si="2"/>
        <v>66301421.729999997</v>
      </c>
      <c r="O11" s="24">
        <f t="shared" si="2"/>
        <v>66151346</v>
      </c>
      <c r="R11" s="43"/>
      <c r="S11" s="43"/>
      <c r="T11" s="44"/>
      <c r="U11" s="44"/>
      <c r="V11" s="44"/>
    </row>
    <row r="12" spans="1:22" ht="12.95" customHeight="1">
      <c r="A12" s="49" t="s">
        <v>16</v>
      </c>
      <c r="B12" s="35" t="s">
        <v>0</v>
      </c>
      <c r="C12" s="33">
        <f>SUM(D12:O12)</f>
        <v>34330911.11999999</v>
      </c>
      <c r="D12" s="34">
        <f>2675589.54+185319.72</f>
        <v>2860909.2600000002</v>
      </c>
      <c r="E12" s="34">
        <f>2675589.54+185319.72</f>
        <v>2860909.2600000002</v>
      </c>
      <c r="F12" s="34">
        <v>2860909.26</v>
      </c>
      <c r="G12" s="34">
        <v>2860909.26</v>
      </c>
      <c r="H12" s="34">
        <v>2860909.26</v>
      </c>
      <c r="I12" s="34">
        <v>2860909.26</v>
      </c>
      <c r="J12" s="34">
        <v>2860909.26</v>
      </c>
      <c r="K12" s="34">
        <v>2860909.26</v>
      </c>
      <c r="L12" s="34">
        <v>2860909.26</v>
      </c>
      <c r="M12" s="34">
        <v>2860909.26</v>
      </c>
      <c r="N12" s="34">
        <v>2860909.26</v>
      </c>
      <c r="O12" s="34">
        <v>2860909.26</v>
      </c>
      <c r="R12" s="43"/>
      <c r="S12" s="43"/>
      <c r="T12" s="44"/>
      <c r="U12" s="44"/>
      <c r="V12" s="44"/>
    </row>
    <row r="13" spans="1:22" ht="12.95" customHeight="1">
      <c r="A13" s="50"/>
      <c r="B13" s="35" t="s">
        <v>1</v>
      </c>
      <c r="C13" s="32">
        <f>SUM(D13:O13)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43"/>
      <c r="S13" s="43"/>
      <c r="T13" s="44"/>
      <c r="U13" s="44"/>
      <c r="V13" s="44"/>
    </row>
    <row r="14" spans="1:22" ht="12.95" customHeight="1">
      <c r="A14" s="50"/>
      <c r="B14" s="35" t="s">
        <v>2</v>
      </c>
      <c r="C14" s="33">
        <f t="shared" ref="C14:C16" si="3">SUM(D14:O14)</f>
        <v>1724815</v>
      </c>
      <c r="D14" s="34">
        <v>124020</v>
      </c>
      <c r="E14" s="34">
        <v>128115</v>
      </c>
      <c r="F14" s="34">
        <v>110440</v>
      </c>
      <c r="G14" s="34">
        <v>151725</v>
      </c>
      <c r="H14" s="34">
        <v>161680</v>
      </c>
      <c r="I14" s="34">
        <v>161440</v>
      </c>
      <c r="J14" s="34">
        <v>160960</v>
      </c>
      <c r="K14" s="34">
        <v>160159.99999999997</v>
      </c>
      <c r="L14" s="34">
        <v>140280</v>
      </c>
      <c r="M14" s="34">
        <v>150000</v>
      </c>
      <c r="N14" s="34">
        <v>140210</v>
      </c>
      <c r="O14" s="34">
        <v>135785</v>
      </c>
      <c r="R14" s="43"/>
      <c r="S14" s="43"/>
      <c r="T14" s="44"/>
      <c r="U14" s="44"/>
      <c r="V14" s="44"/>
    </row>
    <row r="15" spans="1:22" ht="12.95" customHeight="1">
      <c r="A15" s="50"/>
      <c r="B15" s="35" t="s">
        <v>34</v>
      </c>
      <c r="C15" s="24">
        <f t="shared" si="3"/>
        <v>36055726.11999999</v>
      </c>
      <c r="D15" s="23">
        <f>SUM(D12:D14)</f>
        <v>2984929.2600000002</v>
      </c>
      <c r="E15" s="23">
        <f t="shared" ref="E15" si="4">SUM(E12:E14)</f>
        <v>2989024.2600000002</v>
      </c>
      <c r="F15" s="23">
        <f t="shared" ref="F15" si="5">SUM(F12:F14)</f>
        <v>2971349.26</v>
      </c>
      <c r="G15" s="23">
        <f t="shared" ref="G15" si="6">SUM(G12:G14)</f>
        <v>3012634.26</v>
      </c>
      <c r="H15" s="23">
        <f t="shared" ref="H15" si="7">SUM(H12:H14)</f>
        <v>3022589.26</v>
      </c>
      <c r="I15" s="23">
        <f t="shared" ref="I15" si="8">SUM(I12:I14)</f>
        <v>3022349.26</v>
      </c>
      <c r="J15" s="23">
        <f t="shared" ref="J15" si="9">SUM(J12:J14)</f>
        <v>3021869.26</v>
      </c>
      <c r="K15" s="23">
        <f t="shared" ref="K15" si="10">SUM(K12:K14)</f>
        <v>3021069.26</v>
      </c>
      <c r="L15" s="23">
        <f t="shared" ref="L15" si="11">SUM(L12:L14)</f>
        <v>3001189.26</v>
      </c>
      <c r="M15" s="23">
        <f t="shared" ref="M15" si="12">SUM(M12:M14)</f>
        <v>3010909.26</v>
      </c>
      <c r="N15" s="23">
        <f t="shared" ref="N15" si="13">SUM(N12:N14)</f>
        <v>3001119.26</v>
      </c>
      <c r="O15" s="23">
        <f t="shared" ref="O15" si="14">SUM(O12:O14)</f>
        <v>2996694.26</v>
      </c>
      <c r="R15" s="43"/>
      <c r="S15" s="43"/>
      <c r="T15" s="44"/>
      <c r="U15" s="44"/>
      <c r="V15" s="44"/>
    </row>
    <row r="16" spans="1:22" ht="12.95" customHeight="1" thickBot="1">
      <c r="A16" s="51"/>
      <c r="B16" s="35" t="s">
        <v>35</v>
      </c>
      <c r="C16" s="24">
        <f t="shared" si="3"/>
        <v>36055726.11999999</v>
      </c>
      <c r="D16" s="23">
        <f t="shared" ref="D16:O16" si="15">D15*$F47</f>
        <v>2984929.2600000002</v>
      </c>
      <c r="E16" s="23">
        <f t="shared" si="15"/>
        <v>2989024.2600000002</v>
      </c>
      <c r="F16" s="23">
        <f t="shared" si="15"/>
        <v>2971349.26</v>
      </c>
      <c r="G16" s="23">
        <f t="shared" si="15"/>
        <v>3012634.26</v>
      </c>
      <c r="H16" s="23">
        <f t="shared" si="15"/>
        <v>3022589.26</v>
      </c>
      <c r="I16" s="23">
        <f t="shared" si="15"/>
        <v>3022349.26</v>
      </c>
      <c r="J16" s="23">
        <f t="shared" si="15"/>
        <v>3021869.26</v>
      </c>
      <c r="K16" s="23">
        <f t="shared" si="15"/>
        <v>3021069.26</v>
      </c>
      <c r="L16" s="23">
        <f t="shared" si="15"/>
        <v>3001189.26</v>
      </c>
      <c r="M16" s="23">
        <f t="shared" si="15"/>
        <v>3010909.26</v>
      </c>
      <c r="N16" s="23">
        <f t="shared" si="15"/>
        <v>3001119.26</v>
      </c>
      <c r="O16" s="23">
        <f t="shared" si="15"/>
        <v>2996694.26</v>
      </c>
      <c r="R16" s="43"/>
      <c r="S16" s="43"/>
      <c r="T16" s="44"/>
      <c r="U16" s="44"/>
      <c r="V16" s="44"/>
    </row>
    <row r="17" spans="1:22" s="4" customFormat="1" ht="12.95" customHeight="1" thickBot="1">
      <c r="A17" s="53" t="s">
        <v>23</v>
      </c>
      <c r="B17" s="54"/>
      <c r="C17" s="29">
        <f>SUM(D17:O17)</f>
        <v>744440974.89993596</v>
      </c>
      <c r="D17" s="29">
        <f t="shared" ref="D17:O17" si="16">D11+D16</f>
        <v>51780835.989999995</v>
      </c>
      <c r="E17" s="29">
        <f t="shared" si="16"/>
        <v>53993721.5</v>
      </c>
      <c r="F17" s="29">
        <f t="shared" si="16"/>
        <v>56171723.279999994</v>
      </c>
      <c r="G17" s="29">
        <f t="shared" si="16"/>
        <v>58413384.729999997</v>
      </c>
      <c r="H17" s="29">
        <f t="shared" si="16"/>
        <v>60617613.109999999</v>
      </c>
      <c r="I17" s="29">
        <f t="shared" si="16"/>
        <v>60615316.82</v>
      </c>
      <c r="J17" s="29">
        <f t="shared" si="16"/>
        <v>62808565.765601233</v>
      </c>
      <c r="K17" s="29">
        <f t="shared" si="16"/>
        <v>64997026.672334768</v>
      </c>
      <c r="L17" s="29">
        <f t="shared" si="16"/>
        <v>67177595.511999995</v>
      </c>
      <c r="M17" s="29">
        <f t="shared" si="16"/>
        <v>69414610.269999996</v>
      </c>
      <c r="N17" s="29">
        <f t="shared" si="16"/>
        <v>69302540.989999995</v>
      </c>
      <c r="O17" s="30">
        <f t="shared" si="16"/>
        <v>69148040.260000005</v>
      </c>
      <c r="R17" s="45"/>
      <c r="S17" s="45"/>
      <c r="T17" s="48"/>
      <c r="U17" s="46"/>
      <c r="V17" s="46"/>
    </row>
    <row r="18" spans="1:22" ht="12.95" customHeight="1">
      <c r="R18" s="43"/>
      <c r="S18" s="43"/>
      <c r="T18" s="43"/>
      <c r="U18" s="43"/>
      <c r="V18" s="47"/>
    </row>
    <row r="19" spans="1:22" ht="12.95" customHeight="1">
      <c r="A19" s="49" t="s">
        <v>18</v>
      </c>
      <c r="B19" s="35" t="s">
        <v>0</v>
      </c>
      <c r="C19" s="33">
        <f>SUM(D19:O19)</f>
        <v>70384518.329999998</v>
      </c>
      <c r="D19" s="34">
        <v>5550426.5300000003</v>
      </c>
      <c r="E19" s="34">
        <v>5550426.5300000003</v>
      </c>
      <c r="F19" s="34">
        <f t="shared" ref="F19" si="17">5025333.21+525093.32</f>
        <v>5550426.5300000003</v>
      </c>
      <c r="G19" s="34">
        <f>5025333.21+525093.32+374666.66+45266.67</f>
        <v>5970359.8600000003</v>
      </c>
      <c r="H19" s="34">
        <f>5025333.21+525093.32+374666.66+45266.67</f>
        <v>5970359.8600000003</v>
      </c>
      <c r="I19" s="34">
        <f>5025333.21+525093.32+374666.66+45266.67</f>
        <v>5970359.8600000003</v>
      </c>
      <c r="J19" s="34">
        <f>5025333.21+525093.32+374666.66+45266.67</f>
        <v>5970359.8600000003</v>
      </c>
      <c r="K19" s="34">
        <f>5025333.21+525093.32+374666.66+45266.67</f>
        <v>5970359.8600000003</v>
      </c>
      <c r="L19" s="34">
        <f>5399999.87+570359.99</f>
        <v>5970359.8600000003</v>
      </c>
      <c r="M19" s="34">
        <f>5399999.87+570359.99</f>
        <v>5970359.8600000003</v>
      </c>
      <c r="N19" s="34">
        <v>5970359.8600000003</v>
      </c>
      <c r="O19" s="34">
        <v>5970359.8600000003</v>
      </c>
      <c r="R19" s="43"/>
      <c r="S19" s="43"/>
      <c r="T19" s="43"/>
      <c r="U19" s="43"/>
      <c r="V19" s="47"/>
    </row>
    <row r="20" spans="1:22" ht="12.95" customHeight="1">
      <c r="A20" s="50"/>
      <c r="B20" s="35" t="s">
        <v>1</v>
      </c>
      <c r="C20" s="32">
        <f t="shared" ref="C20:C23" si="18">SUM(D20:O20)</f>
        <v>26473144.573000003</v>
      </c>
      <c r="D20" s="3">
        <v>2769170.26</v>
      </c>
      <c r="E20" s="3">
        <v>2794736.9</v>
      </c>
      <c r="F20" s="3">
        <v>2470317.1860000002</v>
      </c>
      <c r="G20" s="3">
        <v>3483780.94</v>
      </c>
      <c r="H20" s="3">
        <v>1477730.7</v>
      </c>
      <c r="I20" s="3">
        <v>2461381.5239999997</v>
      </c>
      <c r="J20" s="3"/>
      <c r="K20" s="3">
        <v>3531186.2679999997</v>
      </c>
      <c r="L20" s="3"/>
      <c r="M20" s="3">
        <v>2289872.1549999998</v>
      </c>
      <c r="N20" s="3">
        <v>1407888.95</v>
      </c>
      <c r="O20" s="3">
        <v>3787079.69</v>
      </c>
      <c r="R20" s="45"/>
      <c r="S20" s="45"/>
      <c r="T20" s="45"/>
      <c r="U20" s="45"/>
      <c r="V20" s="47"/>
    </row>
    <row r="21" spans="1:22" ht="12.95" customHeight="1">
      <c r="A21" s="50"/>
      <c r="B21" s="35" t="s">
        <v>2</v>
      </c>
      <c r="C21" s="33">
        <f t="shared" si="18"/>
        <v>144669.62733333331</v>
      </c>
      <c r="D21" s="34"/>
      <c r="E21" s="34"/>
      <c r="F21" s="34"/>
      <c r="G21" s="34"/>
      <c r="H21" s="34"/>
      <c r="I21" s="34">
        <v>51978.219999999994</v>
      </c>
      <c r="J21" s="34"/>
      <c r="K21" s="34"/>
      <c r="L21" s="34">
        <v>42965.183333333334</v>
      </c>
      <c r="M21" s="34">
        <v>49726.223999999995</v>
      </c>
      <c r="N21" s="34"/>
      <c r="O21" s="34"/>
      <c r="R21" s="43"/>
      <c r="S21" s="43"/>
      <c r="T21" s="43"/>
      <c r="U21" s="43"/>
      <c r="V21" s="47"/>
    </row>
    <row r="22" spans="1:22" ht="12.95" customHeight="1">
      <c r="A22" s="50"/>
      <c r="B22" s="35" t="s">
        <v>34</v>
      </c>
      <c r="C22" s="24">
        <f t="shared" si="18"/>
        <v>97002332.53033334</v>
      </c>
      <c r="D22" s="23">
        <f>SUM(D19:D21)</f>
        <v>8319596.79</v>
      </c>
      <c r="E22" s="23">
        <f t="shared" ref="E22" si="19">SUM(E19:E21)</f>
        <v>8345163.4299999997</v>
      </c>
      <c r="F22" s="23">
        <f t="shared" ref="F22" si="20">SUM(F19:F21)</f>
        <v>8020743.716</v>
      </c>
      <c r="G22" s="23">
        <f t="shared" ref="G22" si="21">SUM(G19:G21)</f>
        <v>9454140.8000000007</v>
      </c>
      <c r="H22" s="23">
        <f t="shared" ref="H22" si="22">SUM(H19:H21)</f>
        <v>7448090.5600000005</v>
      </c>
      <c r="I22" s="23">
        <f t="shared" ref="I22" si="23">SUM(I19:I21)</f>
        <v>8483719.6040000003</v>
      </c>
      <c r="J22" s="23">
        <f t="shared" ref="J22" si="24">SUM(J19:J21)</f>
        <v>5970359.8600000003</v>
      </c>
      <c r="K22" s="23">
        <f t="shared" ref="K22" si="25">SUM(K19:K21)</f>
        <v>9501546.1280000005</v>
      </c>
      <c r="L22" s="23">
        <f t="shared" ref="L22" si="26">SUM(L19:L21)</f>
        <v>6013325.0433333339</v>
      </c>
      <c r="M22" s="23">
        <f t="shared" ref="M22" si="27">SUM(M19:M21)</f>
        <v>8309958.239000001</v>
      </c>
      <c r="N22" s="23">
        <f t="shared" ref="N22" si="28">SUM(N19:N21)</f>
        <v>7378248.8100000005</v>
      </c>
      <c r="O22" s="23">
        <f t="shared" ref="O22" si="29">SUM(O19:O21)</f>
        <v>9757439.5500000007</v>
      </c>
      <c r="R22" s="43"/>
      <c r="S22" s="43"/>
      <c r="T22" s="43"/>
      <c r="U22" s="43"/>
      <c r="V22" s="47"/>
    </row>
    <row r="23" spans="1:22" ht="12.95" customHeight="1">
      <c r="A23" s="61"/>
      <c r="B23" s="35" t="s">
        <v>35</v>
      </c>
      <c r="C23" s="24">
        <f t="shared" si="18"/>
        <v>63536527.807368338</v>
      </c>
      <c r="D23" s="23">
        <f t="shared" ref="D23:O23" si="30">D22*$F48</f>
        <v>5449335.89745</v>
      </c>
      <c r="E23" s="23">
        <f t="shared" si="30"/>
        <v>5466082.0466499999</v>
      </c>
      <c r="F23" s="23">
        <f t="shared" si="30"/>
        <v>5253587.1339800004</v>
      </c>
      <c r="G23" s="23">
        <f t="shared" si="30"/>
        <v>6192462.2240000004</v>
      </c>
      <c r="H23" s="23">
        <f t="shared" si="30"/>
        <v>4878499.3168000001</v>
      </c>
      <c r="I23" s="23">
        <f t="shared" si="30"/>
        <v>5556836.3406200008</v>
      </c>
      <c r="J23" s="23">
        <f t="shared" si="30"/>
        <v>3910585.7083000005</v>
      </c>
      <c r="K23" s="23">
        <f t="shared" si="30"/>
        <v>6223512.7138400003</v>
      </c>
      <c r="L23" s="23">
        <f t="shared" si="30"/>
        <v>3938727.9033833337</v>
      </c>
      <c r="M23" s="23">
        <f t="shared" si="30"/>
        <v>5443022.6465450013</v>
      </c>
      <c r="N23" s="23">
        <f t="shared" si="30"/>
        <v>4832752.9705500007</v>
      </c>
      <c r="O23" s="23">
        <f t="shared" si="30"/>
        <v>6391122.9052500008</v>
      </c>
      <c r="R23" s="45"/>
      <c r="S23" s="45"/>
      <c r="T23" s="45"/>
      <c r="U23" s="45"/>
      <c r="V23" s="47"/>
    </row>
    <row r="24" spans="1:22" ht="12.95" customHeight="1">
      <c r="A24" s="62" t="s">
        <v>19</v>
      </c>
      <c r="B24" s="36" t="s">
        <v>0</v>
      </c>
      <c r="C24" s="33">
        <f>SUM(D24:O24)</f>
        <v>73816637.139999986</v>
      </c>
      <c r="D24" s="34">
        <v>5925891.4299999997</v>
      </c>
      <c r="E24" s="34">
        <f>4157916.47+557911.64+548292.47+766703.1</f>
        <v>6030823.6799999997</v>
      </c>
      <c r="F24" s="34">
        <f>4157916.47+557911.64+548292.47+483587.08</f>
        <v>5747707.6600000001</v>
      </c>
      <c r="G24" s="34">
        <f>4157916.47+557911.64+548292.47+600804.76+310249.99+48095.83+43973.33+53325.87</f>
        <v>6320570.3600000003</v>
      </c>
      <c r="H24" s="34">
        <f>4157916.47+557911.64+548292.47+708684.28+310249.99+48095.83+43973.33+62900.97</f>
        <v>6438024.9800000004</v>
      </c>
      <c r="I24" s="34">
        <f>4157916.47+557911.64+548292.47+625533.21+310249.99+48095.83+43973.33+55520.7</f>
        <v>6347493.6400000006</v>
      </c>
      <c r="J24" s="34">
        <f>4157916.47+557911.64+548292.47+465400.48+310249.99+48095.83+43973.33+41307.73</f>
        <v>6173147.9400000013</v>
      </c>
      <c r="K24" s="34">
        <f>4157916.47+557911.64+548292.47+794766.14+310249.99+48095.83+43973.33+70541.38</f>
        <v>6531747.25</v>
      </c>
      <c r="L24" s="34">
        <f>4468166.46+606007.47+592265.8+261262.59</f>
        <v>5927702.3199999994</v>
      </c>
      <c r="M24" s="34">
        <f>4468166.46+606007.47+592265.8+488332.71</f>
        <v>6154772.4399999995</v>
      </c>
      <c r="N24" s="34">
        <v>6217071.9500000002</v>
      </c>
      <c r="O24" s="34">
        <v>6001683.4900000002</v>
      </c>
      <c r="R24" s="43"/>
      <c r="S24" s="43"/>
      <c r="T24" s="43"/>
      <c r="U24" s="43"/>
      <c r="V24" s="47"/>
    </row>
    <row r="25" spans="1:22" ht="12.95" customHeight="1">
      <c r="A25" s="63"/>
      <c r="B25" s="36" t="s">
        <v>1</v>
      </c>
      <c r="C25" s="32">
        <f t="shared" ref="C25:C28" si="31">SUM(D25:O25)</f>
        <v>7055921.21</v>
      </c>
      <c r="D25" s="3"/>
      <c r="E25" s="31">
        <v>1024689.11</v>
      </c>
      <c r="F25" s="3">
        <v>571506.62</v>
      </c>
      <c r="G25" s="3">
        <v>724164.37</v>
      </c>
      <c r="H25" s="3">
        <v>382742.23</v>
      </c>
      <c r="I25" s="3">
        <v>594861.46</v>
      </c>
      <c r="J25" s="3">
        <v>720344.41</v>
      </c>
      <c r="K25" s="3">
        <v>661284.87</v>
      </c>
      <c r="L25" s="3">
        <v>1135640.43</v>
      </c>
      <c r="M25" s="3">
        <v>1240687.71</v>
      </c>
      <c r="N25" s="3"/>
      <c r="O25" s="3"/>
    </row>
    <row r="26" spans="1:22" ht="12.95" customHeight="1">
      <c r="A26" s="63"/>
      <c r="B26" s="36" t="s">
        <v>2</v>
      </c>
      <c r="C26" s="33">
        <f t="shared" si="31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22" ht="12.95" customHeight="1">
      <c r="A27" s="63"/>
      <c r="B27" s="36" t="s">
        <v>34</v>
      </c>
      <c r="C27" s="24">
        <f t="shared" si="31"/>
        <v>80872558.349999994</v>
      </c>
      <c r="D27" s="23">
        <f>SUM(D24:D26)</f>
        <v>5925891.4299999997</v>
      </c>
      <c r="E27" s="23">
        <f>SUM(E24:E26)</f>
        <v>7055512.79</v>
      </c>
      <c r="F27" s="23">
        <f t="shared" ref="F27" si="32">SUM(F24:F26)</f>
        <v>6319214.2800000003</v>
      </c>
      <c r="G27" s="23">
        <f t="shared" ref="G27" si="33">SUM(G24:G26)</f>
        <v>7044734.7300000004</v>
      </c>
      <c r="H27" s="23">
        <f t="shared" ref="H27" si="34">SUM(H24:H26)</f>
        <v>6820767.2100000009</v>
      </c>
      <c r="I27" s="23">
        <f t="shared" ref="I27" si="35">SUM(I24:I26)</f>
        <v>6942355.1000000006</v>
      </c>
      <c r="J27" s="23">
        <f t="shared" ref="J27" si="36">SUM(J24:J26)</f>
        <v>6893492.3500000015</v>
      </c>
      <c r="K27" s="23">
        <f t="shared" ref="K27" si="37">SUM(K24:K26)</f>
        <v>7193032.1200000001</v>
      </c>
      <c r="L27" s="23">
        <f t="shared" ref="L27" si="38">SUM(L24:L26)</f>
        <v>7063342.7499999991</v>
      </c>
      <c r="M27" s="23">
        <f t="shared" ref="M27" si="39">SUM(M24:M26)</f>
        <v>7395460.1499999994</v>
      </c>
      <c r="N27" s="23">
        <f t="shared" ref="N27" si="40">SUM(N24:N26)</f>
        <v>6217071.9500000002</v>
      </c>
      <c r="O27" s="23">
        <f t="shared" ref="O27" si="41">SUM(O24:O26)</f>
        <v>6001683.4900000002</v>
      </c>
    </row>
    <row r="28" spans="1:22" ht="12.95" customHeight="1">
      <c r="A28" s="64"/>
      <c r="B28" s="36" t="s">
        <v>35</v>
      </c>
      <c r="C28" s="24">
        <f t="shared" si="31"/>
        <v>80872558.349999994</v>
      </c>
      <c r="D28" s="23">
        <f t="shared" ref="D28:O28" si="42">D27*$F49</f>
        <v>5925891.4299999997</v>
      </c>
      <c r="E28" s="23">
        <f t="shared" si="42"/>
        <v>7055512.79</v>
      </c>
      <c r="F28" s="23">
        <f t="shared" si="42"/>
        <v>6319214.2800000003</v>
      </c>
      <c r="G28" s="23">
        <f t="shared" si="42"/>
        <v>7044734.7300000004</v>
      </c>
      <c r="H28" s="23">
        <f t="shared" si="42"/>
        <v>6820767.2100000009</v>
      </c>
      <c r="I28" s="23">
        <f t="shared" si="42"/>
        <v>6942355.1000000006</v>
      </c>
      <c r="J28" s="23">
        <f t="shared" si="42"/>
        <v>6893492.3500000015</v>
      </c>
      <c r="K28" s="23">
        <f t="shared" si="42"/>
        <v>7193032.1200000001</v>
      </c>
      <c r="L28" s="23">
        <f t="shared" si="42"/>
        <v>7063342.7499999991</v>
      </c>
      <c r="M28" s="23">
        <f t="shared" si="42"/>
        <v>7395460.1499999994</v>
      </c>
      <c r="N28" s="23">
        <f t="shared" si="42"/>
        <v>6217071.9500000002</v>
      </c>
      <c r="O28" s="23">
        <f t="shared" si="42"/>
        <v>6001683.4900000002</v>
      </c>
    </row>
    <row r="29" spans="1:22" ht="12.95" customHeight="1">
      <c r="A29" s="49" t="s">
        <v>20</v>
      </c>
      <c r="B29" s="35" t="s">
        <v>0</v>
      </c>
      <c r="C29" s="33">
        <f>SUM(D29:O29)</f>
        <v>7450180.5199999996</v>
      </c>
      <c r="D29" s="34">
        <v>1026350</v>
      </c>
      <c r="E29" s="34">
        <v>769762.5</v>
      </c>
      <c r="F29" s="34">
        <f>711750+58012.5</f>
        <v>769762.5</v>
      </c>
      <c r="G29" s="34">
        <f>711750+58012.5</f>
        <v>769762.5</v>
      </c>
      <c r="H29" s="34">
        <f>711750+58012.5</f>
        <v>769762.5</v>
      </c>
      <c r="I29" s="34">
        <f>711750+58012.5</f>
        <v>769762.5</v>
      </c>
      <c r="J29" s="34">
        <f>711750+58012.5</f>
        <v>769762.5</v>
      </c>
      <c r="K29" s="34">
        <f>237250+19337.5+194666.18+15866.63+8761.88+813.33</f>
        <v>476695.52</v>
      </c>
      <c r="L29" s="34">
        <f>292000+23800+15120+1220</f>
        <v>332140</v>
      </c>
      <c r="M29" s="34">
        <f>292000+23800+15120+1220</f>
        <v>332140</v>
      </c>
      <c r="N29" s="34">
        <f>315800+15120+1220</f>
        <v>332140</v>
      </c>
      <c r="O29" s="34">
        <v>332140</v>
      </c>
    </row>
    <row r="30" spans="1:22" ht="12.95" customHeight="1">
      <c r="A30" s="50"/>
      <c r="B30" s="35" t="s">
        <v>1</v>
      </c>
      <c r="C30" s="32">
        <f t="shared" ref="C30:C31" si="43">SUM(D30:O30)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2" ht="12.95" customHeight="1">
      <c r="A31" s="50"/>
      <c r="B31" s="35" t="s">
        <v>2</v>
      </c>
      <c r="C31" s="33">
        <f t="shared" si="43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22" ht="12.95" customHeight="1">
      <c r="A32" s="50"/>
      <c r="B32" s="35" t="s">
        <v>34</v>
      </c>
      <c r="C32" s="24">
        <f t="shared" ref="C32:C33" si="44">SUM(D32:O32)</f>
        <v>7450180.5199999996</v>
      </c>
      <c r="D32" s="23">
        <f>SUM(D29:D31)</f>
        <v>1026350</v>
      </c>
      <c r="E32" s="23">
        <f t="shared" ref="E32" si="45">SUM(E29:E31)</f>
        <v>769762.5</v>
      </c>
      <c r="F32" s="23">
        <f t="shared" ref="F32" si="46">SUM(F29:F31)</f>
        <v>769762.5</v>
      </c>
      <c r="G32" s="23">
        <f t="shared" ref="G32" si="47">SUM(G29:G31)</f>
        <v>769762.5</v>
      </c>
      <c r="H32" s="23">
        <f t="shared" ref="H32" si="48">SUM(H29:H31)</f>
        <v>769762.5</v>
      </c>
      <c r="I32" s="23">
        <f t="shared" ref="I32" si="49">SUM(I29:I31)</f>
        <v>769762.5</v>
      </c>
      <c r="J32" s="23">
        <f t="shared" ref="J32" si="50">SUM(J29:J31)</f>
        <v>769762.5</v>
      </c>
      <c r="K32" s="23">
        <f t="shared" ref="K32" si="51">SUM(K29:K31)</f>
        <v>476695.52</v>
      </c>
      <c r="L32" s="23">
        <f t="shared" ref="L32" si="52">SUM(L29:L31)</f>
        <v>332140</v>
      </c>
      <c r="M32" s="23">
        <f t="shared" ref="M32" si="53">SUM(M29:M31)</f>
        <v>332140</v>
      </c>
      <c r="N32" s="23">
        <f t="shared" ref="N32" si="54">SUM(N29:N31)</f>
        <v>332140</v>
      </c>
      <c r="O32" s="23">
        <f t="shared" ref="O32" si="55">SUM(O29:O31)</f>
        <v>332140</v>
      </c>
    </row>
    <row r="33" spans="1:19" ht="12.95" customHeight="1" thickBot="1">
      <c r="A33" s="51"/>
      <c r="B33" s="35" t="s">
        <v>35</v>
      </c>
      <c r="C33" s="24">
        <f t="shared" si="44"/>
        <v>7450180.5199999996</v>
      </c>
      <c r="D33" s="23">
        <f t="shared" ref="D33:O33" si="56">D32*$F50</f>
        <v>1026350</v>
      </c>
      <c r="E33" s="23">
        <f t="shared" si="56"/>
        <v>769762.5</v>
      </c>
      <c r="F33" s="23">
        <f t="shared" si="56"/>
        <v>769762.5</v>
      </c>
      <c r="G33" s="23">
        <f t="shared" si="56"/>
        <v>769762.5</v>
      </c>
      <c r="H33" s="23">
        <f t="shared" si="56"/>
        <v>769762.5</v>
      </c>
      <c r="I33" s="23">
        <f t="shared" si="56"/>
        <v>769762.5</v>
      </c>
      <c r="J33" s="23">
        <f t="shared" si="56"/>
        <v>769762.5</v>
      </c>
      <c r="K33" s="23">
        <f t="shared" si="56"/>
        <v>476695.52</v>
      </c>
      <c r="L33" s="23">
        <f t="shared" si="56"/>
        <v>332140</v>
      </c>
      <c r="M33" s="23">
        <f t="shared" si="56"/>
        <v>332140</v>
      </c>
      <c r="N33" s="23">
        <f t="shared" si="56"/>
        <v>332140</v>
      </c>
      <c r="O33" s="23">
        <f t="shared" si="56"/>
        <v>332140</v>
      </c>
    </row>
    <row r="34" spans="1:19" s="4" customFormat="1" ht="12.95" customHeight="1" thickBot="1">
      <c r="A34" s="53" t="s">
        <v>21</v>
      </c>
      <c r="B34" s="54"/>
      <c r="C34" s="29">
        <f>SUM(D34:O34)</f>
        <v>151859266.67736831</v>
      </c>
      <c r="D34" s="29">
        <f t="shared" ref="D34:N34" si="57">D23+D28+D33</f>
        <v>12401577.32745</v>
      </c>
      <c r="E34" s="29">
        <f t="shared" si="57"/>
        <v>13291357.336649999</v>
      </c>
      <c r="F34" s="29">
        <f t="shared" si="57"/>
        <v>12342563.91398</v>
      </c>
      <c r="G34" s="29">
        <f t="shared" si="57"/>
        <v>14006959.454</v>
      </c>
      <c r="H34" s="29">
        <f t="shared" si="57"/>
        <v>12469029.026800001</v>
      </c>
      <c r="I34" s="29">
        <f t="shared" si="57"/>
        <v>13268953.940620001</v>
      </c>
      <c r="J34" s="29">
        <f t="shared" si="57"/>
        <v>11573840.558300002</v>
      </c>
      <c r="K34" s="29">
        <f t="shared" si="57"/>
        <v>13893240.353840001</v>
      </c>
      <c r="L34" s="29">
        <f t="shared" si="57"/>
        <v>11334210.653383333</v>
      </c>
      <c r="M34" s="29">
        <f t="shared" si="57"/>
        <v>13170622.796545001</v>
      </c>
      <c r="N34" s="29">
        <f t="shared" si="57"/>
        <v>11381964.92055</v>
      </c>
      <c r="O34" s="30">
        <f>O23+O28+O33</f>
        <v>12724946.39525</v>
      </c>
      <c r="R34" s="42"/>
      <c r="S34" s="42"/>
    </row>
    <row r="35" spans="1:19" ht="12.95" customHeight="1">
      <c r="F35" s="38">
        <f>+F22-F23</f>
        <v>2767156.5820199996</v>
      </c>
      <c r="G35" s="13"/>
    </row>
    <row r="36" spans="1:19" ht="12.95" customHeight="1">
      <c r="A36" s="49" t="s">
        <v>22</v>
      </c>
      <c r="B36" s="35" t="s">
        <v>0</v>
      </c>
      <c r="C36" s="33">
        <f>SUM(D36:O36)</f>
        <v>23888279.98</v>
      </c>
      <c r="D36" s="34">
        <v>1934464.98</v>
      </c>
      <c r="E36" s="34">
        <v>1934465</v>
      </c>
      <c r="F36" s="34">
        <v>1934465</v>
      </c>
      <c r="G36" s="34">
        <v>1934465</v>
      </c>
      <c r="H36" s="34">
        <v>1934465</v>
      </c>
      <c r="I36" s="34">
        <v>1934465</v>
      </c>
      <c r="J36" s="34">
        <f>1934465+112450</f>
        <v>2046915</v>
      </c>
      <c r="K36" s="34">
        <f>1934465+112450</f>
        <v>2046915</v>
      </c>
      <c r="L36" s="34">
        <f>1992010.34+54904.66</f>
        <v>2046915</v>
      </c>
      <c r="M36" s="34">
        <v>2046915</v>
      </c>
      <c r="N36" s="34">
        <v>2046915</v>
      </c>
      <c r="O36" s="34">
        <v>2046915</v>
      </c>
    </row>
    <row r="37" spans="1:19" ht="12.95" customHeight="1">
      <c r="A37" s="50"/>
      <c r="B37" s="35" t="s">
        <v>1</v>
      </c>
      <c r="C37" s="32">
        <f t="shared" ref="C37:C38" si="58">SUM(D37:O37)</f>
        <v>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9" ht="12.95" customHeight="1">
      <c r="A38" s="50"/>
      <c r="B38" s="35" t="s">
        <v>2</v>
      </c>
      <c r="C38" s="33">
        <f t="shared" si="58"/>
        <v>133785</v>
      </c>
      <c r="D38" s="34">
        <v>73515</v>
      </c>
      <c r="E38" s="34"/>
      <c r="F38" s="34"/>
      <c r="G38" s="34"/>
      <c r="H38" s="34"/>
      <c r="I38" s="34"/>
      <c r="J38" s="34"/>
      <c r="K38" s="34"/>
      <c r="L38" s="34"/>
      <c r="M38" s="34"/>
      <c r="N38" s="34">
        <v>60270</v>
      </c>
      <c r="O38" s="34"/>
    </row>
    <row r="39" spans="1:19" ht="12.95" customHeight="1">
      <c r="A39" s="50"/>
      <c r="B39" s="35" t="s">
        <v>34</v>
      </c>
      <c r="C39" s="24">
        <f t="shared" ref="C39:C40" si="59">SUM(D39:O39)</f>
        <v>24022064.98</v>
      </c>
      <c r="D39" s="23">
        <f>SUM(D36:D38)</f>
        <v>2007979.98</v>
      </c>
      <c r="E39" s="23">
        <f t="shared" ref="E39" si="60">SUM(E36:E38)</f>
        <v>1934465</v>
      </c>
      <c r="F39" s="23">
        <f t="shared" ref="F39" si="61">SUM(F36:F38)</f>
        <v>1934465</v>
      </c>
      <c r="G39" s="23">
        <f t="shared" ref="G39" si="62">SUM(G36:G38)</f>
        <v>1934465</v>
      </c>
      <c r="H39" s="23">
        <f t="shared" ref="H39" si="63">SUM(H36:H38)</f>
        <v>1934465</v>
      </c>
      <c r="I39" s="23">
        <f t="shared" ref="I39" si="64">SUM(I36:I38)</f>
        <v>1934465</v>
      </c>
      <c r="J39" s="23">
        <f t="shared" ref="J39" si="65">SUM(J36:J38)</f>
        <v>2046915</v>
      </c>
      <c r="K39" s="23">
        <f t="shared" ref="K39" si="66">SUM(K36:K38)</f>
        <v>2046915</v>
      </c>
      <c r="L39" s="23">
        <f t="shared" ref="L39" si="67">SUM(L36:L38)</f>
        <v>2046915</v>
      </c>
      <c r="M39" s="23">
        <f t="shared" ref="M39" si="68">SUM(M36:M38)</f>
        <v>2046915</v>
      </c>
      <c r="N39" s="23">
        <f t="shared" ref="N39" si="69">SUM(N36:N38)</f>
        <v>2107185</v>
      </c>
      <c r="O39" s="23">
        <f t="shared" ref="O39" si="70">SUM(O36:O38)</f>
        <v>2046915</v>
      </c>
    </row>
    <row r="40" spans="1:19" ht="12.95" customHeight="1" thickBot="1">
      <c r="A40" s="51"/>
      <c r="B40" s="35" t="s">
        <v>35</v>
      </c>
      <c r="C40" s="24">
        <f t="shared" si="59"/>
        <v>24022064.98</v>
      </c>
      <c r="D40" s="23">
        <f t="shared" ref="D40:O40" si="71">D39*$F51</f>
        <v>2007979.98</v>
      </c>
      <c r="E40" s="23">
        <f t="shared" si="71"/>
        <v>1934465</v>
      </c>
      <c r="F40" s="23">
        <f t="shared" si="71"/>
        <v>1934465</v>
      </c>
      <c r="G40" s="23">
        <f t="shared" si="71"/>
        <v>1934465</v>
      </c>
      <c r="H40" s="23">
        <f t="shared" si="71"/>
        <v>1934465</v>
      </c>
      <c r="I40" s="23">
        <f t="shared" si="71"/>
        <v>1934465</v>
      </c>
      <c r="J40" s="23">
        <f t="shared" si="71"/>
        <v>2046915</v>
      </c>
      <c r="K40" s="23">
        <f t="shared" si="71"/>
        <v>2046915</v>
      </c>
      <c r="L40" s="23">
        <f t="shared" si="71"/>
        <v>2046915</v>
      </c>
      <c r="M40" s="23">
        <f t="shared" si="71"/>
        <v>2046915</v>
      </c>
      <c r="N40" s="23">
        <f t="shared" si="71"/>
        <v>2107185</v>
      </c>
      <c r="O40" s="23">
        <f t="shared" si="71"/>
        <v>2046915</v>
      </c>
    </row>
    <row r="41" spans="1:19" s="4" customFormat="1" ht="12.95" customHeight="1" thickBot="1">
      <c r="A41" s="53" t="s">
        <v>24</v>
      </c>
      <c r="B41" s="54"/>
      <c r="C41" s="29">
        <f>SUM(D41:O41)</f>
        <v>24022064.98</v>
      </c>
      <c r="D41" s="29">
        <f>D40</f>
        <v>2007979.98</v>
      </c>
      <c r="E41" s="29">
        <f t="shared" ref="E41:O41" si="72">E40</f>
        <v>1934465</v>
      </c>
      <c r="F41" s="29">
        <f t="shared" si="72"/>
        <v>1934465</v>
      </c>
      <c r="G41" s="29">
        <f t="shared" si="72"/>
        <v>1934465</v>
      </c>
      <c r="H41" s="29">
        <f t="shared" si="72"/>
        <v>1934465</v>
      </c>
      <c r="I41" s="29">
        <f t="shared" si="72"/>
        <v>1934465</v>
      </c>
      <c r="J41" s="29">
        <f t="shared" si="72"/>
        <v>2046915</v>
      </c>
      <c r="K41" s="29">
        <f t="shared" si="72"/>
        <v>2046915</v>
      </c>
      <c r="L41" s="29">
        <f t="shared" si="72"/>
        <v>2046915</v>
      </c>
      <c r="M41" s="29">
        <f t="shared" si="72"/>
        <v>2046915</v>
      </c>
      <c r="N41" s="29">
        <f t="shared" si="72"/>
        <v>2107185</v>
      </c>
      <c r="O41" s="29">
        <f t="shared" si="72"/>
        <v>2046915</v>
      </c>
      <c r="R41" s="42"/>
      <c r="S41" s="42"/>
    </row>
    <row r="42" spans="1:19" ht="12.95" customHeight="1" thickBot="1"/>
    <row r="43" spans="1:19" s="4" customFormat="1" ht="12.95" customHeight="1" thickBot="1">
      <c r="A43" s="55" t="s">
        <v>25</v>
      </c>
      <c r="B43" s="56"/>
      <c r="C43" s="25">
        <f>SUM(D43:O43)</f>
        <v>920322306.55730438</v>
      </c>
      <c r="D43" s="25">
        <f t="shared" ref="D43:O43" si="73">D17+D34+D41</f>
        <v>66190393.297449991</v>
      </c>
      <c r="E43" s="25">
        <f t="shared" si="73"/>
        <v>69219543.836649999</v>
      </c>
      <c r="F43" s="25">
        <f t="shared" si="73"/>
        <v>70448752.193979993</v>
      </c>
      <c r="G43" s="25">
        <f t="shared" si="73"/>
        <v>74354809.184</v>
      </c>
      <c r="H43" s="25">
        <f t="shared" si="73"/>
        <v>75021107.136800006</v>
      </c>
      <c r="I43" s="25">
        <f t="shared" si="73"/>
        <v>75818735.760619998</v>
      </c>
      <c r="J43" s="25">
        <f t="shared" si="73"/>
        <v>76429321.323901236</v>
      </c>
      <c r="K43" s="25">
        <f t="shared" si="73"/>
        <v>80937182.026174769</v>
      </c>
      <c r="L43" s="25">
        <f t="shared" si="73"/>
        <v>80558721.165383324</v>
      </c>
      <c r="M43" s="25">
        <f t="shared" si="73"/>
        <v>84632148.066544995</v>
      </c>
      <c r="N43" s="25">
        <f t="shared" si="73"/>
        <v>82791690.910549998</v>
      </c>
      <c r="O43" s="26">
        <f t="shared" si="73"/>
        <v>83919901.655250013</v>
      </c>
      <c r="R43" s="42"/>
      <c r="S43" s="42"/>
    </row>
    <row r="45" spans="1:19" ht="12.95" customHeight="1">
      <c r="A45" s="57" t="s">
        <v>38</v>
      </c>
      <c r="B45" s="57"/>
      <c r="C45" s="11" t="s">
        <v>33</v>
      </c>
      <c r="E45" s="52" t="s">
        <v>36</v>
      </c>
      <c r="F45" s="52"/>
      <c r="H45" s="7" t="s">
        <v>30</v>
      </c>
      <c r="I45" s="8"/>
      <c r="J45" s="8"/>
      <c r="K45" s="8"/>
      <c r="L45" s="8"/>
      <c r="M45" s="8"/>
      <c r="N45" s="8"/>
      <c r="O45" s="9"/>
    </row>
    <row r="46" spans="1:19" ht="12.95" customHeight="1">
      <c r="A46" s="68" t="s">
        <v>0</v>
      </c>
      <c r="B46" s="69"/>
      <c r="C46" s="24">
        <f>C7+C12+C19+C24+C29+C36</f>
        <v>911598527.09000003</v>
      </c>
      <c r="E46" s="6" t="s">
        <v>26</v>
      </c>
      <c r="F46" s="27">
        <v>1</v>
      </c>
      <c r="H46" s="73" t="s">
        <v>39</v>
      </c>
      <c r="I46" s="74"/>
      <c r="J46" s="74"/>
      <c r="K46" s="74"/>
      <c r="L46" s="74"/>
      <c r="M46" s="74"/>
      <c r="N46" s="74"/>
      <c r="O46" s="75"/>
    </row>
    <row r="47" spans="1:19" ht="12.95" customHeight="1">
      <c r="A47" s="68" t="s">
        <v>1</v>
      </c>
      <c r="B47" s="69"/>
      <c r="C47" s="24">
        <f>C8+C13+C20+C25+C30+C37</f>
        <v>35987775.162936009</v>
      </c>
      <c r="E47" s="6" t="s">
        <v>16</v>
      </c>
      <c r="F47" s="27">
        <v>1</v>
      </c>
      <c r="G47" s="10"/>
      <c r="H47" s="73"/>
      <c r="I47" s="74"/>
      <c r="J47" s="74"/>
      <c r="K47" s="74"/>
      <c r="L47" s="74"/>
      <c r="M47" s="74"/>
      <c r="N47" s="74"/>
      <c r="O47" s="75"/>
    </row>
    <row r="48" spans="1:19" ht="12.95" customHeight="1">
      <c r="A48" s="68" t="s">
        <v>2</v>
      </c>
      <c r="B48" s="69"/>
      <c r="C48" s="24">
        <f>C9+C14+C21+C26+C31+C38</f>
        <v>6201809.0273333341</v>
      </c>
      <c r="E48" s="6" t="s">
        <v>27</v>
      </c>
      <c r="F48" s="37">
        <v>0.65500000000000003</v>
      </c>
      <c r="G48" s="10"/>
      <c r="H48" s="76"/>
      <c r="I48" s="77"/>
      <c r="J48" s="77"/>
      <c r="K48" s="77"/>
      <c r="L48" s="77"/>
      <c r="M48" s="77"/>
      <c r="N48" s="77"/>
      <c r="O48" s="78"/>
    </row>
    <row r="49" spans="1:16" ht="12.95" customHeight="1">
      <c r="A49" s="68" t="s">
        <v>34</v>
      </c>
      <c r="B49" s="69"/>
      <c r="C49" s="24">
        <f>C10+C15+C22+C27+C32+C39</f>
        <v>953788111.28026927</v>
      </c>
      <c r="E49" s="6" t="s">
        <v>28</v>
      </c>
      <c r="F49" s="27">
        <v>1</v>
      </c>
      <c r="G49" s="10"/>
      <c r="H49" s="14"/>
      <c r="I49" s="15"/>
      <c r="J49" s="15"/>
      <c r="K49" s="15"/>
      <c r="L49" s="15"/>
      <c r="M49" s="15"/>
      <c r="N49" s="15"/>
      <c r="O49" s="16"/>
    </row>
    <row r="50" spans="1:16" ht="12.95" customHeight="1">
      <c r="A50" s="68" t="s">
        <v>35</v>
      </c>
      <c r="B50" s="69"/>
      <c r="C50" s="24">
        <f>C11+C16+C23+C28+C33+C40</f>
        <v>920322306.55730426</v>
      </c>
      <c r="E50" s="6" t="s">
        <v>29</v>
      </c>
      <c r="F50" s="27">
        <v>1</v>
      </c>
      <c r="G50" s="10"/>
      <c r="H50" s="70" t="s">
        <v>40</v>
      </c>
      <c r="I50" s="71"/>
      <c r="J50" s="71"/>
      <c r="K50" s="71"/>
      <c r="L50" s="71"/>
      <c r="M50" s="71"/>
      <c r="N50" s="71"/>
      <c r="O50" s="72"/>
    </row>
    <row r="51" spans="1:16" ht="12.95" customHeight="1">
      <c r="A51" s="68" t="s">
        <v>43</v>
      </c>
      <c r="B51" s="69"/>
      <c r="C51" s="12">
        <v>27925759.969999999</v>
      </c>
      <c r="E51" s="6" t="s">
        <v>22</v>
      </c>
      <c r="F51" s="27">
        <v>1</v>
      </c>
      <c r="G51" s="10"/>
      <c r="H51" s="70"/>
      <c r="I51" s="71"/>
      <c r="J51" s="71"/>
      <c r="K51" s="71"/>
      <c r="L51" s="71"/>
      <c r="M51" s="71"/>
      <c r="N51" s="71"/>
      <c r="O51" s="72"/>
    </row>
    <row r="52" spans="1:16" ht="12.95" customHeight="1">
      <c r="A52" s="68" t="s">
        <v>44</v>
      </c>
      <c r="B52" s="69"/>
      <c r="C52" s="12">
        <v>105420</v>
      </c>
      <c r="G52" s="10"/>
      <c r="H52" s="70"/>
      <c r="I52" s="71"/>
      <c r="J52" s="71"/>
      <c r="K52" s="71"/>
      <c r="L52" s="71"/>
      <c r="M52" s="71"/>
      <c r="N52" s="71"/>
      <c r="O52" s="72"/>
    </row>
    <row r="53" spans="1:16" ht="12.95" customHeight="1">
      <c r="A53" s="57" t="s">
        <v>38</v>
      </c>
      <c r="B53" s="57"/>
      <c r="C53" s="24">
        <f>C51+C50+C52</f>
        <v>948353486.52730429</v>
      </c>
      <c r="G53" s="10"/>
      <c r="H53" s="70"/>
      <c r="I53" s="71"/>
      <c r="J53" s="71"/>
      <c r="K53" s="71"/>
      <c r="L53" s="71"/>
      <c r="M53" s="71"/>
      <c r="N53" s="71"/>
      <c r="O53" s="72"/>
    </row>
    <row r="54" spans="1:16" ht="12.95" customHeight="1">
      <c r="A54" s="79"/>
      <c r="B54" s="79"/>
      <c r="C54" s="79"/>
      <c r="H54" s="70"/>
      <c r="I54" s="71"/>
      <c r="J54" s="71"/>
      <c r="K54" s="71"/>
      <c r="L54" s="71"/>
      <c r="M54" s="71"/>
      <c r="N54" s="71"/>
      <c r="O54" s="72"/>
    </row>
    <row r="55" spans="1:16" ht="12.95" customHeight="1">
      <c r="H55" s="70"/>
      <c r="I55" s="71"/>
      <c r="J55" s="71"/>
      <c r="K55" s="71"/>
      <c r="L55" s="71"/>
      <c r="M55" s="71"/>
      <c r="N55" s="71"/>
      <c r="O55" s="72"/>
    </row>
    <row r="56" spans="1:16" ht="12.95" customHeight="1">
      <c r="H56" s="17"/>
      <c r="I56" s="1"/>
      <c r="J56" s="1"/>
      <c r="K56" s="1"/>
      <c r="L56" s="1"/>
      <c r="M56" s="1"/>
      <c r="N56" s="1"/>
      <c r="O56" s="18"/>
    </row>
    <row r="57" spans="1:16" ht="12.95" customHeight="1">
      <c r="H57" s="65" t="s">
        <v>42</v>
      </c>
      <c r="I57" s="66"/>
      <c r="J57" s="66"/>
      <c r="K57" s="66"/>
      <c r="L57" s="66"/>
      <c r="M57" s="66"/>
      <c r="N57" s="66"/>
      <c r="O57" s="67"/>
      <c r="P57" s="39"/>
    </row>
    <row r="58" spans="1:16" ht="12.95" customHeight="1">
      <c r="H58" s="17"/>
      <c r="I58" s="1"/>
      <c r="J58" s="1"/>
      <c r="K58" s="1"/>
      <c r="L58" s="1"/>
      <c r="M58" s="1"/>
      <c r="N58" s="1"/>
      <c r="O58" s="18"/>
    </row>
    <row r="59" spans="1:16" ht="12.95" customHeight="1">
      <c r="H59" s="19" t="s">
        <v>45</v>
      </c>
      <c r="I59" s="20"/>
      <c r="J59" s="20"/>
      <c r="K59" s="20"/>
      <c r="L59" s="20"/>
      <c r="M59" s="20"/>
      <c r="N59" s="20"/>
      <c r="O59" s="21"/>
    </row>
    <row r="60" spans="1:16" ht="12.95" customHeight="1">
      <c r="O60" s="22" t="s">
        <v>41</v>
      </c>
    </row>
  </sheetData>
  <sheetProtection sheet="1" objects="1" scenarios="1"/>
  <mergeCells count="24">
    <mergeCell ref="H57:O57"/>
    <mergeCell ref="A52:B52"/>
    <mergeCell ref="H50:O55"/>
    <mergeCell ref="A46:B46"/>
    <mergeCell ref="A51:B51"/>
    <mergeCell ref="H46:O48"/>
    <mergeCell ref="A54:C54"/>
    <mergeCell ref="A50:B50"/>
    <mergeCell ref="A53:B53"/>
    <mergeCell ref="A47:B47"/>
    <mergeCell ref="A48:B48"/>
    <mergeCell ref="A49:B49"/>
    <mergeCell ref="A7:A11"/>
    <mergeCell ref="A12:A16"/>
    <mergeCell ref="A17:B17"/>
    <mergeCell ref="A19:A23"/>
    <mergeCell ref="A24:A28"/>
    <mergeCell ref="A29:A33"/>
    <mergeCell ref="E45:F45"/>
    <mergeCell ref="A36:A40"/>
    <mergeCell ref="A41:B41"/>
    <mergeCell ref="A43:B43"/>
    <mergeCell ref="A45:B45"/>
    <mergeCell ref="A34:B34"/>
  </mergeCells>
  <printOptions horizontalCentered="1" verticalCentered="1"/>
  <pageMargins left="0" right="0" top="0" bottom="0" header="0" footer="0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0"/>
  <sheetViews>
    <sheetView tabSelected="1" workbookViewId="0">
      <selection activeCell="O1" sqref="O1"/>
    </sheetView>
  </sheetViews>
  <sheetFormatPr defaultRowHeight="12.95" customHeight="1"/>
  <cols>
    <col min="1" max="1" width="16" style="2" customWidth="1"/>
    <col min="2" max="2" width="17" style="2" customWidth="1"/>
    <col min="3" max="3" width="14.28515625" style="4" customWidth="1"/>
    <col min="4" max="15" width="12.7109375" style="2" customWidth="1"/>
    <col min="16" max="17" width="9.140625" style="2"/>
    <col min="18" max="18" width="11.140625" style="31" bestFit="1" customWidth="1"/>
    <col min="19" max="19" width="9.85546875" style="31" bestFit="1" customWidth="1"/>
    <col min="20" max="21" width="9.85546875" style="2" bestFit="1" customWidth="1"/>
    <col min="22" max="22" width="11.140625" style="2" bestFit="1" customWidth="1"/>
    <col min="23" max="16384" width="9.140625" style="2"/>
  </cols>
  <sheetData>
    <row r="1" spans="1:22" ht="12.95" customHeight="1">
      <c r="B1" s="4" t="s">
        <v>31</v>
      </c>
    </row>
    <row r="2" spans="1:22" ht="12.95" customHeight="1">
      <c r="B2" s="4" t="s">
        <v>37</v>
      </c>
    </row>
    <row r="3" spans="1:22" ht="12.95" customHeight="1">
      <c r="B3" s="4"/>
      <c r="D3" s="13"/>
    </row>
    <row r="5" spans="1:22" s="4" customFormat="1" ht="12.95" customHeight="1">
      <c r="A5" s="41" t="s">
        <v>17</v>
      </c>
      <c r="B5" s="41" t="s">
        <v>32</v>
      </c>
      <c r="C5" s="41">
        <v>2013</v>
      </c>
      <c r="D5" s="41" t="s">
        <v>3</v>
      </c>
      <c r="E5" s="41" t="s">
        <v>4</v>
      </c>
      <c r="F5" s="41" t="s">
        <v>5</v>
      </c>
      <c r="G5" s="41" t="s">
        <v>6</v>
      </c>
      <c r="H5" s="41" t="s">
        <v>7</v>
      </c>
      <c r="I5" s="41" t="s">
        <v>8</v>
      </c>
      <c r="J5" s="41" t="s">
        <v>9</v>
      </c>
      <c r="K5" s="41" t="s">
        <v>10</v>
      </c>
      <c r="L5" s="41" t="s">
        <v>11</v>
      </c>
      <c r="M5" s="41" t="s">
        <v>12</v>
      </c>
      <c r="N5" s="41" t="s">
        <v>13</v>
      </c>
      <c r="O5" s="41" t="s">
        <v>14</v>
      </c>
      <c r="R5" s="42"/>
      <c r="S5" s="42"/>
    </row>
    <row r="7" spans="1:22" ht="12.95" customHeight="1">
      <c r="A7" s="58" t="s">
        <v>15</v>
      </c>
      <c r="B7" s="35" t="s">
        <v>0</v>
      </c>
      <c r="C7" s="33">
        <v>701728000</v>
      </c>
      <c r="D7" s="34">
        <v>48243800</v>
      </c>
      <c r="E7" s="34">
        <v>50436700</v>
      </c>
      <c r="F7" s="34">
        <v>52629600</v>
      </c>
      <c r="G7" s="34">
        <v>54822500</v>
      </c>
      <c r="H7" s="34">
        <v>57015400</v>
      </c>
      <c r="I7" s="34">
        <v>57015400</v>
      </c>
      <c r="J7" s="34">
        <v>59208300</v>
      </c>
      <c r="K7" s="34">
        <v>61401200</v>
      </c>
      <c r="L7" s="34">
        <v>63594100</v>
      </c>
      <c r="M7" s="34">
        <v>65787000</v>
      </c>
      <c r="N7" s="34">
        <v>65787000</v>
      </c>
      <c r="O7" s="34">
        <v>65787000</v>
      </c>
    </row>
    <row r="8" spans="1:22" ht="12.95" customHeight="1">
      <c r="A8" s="59"/>
      <c r="B8" s="35" t="s">
        <v>1</v>
      </c>
      <c r="C8" s="32">
        <v>2458709.3799360045</v>
      </c>
      <c r="D8" s="3">
        <v>228746.73</v>
      </c>
      <c r="E8" s="3">
        <v>227421.24</v>
      </c>
      <c r="F8" s="3">
        <v>221626.62</v>
      </c>
      <c r="G8" s="3">
        <v>224500.47</v>
      </c>
      <c r="H8" s="3">
        <v>225743.85</v>
      </c>
      <c r="I8" s="3">
        <v>224887.56</v>
      </c>
      <c r="J8" s="3">
        <v>227516.50560123194</v>
      </c>
      <c r="K8" s="3">
        <v>225077.4123347729</v>
      </c>
      <c r="L8" s="3">
        <v>229026.25199999998</v>
      </c>
      <c r="M8" s="3">
        <v>263621.01</v>
      </c>
      <c r="N8" s="3">
        <v>160541.73000000001</v>
      </c>
      <c r="O8" s="3"/>
    </row>
    <row r="9" spans="1:22" ht="12.95" customHeight="1">
      <c r="A9" s="59"/>
      <c r="B9" s="35" t="s">
        <v>2</v>
      </c>
      <c r="C9" s="33">
        <v>4198539.4000000004</v>
      </c>
      <c r="D9" s="34">
        <v>323360</v>
      </c>
      <c r="E9" s="34">
        <v>340576</v>
      </c>
      <c r="F9" s="34">
        <v>349147.4</v>
      </c>
      <c r="G9" s="34">
        <v>353750</v>
      </c>
      <c r="H9" s="34">
        <v>353880</v>
      </c>
      <c r="I9" s="34">
        <v>352680</v>
      </c>
      <c r="J9" s="34">
        <v>350879.99999999994</v>
      </c>
      <c r="K9" s="34">
        <v>349680</v>
      </c>
      <c r="L9" s="34">
        <v>353279.99999999994</v>
      </c>
      <c r="M9" s="34">
        <v>353080</v>
      </c>
      <c r="N9" s="34">
        <v>353880</v>
      </c>
      <c r="O9" s="34">
        <v>364346</v>
      </c>
    </row>
    <row r="10" spans="1:22" ht="12.95" customHeight="1">
      <c r="A10" s="59"/>
      <c r="B10" s="35" t="s">
        <v>34</v>
      </c>
      <c r="C10" s="24">
        <v>708385248.77993596</v>
      </c>
      <c r="D10" s="23">
        <v>48795906.729999997</v>
      </c>
      <c r="E10" s="23">
        <v>51004697.240000002</v>
      </c>
      <c r="F10" s="23">
        <v>53200374.019999996</v>
      </c>
      <c r="G10" s="23">
        <v>55400750.469999999</v>
      </c>
      <c r="H10" s="23">
        <v>57595023.850000001</v>
      </c>
      <c r="I10" s="23">
        <v>57592967.560000002</v>
      </c>
      <c r="J10" s="23">
        <v>59786696.505601235</v>
      </c>
      <c r="K10" s="23">
        <v>61975957.41233477</v>
      </c>
      <c r="L10" s="23">
        <v>64176406.251999997</v>
      </c>
      <c r="M10" s="23">
        <v>66403701.009999998</v>
      </c>
      <c r="N10" s="23">
        <v>66301421.729999997</v>
      </c>
      <c r="O10" s="23">
        <v>66151346</v>
      </c>
      <c r="R10" s="43"/>
      <c r="S10" s="43"/>
      <c r="T10" s="44"/>
      <c r="U10" s="44"/>
      <c r="V10" s="44"/>
    </row>
    <row r="11" spans="1:22" ht="12.95" customHeight="1">
      <c r="A11" s="60"/>
      <c r="B11" s="35" t="s">
        <v>35</v>
      </c>
      <c r="C11" s="24">
        <v>708385248.77993596</v>
      </c>
      <c r="D11" s="24">
        <v>48795906.729999997</v>
      </c>
      <c r="E11" s="24">
        <v>51004697.240000002</v>
      </c>
      <c r="F11" s="24">
        <v>53200374.019999996</v>
      </c>
      <c r="G11" s="24">
        <v>55400750.469999999</v>
      </c>
      <c r="H11" s="24">
        <v>57595023.850000001</v>
      </c>
      <c r="I11" s="24">
        <v>57592967.560000002</v>
      </c>
      <c r="J11" s="24">
        <v>59786696.505601235</v>
      </c>
      <c r="K11" s="24">
        <v>61975957.41233477</v>
      </c>
      <c r="L11" s="24">
        <v>64176406.251999997</v>
      </c>
      <c r="M11" s="24">
        <v>66403701.009999998</v>
      </c>
      <c r="N11" s="24">
        <v>66301421.729999997</v>
      </c>
      <c r="O11" s="24">
        <v>66151346</v>
      </c>
      <c r="R11" s="43"/>
      <c r="S11" s="43"/>
      <c r="T11" s="44"/>
      <c r="U11" s="44"/>
      <c r="V11" s="44"/>
    </row>
    <row r="12" spans="1:22" ht="12.95" customHeight="1">
      <c r="A12" s="49" t="s">
        <v>16</v>
      </c>
      <c r="B12" s="35" t="s">
        <v>0</v>
      </c>
      <c r="C12" s="33">
        <v>34330911.11999999</v>
      </c>
      <c r="D12" s="34">
        <v>2860909.2600000002</v>
      </c>
      <c r="E12" s="34">
        <v>2860909.2600000002</v>
      </c>
      <c r="F12" s="34">
        <v>2860909.26</v>
      </c>
      <c r="G12" s="34">
        <v>2860909.26</v>
      </c>
      <c r="H12" s="34">
        <v>2860909.26</v>
      </c>
      <c r="I12" s="34">
        <v>2860909.26</v>
      </c>
      <c r="J12" s="34">
        <v>2860909.26</v>
      </c>
      <c r="K12" s="34">
        <v>2860909.26</v>
      </c>
      <c r="L12" s="34">
        <v>2860909.26</v>
      </c>
      <c r="M12" s="34">
        <v>2860909.26</v>
      </c>
      <c r="N12" s="34">
        <v>2860909.26</v>
      </c>
      <c r="O12" s="34">
        <v>2860909.26</v>
      </c>
      <c r="R12" s="43"/>
      <c r="S12" s="43"/>
      <c r="T12" s="44"/>
      <c r="U12" s="44"/>
      <c r="V12" s="44"/>
    </row>
    <row r="13" spans="1:22" ht="12.95" customHeight="1">
      <c r="A13" s="50"/>
      <c r="B13" s="35" t="s">
        <v>1</v>
      </c>
      <c r="C13" s="32"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43"/>
      <c r="S13" s="43"/>
      <c r="T13" s="44"/>
      <c r="U13" s="44"/>
      <c r="V13" s="44"/>
    </row>
    <row r="14" spans="1:22" ht="12.95" customHeight="1">
      <c r="A14" s="50"/>
      <c r="B14" s="35" t="s">
        <v>2</v>
      </c>
      <c r="C14" s="33">
        <v>1724815</v>
      </c>
      <c r="D14" s="34">
        <v>124020</v>
      </c>
      <c r="E14" s="34">
        <v>128115</v>
      </c>
      <c r="F14" s="34">
        <v>110440</v>
      </c>
      <c r="G14" s="34">
        <v>151725</v>
      </c>
      <c r="H14" s="34">
        <v>161680</v>
      </c>
      <c r="I14" s="34">
        <v>161440</v>
      </c>
      <c r="J14" s="34">
        <v>160960</v>
      </c>
      <c r="K14" s="34">
        <v>160159.99999999997</v>
      </c>
      <c r="L14" s="34">
        <v>140280</v>
      </c>
      <c r="M14" s="34">
        <v>150000</v>
      </c>
      <c r="N14" s="34">
        <v>140210</v>
      </c>
      <c r="O14" s="34">
        <v>135785</v>
      </c>
      <c r="R14" s="43"/>
      <c r="S14" s="43"/>
      <c r="T14" s="44"/>
      <c r="U14" s="44"/>
      <c r="V14" s="44"/>
    </row>
    <row r="15" spans="1:22" ht="12.95" customHeight="1">
      <c r="A15" s="50"/>
      <c r="B15" s="35" t="s">
        <v>34</v>
      </c>
      <c r="C15" s="24">
        <v>36055726.11999999</v>
      </c>
      <c r="D15" s="23">
        <v>2984929.2600000002</v>
      </c>
      <c r="E15" s="23">
        <v>2989024.2600000002</v>
      </c>
      <c r="F15" s="23">
        <v>2971349.26</v>
      </c>
      <c r="G15" s="23">
        <v>3012634.26</v>
      </c>
      <c r="H15" s="23">
        <v>3022589.26</v>
      </c>
      <c r="I15" s="23">
        <v>3022349.26</v>
      </c>
      <c r="J15" s="23">
        <v>3021869.26</v>
      </c>
      <c r="K15" s="23">
        <v>3021069.26</v>
      </c>
      <c r="L15" s="23">
        <v>3001189.26</v>
      </c>
      <c r="M15" s="23">
        <v>3010909.26</v>
      </c>
      <c r="N15" s="23">
        <v>3001119.26</v>
      </c>
      <c r="O15" s="23">
        <v>2996694.26</v>
      </c>
      <c r="R15" s="43"/>
      <c r="S15" s="43"/>
      <c r="T15" s="44"/>
      <c r="U15" s="44"/>
      <c r="V15" s="44"/>
    </row>
    <row r="16" spans="1:22" ht="12.95" customHeight="1" thickBot="1">
      <c r="A16" s="51"/>
      <c r="B16" s="35" t="s">
        <v>35</v>
      </c>
      <c r="C16" s="24">
        <v>36055726.11999999</v>
      </c>
      <c r="D16" s="23">
        <v>2984929.2600000002</v>
      </c>
      <c r="E16" s="23">
        <v>2989024.2600000002</v>
      </c>
      <c r="F16" s="23">
        <v>2971349.26</v>
      </c>
      <c r="G16" s="23">
        <v>3012634.26</v>
      </c>
      <c r="H16" s="23">
        <v>3022589.26</v>
      </c>
      <c r="I16" s="23">
        <v>3022349.26</v>
      </c>
      <c r="J16" s="23">
        <v>3021869.26</v>
      </c>
      <c r="K16" s="23">
        <v>3021069.26</v>
      </c>
      <c r="L16" s="23">
        <v>3001189.26</v>
      </c>
      <c r="M16" s="23">
        <v>3010909.26</v>
      </c>
      <c r="N16" s="23">
        <v>3001119.26</v>
      </c>
      <c r="O16" s="23">
        <v>2996694.26</v>
      </c>
      <c r="R16" s="43"/>
      <c r="S16" s="43"/>
      <c r="T16" s="44"/>
      <c r="U16" s="44"/>
      <c r="V16" s="44"/>
    </row>
    <row r="17" spans="1:22" s="4" customFormat="1" ht="12.95" customHeight="1" thickBot="1">
      <c r="A17" s="53" t="s">
        <v>23</v>
      </c>
      <c r="B17" s="54"/>
      <c r="C17" s="29">
        <v>744440974.89993596</v>
      </c>
      <c r="D17" s="29">
        <v>51780835.989999995</v>
      </c>
      <c r="E17" s="29">
        <v>53993721.5</v>
      </c>
      <c r="F17" s="29">
        <v>56171723.279999994</v>
      </c>
      <c r="G17" s="29">
        <v>58413384.729999997</v>
      </c>
      <c r="H17" s="29">
        <v>60617613.109999999</v>
      </c>
      <c r="I17" s="29">
        <v>60615316.82</v>
      </c>
      <c r="J17" s="29">
        <v>62808565.765601233</v>
      </c>
      <c r="K17" s="29">
        <v>64997026.672334768</v>
      </c>
      <c r="L17" s="29">
        <v>67177595.511999995</v>
      </c>
      <c r="M17" s="29">
        <v>69414610.269999996</v>
      </c>
      <c r="N17" s="29">
        <v>69302540.989999995</v>
      </c>
      <c r="O17" s="30">
        <v>69148040.260000005</v>
      </c>
      <c r="R17" s="45"/>
      <c r="S17" s="45"/>
      <c r="T17" s="48"/>
      <c r="U17" s="46"/>
      <c r="V17" s="46"/>
    </row>
    <row r="18" spans="1:22" ht="12.95" customHeight="1">
      <c r="R18" s="43"/>
      <c r="S18" s="43"/>
      <c r="T18" s="43"/>
      <c r="U18" s="43"/>
      <c r="V18" s="47"/>
    </row>
    <row r="19" spans="1:22" ht="12.95" customHeight="1">
      <c r="A19" s="49" t="s">
        <v>18</v>
      </c>
      <c r="B19" s="35" t="s">
        <v>0</v>
      </c>
      <c r="C19" s="33">
        <v>70384518.329999998</v>
      </c>
      <c r="D19" s="34">
        <v>5550426.5300000003</v>
      </c>
      <c r="E19" s="34">
        <v>5550426.5300000003</v>
      </c>
      <c r="F19" s="34">
        <v>5550426.5300000003</v>
      </c>
      <c r="G19" s="34">
        <v>5970359.8600000003</v>
      </c>
      <c r="H19" s="34">
        <v>5970359.8600000003</v>
      </c>
      <c r="I19" s="34">
        <v>5970359.8600000003</v>
      </c>
      <c r="J19" s="34">
        <v>5970359.8600000003</v>
      </c>
      <c r="K19" s="34">
        <v>5970359.8600000003</v>
      </c>
      <c r="L19" s="34">
        <v>5970359.8600000003</v>
      </c>
      <c r="M19" s="34">
        <v>5970359.8600000003</v>
      </c>
      <c r="N19" s="34">
        <v>5970359.8600000003</v>
      </c>
      <c r="O19" s="34">
        <v>5970359.8600000003</v>
      </c>
      <c r="R19" s="43"/>
      <c r="S19" s="43"/>
      <c r="T19" s="43"/>
      <c r="U19" s="43"/>
      <c r="V19" s="47"/>
    </row>
    <row r="20" spans="1:22" ht="12.95" customHeight="1">
      <c r="A20" s="50"/>
      <c r="B20" s="35" t="s">
        <v>1</v>
      </c>
      <c r="C20" s="32">
        <v>26473144.573000003</v>
      </c>
      <c r="D20" s="3">
        <v>2769170.26</v>
      </c>
      <c r="E20" s="3">
        <v>2794736.9</v>
      </c>
      <c r="F20" s="3">
        <v>2470317.1860000002</v>
      </c>
      <c r="G20" s="3">
        <v>3483780.94</v>
      </c>
      <c r="H20" s="3">
        <v>1477730.7</v>
      </c>
      <c r="I20" s="3">
        <v>2461381.5239999997</v>
      </c>
      <c r="J20" s="3"/>
      <c r="K20" s="3">
        <v>3531186.2679999997</v>
      </c>
      <c r="L20" s="3"/>
      <c r="M20" s="3">
        <v>2289872.1549999998</v>
      </c>
      <c r="N20" s="3">
        <v>1407888.95</v>
      </c>
      <c r="O20" s="3">
        <v>3787079.69</v>
      </c>
      <c r="R20" s="45"/>
      <c r="S20" s="45"/>
      <c r="T20" s="45"/>
      <c r="U20" s="45"/>
      <c r="V20" s="47"/>
    </row>
    <row r="21" spans="1:22" ht="12.95" customHeight="1">
      <c r="A21" s="50"/>
      <c r="B21" s="35" t="s">
        <v>2</v>
      </c>
      <c r="C21" s="33">
        <v>144669.62733333331</v>
      </c>
      <c r="D21" s="34"/>
      <c r="E21" s="34"/>
      <c r="F21" s="34"/>
      <c r="G21" s="34"/>
      <c r="H21" s="34"/>
      <c r="I21" s="34">
        <v>51978.219999999994</v>
      </c>
      <c r="J21" s="34"/>
      <c r="K21" s="34"/>
      <c r="L21" s="34">
        <v>42965.183333333334</v>
      </c>
      <c r="M21" s="34">
        <v>49726.223999999995</v>
      </c>
      <c r="N21" s="34"/>
      <c r="O21" s="34"/>
      <c r="R21" s="43"/>
      <c r="S21" s="43"/>
      <c r="T21" s="43"/>
      <c r="U21" s="43"/>
      <c r="V21" s="47"/>
    </row>
    <row r="22" spans="1:22" ht="12.95" customHeight="1">
      <c r="A22" s="50"/>
      <c r="B22" s="35" t="s">
        <v>34</v>
      </c>
      <c r="C22" s="24">
        <v>97002332.53033334</v>
      </c>
      <c r="D22" s="23">
        <v>8319596.79</v>
      </c>
      <c r="E22" s="23">
        <v>8345163.4299999997</v>
      </c>
      <c r="F22" s="23">
        <v>8020743.716</v>
      </c>
      <c r="G22" s="23">
        <v>9454140.8000000007</v>
      </c>
      <c r="H22" s="23">
        <v>7448090.5600000005</v>
      </c>
      <c r="I22" s="23">
        <v>8483719.6040000003</v>
      </c>
      <c r="J22" s="23">
        <v>5970359.8600000003</v>
      </c>
      <c r="K22" s="23">
        <v>9501546.1280000005</v>
      </c>
      <c r="L22" s="23">
        <v>6013325.0433333339</v>
      </c>
      <c r="M22" s="23">
        <v>8309958.239000001</v>
      </c>
      <c r="N22" s="23">
        <v>7378248.8100000005</v>
      </c>
      <c r="O22" s="23">
        <v>9757439.5500000007</v>
      </c>
      <c r="R22" s="43"/>
      <c r="S22" s="43"/>
      <c r="T22" s="43"/>
      <c r="U22" s="43"/>
      <c r="V22" s="47"/>
    </row>
    <row r="23" spans="1:22" ht="12.95" customHeight="1">
      <c r="A23" s="61"/>
      <c r="B23" s="35" t="s">
        <v>35</v>
      </c>
      <c r="C23" s="24">
        <v>63536527.807368338</v>
      </c>
      <c r="D23" s="23">
        <v>5449335.89745</v>
      </c>
      <c r="E23" s="23">
        <v>5466082.0466499999</v>
      </c>
      <c r="F23" s="23">
        <v>5253587.1339800004</v>
      </c>
      <c r="G23" s="23">
        <v>6192462.2240000004</v>
      </c>
      <c r="H23" s="23">
        <v>4878499.3168000001</v>
      </c>
      <c r="I23" s="23">
        <v>5556836.3406200008</v>
      </c>
      <c r="J23" s="23">
        <v>3910585.7083000005</v>
      </c>
      <c r="K23" s="23">
        <v>6223512.7138400003</v>
      </c>
      <c r="L23" s="23">
        <v>3938727.9033833337</v>
      </c>
      <c r="M23" s="23">
        <v>5443022.6465450013</v>
      </c>
      <c r="N23" s="23">
        <v>4832752.9705500007</v>
      </c>
      <c r="O23" s="23">
        <v>6391122.9052500008</v>
      </c>
      <c r="R23" s="45"/>
      <c r="S23" s="45"/>
      <c r="T23" s="45"/>
      <c r="U23" s="45"/>
      <c r="V23" s="47"/>
    </row>
    <row r="24" spans="1:22" ht="12.95" customHeight="1">
      <c r="A24" s="62" t="s">
        <v>19</v>
      </c>
      <c r="B24" s="36" t="s">
        <v>0</v>
      </c>
      <c r="C24" s="33">
        <v>73816637.139999986</v>
      </c>
      <c r="D24" s="34">
        <v>5925891.4299999997</v>
      </c>
      <c r="E24" s="34">
        <v>6030823.6799999997</v>
      </c>
      <c r="F24" s="34">
        <v>5747707.6600000001</v>
      </c>
      <c r="G24" s="34">
        <v>6320570.3600000003</v>
      </c>
      <c r="H24" s="34">
        <v>6438024.9800000004</v>
      </c>
      <c r="I24" s="34">
        <v>6347493.6400000006</v>
      </c>
      <c r="J24" s="34">
        <v>6173147.9400000013</v>
      </c>
      <c r="K24" s="34">
        <v>6531747.25</v>
      </c>
      <c r="L24" s="34">
        <v>5927702.3199999994</v>
      </c>
      <c r="M24" s="34">
        <v>6154772.4399999995</v>
      </c>
      <c r="N24" s="34">
        <v>6217071.9500000002</v>
      </c>
      <c r="O24" s="34">
        <v>6001683.4900000002</v>
      </c>
      <c r="R24" s="43"/>
      <c r="S24" s="43"/>
      <c r="T24" s="43"/>
      <c r="U24" s="43"/>
      <c r="V24" s="47"/>
    </row>
    <row r="25" spans="1:22" ht="12.95" customHeight="1">
      <c r="A25" s="63"/>
      <c r="B25" s="36" t="s">
        <v>1</v>
      </c>
      <c r="C25" s="32">
        <v>7055921.21</v>
      </c>
      <c r="D25" s="3"/>
      <c r="E25" s="31">
        <v>1024689.11</v>
      </c>
      <c r="F25" s="3">
        <v>571506.62</v>
      </c>
      <c r="G25" s="3">
        <v>724164.37</v>
      </c>
      <c r="H25" s="3">
        <v>382742.23</v>
      </c>
      <c r="I25" s="3">
        <v>594861.46</v>
      </c>
      <c r="J25" s="3">
        <v>720344.41</v>
      </c>
      <c r="K25" s="3">
        <v>661284.87</v>
      </c>
      <c r="L25" s="3">
        <v>1135640.43</v>
      </c>
      <c r="M25" s="3">
        <v>1240687.71</v>
      </c>
      <c r="N25" s="3"/>
      <c r="O25" s="3"/>
    </row>
    <row r="26" spans="1:22" ht="12.95" customHeight="1">
      <c r="A26" s="63"/>
      <c r="B26" s="36" t="s">
        <v>2</v>
      </c>
      <c r="C26" s="33"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22" ht="12.95" customHeight="1">
      <c r="A27" s="63"/>
      <c r="B27" s="36" t="s">
        <v>34</v>
      </c>
      <c r="C27" s="24">
        <v>80872558.349999994</v>
      </c>
      <c r="D27" s="23">
        <v>5925891.4299999997</v>
      </c>
      <c r="E27" s="23">
        <v>7055512.79</v>
      </c>
      <c r="F27" s="23">
        <v>6319214.2800000003</v>
      </c>
      <c r="G27" s="23">
        <v>7044734.7300000004</v>
      </c>
      <c r="H27" s="23">
        <v>6820767.2100000009</v>
      </c>
      <c r="I27" s="23">
        <v>6942355.1000000006</v>
      </c>
      <c r="J27" s="23">
        <v>6893492.3500000015</v>
      </c>
      <c r="K27" s="23">
        <v>7193032.1200000001</v>
      </c>
      <c r="L27" s="23">
        <v>7063342.7499999991</v>
      </c>
      <c r="M27" s="23">
        <v>7395460.1499999994</v>
      </c>
      <c r="N27" s="23">
        <v>6217071.9500000002</v>
      </c>
      <c r="O27" s="23">
        <v>6001683.4900000002</v>
      </c>
    </row>
    <row r="28" spans="1:22" ht="12.95" customHeight="1">
      <c r="A28" s="64"/>
      <c r="B28" s="36" t="s">
        <v>35</v>
      </c>
      <c r="C28" s="24">
        <v>80872558.349999994</v>
      </c>
      <c r="D28" s="23">
        <v>5925891.4299999997</v>
      </c>
      <c r="E28" s="23">
        <v>7055512.79</v>
      </c>
      <c r="F28" s="23">
        <v>6319214.2800000003</v>
      </c>
      <c r="G28" s="23">
        <v>7044734.7300000004</v>
      </c>
      <c r="H28" s="23">
        <v>6820767.2100000009</v>
      </c>
      <c r="I28" s="23">
        <v>6942355.1000000006</v>
      </c>
      <c r="J28" s="23">
        <v>6893492.3500000015</v>
      </c>
      <c r="K28" s="23">
        <v>7193032.1200000001</v>
      </c>
      <c r="L28" s="23">
        <v>7063342.7499999991</v>
      </c>
      <c r="M28" s="23">
        <v>7395460.1499999994</v>
      </c>
      <c r="N28" s="23">
        <v>6217071.9500000002</v>
      </c>
      <c r="O28" s="23">
        <v>6001683.4900000002</v>
      </c>
    </row>
    <row r="29" spans="1:22" ht="12.95" customHeight="1">
      <c r="A29" s="49" t="s">
        <v>20</v>
      </c>
      <c r="B29" s="35" t="s">
        <v>0</v>
      </c>
      <c r="C29" s="33">
        <v>7450180.5199999996</v>
      </c>
      <c r="D29" s="34">
        <v>1026350</v>
      </c>
      <c r="E29" s="34">
        <v>769762.5</v>
      </c>
      <c r="F29" s="34">
        <v>769762.5</v>
      </c>
      <c r="G29" s="34">
        <v>769762.5</v>
      </c>
      <c r="H29" s="34">
        <v>769762.5</v>
      </c>
      <c r="I29" s="34">
        <v>769762.5</v>
      </c>
      <c r="J29" s="34">
        <v>769762.5</v>
      </c>
      <c r="K29" s="34">
        <v>476695.52</v>
      </c>
      <c r="L29" s="34">
        <v>332140</v>
      </c>
      <c r="M29" s="34">
        <v>332140</v>
      </c>
      <c r="N29" s="34">
        <v>332140</v>
      </c>
      <c r="O29" s="34">
        <v>332140</v>
      </c>
    </row>
    <row r="30" spans="1:22" ht="12.95" customHeight="1">
      <c r="A30" s="50"/>
      <c r="B30" s="35" t="s">
        <v>1</v>
      </c>
      <c r="C30" s="32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2" ht="12.95" customHeight="1">
      <c r="A31" s="50"/>
      <c r="B31" s="35" t="s">
        <v>2</v>
      </c>
      <c r="C31" s="33"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22" ht="12.95" customHeight="1">
      <c r="A32" s="50"/>
      <c r="B32" s="35" t="s">
        <v>34</v>
      </c>
      <c r="C32" s="24">
        <v>7450180.5199999996</v>
      </c>
      <c r="D32" s="23">
        <v>1026350</v>
      </c>
      <c r="E32" s="23">
        <v>769762.5</v>
      </c>
      <c r="F32" s="23">
        <v>769762.5</v>
      </c>
      <c r="G32" s="23">
        <v>769762.5</v>
      </c>
      <c r="H32" s="23">
        <v>769762.5</v>
      </c>
      <c r="I32" s="23">
        <v>769762.5</v>
      </c>
      <c r="J32" s="23">
        <v>769762.5</v>
      </c>
      <c r="K32" s="23">
        <v>476695.52</v>
      </c>
      <c r="L32" s="23">
        <v>332140</v>
      </c>
      <c r="M32" s="23">
        <v>332140</v>
      </c>
      <c r="N32" s="23">
        <v>332140</v>
      </c>
      <c r="O32" s="23">
        <v>332140</v>
      </c>
    </row>
    <row r="33" spans="1:19" ht="12.75" thickBot="1">
      <c r="A33" s="51"/>
      <c r="B33" s="35" t="s">
        <v>35</v>
      </c>
      <c r="C33" s="24">
        <v>7450180.5199999996</v>
      </c>
      <c r="D33" s="23">
        <v>1026350</v>
      </c>
      <c r="E33" s="23">
        <v>769762.5</v>
      </c>
      <c r="F33" s="23">
        <v>769762.5</v>
      </c>
      <c r="G33" s="23">
        <v>769762.5</v>
      </c>
      <c r="H33" s="23">
        <v>769762.5</v>
      </c>
      <c r="I33" s="23">
        <v>769762.5</v>
      </c>
      <c r="J33" s="23">
        <v>769762.5</v>
      </c>
      <c r="K33" s="23">
        <v>476695.52</v>
      </c>
      <c r="L33" s="23">
        <v>332140</v>
      </c>
      <c r="M33" s="23">
        <v>332140</v>
      </c>
      <c r="N33" s="23">
        <v>332140</v>
      </c>
      <c r="O33" s="23">
        <v>332140</v>
      </c>
    </row>
    <row r="34" spans="1:19" s="4" customFormat="1" ht="12.75" thickBot="1">
      <c r="A34" s="53" t="s">
        <v>21</v>
      </c>
      <c r="B34" s="54"/>
      <c r="C34" s="29">
        <v>151859266.67736831</v>
      </c>
      <c r="D34" s="29">
        <v>12401577.32745</v>
      </c>
      <c r="E34" s="29">
        <v>13291357.336649999</v>
      </c>
      <c r="F34" s="29">
        <v>12342563.91398</v>
      </c>
      <c r="G34" s="29">
        <v>14006959.454</v>
      </c>
      <c r="H34" s="29">
        <v>12469029.026800001</v>
      </c>
      <c r="I34" s="29">
        <v>13268953.940620001</v>
      </c>
      <c r="J34" s="29">
        <v>11573840.558300002</v>
      </c>
      <c r="K34" s="29">
        <v>13893240.353840001</v>
      </c>
      <c r="L34" s="29">
        <v>11334210.653383333</v>
      </c>
      <c r="M34" s="29">
        <v>13170622.796545001</v>
      </c>
      <c r="N34" s="29">
        <v>11381964.92055</v>
      </c>
      <c r="O34" s="30">
        <v>12724946.39525</v>
      </c>
      <c r="R34" s="42"/>
      <c r="S34" s="42"/>
    </row>
    <row r="35" spans="1:19" ht="12">
      <c r="F35" s="38">
        <v>2767156.5820199996</v>
      </c>
      <c r="G35" s="13"/>
    </row>
    <row r="36" spans="1:19" ht="12">
      <c r="A36" s="49" t="s">
        <v>22</v>
      </c>
      <c r="B36" s="35" t="s">
        <v>0</v>
      </c>
      <c r="C36" s="33">
        <v>23888279.98</v>
      </c>
      <c r="D36" s="34">
        <v>1934464.98</v>
      </c>
      <c r="E36" s="34">
        <v>1934465</v>
      </c>
      <c r="F36" s="34">
        <v>1934465</v>
      </c>
      <c r="G36" s="34">
        <v>1934465</v>
      </c>
      <c r="H36" s="34">
        <v>1934465</v>
      </c>
      <c r="I36" s="34">
        <v>1934465</v>
      </c>
      <c r="J36" s="34">
        <v>2046915</v>
      </c>
      <c r="K36" s="34">
        <v>2046915</v>
      </c>
      <c r="L36" s="34">
        <v>2046915</v>
      </c>
      <c r="M36" s="34">
        <v>2046915</v>
      </c>
      <c r="N36" s="34">
        <v>2046915</v>
      </c>
      <c r="O36" s="34">
        <v>2046915</v>
      </c>
    </row>
    <row r="37" spans="1:19" ht="12">
      <c r="A37" s="50"/>
      <c r="B37" s="35" t="s">
        <v>1</v>
      </c>
      <c r="C37" s="32">
        <v>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9" ht="12">
      <c r="A38" s="50"/>
      <c r="B38" s="35" t="s">
        <v>2</v>
      </c>
      <c r="C38" s="33">
        <v>133785</v>
      </c>
      <c r="D38" s="34">
        <v>73515</v>
      </c>
      <c r="E38" s="34"/>
      <c r="F38" s="34"/>
      <c r="G38" s="34"/>
      <c r="H38" s="34"/>
      <c r="I38" s="34"/>
      <c r="J38" s="34"/>
      <c r="K38" s="34"/>
      <c r="L38" s="34"/>
      <c r="M38" s="34"/>
      <c r="N38" s="34">
        <v>60270</v>
      </c>
      <c r="O38" s="34"/>
    </row>
    <row r="39" spans="1:19" ht="12">
      <c r="A39" s="50"/>
      <c r="B39" s="35" t="s">
        <v>34</v>
      </c>
      <c r="C39" s="24">
        <v>24022064.98</v>
      </c>
      <c r="D39" s="23">
        <v>2007979.98</v>
      </c>
      <c r="E39" s="23">
        <v>1934465</v>
      </c>
      <c r="F39" s="23">
        <v>1934465</v>
      </c>
      <c r="G39" s="23">
        <v>1934465</v>
      </c>
      <c r="H39" s="23">
        <v>1934465</v>
      </c>
      <c r="I39" s="23">
        <v>1934465</v>
      </c>
      <c r="J39" s="23">
        <v>2046915</v>
      </c>
      <c r="K39" s="23">
        <v>2046915</v>
      </c>
      <c r="L39" s="23">
        <v>2046915</v>
      </c>
      <c r="M39" s="23">
        <v>2046915</v>
      </c>
      <c r="N39" s="23">
        <v>2107185</v>
      </c>
      <c r="O39" s="23">
        <v>2046915</v>
      </c>
    </row>
    <row r="40" spans="1:19" ht="12.75" thickBot="1">
      <c r="A40" s="51"/>
      <c r="B40" s="35" t="s">
        <v>35</v>
      </c>
      <c r="C40" s="24">
        <v>24022064.98</v>
      </c>
      <c r="D40" s="23">
        <v>2007979.98</v>
      </c>
      <c r="E40" s="23">
        <v>1934465</v>
      </c>
      <c r="F40" s="23">
        <v>1934465</v>
      </c>
      <c r="G40" s="23">
        <v>1934465</v>
      </c>
      <c r="H40" s="23">
        <v>1934465</v>
      </c>
      <c r="I40" s="23">
        <v>1934465</v>
      </c>
      <c r="J40" s="23">
        <v>2046915</v>
      </c>
      <c r="K40" s="23">
        <v>2046915</v>
      </c>
      <c r="L40" s="23">
        <v>2046915</v>
      </c>
      <c r="M40" s="23">
        <v>2046915</v>
      </c>
      <c r="N40" s="23">
        <v>2107185</v>
      </c>
      <c r="O40" s="23">
        <v>2046915</v>
      </c>
    </row>
    <row r="41" spans="1:19" s="4" customFormat="1" ht="12.75" thickBot="1">
      <c r="A41" s="53" t="s">
        <v>24</v>
      </c>
      <c r="B41" s="54"/>
      <c r="C41" s="29">
        <v>24022064.98</v>
      </c>
      <c r="D41" s="29">
        <v>2007979.98</v>
      </c>
      <c r="E41" s="29">
        <v>1934465</v>
      </c>
      <c r="F41" s="29">
        <v>1934465</v>
      </c>
      <c r="G41" s="29">
        <v>1934465</v>
      </c>
      <c r="H41" s="29">
        <v>1934465</v>
      </c>
      <c r="I41" s="29">
        <v>1934465</v>
      </c>
      <c r="J41" s="29">
        <v>2046915</v>
      </c>
      <c r="K41" s="29">
        <v>2046915</v>
      </c>
      <c r="L41" s="29">
        <v>2046915</v>
      </c>
      <c r="M41" s="29">
        <v>2046915</v>
      </c>
      <c r="N41" s="29">
        <v>2107185</v>
      </c>
      <c r="O41" s="29">
        <v>2046915</v>
      </c>
      <c r="R41" s="42"/>
      <c r="S41" s="42"/>
    </row>
    <row r="42" spans="1:19" ht="12.75" thickBot="1"/>
    <row r="43" spans="1:19" s="4" customFormat="1" ht="12.75" thickBot="1">
      <c r="A43" s="55" t="s">
        <v>25</v>
      </c>
      <c r="B43" s="56"/>
      <c r="C43" s="25">
        <v>920322306.55730438</v>
      </c>
      <c r="D43" s="25">
        <v>66190393.297449991</v>
      </c>
      <c r="E43" s="25">
        <v>69219543.836649999</v>
      </c>
      <c r="F43" s="25">
        <v>70448752.193979993</v>
      </c>
      <c r="G43" s="25">
        <v>74354809.184</v>
      </c>
      <c r="H43" s="25">
        <v>75021107.136800006</v>
      </c>
      <c r="I43" s="25">
        <v>75818735.760619998</v>
      </c>
      <c r="J43" s="25">
        <v>76429321.323901236</v>
      </c>
      <c r="K43" s="25">
        <v>80937182.026174769</v>
      </c>
      <c r="L43" s="25">
        <v>80558721.165383324</v>
      </c>
      <c r="M43" s="25">
        <v>84632148.066544995</v>
      </c>
      <c r="N43" s="25">
        <v>82791690.910549998</v>
      </c>
      <c r="O43" s="26">
        <v>83919901.655250013</v>
      </c>
      <c r="R43" s="42"/>
      <c r="S43" s="42"/>
    </row>
    <row r="45" spans="1:19" ht="12">
      <c r="A45" s="57" t="s">
        <v>38</v>
      </c>
      <c r="B45" s="57"/>
      <c r="C45" s="11" t="s">
        <v>33</v>
      </c>
      <c r="E45" s="52" t="s">
        <v>36</v>
      </c>
      <c r="F45" s="52"/>
      <c r="H45" s="7" t="s">
        <v>30</v>
      </c>
      <c r="I45" s="8"/>
      <c r="J45" s="8"/>
      <c r="K45" s="8"/>
      <c r="L45" s="8"/>
      <c r="M45" s="8"/>
      <c r="N45" s="8"/>
      <c r="O45" s="9"/>
    </row>
    <row r="46" spans="1:19" ht="12">
      <c r="A46" s="68" t="s">
        <v>0</v>
      </c>
      <c r="B46" s="69"/>
      <c r="C46" s="24">
        <v>911598527.09000003</v>
      </c>
      <c r="E46" s="6" t="s">
        <v>26</v>
      </c>
      <c r="F46" s="27">
        <v>1</v>
      </c>
      <c r="H46" s="73" t="s">
        <v>46</v>
      </c>
      <c r="I46" s="74"/>
      <c r="J46" s="74"/>
      <c r="K46" s="74"/>
      <c r="L46" s="74"/>
      <c r="M46" s="74"/>
      <c r="N46" s="74"/>
      <c r="O46" s="75"/>
    </row>
    <row r="47" spans="1:19" ht="12">
      <c r="A47" s="68" t="s">
        <v>1</v>
      </c>
      <c r="B47" s="69"/>
      <c r="C47" s="24">
        <v>35987775.162936009</v>
      </c>
      <c r="E47" s="6" t="s">
        <v>16</v>
      </c>
      <c r="F47" s="27">
        <v>1</v>
      </c>
      <c r="G47" s="10"/>
      <c r="H47" s="73"/>
      <c r="I47" s="74"/>
      <c r="J47" s="74"/>
      <c r="K47" s="74"/>
      <c r="L47" s="74"/>
      <c r="M47" s="74"/>
      <c r="N47" s="74"/>
      <c r="O47" s="75"/>
    </row>
    <row r="48" spans="1:19" ht="12">
      <c r="A48" s="68" t="s">
        <v>2</v>
      </c>
      <c r="B48" s="69"/>
      <c r="C48" s="24">
        <v>6201809.0273333341</v>
      </c>
      <c r="E48" s="6" t="s">
        <v>27</v>
      </c>
      <c r="F48" s="37">
        <v>0.65500000000000003</v>
      </c>
      <c r="G48" s="10"/>
      <c r="H48" s="76"/>
      <c r="I48" s="77"/>
      <c r="J48" s="77"/>
      <c r="K48" s="77"/>
      <c r="L48" s="77"/>
      <c r="M48" s="77"/>
      <c r="N48" s="77"/>
      <c r="O48" s="78"/>
    </row>
    <row r="49" spans="1:16" ht="12">
      <c r="A49" s="68" t="s">
        <v>34</v>
      </c>
      <c r="B49" s="69"/>
      <c r="C49" s="24">
        <v>953788111.28026927</v>
      </c>
      <c r="E49" s="6" t="s">
        <v>28</v>
      </c>
      <c r="F49" s="27">
        <v>1</v>
      </c>
      <c r="G49" s="10"/>
      <c r="H49" s="14"/>
      <c r="I49" s="15"/>
      <c r="J49" s="15"/>
      <c r="K49" s="15"/>
      <c r="L49" s="15"/>
      <c r="M49" s="15"/>
      <c r="N49" s="15"/>
      <c r="O49" s="16"/>
    </row>
    <row r="50" spans="1:16" ht="12">
      <c r="A50" s="68" t="s">
        <v>35</v>
      </c>
      <c r="B50" s="69"/>
      <c r="C50" s="24">
        <v>920322306.55730426</v>
      </c>
      <c r="E50" s="6" t="s">
        <v>29</v>
      </c>
      <c r="F50" s="27">
        <v>1</v>
      </c>
      <c r="G50" s="10"/>
      <c r="H50" s="70" t="s">
        <v>47</v>
      </c>
      <c r="I50" s="71"/>
      <c r="J50" s="71"/>
      <c r="K50" s="71"/>
      <c r="L50" s="71"/>
      <c r="M50" s="71"/>
      <c r="N50" s="71"/>
      <c r="O50" s="72"/>
    </row>
    <row r="51" spans="1:16" ht="12">
      <c r="A51" s="68" t="s">
        <v>43</v>
      </c>
      <c r="B51" s="69"/>
      <c r="C51" s="12">
        <v>27925759.969999999</v>
      </c>
      <c r="E51" s="6" t="s">
        <v>22</v>
      </c>
      <c r="F51" s="27">
        <v>1</v>
      </c>
      <c r="G51" s="10"/>
      <c r="H51" s="70"/>
      <c r="I51" s="71"/>
      <c r="J51" s="71"/>
      <c r="K51" s="71"/>
      <c r="L51" s="71"/>
      <c r="M51" s="71"/>
      <c r="N51" s="71"/>
      <c r="O51" s="72"/>
    </row>
    <row r="52" spans="1:16" ht="12">
      <c r="A52" s="68" t="s">
        <v>44</v>
      </c>
      <c r="B52" s="69"/>
      <c r="C52" s="12">
        <v>105420</v>
      </c>
      <c r="G52" s="10"/>
      <c r="H52" s="70"/>
      <c r="I52" s="71"/>
      <c r="J52" s="71"/>
      <c r="K52" s="71"/>
      <c r="L52" s="71"/>
      <c r="M52" s="71"/>
      <c r="N52" s="71"/>
      <c r="O52" s="72"/>
    </row>
    <row r="53" spans="1:16" ht="12">
      <c r="A53" s="57" t="s">
        <v>38</v>
      </c>
      <c r="B53" s="57"/>
      <c r="C53" s="24">
        <v>948353486.52730429</v>
      </c>
      <c r="G53" s="10"/>
      <c r="H53" s="70"/>
      <c r="I53" s="71"/>
      <c r="J53" s="71"/>
      <c r="K53" s="71"/>
      <c r="L53" s="71"/>
      <c r="M53" s="71"/>
      <c r="N53" s="71"/>
      <c r="O53" s="72"/>
    </row>
    <row r="54" spans="1:16" ht="12">
      <c r="A54" s="79"/>
      <c r="B54" s="79"/>
      <c r="C54" s="79"/>
      <c r="H54" s="70"/>
      <c r="I54" s="71"/>
      <c r="J54" s="71"/>
      <c r="K54" s="71"/>
      <c r="L54" s="71"/>
      <c r="M54" s="71"/>
      <c r="N54" s="71"/>
      <c r="O54" s="72"/>
    </row>
    <row r="55" spans="1:16" ht="12">
      <c r="H55" s="70"/>
      <c r="I55" s="71"/>
      <c r="J55" s="71"/>
      <c r="K55" s="71"/>
      <c r="L55" s="71"/>
      <c r="M55" s="71"/>
      <c r="N55" s="71"/>
      <c r="O55" s="72"/>
    </row>
    <row r="56" spans="1:16" ht="12">
      <c r="H56" s="17"/>
      <c r="I56" s="1"/>
      <c r="J56" s="1"/>
      <c r="K56" s="1"/>
      <c r="L56" s="1"/>
      <c r="M56" s="1"/>
      <c r="N56" s="1"/>
      <c r="O56" s="18"/>
    </row>
    <row r="57" spans="1:16" ht="12">
      <c r="H57" s="65" t="s">
        <v>42</v>
      </c>
      <c r="I57" s="66"/>
      <c r="J57" s="66"/>
      <c r="K57" s="66"/>
      <c r="L57" s="66"/>
      <c r="M57" s="66"/>
      <c r="N57" s="66"/>
      <c r="O57" s="67"/>
      <c r="P57" s="40"/>
    </row>
    <row r="58" spans="1:16" ht="12">
      <c r="H58" s="17"/>
      <c r="I58" s="1"/>
      <c r="J58" s="1"/>
      <c r="K58" s="1"/>
      <c r="L58" s="1"/>
      <c r="M58" s="1"/>
      <c r="N58" s="1"/>
      <c r="O58" s="18"/>
    </row>
    <row r="59" spans="1:16" ht="12">
      <c r="H59" s="19" t="s">
        <v>48</v>
      </c>
      <c r="I59" s="20"/>
      <c r="J59" s="20"/>
      <c r="K59" s="20"/>
      <c r="L59" s="20"/>
      <c r="M59" s="20"/>
      <c r="N59" s="20"/>
      <c r="O59" s="21"/>
    </row>
    <row r="60" spans="1:16" ht="12">
      <c r="O60" s="22" t="s">
        <v>41</v>
      </c>
    </row>
  </sheetData>
  <mergeCells count="24">
    <mergeCell ref="A54:C54"/>
    <mergeCell ref="H57:O57"/>
    <mergeCell ref="A46:B46"/>
    <mergeCell ref="H46:O48"/>
    <mergeCell ref="A47:B47"/>
    <mergeCell ref="A48:B48"/>
    <mergeCell ref="A49:B49"/>
    <mergeCell ref="A50:B50"/>
    <mergeCell ref="H50:O55"/>
    <mergeCell ref="A51:B51"/>
    <mergeCell ref="A52:B52"/>
    <mergeCell ref="A53:B53"/>
    <mergeCell ref="E45:F45"/>
    <mergeCell ref="A7:A11"/>
    <mergeCell ref="A12:A16"/>
    <mergeCell ref="A17:B17"/>
    <mergeCell ref="A19:A23"/>
    <mergeCell ref="A24:A28"/>
    <mergeCell ref="A29:A33"/>
    <mergeCell ref="A34:B34"/>
    <mergeCell ref="A36:A40"/>
    <mergeCell ref="A41:B41"/>
    <mergeCell ref="A43:B43"/>
    <mergeCell ref="A45:B45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2013</Ano>
    <CDE xmlns="02fb9184-f59e-4684-aad0-03bf93b17f1c">Valores Reembolsados por Mês de Referência - Carvão Mineral</CDE>
    <TipoCDE xmlns="02fb9184-f59e-4684-aad0-03bf93b17f1c">5</TipoC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150833-9F25-444B-9272-70491E651730}"/>
</file>

<file path=customXml/itemProps2.xml><?xml version="1.0" encoding="utf-8"?>
<ds:datastoreItem xmlns:ds="http://schemas.openxmlformats.org/officeDocument/2006/customXml" ds:itemID="{DDFEB527-0481-4C4B-ABFE-2FB9EF400D81}"/>
</file>

<file path=customXml/itemProps3.xml><?xml version="1.0" encoding="utf-8"?>
<ds:datastoreItem xmlns:ds="http://schemas.openxmlformats.org/officeDocument/2006/customXml" ds:itemID="{72367B4B-1B18-4D0C-B82D-ED138BF848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R$</vt:lpstr>
      <vt:lpstr>Reembolso</vt:lpstr>
    </vt:vector>
  </TitlesOfParts>
  <Company>Eletrobras - Centrais Eletricas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Valores Reembolsados por Mês de Referência - 2013</dc:title>
  <dc:creator>doaxnxr</dc:creator>
  <cp:lastModifiedBy>amoraes</cp:lastModifiedBy>
  <cp:lastPrinted>2013-12-16T18:06:09Z</cp:lastPrinted>
  <dcterms:created xsi:type="dcterms:W3CDTF">2013-01-15T16:57:51Z</dcterms:created>
  <dcterms:modified xsi:type="dcterms:W3CDTF">2014-03-24T14:07:22Z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