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00261518208\Desktop\Mercúrio\Projeto MIA\Termos de referência_2015\T FINALIZADOS\Componente 1\Tradução do Toolkit\Tradução Toolkit\Toolkit Level I\Traduzidos Mark\Corrigidos\"/>
    </mc:Choice>
  </mc:AlternateContent>
  <bookViews>
    <workbookView xWindow="-15" yWindow="-15" windowWidth="15480" windowHeight="7500" tabRatio="947" firstSheet="9" activeTab="9"/>
  </bookViews>
  <sheets>
    <sheet name="Passo1-Dados do país" sheetId="18" r:id="rId1"/>
    <sheet name="Passo2-Energia" sheetId="14" r:id="rId2"/>
    <sheet name="5-1 Fuels" sheetId="2" state="hidden" r:id="rId3"/>
    <sheet name="Passo3-Metais-MatPrima" sheetId="15" r:id="rId4"/>
    <sheet name="5-2 Prim metal" sheetId="5" state="hidden" r:id="rId5"/>
    <sheet name="5-3 Other min + mat" sheetId="7" state="hidden" r:id="rId6"/>
    <sheet name="Passo4-Uso Industrial de Hg" sheetId="16" r:id="rId7"/>
    <sheet name="5-4 Int Hg in Industry" sheetId="4" state="hidden" r:id="rId8"/>
    <sheet name="Passo5-TratResíduos+Reciclágem" sheetId="19" r:id="rId9"/>
    <sheet name="Passo6-Produtos-Substâncias Hg" sheetId="17" r:id="rId10"/>
    <sheet name="5-6 Other int use" sheetId="9" state="hidden" r:id="rId11"/>
    <sheet name="Countrydata" sheetId="40" state="hidden" r:id="rId12"/>
    <sheet name="Passo7-Crematórios-cemitérios" sheetId="25" r:id="rId13"/>
    <sheet name="Passo8-Fontes Diversos de Hg" sheetId="26" r:id="rId14"/>
    <sheet name="Insira Resultados IN2 " sheetId="41" r:id="rId15"/>
    <sheet name="Range-thresholds" sheetId="37" state="hidden" r:id="rId16"/>
    <sheet name="Conversão de Unidades" sheetId="42" r:id="rId17"/>
    <sheet name="Nível1-ResumoExec" sheetId="30" r:id="rId18"/>
    <sheet name="Nível1-Gráficos" sheetId="39" r:id="rId19"/>
    <sheet name="Nível1-Fontes Hg identificadas" sheetId="32" r:id="rId20"/>
    <sheet name="Nível1-Resumo entradas Hg" sheetId="22" r:id="rId21"/>
    <sheet name="Nível1-Resumo liberações" sheetId="31" r:id="rId22"/>
    <sheet name="Nível 1-Resumo total" sheetId="29" r:id="rId23"/>
    <sheet name="Level 2-introduction" sheetId="6" state="hidden" r:id="rId24"/>
    <sheet name="Level 2-summary" sheetId="12" state="hidden" r:id="rId25"/>
    <sheet name="5-5 Cons prod" sheetId="3" state="hidden" r:id="rId26"/>
    <sheet name="Obs. Tradução" sheetId="36" r:id="rId27"/>
    <sheet name="5-7 Recycl metals" sheetId="10" state="hidden" r:id="rId28"/>
    <sheet name="5-8 Waste incin" sheetId="8" state="hidden" r:id="rId29"/>
    <sheet name="5-9 Waste depo and water treatm" sheetId="11" state="hidden" r:id="rId30"/>
    <sheet name="5-10 Cremat and cem" sheetId="13" state="hidden" r:id="rId31"/>
    <sheet name="Folha2" sheetId="43" r:id="rId32"/>
  </sheets>
  <externalReferences>
    <externalReference r:id="rId33"/>
    <externalReference r:id="rId34"/>
  </externalReferences>
  <definedNames>
    <definedName name="_Ref49683512" localSheetId="27">'5-7 Recycl metals'!$C$6</definedName>
    <definedName name="_Ref49683522" localSheetId="27">'5-7 Recycl metals'!$C$8</definedName>
    <definedName name="_Ref49683534" localSheetId="27">'5-7 Recycl metals'!$C$10</definedName>
    <definedName name="_Ref50871338" localSheetId="29">'5-9 Waste depo and water treatm'!$C$11</definedName>
    <definedName name="_Ref50871349" localSheetId="29">'5-9 Waste depo and water treatm'!$C$13</definedName>
    <definedName name="_Ref52957575" localSheetId="10">'5-6 Other int use'!$C$53</definedName>
    <definedName name="_SeF4">'Obs. Tradução'!$B$13</definedName>
    <definedName name="_xlnm.Print_Area" localSheetId="14">'Insira Resultados IN2 '!$A$9:$B$78</definedName>
    <definedName name="_xlnm.Print_Area" localSheetId="24">'Level 2-summary'!$A$11:$E$71</definedName>
    <definedName name="_xlnm.Print_Area" localSheetId="22">'Nível 1-Resumo total'!$A$2:$D$72</definedName>
    <definedName name="_xlnm.Print_Area" localSheetId="19">'Nível1-Fontes Hg identificadas'!$A$2:$B$71</definedName>
    <definedName name="_xlnm.Print_Area" localSheetId="18">'Nível1-Gráficos'!$A$6:$A$25</definedName>
    <definedName name="_xlnm.Print_Area" localSheetId="20">'Nível1-Resumo entradas Hg'!$A$2:$D$72</definedName>
    <definedName name="_xlnm.Print_Area" localSheetId="21">'Nível1-Resumo liberações'!$A$1:$G$74</definedName>
    <definedName name="_xlnm.Print_Area" localSheetId="17">'Nível1-ResumoExec'!$A$1:$J$33</definedName>
    <definedName name="_xlnm.Print_Area" localSheetId="0">'Passo1-Dados do país'!$A$3:$B$20</definedName>
    <definedName name="_xlnm.Print_Area" localSheetId="1">'Passo2-Energia'!$A$1:$L$17</definedName>
    <definedName name="_xlnm.Print_Area" localSheetId="3">'Passo3-Metais-MatPrima'!$A$1:$L$17</definedName>
    <definedName name="_xlnm.Print_Area" localSheetId="6">'Passo4-Uso Industrial de Hg'!$A$1:$L$18</definedName>
    <definedName name="_xlnm.Print_Area" localSheetId="8">'Passo5-TratResíduos+Reciclágem'!$A$1:$L$23</definedName>
    <definedName name="_xlnm.Print_Area" localSheetId="9">'Passo6-Produtos-Substâncias Hg'!$A$1:$L$47</definedName>
    <definedName name="_xlnm.Print_Area" localSheetId="12">'Passo7-Crematórios-cemitérios'!$A$1:$L$6</definedName>
    <definedName name="_xlnm.Print_Area" localSheetId="13">'Passo8-Fontes Diversos de Hg'!$A$1:$B$30</definedName>
    <definedName name="Country">Countrydata!$A$8:$A$206</definedName>
    <definedName name="no">'Obs. Tradução'!$B$5</definedName>
    <definedName name="pres">'Obs. Tradução'!$B$3</definedName>
    <definedName name="que">'Obs. Tradução'!$B$6</definedName>
    <definedName name="quest">'Obs. Tradução'!$B$7</definedName>
    <definedName name="quest2">'Obs. Tradução'!$B$8</definedName>
    <definedName name="trans1">'Obs. Tradução'!$B$10</definedName>
    <definedName name="trans2">'Obs. Tradução'!$B$11</definedName>
    <definedName name="trans3">'Obs. Tradução'!$B$12</definedName>
    <definedName name="yes">'Obs. Tradução'!$B$4</definedName>
    <definedName name="yn?">'Obs. Tradução'!$B$4:$B$6</definedName>
  </definedNames>
  <calcPr calcId="152511"/>
</workbook>
</file>

<file path=xl/calcChain.xml><?xml version="1.0" encoding="utf-8"?>
<calcChain xmlns="http://schemas.openxmlformats.org/spreadsheetml/2006/main">
  <c r="A61" i="32" l="1"/>
  <c r="A7" i="29"/>
  <c r="A7" i="31"/>
  <c r="A32" i="32"/>
  <c r="A25" i="32"/>
  <c r="A23" i="32"/>
  <c r="A77" i="41"/>
  <c r="A32" i="41"/>
  <c r="A17" i="41"/>
  <c r="A18" i="41"/>
  <c r="G6" i="14"/>
  <c r="A71" i="29"/>
  <c r="A45" i="29"/>
  <c r="A44" i="29"/>
  <c r="A43" i="29"/>
  <c r="A68" i="32"/>
  <c r="A7" i="32"/>
  <c r="A8" i="32"/>
  <c r="E11" i="15"/>
  <c r="K11" i="41" l="1"/>
  <c r="K24" i="41"/>
  <c r="K37" i="41"/>
  <c r="K50" i="41"/>
  <c r="K63" i="41"/>
  <c r="A76" i="41"/>
  <c r="K76" i="41"/>
  <c r="R6" i="5" l="1"/>
  <c r="Q6" i="5"/>
  <c r="P6" i="5"/>
  <c r="F70" i="37"/>
  <c r="G70" i="37" s="1"/>
  <c r="F66" i="37"/>
  <c r="G66" i="37" s="1"/>
  <c r="F60" i="37"/>
  <c r="G60" i="37" s="1"/>
  <c r="F57" i="37"/>
  <c r="G57" i="37" s="1"/>
  <c r="F44" i="37"/>
  <c r="G44" i="37" s="1"/>
  <c r="F35" i="37"/>
  <c r="G35" i="37" s="1"/>
  <c r="F31" i="37"/>
  <c r="G31" i="37" s="1"/>
  <c r="F28" i="37"/>
  <c r="G28" i="37" s="1"/>
  <c r="F18" i="37"/>
  <c r="G18" i="37" s="1"/>
  <c r="F14" i="37"/>
  <c r="G14" i="37" s="1"/>
  <c r="A72" i="37"/>
  <c r="A71" i="22" s="1"/>
  <c r="A71" i="37"/>
  <c r="A70" i="22" s="1"/>
  <c r="A70" i="37"/>
  <c r="A69" i="22" s="1"/>
  <c r="A69" i="37"/>
  <c r="A68" i="22" s="1"/>
  <c r="A68" i="37"/>
  <c r="A67" i="22" s="1"/>
  <c r="A67" i="37"/>
  <c r="A66" i="22" s="1"/>
  <c r="A66" i="37"/>
  <c r="A65" i="22" s="1"/>
  <c r="A65" i="37"/>
  <c r="A64" i="22" s="1"/>
  <c r="A64" i="37"/>
  <c r="A63" i="22" s="1"/>
  <c r="A63" i="37"/>
  <c r="A62" i="22" s="1"/>
  <c r="A62" i="37"/>
  <c r="A61" i="22" s="1"/>
  <c r="A61" i="37"/>
  <c r="A60" i="22" s="1"/>
  <c r="A60" i="37"/>
  <c r="A59" i="22" s="1"/>
  <c r="A59" i="37"/>
  <c r="A58" i="22" s="1"/>
  <c r="A58" i="37"/>
  <c r="A57" i="22" s="1"/>
  <c r="A57" i="37"/>
  <c r="A56" i="22" s="1"/>
  <c r="A56" i="37"/>
  <c r="A55" i="22" s="1"/>
  <c r="A55" i="37"/>
  <c r="A54" i="22" s="1"/>
  <c r="A54" i="37"/>
  <c r="A53" i="22" s="1"/>
  <c r="A53" i="37"/>
  <c r="A52" i="22" s="1"/>
  <c r="A52" i="37"/>
  <c r="A51" i="22" s="1"/>
  <c r="A51" i="37"/>
  <c r="A50" i="22" s="1"/>
  <c r="A50" i="37"/>
  <c r="A49" i="22" s="1"/>
  <c r="A49" i="37"/>
  <c r="A48" i="22" s="1"/>
  <c r="A48" i="37"/>
  <c r="A47" i="22" s="1"/>
  <c r="A47" i="37"/>
  <c r="A46" i="22" s="1"/>
  <c r="A46" i="37"/>
  <c r="A45" i="22" s="1"/>
  <c r="A45" i="37"/>
  <c r="A44" i="22" s="1"/>
  <c r="A44" i="37"/>
  <c r="A43" i="22" s="1"/>
  <c r="A43" i="37"/>
  <c r="A42" i="22" s="1"/>
  <c r="A42" i="37"/>
  <c r="A41" i="22" s="1"/>
  <c r="A41" i="37"/>
  <c r="A40" i="22" s="1"/>
  <c r="A40" i="37"/>
  <c r="A39" i="22" s="1"/>
  <c r="A39" i="37"/>
  <c r="A38" i="22" s="1"/>
  <c r="A38" i="37"/>
  <c r="A37" i="22" s="1"/>
  <c r="A37" i="37"/>
  <c r="A36" i="22" s="1"/>
  <c r="A36" i="37"/>
  <c r="A35" i="22" s="1"/>
  <c r="A35" i="37"/>
  <c r="A34" i="22" s="1"/>
  <c r="A34" i="37"/>
  <c r="A33" i="22" s="1"/>
  <c r="A33" i="37"/>
  <c r="A32" i="22" s="1"/>
  <c r="A32" i="37"/>
  <c r="A31" i="22" s="1"/>
  <c r="A31" i="37"/>
  <c r="A30" i="22" s="1"/>
  <c r="A30" i="37"/>
  <c r="A29" i="22" s="1"/>
  <c r="A29" i="37"/>
  <c r="A28" i="22" s="1"/>
  <c r="A28" i="37"/>
  <c r="A27" i="22" s="1"/>
  <c r="A27" i="37"/>
  <c r="A26" i="22" s="1"/>
  <c r="A26" i="37"/>
  <c r="A25" i="22" s="1"/>
  <c r="A25" i="37"/>
  <c r="A24" i="22" s="1"/>
  <c r="A24" i="37"/>
  <c r="A23" i="22" s="1"/>
  <c r="A23" i="37"/>
  <c r="A22" i="22" s="1"/>
  <c r="A22" i="37"/>
  <c r="A21" i="22" s="1"/>
  <c r="A21" i="37"/>
  <c r="A20" i="22" s="1"/>
  <c r="A20" i="37"/>
  <c r="A19" i="22" s="1"/>
  <c r="A19" i="37"/>
  <c r="A18" i="22" s="1"/>
  <c r="A18" i="37"/>
  <c r="A17" i="22" s="1"/>
  <c r="A5" i="37"/>
  <c r="A4" i="22" s="1"/>
  <c r="A17" i="37"/>
  <c r="A16" i="22" s="1"/>
  <c r="A16" i="37"/>
  <c r="A15" i="22" s="1"/>
  <c r="A15" i="37"/>
  <c r="A14" i="22" s="1"/>
  <c r="A14" i="37"/>
  <c r="A13" i="22" s="1"/>
  <c r="A13" i="37"/>
  <c r="A12" i="22" s="1"/>
  <c r="A11" i="37"/>
  <c r="A10" i="22" s="1"/>
  <c r="A10" i="37"/>
  <c r="A9" i="22" s="1"/>
  <c r="A9" i="37"/>
  <c r="A8" i="22" s="1"/>
  <c r="A8" i="37"/>
  <c r="A7" i="22" s="1"/>
  <c r="A7" i="37"/>
  <c r="A6" i="22" s="1"/>
  <c r="D56" i="37"/>
  <c r="E56" i="37"/>
  <c r="D55" i="37"/>
  <c r="E55" i="37"/>
  <c r="D54" i="37"/>
  <c r="E54" i="37"/>
  <c r="D50" i="37"/>
  <c r="E50" i="37"/>
  <c r="D47" i="37"/>
  <c r="E47" i="37"/>
  <c r="D45" i="37"/>
  <c r="E45" i="37"/>
  <c r="D38" i="37"/>
  <c r="D35" i="37"/>
  <c r="E35" i="37" s="1"/>
  <c r="D33" i="37"/>
  <c r="E33" i="37" s="1"/>
  <c r="D27" i="37"/>
  <c r="D22" i="37"/>
  <c r="D20" i="37"/>
  <c r="D16" i="37"/>
  <c r="E16" i="37" s="1"/>
  <c r="D11" i="37"/>
  <c r="D7" i="37"/>
  <c r="D34" i="37"/>
  <c r="E34" i="37"/>
  <c r="B41" i="37"/>
  <c r="B40" i="37"/>
  <c r="B37" i="37"/>
  <c r="B36" i="37"/>
  <c r="C23" i="37"/>
  <c r="D23" i="37"/>
  <c r="C8" i="37"/>
  <c r="D8" i="37"/>
  <c r="C9" i="37"/>
  <c r="D9" i="37"/>
  <c r="C10" i="37"/>
  <c r="D10" i="37"/>
  <c r="E10" i="37" s="1"/>
  <c r="C12" i="37"/>
  <c r="D12" i="37"/>
  <c r="C13" i="37"/>
  <c r="D13" i="37"/>
  <c r="E13" i="37" s="1"/>
  <c r="C14" i="37"/>
  <c r="D14" i="37"/>
  <c r="C15" i="37"/>
  <c r="D15" i="37"/>
  <c r="C17" i="37"/>
  <c r="D17" i="37"/>
  <c r="C18" i="37"/>
  <c r="D18" i="37"/>
  <c r="C19" i="37"/>
  <c r="D19" i="37"/>
  <c r="C21" i="37"/>
  <c r="D21" i="37"/>
  <c r="E21" i="37" s="1"/>
  <c r="C24" i="37"/>
  <c r="D24" i="37"/>
  <c r="C25" i="37"/>
  <c r="D25" i="37"/>
  <c r="E25" i="37" s="1"/>
  <c r="C26" i="37"/>
  <c r="D26" i="37"/>
  <c r="C28" i="37"/>
  <c r="D28" i="37"/>
  <c r="E28" i="37" s="1"/>
  <c r="C29" i="37"/>
  <c r="D29" i="37"/>
  <c r="C30" i="37"/>
  <c r="D30" i="37"/>
  <c r="E30" i="37" s="1"/>
  <c r="C31" i="37"/>
  <c r="D31" i="37"/>
  <c r="C32" i="37"/>
  <c r="D32" i="37"/>
  <c r="C34" i="37"/>
  <c r="C35" i="37"/>
  <c r="C36" i="37"/>
  <c r="C37" i="37"/>
  <c r="D37" i="37" s="1"/>
  <c r="E37" i="37" s="1"/>
  <c r="C39" i="37"/>
  <c r="D39" i="37"/>
  <c r="C40" i="37"/>
  <c r="C41" i="37"/>
  <c r="D41" i="37" s="1"/>
  <c r="E41" i="37" s="1"/>
  <c r="C42" i="37"/>
  <c r="D42" i="37"/>
  <c r="D43" i="37"/>
  <c r="C44" i="37"/>
  <c r="D44" i="37" s="1"/>
  <c r="E44" i="37" s="1"/>
  <c r="C45" i="37"/>
  <c r="C46" i="37"/>
  <c r="D46" i="37"/>
  <c r="E46" i="37" s="1"/>
  <c r="C47" i="37"/>
  <c r="C48" i="37"/>
  <c r="D48" i="37" s="1"/>
  <c r="E48" i="37" s="1"/>
  <c r="C49" i="37"/>
  <c r="D49" i="37" s="1"/>
  <c r="E49" i="37" s="1"/>
  <c r="C50" i="37"/>
  <c r="D51" i="37"/>
  <c r="D52" i="37"/>
  <c r="E52" i="37" s="1"/>
  <c r="C53" i="37"/>
  <c r="D53" i="37"/>
  <c r="C54" i="37"/>
  <c r="C55" i="37"/>
  <c r="C56" i="37"/>
  <c r="C57" i="37"/>
  <c r="D57" i="37" s="1"/>
  <c r="E57" i="37" s="1"/>
  <c r="C58" i="37"/>
  <c r="D58" i="37" s="1"/>
  <c r="E58" i="37" s="1"/>
  <c r="C59" i="37"/>
  <c r="D59" i="37" s="1"/>
  <c r="E59" i="37" s="1"/>
  <c r="C60" i="37"/>
  <c r="D60" i="37" s="1"/>
  <c r="E60" i="37" s="1"/>
  <c r="C61" i="37"/>
  <c r="D61" i="37" s="1"/>
  <c r="E61" i="37" s="1"/>
  <c r="C62" i="37"/>
  <c r="D62" i="37" s="1"/>
  <c r="E62" i="37" s="1"/>
  <c r="C63" i="37"/>
  <c r="D63" i="37" s="1"/>
  <c r="E63" i="37" s="1"/>
  <c r="D64" i="37"/>
  <c r="E64" i="37" s="1"/>
  <c r="C65" i="37"/>
  <c r="D65" i="37"/>
  <c r="C66" i="37"/>
  <c r="D66" i="37"/>
  <c r="E66" i="37" s="1"/>
  <c r="C67" i="37"/>
  <c r="D67" i="37"/>
  <c r="C68" i="37"/>
  <c r="D68" i="37"/>
  <c r="E68" i="37" s="1"/>
  <c r="C69" i="37"/>
  <c r="D69" i="37"/>
  <c r="C70" i="37"/>
  <c r="D70" i="37"/>
  <c r="E70" i="37" s="1"/>
  <c r="D71" i="37"/>
  <c r="C72" i="37"/>
  <c r="D72" i="37" s="1"/>
  <c r="E72" i="37" s="1"/>
  <c r="C6" i="37"/>
  <c r="D6" i="37" s="1"/>
  <c r="E6" i="37" s="1"/>
  <c r="J76" i="2"/>
  <c r="I18" i="2"/>
  <c r="K18" i="2" s="1"/>
  <c r="E6" i="14" s="1"/>
  <c r="E6" i="29" s="1"/>
  <c r="E6" i="22" s="1"/>
  <c r="F7" i="37" s="1"/>
  <c r="I8" i="2"/>
  <c r="K8" i="2" s="1"/>
  <c r="G18" i="2"/>
  <c r="D19" i="42"/>
  <c r="D20" i="42"/>
  <c r="D18" i="42"/>
  <c r="F16" i="42"/>
  <c r="D16" i="42"/>
  <c r="D15" i="42"/>
  <c r="D14" i="42"/>
  <c r="D13" i="42"/>
  <c r="D12" i="42"/>
  <c r="B38" i="29"/>
  <c r="D9" i="42"/>
  <c r="D10" i="42"/>
  <c r="D8" i="42"/>
  <c r="B78" i="41"/>
  <c r="A78" i="41"/>
  <c r="B77" i="41"/>
  <c r="B75" i="41"/>
  <c r="B74" i="41"/>
  <c r="B73" i="41"/>
  <c r="A72" i="41"/>
  <c r="B71" i="41"/>
  <c r="B70" i="41"/>
  <c r="B69" i="41"/>
  <c r="B68" i="41"/>
  <c r="B67" i="41"/>
  <c r="A66" i="41"/>
  <c r="B65" i="41"/>
  <c r="A65" i="41"/>
  <c r="B64" i="41"/>
  <c r="A64" i="41"/>
  <c r="A63" i="41"/>
  <c r="B62" i="41"/>
  <c r="A62" i="41"/>
  <c r="B61" i="41"/>
  <c r="A61" i="41"/>
  <c r="B60" i="41"/>
  <c r="A60" i="41"/>
  <c r="B59" i="41"/>
  <c r="A59" i="41"/>
  <c r="B58" i="41"/>
  <c r="A58" i="41"/>
  <c r="B57" i="41"/>
  <c r="A57" i="41"/>
  <c r="B56" i="41"/>
  <c r="A56" i="41"/>
  <c r="B55" i="41"/>
  <c r="A55" i="41"/>
  <c r="B54" i="41"/>
  <c r="A54" i="41"/>
  <c r="B53" i="41"/>
  <c r="A53" i="41"/>
  <c r="B52" i="41"/>
  <c r="A52" i="41"/>
  <c r="B51" i="41"/>
  <c r="A51" i="41"/>
  <c r="A50" i="41"/>
  <c r="B49" i="41"/>
  <c r="A49" i="41"/>
  <c r="B48" i="41"/>
  <c r="A48" i="41"/>
  <c r="B47" i="41"/>
  <c r="A47" i="41"/>
  <c r="B46" i="41"/>
  <c r="A46" i="41"/>
  <c r="B45" i="41"/>
  <c r="A45" i="41"/>
  <c r="B44" i="41"/>
  <c r="A44" i="41"/>
  <c r="B43" i="41"/>
  <c r="A43" i="41"/>
  <c r="B42" i="41"/>
  <c r="A42" i="41"/>
  <c r="A41" i="41"/>
  <c r="B40" i="41"/>
  <c r="A40" i="41"/>
  <c r="B39" i="41"/>
  <c r="A39" i="41"/>
  <c r="B38" i="41"/>
  <c r="A38" i="41"/>
  <c r="A37" i="41"/>
  <c r="B36" i="41"/>
  <c r="A36" i="41"/>
  <c r="B35" i="41"/>
  <c r="A35" i="41"/>
  <c r="A34" i="41"/>
  <c r="B33" i="41"/>
  <c r="A33" i="41"/>
  <c r="B32" i="41"/>
  <c r="B31" i="41"/>
  <c r="A31" i="41"/>
  <c r="B30" i="41"/>
  <c r="A30" i="41"/>
  <c r="B29" i="41"/>
  <c r="A29" i="41"/>
  <c r="B28" i="41"/>
  <c r="A28" i="41"/>
  <c r="B27" i="41"/>
  <c r="A27" i="41"/>
  <c r="B26" i="41"/>
  <c r="A26" i="41"/>
  <c r="B25" i="41"/>
  <c r="A25" i="41"/>
  <c r="A24" i="41"/>
  <c r="A23" i="41"/>
  <c r="A22" i="41"/>
  <c r="A21" i="41"/>
  <c r="A20" i="41"/>
  <c r="A19" i="41"/>
  <c r="A16" i="41"/>
  <c r="A15" i="41"/>
  <c r="A14" i="41"/>
  <c r="A13" i="41"/>
  <c r="A11" i="41"/>
  <c r="D23" i="18"/>
  <c r="C44" i="17" s="1"/>
  <c r="B23" i="18"/>
  <c r="B6" i="18" s="1"/>
  <c r="E20" i="37" s="1"/>
  <c r="C206" i="40"/>
  <c r="E110" i="40"/>
  <c r="D110" i="40" s="1"/>
  <c r="D179" i="40"/>
  <c r="E179" i="40"/>
  <c r="E127" i="40"/>
  <c r="D127" i="40" s="1"/>
  <c r="E199" i="40"/>
  <c r="D199" i="40" s="1"/>
  <c r="E67" i="40"/>
  <c r="D67" i="40" s="1"/>
  <c r="E45" i="40"/>
  <c r="D45" i="40" s="1"/>
  <c r="D9" i="40"/>
  <c r="E201" i="40"/>
  <c r="D201" i="40"/>
  <c r="D66" i="40"/>
  <c r="C98" i="40"/>
  <c r="C64" i="40"/>
  <c r="D205" i="40"/>
  <c r="D206" i="40"/>
  <c r="D10" i="40"/>
  <c r="D11" i="40"/>
  <c r="D12" i="40"/>
  <c r="D13" i="40"/>
  <c r="D14" i="40"/>
  <c r="D15" i="40"/>
  <c r="D16" i="40"/>
  <c r="D19" i="40"/>
  <c r="D20" i="40"/>
  <c r="D21" i="40"/>
  <c r="D22" i="40"/>
  <c r="D23" i="40"/>
  <c r="D24" i="40"/>
  <c r="D26" i="40"/>
  <c r="D27" i="40"/>
  <c r="D28" i="40"/>
  <c r="D29" i="40"/>
  <c r="D30" i="40"/>
  <c r="D31" i="40"/>
  <c r="D32" i="40"/>
  <c r="C23" i="18"/>
  <c r="C11" i="17" s="1"/>
  <c r="D33" i="40"/>
  <c r="D34" i="40"/>
  <c r="D35" i="40"/>
  <c r="D36" i="40"/>
  <c r="D37" i="40"/>
  <c r="D38" i="40"/>
  <c r="D40" i="40"/>
  <c r="D41" i="40"/>
  <c r="D42" i="40"/>
  <c r="D44" i="40"/>
  <c r="D46" i="40"/>
  <c r="D47" i="40"/>
  <c r="D149" i="40"/>
  <c r="D48" i="40"/>
  <c r="D49" i="40"/>
  <c r="D50" i="40"/>
  <c r="D51" i="40"/>
  <c r="D52" i="40"/>
  <c r="D53" i="40"/>
  <c r="D55" i="40"/>
  <c r="D56" i="40"/>
  <c r="D58" i="40"/>
  <c r="D59" i="40"/>
  <c r="D60" i="40"/>
  <c r="D61" i="40"/>
  <c r="D62" i="40"/>
  <c r="D63" i="40"/>
  <c r="D64" i="40"/>
  <c r="D65" i="40"/>
  <c r="D182" i="40"/>
  <c r="D68" i="40"/>
  <c r="D71" i="40"/>
  <c r="D72" i="40"/>
  <c r="D73" i="40"/>
  <c r="D75" i="40"/>
  <c r="D77" i="40"/>
  <c r="D78" i="40"/>
  <c r="D79" i="40"/>
  <c r="D80" i="40"/>
  <c r="D81" i="40"/>
  <c r="D82" i="40"/>
  <c r="D83" i="40"/>
  <c r="D86" i="40"/>
  <c r="D87" i="40"/>
  <c r="D88" i="40"/>
  <c r="D89" i="40"/>
  <c r="D93" i="40"/>
  <c r="D95" i="40"/>
  <c r="D96" i="40"/>
  <c r="D97" i="40"/>
  <c r="D98" i="40"/>
  <c r="D99" i="40"/>
  <c r="D100" i="40"/>
  <c r="D101" i="40"/>
  <c r="D102" i="40"/>
  <c r="D103" i="40"/>
  <c r="D104" i="40"/>
  <c r="D105" i="40"/>
  <c r="D106" i="40"/>
  <c r="D107" i="40"/>
  <c r="D109" i="40"/>
  <c r="D111" i="40"/>
  <c r="D112" i="40"/>
  <c r="D113" i="40"/>
  <c r="D114" i="40"/>
  <c r="D115" i="40"/>
  <c r="D116" i="40"/>
  <c r="D117" i="40"/>
  <c r="D119" i="40"/>
  <c r="D120" i="40"/>
  <c r="D121" i="40"/>
  <c r="D122" i="40"/>
  <c r="D123" i="40"/>
  <c r="D124" i="40"/>
  <c r="D125" i="40"/>
  <c r="D126" i="40"/>
  <c r="D128" i="40"/>
  <c r="D131" i="40"/>
  <c r="D132" i="40"/>
  <c r="D133" i="40"/>
  <c r="D134" i="40"/>
  <c r="D136" i="40"/>
  <c r="D137" i="40"/>
  <c r="D138" i="40"/>
  <c r="D139" i="40"/>
  <c r="D140" i="40"/>
  <c r="D141" i="40"/>
  <c r="D142" i="40"/>
  <c r="D143" i="40"/>
  <c r="D146" i="40"/>
  <c r="D148" i="40"/>
  <c r="D150" i="40"/>
  <c r="D151" i="40"/>
  <c r="D152" i="40"/>
  <c r="D153" i="40"/>
  <c r="D154" i="40"/>
  <c r="D155" i="40"/>
  <c r="D156" i="40"/>
  <c r="D157" i="40"/>
  <c r="D158" i="40"/>
  <c r="D159" i="40"/>
  <c r="D160" i="40"/>
  <c r="D161" i="40"/>
  <c r="D162" i="40"/>
  <c r="D163" i="40"/>
  <c r="D164" i="40"/>
  <c r="D167" i="40"/>
  <c r="D168" i="40"/>
  <c r="D169" i="40"/>
  <c r="D171" i="40"/>
  <c r="D172" i="40"/>
  <c r="D173" i="40"/>
  <c r="D174" i="40"/>
  <c r="D177" i="40"/>
  <c r="D178" i="40"/>
  <c r="D180" i="40"/>
  <c r="D181" i="40"/>
  <c r="D183" i="40"/>
  <c r="D184" i="40"/>
  <c r="D185" i="40"/>
  <c r="D186" i="40"/>
  <c r="D187" i="40"/>
  <c r="D189" i="40"/>
  <c r="D190" i="40"/>
  <c r="D191" i="40"/>
  <c r="D192" i="40"/>
  <c r="D193" i="40"/>
  <c r="D195" i="40"/>
  <c r="D197" i="40"/>
  <c r="D198" i="40"/>
  <c r="D200" i="40"/>
  <c r="D202" i="40"/>
  <c r="D203" i="40"/>
  <c r="D204" i="40"/>
  <c r="D17" i="40"/>
  <c r="B7" i="36"/>
  <c r="I47" i="3"/>
  <c r="K47" i="3" s="1"/>
  <c r="E29" i="17"/>
  <c r="I43" i="3"/>
  <c r="K43" i="3" s="1"/>
  <c r="I33" i="3"/>
  <c r="K33" i="3" s="1"/>
  <c r="I32" i="3"/>
  <c r="I31" i="3"/>
  <c r="K31" i="3" s="1"/>
  <c r="I30" i="3"/>
  <c r="K30" i="3" s="1"/>
  <c r="I29" i="3"/>
  <c r="K29" i="3" s="1"/>
  <c r="E23" i="17"/>
  <c r="I16" i="3"/>
  <c r="K16" i="3" s="1"/>
  <c r="I15" i="3"/>
  <c r="K15" i="3" s="1"/>
  <c r="I14" i="3"/>
  <c r="K14" i="3" s="1"/>
  <c r="I13" i="3"/>
  <c r="K13" i="3" s="1"/>
  <c r="B13" i="17"/>
  <c r="B45" i="32" s="1"/>
  <c r="F5" i="17"/>
  <c r="B31" i="29"/>
  <c r="B71" i="29"/>
  <c r="B70" i="29"/>
  <c r="B68" i="29"/>
  <c r="B67" i="29"/>
  <c r="B66" i="29"/>
  <c r="B64" i="29"/>
  <c r="B63" i="29"/>
  <c r="B62" i="29"/>
  <c r="B61" i="29"/>
  <c r="B60" i="29"/>
  <c r="B58" i="29"/>
  <c r="B57" i="29"/>
  <c r="B55" i="29"/>
  <c r="B54" i="29"/>
  <c r="B53" i="29"/>
  <c r="B52" i="29"/>
  <c r="B51" i="29"/>
  <c r="B50" i="29"/>
  <c r="B49" i="29"/>
  <c r="B46" i="29"/>
  <c r="B44" i="29"/>
  <c r="B42" i="29"/>
  <c r="B41" i="29"/>
  <c r="B40" i="29"/>
  <c r="B39" i="29"/>
  <c r="B37" i="29"/>
  <c r="B36" i="29"/>
  <c r="B35" i="29"/>
  <c r="B33" i="29"/>
  <c r="B32" i="29"/>
  <c r="B29" i="29"/>
  <c r="B28" i="29"/>
  <c r="B26" i="29"/>
  <c r="B25" i="29"/>
  <c r="B24" i="29"/>
  <c r="B23" i="29"/>
  <c r="B22" i="29"/>
  <c r="B21" i="29"/>
  <c r="B20" i="29"/>
  <c r="B19" i="29"/>
  <c r="B18" i="29"/>
  <c r="B16" i="29"/>
  <c r="B15" i="29"/>
  <c r="B14" i="29"/>
  <c r="B12" i="29"/>
  <c r="B11" i="29"/>
  <c r="B10" i="29"/>
  <c r="B9" i="29"/>
  <c r="B8" i="29"/>
  <c r="B7" i="29"/>
  <c r="B6" i="29"/>
  <c r="B5" i="29"/>
  <c r="B8" i="36"/>
  <c r="B3" i="19" s="1"/>
  <c r="I6" i="25"/>
  <c r="I71" i="29" s="1"/>
  <c r="E71" i="31" s="1"/>
  <c r="I5" i="25"/>
  <c r="I70" i="29" s="1"/>
  <c r="K21" i="19"/>
  <c r="K67" i="29" s="1"/>
  <c r="H18" i="30" s="1"/>
  <c r="J21" i="19"/>
  <c r="J67" i="29" s="1"/>
  <c r="G18" i="30" s="1"/>
  <c r="I21" i="19"/>
  <c r="I67" i="29" s="1"/>
  <c r="I9" i="19"/>
  <c r="I57" i="29" s="1"/>
  <c r="E57" i="31" s="1"/>
  <c r="B71" i="22"/>
  <c r="B70" i="22"/>
  <c r="B68" i="22"/>
  <c r="B67" i="22"/>
  <c r="B66" i="22"/>
  <c r="B64" i="22"/>
  <c r="B63" i="22"/>
  <c r="B62" i="22"/>
  <c r="B61" i="22"/>
  <c r="B60" i="22"/>
  <c r="B58" i="22"/>
  <c r="B57" i="22"/>
  <c r="B55" i="22"/>
  <c r="B54" i="22"/>
  <c r="B53" i="22"/>
  <c r="B52" i="22"/>
  <c r="B51" i="22"/>
  <c r="B50" i="22"/>
  <c r="B49" i="22"/>
  <c r="B46" i="22"/>
  <c r="B44" i="22"/>
  <c r="B42" i="22"/>
  <c r="B41" i="22"/>
  <c r="B40" i="22"/>
  <c r="B39" i="22"/>
  <c r="B38" i="22"/>
  <c r="B37" i="22"/>
  <c r="B36" i="22"/>
  <c r="B35" i="22"/>
  <c r="B33" i="22"/>
  <c r="B32" i="22"/>
  <c r="B31" i="22"/>
  <c r="B29" i="22"/>
  <c r="B28" i="22"/>
  <c r="B26" i="22"/>
  <c r="B25" i="22"/>
  <c r="B24" i="22"/>
  <c r="B23" i="22"/>
  <c r="B22" i="22"/>
  <c r="B21" i="22"/>
  <c r="B20" i="22"/>
  <c r="B19" i="22"/>
  <c r="B18" i="22"/>
  <c r="B16" i="22"/>
  <c r="B15" i="22"/>
  <c r="B14" i="22"/>
  <c r="B12" i="22"/>
  <c r="B11" i="22"/>
  <c r="B10" i="22"/>
  <c r="B9" i="22"/>
  <c r="B8" i="22"/>
  <c r="B7" i="22"/>
  <c r="B6" i="22"/>
  <c r="B5" i="22"/>
  <c r="B71" i="32"/>
  <c r="B70" i="32"/>
  <c r="B68" i="32"/>
  <c r="B67" i="32"/>
  <c r="B66" i="32"/>
  <c r="B64" i="32"/>
  <c r="B63" i="32"/>
  <c r="B62" i="32"/>
  <c r="B61" i="32"/>
  <c r="B60" i="32"/>
  <c r="B58" i="32"/>
  <c r="B57" i="32"/>
  <c r="B55" i="32"/>
  <c r="B54" i="32"/>
  <c r="B53" i="32"/>
  <c r="B52" i="32"/>
  <c r="B51" i="32"/>
  <c r="B50" i="32"/>
  <c r="B49" i="32"/>
  <c r="B46" i="32"/>
  <c r="B44" i="32"/>
  <c r="B42" i="32"/>
  <c r="B41" i="32"/>
  <c r="B40" i="32"/>
  <c r="B39" i="32"/>
  <c r="B38" i="32"/>
  <c r="B37" i="32"/>
  <c r="B36" i="32"/>
  <c r="B35" i="32"/>
  <c r="B33" i="32"/>
  <c r="B32" i="32"/>
  <c r="B31" i="32"/>
  <c r="B29" i="32"/>
  <c r="B28" i="32"/>
  <c r="B26" i="32"/>
  <c r="B25" i="32"/>
  <c r="B24" i="32"/>
  <c r="B23" i="32"/>
  <c r="B22" i="32"/>
  <c r="B21" i="32"/>
  <c r="B20" i="32"/>
  <c r="B19" i="32"/>
  <c r="B18" i="32"/>
  <c r="B16" i="32"/>
  <c r="B15" i="32"/>
  <c r="B14" i="32"/>
  <c r="B12" i="32"/>
  <c r="B11" i="32"/>
  <c r="B10" i="32"/>
  <c r="B9" i="32"/>
  <c r="B8" i="32"/>
  <c r="B7" i="32"/>
  <c r="B6" i="32"/>
  <c r="B5" i="32"/>
  <c r="B26" i="17"/>
  <c r="B21" i="17"/>
  <c r="I45" i="3"/>
  <c r="K45" i="3" s="1"/>
  <c r="I28" i="3"/>
  <c r="K28" i="3" s="1"/>
  <c r="L9" i="14"/>
  <c r="A10" i="32"/>
  <c r="A9" i="32"/>
  <c r="A10" i="31"/>
  <c r="A9" i="31"/>
  <c r="C10" i="29"/>
  <c r="C10" i="22" s="1"/>
  <c r="A10" i="29"/>
  <c r="C9" i="29"/>
  <c r="C9" i="22"/>
  <c r="A9" i="29"/>
  <c r="I41" i="2"/>
  <c r="K41" i="2" s="1"/>
  <c r="N41" i="2" s="1"/>
  <c r="I40" i="2"/>
  <c r="K40" i="2"/>
  <c r="D10" i="29"/>
  <c r="D9" i="22"/>
  <c r="I6" i="5"/>
  <c r="K6" i="5" s="1"/>
  <c r="N6" i="5" s="1"/>
  <c r="N12" i="7"/>
  <c r="AA18" i="9"/>
  <c r="Z18" i="9"/>
  <c r="Y18" i="9"/>
  <c r="X18" i="9"/>
  <c r="W18" i="9"/>
  <c r="V18" i="9"/>
  <c r="A71" i="32"/>
  <c r="A70" i="32"/>
  <c r="A69" i="32"/>
  <c r="A67" i="32"/>
  <c r="A66" i="32"/>
  <c r="A65" i="32" s="1"/>
  <c r="A64" i="32"/>
  <c r="A63" i="32"/>
  <c r="A62" i="32"/>
  <c r="A60" i="32"/>
  <c r="A59" i="32"/>
  <c r="A58" i="32"/>
  <c r="A57" i="32"/>
  <c r="A56" i="32"/>
  <c r="A55" i="32"/>
  <c r="A54" i="32"/>
  <c r="A53" i="32"/>
  <c r="A52" i="32"/>
  <c r="A51" i="32"/>
  <c r="A50" i="32"/>
  <c r="A49" i="32"/>
  <c r="A48" i="32"/>
  <c r="A47" i="32"/>
  <c r="A46" i="32"/>
  <c r="A45" i="32"/>
  <c r="A44" i="32"/>
  <c r="A43" i="32"/>
  <c r="A42" i="32"/>
  <c r="A41" i="32"/>
  <c r="A40" i="32"/>
  <c r="A39" i="32"/>
  <c r="A38" i="32"/>
  <c r="A37" i="32"/>
  <c r="A36" i="32"/>
  <c r="A35" i="32"/>
  <c r="A34" i="32"/>
  <c r="A33" i="32"/>
  <c r="A31" i="32"/>
  <c r="A30" i="32"/>
  <c r="A29" i="32"/>
  <c r="A28" i="32"/>
  <c r="A27" i="32"/>
  <c r="A26" i="32"/>
  <c r="A24" i="32"/>
  <c r="A22" i="32"/>
  <c r="A21" i="32"/>
  <c r="A20" i="32"/>
  <c r="A19" i="32"/>
  <c r="A18" i="32"/>
  <c r="A17" i="32"/>
  <c r="A16" i="32"/>
  <c r="A15" i="32"/>
  <c r="A14" i="32"/>
  <c r="A13" i="32"/>
  <c r="A12" i="32"/>
  <c r="A6" i="32"/>
  <c r="A4" i="32"/>
  <c r="A71" i="31"/>
  <c r="A70" i="31"/>
  <c r="A69" i="31"/>
  <c r="A66" i="31"/>
  <c r="A65" i="31"/>
  <c r="A64" i="31"/>
  <c r="A63" i="31"/>
  <c r="A62" i="31"/>
  <c r="A61" i="31"/>
  <c r="A60" i="31"/>
  <c r="A59" i="31"/>
  <c r="A58" i="31"/>
  <c r="A57" i="31"/>
  <c r="A56" i="31"/>
  <c r="A55" i="31"/>
  <c r="A54" i="31"/>
  <c r="A53" i="31"/>
  <c r="A52" i="31"/>
  <c r="A51" i="31"/>
  <c r="A50" i="31"/>
  <c r="A49" i="31"/>
  <c r="A48" i="31"/>
  <c r="A47" i="31"/>
  <c r="A46" i="31"/>
  <c r="A45" i="31"/>
  <c r="A44" i="31"/>
  <c r="A43" i="31"/>
  <c r="A42" i="31"/>
  <c r="A41" i="31"/>
  <c r="A40" i="31"/>
  <c r="A39" i="31"/>
  <c r="A38" i="31"/>
  <c r="A37" i="31"/>
  <c r="A36" i="31"/>
  <c r="A35" i="31"/>
  <c r="A34" i="31"/>
  <c r="A33" i="31"/>
  <c r="A32" i="31"/>
  <c r="A31" i="31"/>
  <c r="A30" i="31"/>
  <c r="A29" i="31"/>
  <c r="A28" i="31"/>
  <c r="A27" i="31"/>
  <c r="A26" i="31"/>
  <c r="A25" i="31"/>
  <c r="A24" i="31"/>
  <c r="A23" i="31"/>
  <c r="A22" i="31"/>
  <c r="A21" i="31"/>
  <c r="A20" i="31"/>
  <c r="A19" i="31"/>
  <c r="A18" i="31"/>
  <c r="A17" i="31"/>
  <c r="A16" i="31"/>
  <c r="A15" i="31"/>
  <c r="A14" i="31"/>
  <c r="A13" i="31"/>
  <c r="A12" i="31"/>
  <c r="A8" i="31"/>
  <c r="A6" i="31"/>
  <c r="A4" i="31"/>
  <c r="L71" i="29"/>
  <c r="D71" i="29"/>
  <c r="C71" i="29"/>
  <c r="C71" i="22" s="1"/>
  <c r="L70" i="29"/>
  <c r="D70" i="29"/>
  <c r="C70" i="29"/>
  <c r="C70" i="22" s="1"/>
  <c r="A70" i="29"/>
  <c r="A69" i="29"/>
  <c r="L68" i="29"/>
  <c r="D68" i="29"/>
  <c r="C68" i="29"/>
  <c r="C68" i="22" s="1"/>
  <c r="L67" i="29"/>
  <c r="D67" i="29"/>
  <c r="C67" i="29"/>
  <c r="C67" i="22" s="1"/>
  <c r="L66" i="29"/>
  <c r="D66" i="29"/>
  <c r="C66" i="29"/>
  <c r="C66" i="22" s="1"/>
  <c r="A65" i="29"/>
  <c r="L64" i="29"/>
  <c r="D64" i="29"/>
  <c r="C64" i="29"/>
  <c r="C64" i="22" s="1"/>
  <c r="L63" i="29"/>
  <c r="D63" i="29"/>
  <c r="C63" i="29"/>
  <c r="C63" i="22" s="1"/>
  <c r="L62" i="29"/>
  <c r="D62" i="29"/>
  <c r="C62" i="29"/>
  <c r="C62" i="22" s="1"/>
  <c r="L61" i="29"/>
  <c r="D61" i="29"/>
  <c r="C61" i="29"/>
  <c r="C61" i="22" s="1"/>
  <c r="L60" i="29"/>
  <c r="D60" i="29"/>
  <c r="C60" i="29"/>
  <c r="C60" i="22" s="1"/>
  <c r="A59" i="29"/>
  <c r="L58" i="29"/>
  <c r="D58" i="29"/>
  <c r="C58" i="29"/>
  <c r="C58" i="22" s="1"/>
  <c r="A58" i="29"/>
  <c r="L57" i="29"/>
  <c r="D57" i="29"/>
  <c r="C57" i="29"/>
  <c r="C57" i="22" s="1"/>
  <c r="A57" i="29"/>
  <c r="A56" i="29"/>
  <c r="L55" i="29"/>
  <c r="D55" i="29"/>
  <c r="A55" i="29"/>
  <c r="L54" i="29"/>
  <c r="D54" i="29"/>
  <c r="A54" i="29"/>
  <c r="L53" i="29"/>
  <c r="D53" i="29"/>
  <c r="A53" i="29"/>
  <c r="L52" i="29"/>
  <c r="D52" i="29"/>
  <c r="C52" i="29"/>
  <c r="C52" i="22" s="1"/>
  <c r="A52" i="29"/>
  <c r="L51" i="29"/>
  <c r="D51" i="29"/>
  <c r="C51" i="29"/>
  <c r="C51" i="22" s="1"/>
  <c r="A51" i="29"/>
  <c r="L50" i="29"/>
  <c r="D50" i="29"/>
  <c r="C50" i="29"/>
  <c r="C50" i="22" s="1"/>
  <c r="A50" i="29"/>
  <c r="L49" i="29"/>
  <c r="D49" i="29"/>
  <c r="A49" i="29"/>
  <c r="L48" i="29"/>
  <c r="D48" i="29"/>
  <c r="A48" i="29"/>
  <c r="L47" i="29"/>
  <c r="D47" i="29"/>
  <c r="A47" i="29"/>
  <c r="L46" i="29"/>
  <c r="D46" i="29"/>
  <c r="A46" i="29"/>
  <c r="L45" i="29"/>
  <c r="D45" i="29"/>
  <c r="L44" i="29"/>
  <c r="D44" i="29"/>
  <c r="L42" i="29"/>
  <c r="D42" i="29"/>
  <c r="C42" i="29"/>
  <c r="C42" i="22" s="1"/>
  <c r="A42" i="29"/>
  <c r="L41" i="29"/>
  <c r="D41" i="29"/>
  <c r="C41" i="29"/>
  <c r="C41" i="22" s="1"/>
  <c r="A41" i="29"/>
  <c r="L40" i="29"/>
  <c r="D40" i="29"/>
  <c r="C40" i="29"/>
  <c r="C40" i="22" s="1"/>
  <c r="A40" i="29"/>
  <c r="L39" i="29"/>
  <c r="D39" i="29"/>
  <c r="C39" i="29"/>
  <c r="C39" i="22"/>
  <c r="A39" i="29"/>
  <c r="L38" i="29"/>
  <c r="D38" i="29"/>
  <c r="C38" i="29"/>
  <c r="C38" i="22" s="1"/>
  <c r="A38" i="29"/>
  <c r="L37" i="29"/>
  <c r="D37" i="29"/>
  <c r="C37" i="29"/>
  <c r="C37" i="22" s="1"/>
  <c r="A37" i="29"/>
  <c r="L36" i="29"/>
  <c r="D36" i="29"/>
  <c r="C36" i="29"/>
  <c r="C36" i="22" s="1"/>
  <c r="A36" i="29"/>
  <c r="L35" i="29"/>
  <c r="D35" i="29"/>
  <c r="C35" i="29"/>
  <c r="C35" i="22" s="1"/>
  <c r="A35" i="29"/>
  <c r="L33" i="29"/>
  <c r="D33" i="29"/>
  <c r="C33" i="29"/>
  <c r="C33" i="22" s="1"/>
  <c r="A33" i="29"/>
  <c r="L32" i="29"/>
  <c r="D32" i="29"/>
  <c r="C32" i="29"/>
  <c r="C32" i="22" s="1"/>
  <c r="A32" i="29"/>
  <c r="L31" i="29"/>
  <c r="D31" i="29"/>
  <c r="C31" i="29"/>
  <c r="C31" i="22" s="1"/>
  <c r="A31" i="29"/>
  <c r="A30" i="29"/>
  <c r="L29" i="29"/>
  <c r="D29" i="29"/>
  <c r="C29" i="29"/>
  <c r="C29" i="22" s="1"/>
  <c r="A29" i="29"/>
  <c r="L28" i="29"/>
  <c r="D28" i="29"/>
  <c r="C28" i="29"/>
  <c r="C28" i="22" s="1"/>
  <c r="A28" i="29"/>
  <c r="A27" i="29"/>
  <c r="L26" i="29"/>
  <c r="D26" i="29"/>
  <c r="C26" i="29"/>
  <c r="C26" i="22" s="1"/>
  <c r="A26" i="29"/>
  <c r="L25" i="29"/>
  <c r="D25" i="29"/>
  <c r="C25" i="29"/>
  <c r="C25" i="22"/>
  <c r="A25" i="29"/>
  <c r="L24" i="29"/>
  <c r="D24" i="29"/>
  <c r="C24" i="29"/>
  <c r="C24" i="22" s="1"/>
  <c r="A24" i="29"/>
  <c r="L23" i="29"/>
  <c r="D23" i="29"/>
  <c r="C23" i="29"/>
  <c r="C23" i="22" s="1"/>
  <c r="A23" i="29"/>
  <c r="L22" i="29"/>
  <c r="D22" i="29"/>
  <c r="C22" i="29"/>
  <c r="C22" i="22" s="1"/>
  <c r="A22" i="29"/>
  <c r="L21" i="29"/>
  <c r="D21" i="29"/>
  <c r="C21" i="29"/>
  <c r="C21" i="22" s="1"/>
  <c r="A21" i="29"/>
  <c r="L20" i="29"/>
  <c r="D20" i="29"/>
  <c r="C20" i="29"/>
  <c r="C20" i="22" s="1"/>
  <c r="A20" i="29"/>
  <c r="L19" i="29"/>
  <c r="D19" i="29"/>
  <c r="C19" i="29"/>
  <c r="C19" i="22" s="1"/>
  <c r="A19" i="29"/>
  <c r="L18" i="29"/>
  <c r="D18" i="29"/>
  <c r="C18" i="29"/>
  <c r="C18" i="22" s="1"/>
  <c r="A18" i="29"/>
  <c r="A17" i="29"/>
  <c r="C16" i="29"/>
  <c r="C16" i="22" s="1"/>
  <c r="A16" i="29"/>
  <c r="D15" i="29"/>
  <c r="C15" i="29"/>
  <c r="C15" i="22" s="1"/>
  <c r="A15" i="29"/>
  <c r="D14" i="29"/>
  <c r="C14" i="29"/>
  <c r="C14" i="22" s="1"/>
  <c r="A14" i="29"/>
  <c r="A13" i="29"/>
  <c r="D12" i="29"/>
  <c r="C12" i="29"/>
  <c r="C12" i="22" s="1"/>
  <c r="A12" i="29"/>
  <c r="D11" i="29"/>
  <c r="C11" i="29"/>
  <c r="C11" i="22" s="1"/>
  <c r="D8" i="29"/>
  <c r="C8" i="29"/>
  <c r="C8" i="22" s="1"/>
  <c r="A8" i="29"/>
  <c r="D7" i="29"/>
  <c r="C7" i="29"/>
  <c r="C7" i="22" s="1"/>
  <c r="D6" i="29"/>
  <c r="C6" i="29"/>
  <c r="C6" i="22" s="1"/>
  <c r="A6" i="29"/>
  <c r="D5" i="29"/>
  <c r="C5" i="29"/>
  <c r="C5" i="22" s="1"/>
  <c r="A4" i="29"/>
  <c r="I38" i="2"/>
  <c r="K38" i="2" s="1"/>
  <c r="N39" i="2" s="1"/>
  <c r="AA39" i="2" s="1"/>
  <c r="L12" i="14"/>
  <c r="B19" i="41" s="1"/>
  <c r="L11" i="14"/>
  <c r="L11" i="29" s="1"/>
  <c r="I32" i="2"/>
  <c r="K32" i="2" s="1"/>
  <c r="N32" i="2" s="1"/>
  <c r="I28" i="2"/>
  <c r="K28" i="2" s="1"/>
  <c r="N28" i="2" s="1"/>
  <c r="AA10" i="7"/>
  <c r="Z10" i="7"/>
  <c r="Y10" i="7"/>
  <c r="X10" i="7"/>
  <c r="W10" i="7"/>
  <c r="V10" i="7"/>
  <c r="AA9" i="7"/>
  <c r="Z9" i="7"/>
  <c r="Y9" i="7"/>
  <c r="X9" i="7"/>
  <c r="W9" i="7"/>
  <c r="V9" i="7"/>
  <c r="AA7" i="7"/>
  <c r="Z7" i="7"/>
  <c r="Y7" i="7"/>
  <c r="X7" i="7"/>
  <c r="W7" i="7"/>
  <c r="V7" i="7"/>
  <c r="I8" i="7"/>
  <c r="K8" i="7" s="1"/>
  <c r="I7" i="7"/>
  <c r="K7" i="7" s="1"/>
  <c r="K6" i="7" s="1"/>
  <c r="N8" i="7" s="1"/>
  <c r="I10" i="5"/>
  <c r="K10" i="5" s="1"/>
  <c r="N10" i="5" s="1"/>
  <c r="I9" i="5"/>
  <c r="K9" i="5" s="1"/>
  <c r="N9" i="5" s="1"/>
  <c r="C26" i="17"/>
  <c r="C48" i="29" s="1"/>
  <c r="C48" i="22" s="1"/>
  <c r="C21" i="17"/>
  <c r="C47" i="29" s="1"/>
  <c r="C47" i="22" s="1"/>
  <c r="D45" i="22"/>
  <c r="D44" i="22"/>
  <c r="C13" i="17"/>
  <c r="C45" i="29" s="1"/>
  <c r="C45" i="22" s="1"/>
  <c r="I7" i="3"/>
  <c r="K7" i="3" s="1"/>
  <c r="N7" i="3" s="1"/>
  <c r="D54" i="22"/>
  <c r="D52" i="22"/>
  <c r="H91" i="9"/>
  <c r="Y70" i="9"/>
  <c r="Y69" i="9"/>
  <c r="Y68" i="9"/>
  <c r="Y67" i="9"/>
  <c r="Y66" i="9"/>
  <c r="Y65" i="9"/>
  <c r="Y64" i="9"/>
  <c r="Y63" i="9"/>
  <c r="Y62" i="9"/>
  <c r="Y61" i="9"/>
  <c r="Y60" i="9"/>
  <c r="Y59" i="9"/>
  <c r="Y58" i="9"/>
  <c r="Y57" i="9"/>
  <c r="Y56" i="9"/>
  <c r="Y55" i="9"/>
  <c r="Y54" i="9"/>
  <c r="Y53" i="9" s="1"/>
  <c r="H51" i="12" s="1"/>
  <c r="Y49" i="9"/>
  <c r="Y48" i="9"/>
  <c r="Y47" i="9"/>
  <c r="Y46" i="9"/>
  <c r="Y45" i="9"/>
  <c r="Y44" i="9"/>
  <c r="Y43" i="9"/>
  <c r="Y42" i="9"/>
  <c r="Y41" i="9"/>
  <c r="Y40" i="9"/>
  <c r="Y39" i="9"/>
  <c r="Y32" i="9"/>
  <c r="Y31" i="9"/>
  <c r="Y30" i="9"/>
  <c r="Y29" i="9"/>
  <c r="Y28" i="9"/>
  <c r="Y27" i="9"/>
  <c r="I15" i="9"/>
  <c r="K15" i="9" s="1"/>
  <c r="N16" i="9" s="1"/>
  <c r="I64" i="3"/>
  <c r="K64" i="3"/>
  <c r="N64" i="3" s="1"/>
  <c r="I60" i="3"/>
  <c r="K60" i="3" s="1"/>
  <c r="N60" i="3" s="1"/>
  <c r="Y56" i="3"/>
  <c r="Y45" i="3"/>
  <c r="Y30" i="3"/>
  <c r="Y23" i="3"/>
  <c r="Y15" i="3"/>
  <c r="I16" i="11"/>
  <c r="K16" i="11" s="1"/>
  <c r="N17" i="11" s="1"/>
  <c r="Y17" i="11" s="1"/>
  <c r="I13" i="11"/>
  <c r="K13" i="11"/>
  <c r="N13" i="11" s="1"/>
  <c r="V13" i="11" s="1"/>
  <c r="E66" i="12" s="1"/>
  <c r="I6" i="11"/>
  <c r="K6" i="11" s="1"/>
  <c r="N6" i="11" s="1"/>
  <c r="V6" i="11" s="1"/>
  <c r="E63" i="12" s="1"/>
  <c r="I26" i="8"/>
  <c r="K26" i="8" s="1"/>
  <c r="N26" i="8" s="1"/>
  <c r="AA26" i="8" s="1"/>
  <c r="I24" i="8"/>
  <c r="K24" i="8"/>
  <c r="N24" i="8" s="1"/>
  <c r="I19" i="8"/>
  <c r="K19" i="8" s="1"/>
  <c r="N20" i="8" s="1"/>
  <c r="I13" i="8"/>
  <c r="K13" i="8" s="1"/>
  <c r="N14" i="8" s="1"/>
  <c r="I7" i="8"/>
  <c r="K7" i="8"/>
  <c r="N8" i="8" s="1"/>
  <c r="Z8" i="8" s="1"/>
  <c r="K10" i="10"/>
  <c r="N10" i="10"/>
  <c r="V10" i="10" s="1"/>
  <c r="E55" i="12" s="1"/>
  <c r="I8" i="10"/>
  <c r="K8" i="10"/>
  <c r="N8" i="10" s="1"/>
  <c r="I6" i="10"/>
  <c r="K6" i="10" s="1"/>
  <c r="I8" i="13"/>
  <c r="K8" i="13" s="1"/>
  <c r="N8" i="13" s="1"/>
  <c r="I6" i="13"/>
  <c r="K6" i="13" s="1"/>
  <c r="N6" i="13" s="1"/>
  <c r="I63" i="3"/>
  <c r="K63" i="3" s="1"/>
  <c r="N63" i="3" s="1"/>
  <c r="I59" i="3"/>
  <c r="K59" i="3" s="1"/>
  <c r="N59" i="3" s="1"/>
  <c r="I55" i="3"/>
  <c r="K55" i="3" s="1"/>
  <c r="N55" i="3" s="1"/>
  <c r="I14" i="9"/>
  <c r="K14" i="9" s="1"/>
  <c r="N14" i="9" s="1"/>
  <c r="AA14" i="9" s="1"/>
  <c r="I36" i="3"/>
  <c r="K36" i="3" s="1"/>
  <c r="N36" i="3" s="1"/>
  <c r="I26" i="3"/>
  <c r="K26" i="3" s="1"/>
  <c r="N26" i="3" s="1"/>
  <c r="I19" i="3"/>
  <c r="K19" i="3" s="1"/>
  <c r="N19" i="3" s="1"/>
  <c r="Z19" i="3" s="1"/>
  <c r="I12" i="4"/>
  <c r="K12" i="4"/>
  <c r="N12" i="4" s="1"/>
  <c r="I10" i="4"/>
  <c r="K10" i="4"/>
  <c r="N10" i="4" s="1"/>
  <c r="Y10" i="4" s="1"/>
  <c r="H35" i="12" s="1"/>
  <c r="I7" i="4"/>
  <c r="K7" i="4" s="1"/>
  <c r="K6" i="4" s="1"/>
  <c r="I25" i="2"/>
  <c r="K25" i="2" s="1"/>
  <c r="N25" i="2" s="1"/>
  <c r="I26" i="2"/>
  <c r="K26" i="2" s="1"/>
  <c r="N26" i="2" s="1"/>
  <c r="I11" i="7"/>
  <c r="K11" i="7" s="1"/>
  <c r="N11" i="7" s="1"/>
  <c r="D71" i="22"/>
  <c r="D70" i="22"/>
  <c r="D68" i="22"/>
  <c r="D67" i="22"/>
  <c r="D66" i="22"/>
  <c r="D64" i="22"/>
  <c r="D63" i="22"/>
  <c r="D62" i="22"/>
  <c r="D61" i="22"/>
  <c r="D60" i="22"/>
  <c r="D58" i="22"/>
  <c r="D57" i="22"/>
  <c r="D55" i="22"/>
  <c r="D53" i="22"/>
  <c r="D51" i="22"/>
  <c r="D50" i="22"/>
  <c r="D48" i="22"/>
  <c r="D47" i="22"/>
  <c r="D46" i="22"/>
  <c r="D49" i="22"/>
  <c r="D42" i="22"/>
  <c r="D41" i="22"/>
  <c r="D40" i="22"/>
  <c r="D39" i="22"/>
  <c r="D38" i="22"/>
  <c r="D37" i="22"/>
  <c r="D36" i="22"/>
  <c r="D35" i="22"/>
  <c r="D33" i="22"/>
  <c r="D32" i="22"/>
  <c r="D31" i="22"/>
  <c r="I25" i="5"/>
  <c r="K25" i="5" s="1"/>
  <c r="N25" i="5" s="1"/>
  <c r="I33" i="5"/>
  <c r="K33" i="5" s="1"/>
  <c r="I28" i="5"/>
  <c r="K28" i="5" s="1"/>
  <c r="N28" i="5" s="1"/>
  <c r="Z28" i="5" s="1"/>
  <c r="I23" i="5"/>
  <c r="K23" i="5" s="1"/>
  <c r="N23" i="5" s="1"/>
  <c r="Y23" i="5" s="1"/>
  <c r="Y21" i="5" s="1"/>
  <c r="H24" i="12" s="1"/>
  <c r="I19" i="5"/>
  <c r="K19" i="5" s="1"/>
  <c r="N19" i="5" s="1"/>
  <c r="AA19" i="5" s="1"/>
  <c r="I15" i="5"/>
  <c r="K15" i="5" s="1"/>
  <c r="I11" i="5"/>
  <c r="K11" i="5"/>
  <c r="N11" i="5" s="1"/>
  <c r="Z11" i="5" s="1"/>
  <c r="D5" i="22"/>
  <c r="D12" i="22"/>
  <c r="I51" i="2"/>
  <c r="K51" i="2" s="1"/>
  <c r="N51" i="2" s="1"/>
  <c r="I50" i="2"/>
  <c r="K50" i="2" s="1"/>
  <c r="N50" i="2" s="1"/>
  <c r="Z50" i="2" s="1"/>
  <c r="I17" i="12" s="1"/>
  <c r="K15" i="2"/>
  <c r="D29" i="22"/>
  <c r="D28" i="22"/>
  <c r="D24" i="22"/>
  <c r="D23" i="22"/>
  <c r="D22" i="22"/>
  <c r="D21" i="22"/>
  <c r="D20" i="22"/>
  <c r="D19" i="22"/>
  <c r="D26" i="22"/>
  <c r="D25" i="22"/>
  <c r="D18" i="22"/>
  <c r="D15" i="22"/>
  <c r="D14" i="22"/>
  <c r="D11" i="22"/>
  <c r="D8" i="22"/>
  <c r="D7" i="22"/>
  <c r="D6" i="22"/>
  <c r="A12" i="41"/>
  <c r="A11" i="29"/>
  <c r="D16" i="22"/>
  <c r="L17" i="14"/>
  <c r="L7" i="14"/>
  <c r="L6" i="14"/>
  <c r="L6" i="29" s="1"/>
  <c r="L5" i="14"/>
  <c r="AA17" i="7"/>
  <c r="Z17" i="7"/>
  <c r="Y17" i="7"/>
  <c r="X17" i="7"/>
  <c r="W17" i="7"/>
  <c r="V17" i="7"/>
  <c r="W10" i="2"/>
  <c r="W11" i="2"/>
  <c r="W12" i="2"/>
  <c r="W16" i="2"/>
  <c r="W17" i="2"/>
  <c r="W18" i="2"/>
  <c r="W20" i="2"/>
  <c r="W21" i="2"/>
  <c r="W22" i="2"/>
  <c r="X10" i="2"/>
  <c r="X11" i="2"/>
  <c r="X12" i="2"/>
  <c r="X16" i="2"/>
  <c r="X17" i="2"/>
  <c r="X18" i="2"/>
  <c r="X20" i="2"/>
  <c r="X21" i="2"/>
  <c r="X22" i="2"/>
  <c r="X29" i="2"/>
  <c r="X30" i="2"/>
  <c r="Y10" i="2"/>
  <c r="Y11" i="2"/>
  <c r="Y12" i="2"/>
  <c r="Y16" i="2"/>
  <c r="Y17" i="2"/>
  <c r="Y18" i="2"/>
  <c r="Y20" i="2"/>
  <c r="Y21" i="2"/>
  <c r="Y22" i="2"/>
  <c r="Z10" i="2"/>
  <c r="Z11" i="2"/>
  <c r="Z12" i="2"/>
  <c r="Z16" i="2"/>
  <c r="Z17" i="2"/>
  <c r="Z18" i="2"/>
  <c r="Z20" i="2"/>
  <c r="Z21" i="2"/>
  <c r="Z22" i="2"/>
  <c r="AA10" i="2"/>
  <c r="AA11" i="2"/>
  <c r="AA12" i="2"/>
  <c r="AA16" i="2"/>
  <c r="AA17" i="2"/>
  <c r="AA18" i="2"/>
  <c r="AA20" i="2"/>
  <c r="AA21" i="2"/>
  <c r="AA22" i="2"/>
  <c r="V10" i="2"/>
  <c r="V11" i="2"/>
  <c r="V12" i="2"/>
  <c r="V16" i="2"/>
  <c r="V17" i="2"/>
  <c r="V18" i="2"/>
  <c r="V20" i="2"/>
  <c r="V21" i="2"/>
  <c r="V22" i="2"/>
  <c r="C47" i="12"/>
  <c r="D57" i="12"/>
  <c r="K64" i="12"/>
  <c r="X7" i="2"/>
  <c r="W39" i="9"/>
  <c r="W35" i="9" s="1"/>
  <c r="F49" i="12" s="1"/>
  <c r="X39" i="9"/>
  <c r="Z39" i="9"/>
  <c r="AA39" i="9"/>
  <c r="AA35" i="9" s="1"/>
  <c r="J49" i="12" s="1"/>
  <c r="V39" i="9"/>
  <c r="K45" i="2"/>
  <c r="K17" i="2"/>
  <c r="K7" i="2"/>
  <c r="D12" i="12"/>
  <c r="C63" i="12"/>
  <c r="B69" i="12"/>
  <c r="C69" i="12"/>
  <c r="D69" i="12"/>
  <c r="H69" i="12"/>
  <c r="B70" i="12"/>
  <c r="C70" i="12"/>
  <c r="D70" i="12"/>
  <c r="H70" i="12"/>
  <c r="C68" i="12"/>
  <c r="A68" i="12"/>
  <c r="B63" i="12"/>
  <c r="D63" i="12"/>
  <c r="B64" i="12"/>
  <c r="C64" i="12"/>
  <c r="D64" i="12"/>
  <c r="E64" i="12"/>
  <c r="F64" i="12"/>
  <c r="G64" i="12"/>
  <c r="H64" i="12"/>
  <c r="I64" i="12"/>
  <c r="J64" i="12"/>
  <c r="B65" i="12"/>
  <c r="C65" i="12"/>
  <c r="D65" i="12"/>
  <c r="V11" i="11"/>
  <c r="E65" i="12"/>
  <c r="W11" i="11"/>
  <c r="F65" i="12"/>
  <c r="X11" i="11"/>
  <c r="G65" i="12"/>
  <c r="H65" i="12"/>
  <c r="I65" i="12"/>
  <c r="J65" i="12"/>
  <c r="B66" i="12"/>
  <c r="C66" i="12"/>
  <c r="D66" i="12"/>
  <c r="E21" i="19"/>
  <c r="B22" i="39" s="1"/>
  <c r="H66" i="12"/>
  <c r="I66" i="12"/>
  <c r="J66" i="12"/>
  <c r="B67" i="12"/>
  <c r="C67" i="12"/>
  <c r="D67" i="12"/>
  <c r="V16" i="11"/>
  <c r="V18" i="11"/>
  <c r="V19" i="11"/>
  <c r="W16" i="11"/>
  <c r="W18" i="11"/>
  <c r="W19" i="11"/>
  <c r="X16" i="11"/>
  <c r="X18" i="11"/>
  <c r="X19" i="11"/>
  <c r="Y16" i="11"/>
  <c r="Y18" i="11"/>
  <c r="Y19" i="11"/>
  <c r="Z16" i="11"/>
  <c r="Z18" i="11"/>
  <c r="Z19" i="11"/>
  <c r="AA16" i="11"/>
  <c r="AA18" i="11"/>
  <c r="AA19" i="11"/>
  <c r="C62" i="12"/>
  <c r="A62" i="12"/>
  <c r="B57" i="12"/>
  <c r="C57" i="12"/>
  <c r="V7" i="8"/>
  <c r="V9" i="8"/>
  <c r="V10" i="8"/>
  <c r="W7" i="8"/>
  <c r="W9" i="8"/>
  <c r="W10" i="8"/>
  <c r="X7" i="8"/>
  <c r="X9" i="8"/>
  <c r="X10" i="8"/>
  <c r="Y7" i="8"/>
  <c r="Y9" i="8"/>
  <c r="Y10" i="8"/>
  <c r="Z7" i="8"/>
  <c r="Z9" i="8"/>
  <c r="Z10" i="8"/>
  <c r="AA7" i="8"/>
  <c r="AA9" i="8"/>
  <c r="AA10" i="8"/>
  <c r="B58" i="12"/>
  <c r="C58" i="12"/>
  <c r="D58" i="12"/>
  <c r="E14" i="19"/>
  <c r="E61" i="29" s="1"/>
  <c r="E61" i="22" s="1"/>
  <c r="F62" i="37" s="1"/>
  <c r="V13" i="8"/>
  <c r="V15" i="8"/>
  <c r="V16" i="8"/>
  <c r="W13" i="8"/>
  <c r="W15" i="8"/>
  <c r="W16" i="8"/>
  <c r="X13" i="8"/>
  <c r="X15" i="8"/>
  <c r="X16" i="8"/>
  <c r="Y13" i="8"/>
  <c r="Y15" i="8"/>
  <c r="Y16" i="8"/>
  <c r="Z13" i="8"/>
  <c r="Z15" i="8"/>
  <c r="Z16" i="8"/>
  <c r="AA13" i="8"/>
  <c r="AA15" i="8"/>
  <c r="AA16" i="8"/>
  <c r="B59" i="12"/>
  <c r="C59" i="12"/>
  <c r="D59" i="12"/>
  <c r="V19" i="8"/>
  <c r="V21" i="8"/>
  <c r="V22" i="8"/>
  <c r="W19" i="8"/>
  <c r="W21" i="8"/>
  <c r="W22" i="8"/>
  <c r="X19" i="8"/>
  <c r="X21" i="8"/>
  <c r="X22" i="8"/>
  <c r="Y19" i="8"/>
  <c r="Y21" i="8"/>
  <c r="Y22" i="8"/>
  <c r="Z19" i="8"/>
  <c r="Z21" i="8"/>
  <c r="Z22" i="8"/>
  <c r="AA19" i="8"/>
  <c r="AA21" i="8"/>
  <c r="AA22" i="8"/>
  <c r="B60" i="12"/>
  <c r="C60" i="12"/>
  <c r="D60" i="12"/>
  <c r="B61" i="12"/>
  <c r="C61" i="12"/>
  <c r="D61" i="12"/>
  <c r="C56" i="12"/>
  <c r="A56" i="12"/>
  <c r="B53" i="12"/>
  <c r="C53" i="12"/>
  <c r="D53" i="12"/>
  <c r="H53" i="12"/>
  <c r="B54" i="12"/>
  <c r="C54" i="12"/>
  <c r="D54" i="12"/>
  <c r="B55" i="12"/>
  <c r="C55" i="12"/>
  <c r="D55" i="12"/>
  <c r="C52" i="12"/>
  <c r="A52" i="12"/>
  <c r="B47" i="12"/>
  <c r="D47" i="12"/>
  <c r="V10" i="9"/>
  <c r="W10" i="9"/>
  <c r="X10" i="9"/>
  <c r="Y10" i="9"/>
  <c r="Z10" i="9"/>
  <c r="AA10" i="9"/>
  <c r="B48" i="12"/>
  <c r="C48" i="12"/>
  <c r="D48" i="12"/>
  <c r="N17" i="9"/>
  <c r="B49" i="12"/>
  <c r="C49" i="12"/>
  <c r="D49" i="12"/>
  <c r="K39" i="9"/>
  <c r="B50" i="12"/>
  <c r="C50" i="12"/>
  <c r="D50" i="12"/>
  <c r="V51" i="9"/>
  <c r="E50" i="12" s="1"/>
  <c r="W51" i="9"/>
  <c r="F50" i="12" s="1"/>
  <c r="X51" i="9"/>
  <c r="G50" i="12" s="1"/>
  <c r="Y51" i="9"/>
  <c r="H50" i="12" s="1"/>
  <c r="Z51" i="9"/>
  <c r="I50" i="12" s="1"/>
  <c r="AA51" i="9"/>
  <c r="J50" i="12" s="1"/>
  <c r="B51" i="12"/>
  <c r="C51" i="12"/>
  <c r="D51" i="12"/>
  <c r="V54" i="9"/>
  <c r="W54" i="9"/>
  <c r="X54" i="9"/>
  <c r="Z54" i="9"/>
  <c r="Z53" i="9" s="1"/>
  <c r="I51" i="12" s="1"/>
  <c r="AA54" i="9"/>
  <c r="C46" i="12"/>
  <c r="A46" i="12"/>
  <c r="K37" i="3"/>
  <c r="K38" i="3"/>
  <c r="K39" i="3"/>
  <c r="K40" i="3"/>
  <c r="K41" i="3"/>
  <c r="K32" i="3"/>
  <c r="W45" i="3"/>
  <c r="AA45" i="3"/>
  <c r="V45" i="3"/>
  <c r="W15" i="3"/>
  <c r="X15" i="3"/>
  <c r="Z15" i="3"/>
  <c r="AA15" i="3"/>
  <c r="K8" i="3"/>
  <c r="K9" i="3"/>
  <c r="K10" i="3"/>
  <c r="K11" i="3"/>
  <c r="V15" i="3"/>
  <c r="B44" i="12"/>
  <c r="C44" i="12"/>
  <c r="D44" i="12"/>
  <c r="B45" i="12"/>
  <c r="C45" i="12"/>
  <c r="D45" i="12"/>
  <c r="B39" i="12"/>
  <c r="C39" i="12"/>
  <c r="D39" i="12"/>
  <c r="B40" i="12"/>
  <c r="C40" i="12"/>
  <c r="D40" i="12"/>
  <c r="B41" i="12"/>
  <c r="C41" i="12"/>
  <c r="D41" i="12"/>
  <c r="B42" i="12"/>
  <c r="C42" i="12"/>
  <c r="D42" i="12"/>
  <c r="B43" i="12"/>
  <c r="C43" i="12"/>
  <c r="D43" i="12"/>
  <c r="C38" i="12"/>
  <c r="A38" i="12"/>
  <c r="B34" i="12"/>
  <c r="C34" i="12"/>
  <c r="D34" i="12"/>
  <c r="V7" i="4"/>
  <c r="W7" i="4"/>
  <c r="X7" i="4"/>
  <c r="Y7" i="4"/>
  <c r="Z7" i="4"/>
  <c r="AA7" i="4"/>
  <c r="B35" i="12"/>
  <c r="C35" i="12"/>
  <c r="D35" i="12"/>
  <c r="B36" i="12"/>
  <c r="C36" i="12"/>
  <c r="D36" i="12"/>
  <c r="B37" i="12"/>
  <c r="C37" i="12"/>
  <c r="D37" i="12"/>
  <c r="V14" i="4"/>
  <c r="E37" i="12"/>
  <c r="W14" i="4"/>
  <c r="F37" i="12"/>
  <c r="X14" i="4"/>
  <c r="G37" i="12"/>
  <c r="Y14" i="4"/>
  <c r="H37" i="12"/>
  <c r="Z14" i="4"/>
  <c r="I37" i="12"/>
  <c r="AA14" i="4"/>
  <c r="J37" i="12"/>
  <c r="C33" i="12"/>
  <c r="A33" i="12"/>
  <c r="B31" i="12"/>
  <c r="C31" i="12"/>
  <c r="D31" i="12"/>
  <c r="B32" i="12"/>
  <c r="C32" i="12"/>
  <c r="D32" i="12"/>
  <c r="V14" i="7"/>
  <c r="V13" i="7"/>
  <c r="E32" i="12" s="1"/>
  <c r="W14" i="7"/>
  <c r="W13" i="7" s="1"/>
  <c r="F32" i="12" s="1"/>
  <c r="X14" i="7"/>
  <c r="X13" i="7"/>
  <c r="G32" i="12" s="1"/>
  <c r="Y14" i="7"/>
  <c r="Y13" i="7" s="1"/>
  <c r="H32" i="12" s="1"/>
  <c r="Z14" i="7"/>
  <c r="Z13" i="7"/>
  <c r="I32" i="12" s="1"/>
  <c r="AA14" i="7"/>
  <c r="AA13" i="7" s="1"/>
  <c r="J32" i="12" s="1"/>
  <c r="B30" i="12"/>
  <c r="C30" i="12"/>
  <c r="D30" i="12"/>
  <c r="C29" i="12"/>
  <c r="A29" i="12"/>
  <c r="W53" i="2"/>
  <c r="F18" i="12" s="1"/>
  <c r="X53" i="2"/>
  <c r="G18" i="12" s="1"/>
  <c r="Y53" i="2"/>
  <c r="H18" i="12" s="1"/>
  <c r="Z53" i="2"/>
  <c r="I18" i="12" s="1"/>
  <c r="AA53" i="2"/>
  <c r="J18" i="12" s="1"/>
  <c r="V53" i="2"/>
  <c r="E18" i="12" s="1"/>
  <c r="B21" i="12"/>
  <c r="C21" i="12"/>
  <c r="D21" i="12"/>
  <c r="B22" i="12"/>
  <c r="C22" i="12"/>
  <c r="D22" i="12"/>
  <c r="V14" i="5"/>
  <c r="W14" i="5"/>
  <c r="X14" i="5"/>
  <c r="Y14" i="5"/>
  <c r="Z14" i="5"/>
  <c r="AA14" i="5"/>
  <c r="B23" i="12"/>
  <c r="C23" i="12"/>
  <c r="D23" i="12"/>
  <c r="V18" i="5"/>
  <c r="W18" i="5"/>
  <c r="X18" i="5"/>
  <c r="Y18" i="5"/>
  <c r="Z18" i="5"/>
  <c r="AA18" i="5"/>
  <c r="B24" i="12"/>
  <c r="C24" i="12"/>
  <c r="D24" i="12"/>
  <c r="E9" i="15"/>
  <c r="E21" i="29" s="1"/>
  <c r="E21" i="22" s="1"/>
  <c r="F22" i="37" s="1"/>
  <c r="G22" i="37" s="1"/>
  <c r="V22" i="5"/>
  <c r="W22" i="5"/>
  <c r="X22" i="5"/>
  <c r="Y22" i="5"/>
  <c r="Z22" i="5"/>
  <c r="AA22" i="5"/>
  <c r="B25" i="12"/>
  <c r="C25" i="12"/>
  <c r="D25" i="12"/>
  <c r="B26" i="12"/>
  <c r="C26" i="12"/>
  <c r="D26" i="12"/>
  <c r="V29" i="5"/>
  <c r="W29" i="5"/>
  <c r="X29" i="5"/>
  <c r="Y29" i="5"/>
  <c r="Z29" i="5"/>
  <c r="AA29" i="5"/>
  <c r="B27" i="12"/>
  <c r="C27" i="12"/>
  <c r="D27" i="12"/>
  <c r="V31" i="5"/>
  <c r="E27" i="12" s="1"/>
  <c r="W31" i="5"/>
  <c r="F27" i="12" s="1"/>
  <c r="X31" i="5"/>
  <c r="G27" i="12" s="1"/>
  <c r="Y31" i="5"/>
  <c r="H27" i="12" s="1"/>
  <c r="Z31" i="5"/>
  <c r="I27" i="12" s="1"/>
  <c r="AA31" i="5"/>
  <c r="J27" i="12" s="1"/>
  <c r="B28" i="12"/>
  <c r="C28" i="12"/>
  <c r="D28" i="12"/>
  <c r="K29" i="2"/>
  <c r="K33" i="2"/>
  <c r="K34" i="2"/>
  <c r="B20" i="12"/>
  <c r="C20" i="12"/>
  <c r="D20" i="12"/>
  <c r="C19" i="12"/>
  <c r="A19" i="12"/>
  <c r="B17" i="12"/>
  <c r="C17" i="12"/>
  <c r="D17" i="12"/>
  <c r="B18" i="12"/>
  <c r="C18" i="12"/>
  <c r="D18" i="12"/>
  <c r="B15" i="12"/>
  <c r="C15" i="12"/>
  <c r="D15" i="12"/>
  <c r="B16" i="12"/>
  <c r="C16" i="12"/>
  <c r="D16" i="12"/>
  <c r="V45" i="2"/>
  <c r="V44" i="2"/>
  <c r="E16" i="12" s="1"/>
  <c r="V46" i="2"/>
  <c r="W45" i="2"/>
  <c r="W44" i="2"/>
  <c r="F16" i="12" s="1"/>
  <c r="W46" i="2"/>
  <c r="X45" i="2"/>
  <c r="X44" i="2"/>
  <c r="G16" i="12" s="1"/>
  <c r="X46" i="2"/>
  <c r="Y45" i="2"/>
  <c r="Y46" i="2"/>
  <c r="Y44" i="2" s="1"/>
  <c r="H16" i="12" s="1"/>
  <c r="Z45" i="2"/>
  <c r="Z46" i="2"/>
  <c r="Z44" i="2" s="1"/>
  <c r="I16" i="12" s="1"/>
  <c r="AA45" i="2"/>
  <c r="AA46" i="2"/>
  <c r="AA44" i="2" s="1"/>
  <c r="J16" i="12" s="1"/>
  <c r="B14" i="12"/>
  <c r="C14" i="12"/>
  <c r="D14" i="12"/>
  <c r="B13" i="12"/>
  <c r="C13" i="12"/>
  <c r="D13" i="12"/>
  <c r="V7" i="2"/>
  <c r="W7" i="2"/>
  <c r="Y7" i="2"/>
  <c r="Z7" i="2"/>
  <c r="AA7" i="2"/>
  <c r="B12" i="12"/>
  <c r="C12" i="12"/>
  <c r="C11" i="12"/>
  <c r="A11" i="12"/>
  <c r="K48" i="9"/>
  <c r="K49" i="9"/>
  <c r="K47" i="9"/>
  <c r="K46" i="9"/>
  <c r="K45" i="9"/>
  <c r="K44" i="9"/>
  <c r="K43" i="9"/>
  <c r="K42" i="9"/>
  <c r="K41" i="9"/>
  <c r="K40" i="9"/>
  <c r="K25" i="9"/>
  <c r="K26" i="9"/>
  <c r="K27" i="9"/>
  <c r="K28" i="9"/>
  <c r="K29" i="9"/>
  <c r="K30" i="9"/>
  <c r="K31" i="9"/>
  <c r="K32" i="9"/>
  <c r="AA49" i="9"/>
  <c r="Z49" i="9"/>
  <c r="X49" i="9"/>
  <c r="W49" i="9"/>
  <c r="V49" i="9"/>
  <c r="AA48" i="9"/>
  <c r="Z48" i="9"/>
  <c r="X48" i="9"/>
  <c r="W48" i="9"/>
  <c r="V48" i="9"/>
  <c r="AA47" i="9"/>
  <c r="Z47" i="9"/>
  <c r="X47" i="9"/>
  <c r="W47" i="9"/>
  <c r="V47" i="9"/>
  <c r="AA46" i="9"/>
  <c r="Z46" i="9"/>
  <c r="X46" i="9"/>
  <c r="W46" i="9"/>
  <c r="V46" i="9"/>
  <c r="AA45" i="9"/>
  <c r="Z45" i="9"/>
  <c r="X45" i="9"/>
  <c r="W45" i="9"/>
  <c r="V45" i="9"/>
  <c r="AA44" i="9"/>
  <c r="Z44" i="9"/>
  <c r="X44" i="9"/>
  <c r="W44" i="9"/>
  <c r="V44" i="9"/>
  <c r="AA43" i="9"/>
  <c r="Z43" i="9"/>
  <c r="X43" i="9"/>
  <c r="W43" i="9"/>
  <c r="V43" i="9"/>
  <c r="AA42" i="9"/>
  <c r="Z42" i="9"/>
  <c r="Z35" i="9" s="1"/>
  <c r="I49" i="12" s="1"/>
  <c r="X42" i="9"/>
  <c r="W42" i="9"/>
  <c r="V42" i="9"/>
  <c r="AA41" i="9"/>
  <c r="Z41" i="9"/>
  <c r="X41" i="9"/>
  <c r="W41" i="9"/>
  <c r="V41" i="9"/>
  <c r="AA40" i="9"/>
  <c r="Z40" i="9"/>
  <c r="X40" i="9"/>
  <c r="X35" i="9"/>
  <c r="G49" i="12" s="1"/>
  <c r="W40" i="9"/>
  <c r="V40" i="9"/>
  <c r="V35" i="9" s="1"/>
  <c r="E49" i="12" s="1"/>
  <c r="AA32" i="9"/>
  <c r="Z32" i="9"/>
  <c r="X32" i="9"/>
  <c r="W32" i="9"/>
  <c r="V32" i="9"/>
  <c r="AA31" i="9"/>
  <c r="Z31" i="9"/>
  <c r="X31" i="9"/>
  <c r="W31" i="9"/>
  <c r="V31" i="9"/>
  <c r="AA30" i="9"/>
  <c r="Z30" i="9"/>
  <c r="X30" i="9"/>
  <c r="W30" i="9"/>
  <c r="V30" i="9"/>
  <c r="AA29" i="9"/>
  <c r="Z29" i="9"/>
  <c r="X29" i="9"/>
  <c r="W29" i="9"/>
  <c r="V29" i="9"/>
  <c r="AA28" i="9"/>
  <c r="Z28" i="9"/>
  <c r="X28" i="9"/>
  <c r="W28" i="9"/>
  <c r="V28" i="9"/>
  <c r="AA27" i="9"/>
  <c r="Z27" i="9"/>
  <c r="X27" i="9"/>
  <c r="W27" i="9"/>
  <c r="V27" i="9"/>
  <c r="AA70" i="9"/>
  <c r="Z70" i="9"/>
  <c r="X70" i="9"/>
  <c r="W70" i="9"/>
  <c r="V70" i="9"/>
  <c r="V55" i="9"/>
  <c r="W55" i="9"/>
  <c r="X55" i="9"/>
  <c r="Z55" i="9"/>
  <c r="AA55" i="9"/>
  <c r="V56" i="9"/>
  <c r="W56" i="9"/>
  <c r="W53" i="9" s="1"/>
  <c r="F51" i="12" s="1"/>
  <c r="X56" i="9"/>
  <c r="Z56" i="9"/>
  <c r="AA56" i="9"/>
  <c r="V57" i="9"/>
  <c r="V53" i="9" s="1"/>
  <c r="E51" i="12" s="1"/>
  <c r="W57" i="9"/>
  <c r="X57" i="9"/>
  <c r="Z57" i="9"/>
  <c r="AA57" i="9"/>
  <c r="AA53" i="9" s="1"/>
  <c r="J51" i="12" s="1"/>
  <c r="V58" i="9"/>
  <c r="W58" i="9"/>
  <c r="X58" i="9"/>
  <c r="Z58" i="9"/>
  <c r="AA58" i="9"/>
  <c r="V59" i="9"/>
  <c r="W59" i="9"/>
  <c r="X59" i="9"/>
  <c r="Z59" i="9"/>
  <c r="AA59" i="9"/>
  <c r="V60" i="9"/>
  <c r="W60" i="9"/>
  <c r="X60" i="9"/>
  <c r="Z60" i="9"/>
  <c r="AA60" i="9"/>
  <c r="V61" i="9"/>
  <c r="W61" i="9"/>
  <c r="X61" i="9"/>
  <c r="Z61" i="9"/>
  <c r="AA61" i="9"/>
  <c r="V62" i="9"/>
  <c r="W62" i="9"/>
  <c r="X62" i="9"/>
  <c r="Z62" i="9"/>
  <c r="AA62" i="9"/>
  <c r="V63" i="9"/>
  <c r="W63" i="9"/>
  <c r="X63" i="9"/>
  <c r="Z63" i="9"/>
  <c r="AA63" i="9"/>
  <c r="V64" i="9"/>
  <c r="W64" i="9"/>
  <c r="X64" i="9"/>
  <c r="Z64" i="9"/>
  <c r="AA64" i="9"/>
  <c r="V65" i="9"/>
  <c r="W65" i="9"/>
  <c r="X65" i="9"/>
  <c r="Z65" i="9"/>
  <c r="AA65" i="9"/>
  <c r="V66" i="9"/>
  <c r="W66" i="9"/>
  <c r="X66" i="9"/>
  <c r="Z66" i="9"/>
  <c r="AA66" i="9"/>
  <c r="V67" i="9"/>
  <c r="W67" i="9"/>
  <c r="X67" i="9"/>
  <c r="Z67" i="9"/>
  <c r="AA67" i="9"/>
  <c r="V68" i="9"/>
  <c r="W68" i="9"/>
  <c r="X68" i="9"/>
  <c r="Z68" i="9"/>
  <c r="AA68" i="9"/>
  <c r="V69" i="9"/>
  <c r="W69" i="9"/>
  <c r="X69" i="9"/>
  <c r="Z69" i="9"/>
  <c r="AA69" i="9"/>
  <c r="AA15" i="7"/>
  <c r="Z15" i="7"/>
  <c r="Y15" i="7"/>
  <c r="X15" i="7"/>
  <c r="W15" i="7"/>
  <c r="V15" i="7"/>
  <c r="V33" i="2"/>
  <c r="W33" i="2"/>
  <c r="X33" i="2"/>
  <c r="Y33" i="2"/>
  <c r="Z33" i="2"/>
  <c r="AA33" i="2"/>
  <c r="V34" i="2"/>
  <c r="W34" i="2"/>
  <c r="X34" i="2"/>
  <c r="Y34" i="2"/>
  <c r="Z34" i="2"/>
  <c r="AA34" i="2"/>
  <c r="V35" i="2"/>
  <c r="W35" i="2"/>
  <c r="X35" i="2"/>
  <c r="Y35" i="2"/>
  <c r="Z35" i="2"/>
  <c r="AA35" i="2"/>
  <c r="V29" i="2"/>
  <c r="W29" i="2"/>
  <c r="Y29" i="2"/>
  <c r="Z29" i="2"/>
  <c r="AA29" i="2"/>
  <c r="V30" i="2"/>
  <c r="W30" i="2"/>
  <c r="Y30" i="2"/>
  <c r="Z30" i="2"/>
  <c r="AA30" i="2"/>
  <c r="AA56" i="3"/>
  <c r="Z56" i="3"/>
  <c r="X56" i="3"/>
  <c r="W56" i="3"/>
  <c r="V56" i="3"/>
  <c r="Z45" i="3"/>
  <c r="X45" i="3"/>
  <c r="AA30" i="3"/>
  <c r="Z30" i="3"/>
  <c r="X30" i="3"/>
  <c r="W30" i="3"/>
  <c r="V30" i="3"/>
  <c r="AA23" i="3"/>
  <c r="Z23" i="3"/>
  <c r="X23" i="3"/>
  <c r="W23" i="3"/>
  <c r="V23" i="3"/>
  <c r="W8" i="2"/>
  <c r="X8" i="2"/>
  <c r="Y8" i="2"/>
  <c r="Z8" i="2"/>
  <c r="AA8" i="2"/>
  <c r="V8" i="2"/>
  <c r="W15" i="2"/>
  <c r="X15" i="2"/>
  <c r="Y15" i="2"/>
  <c r="Z15" i="2"/>
  <c r="AA15" i="2"/>
  <c r="V15" i="2"/>
  <c r="A5" i="31"/>
  <c r="I20" i="19"/>
  <c r="I66" i="29" s="1"/>
  <c r="E66" i="31" s="1"/>
  <c r="Y12" i="7"/>
  <c r="AA12" i="7"/>
  <c r="X12" i="7"/>
  <c r="K20" i="19"/>
  <c r="K66" i="29" s="1"/>
  <c r="G66" i="31" s="1"/>
  <c r="D9" i="29"/>
  <c r="D10" i="22"/>
  <c r="H63" i="12"/>
  <c r="J63" i="12"/>
  <c r="I44" i="3"/>
  <c r="K44" i="3" s="1"/>
  <c r="I46" i="3"/>
  <c r="K46" i="3" s="1"/>
  <c r="B47" i="29"/>
  <c r="B47" i="22"/>
  <c r="J20" i="19"/>
  <c r="J66" i="29" s="1"/>
  <c r="G17" i="30" s="1"/>
  <c r="I63" i="12"/>
  <c r="B3" i="22"/>
  <c r="B3" i="32"/>
  <c r="A5" i="32"/>
  <c r="L10" i="14"/>
  <c r="B4" i="16"/>
  <c r="E38" i="17"/>
  <c r="E52" i="29" s="1"/>
  <c r="E52" i="22" s="1"/>
  <c r="F53" i="37" s="1"/>
  <c r="G53" i="37" s="1"/>
  <c r="K38" i="17"/>
  <c r="K52" i="29" s="1"/>
  <c r="G52" i="31" s="1"/>
  <c r="L12" i="29"/>
  <c r="B47" i="32"/>
  <c r="A11" i="31"/>
  <c r="D40" i="37"/>
  <c r="D36" i="37"/>
  <c r="E36" i="37" s="1"/>
  <c r="A11" i="32"/>
  <c r="A6" i="37"/>
  <c r="A5" i="22" s="1"/>
  <c r="A12" i="37"/>
  <c r="A11" i="22" s="1"/>
  <c r="E14" i="15"/>
  <c r="E26" i="29" s="1"/>
  <c r="E26" i="22" s="1"/>
  <c r="F27" i="37" s="1"/>
  <c r="E8" i="15"/>
  <c r="E20" i="29" s="1"/>
  <c r="E20" i="22" s="1"/>
  <c r="F21" i="37" s="1"/>
  <c r="G21" i="37" s="1"/>
  <c r="A5" i="29"/>
  <c r="D16" i="29"/>
  <c r="L15" i="14"/>
  <c r="L16" i="14" s="1"/>
  <c r="E11" i="16"/>
  <c r="E36" i="29" s="1"/>
  <c r="E36" i="22" s="1"/>
  <c r="F37" i="37" s="1"/>
  <c r="E6" i="16"/>
  <c r="E32" i="29" s="1"/>
  <c r="E32" i="22" s="1"/>
  <c r="F33" i="37" s="1"/>
  <c r="E12" i="14"/>
  <c r="E12" i="29" s="1"/>
  <c r="E12" i="22" s="1"/>
  <c r="F13" i="37" s="1"/>
  <c r="J12" i="14"/>
  <c r="J12" i="29" s="1"/>
  <c r="F12" i="31" s="1"/>
  <c r="E11" i="14"/>
  <c r="E11" i="29" s="1"/>
  <c r="E11" i="22" s="1"/>
  <c r="F12" i="37" s="1"/>
  <c r="J14" i="15"/>
  <c r="J26" i="29" s="1"/>
  <c r="K14" i="15"/>
  <c r="K26" i="29" s="1"/>
  <c r="G26" i="31" s="1"/>
  <c r="G14" i="15"/>
  <c r="G26" i="29" s="1"/>
  <c r="C26" i="31" s="1"/>
  <c r="H14" i="15"/>
  <c r="H26" i="29" s="1"/>
  <c r="D26" i="31" s="1"/>
  <c r="I14" i="15"/>
  <c r="I26" i="29" s="1"/>
  <c r="E26" i="31" s="1"/>
  <c r="F14" i="15"/>
  <c r="F26" i="29" s="1"/>
  <c r="B26" i="31" s="1"/>
  <c r="G11" i="16"/>
  <c r="G36" i="29" s="1"/>
  <c r="C36" i="31" s="1"/>
  <c r="I11" i="16"/>
  <c r="I36" i="29" s="1"/>
  <c r="E36" i="31" s="1"/>
  <c r="J11" i="16"/>
  <c r="J36" i="29" s="1"/>
  <c r="F36" i="31" s="1"/>
  <c r="H11" i="16"/>
  <c r="H36" i="29" s="1"/>
  <c r="D36" i="31" s="1"/>
  <c r="F11" i="16"/>
  <c r="F36" i="29" s="1"/>
  <c r="B36" i="31" s="1"/>
  <c r="K11" i="16"/>
  <c r="K36" i="29" s="1"/>
  <c r="G36" i="31" s="1"/>
  <c r="I12" i="14"/>
  <c r="I12" i="29" s="1"/>
  <c r="E12" i="31" s="1"/>
  <c r="G12" i="14"/>
  <c r="G12" i="29" s="1"/>
  <c r="C12" i="31" s="1"/>
  <c r="F12" i="14"/>
  <c r="F12" i="29" s="1"/>
  <c r="B12" i="31" s="1"/>
  <c r="K12" i="14"/>
  <c r="K12" i="29" s="1"/>
  <c r="G12" i="31" s="1"/>
  <c r="F8" i="15"/>
  <c r="F20" i="29" s="1"/>
  <c r="B20" i="31" s="1"/>
  <c r="I8" i="15"/>
  <c r="I20" i="29" s="1"/>
  <c r="J8" i="15"/>
  <c r="J20" i="29" s="1"/>
  <c r="F20" i="31" s="1"/>
  <c r="G8" i="15"/>
  <c r="G20" i="29" s="1"/>
  <c r="C20" i="31" s="1"/>
  <c r="K8" i="15"/>
  <c r="K20" i="29" s="1"/>
  <c r="G20" i="31" s="1"/>
  <c r="H8" i="15"/>
  <c r="H20" i="29" s="1"/>
  <c r="D20" i="31" s="1"/>
  <c r="F6" i="16"/>
  <c r="F32" i="29" s="1"/>
  <c r="B32" i="31" s="1"/>
  <c r="H6" i="16"/>
  <c r="H32" i="29" s="1"/>
  <c r="G6" i="16"/>
  <c r="G32" i="29" s="1"/>
  <c r="I6" i="16"/>
  <c r="I32" i="29" s="1"/>
  <c r="E32" i="31" s="1"/>
  <c r="Z17" i="9"/>
  <c r="J38" i="17"/>
  <c r="J52" i="29" s="1"/>
  <c r="F52" i="31" s="1"/>
  <c r="G38" i="17"/>
  <c r="G52" i="29" s="1"/>
  <c r="C52" i="31" s="1"/>
  <c r="F38" i="17"/>
  <c r="F52" i="29" s="1"/>
  <c r="B52" i="31" s="1"/>
  <c r="H38" i="17"/>
  <c r="H52" i="29" s="1"/>
  <c r="D52" i="31" s="1"/>
  <c r="I38" i="17"/>
  <c r="I52" i="29" s="1"/>
  <c r="E52" i="31" s="1"/>
  <c r="G9" i="15"/>
  <c r="G21" i="29" s="1"/>
  <c r="C21" i="31" s="1"/>
  <c r="E10" i="15"/>
  <c r="E22" i="29" s="1"/>
  <c r="E22" i="22" s="1"/>
  <c r="F23" i="37" s="1"/>
  <c r="G23" i="37" s="1"/>
  <c r="H12" i="14"/>
  <c r="H12" i="29" s="1"/>
  <c r="D12" i="31" s="1"/>
  <c r="H9" i="15"/>
  <c r="H21" i="29" s="1"/>
  <c r="D21" i="31" s="1"/>
  <c r="E13" i="16"/>
  <c r="E38" i="29" s="1"/>
  <c r="E38" i="22" s="1"/>
  <c r="F39" i="37" s="1"/>
  <c r="E16" i="16"/>
  <c r="E41" i="29" s="1"/>
  <c r="E41" i="22" s="1"/>
  <c r="F42" i="37" s="1"/>
  <c r="E36" i="17"/>
  <c r="E51" i="29" s="1"/>
  <c r="E51" i="22" s="1"/>
  <c r="F52" i="37" s="1"/>
  <c r="G52" i="37" s="1"/>
  <c r="K9" i="15"/>
  <c r="K21" i="29" s="1"/>
  <c r="G21" i="31" s="1"/>
  <c r="E34" i="17"/>
  <c r="E50" i="29" s="1"/>
  <c r="E50" i="22" s="1"/>
  <c r="F51" i="37" s="1"/>
  <c r="G51" i="37" s="1"/>
  <c r="K10" i="15"/>
  <c r="K22" i="29" s="1"/>
  <c r="G22" i="31" s="1"/>
  <c r="F9" i="15"/>
  <c r="F21" i="29" s="1"/>
  <c r="B21" i="31" s="1"/>
  <c r="E23" i="29"/>
  <c r="E23" i="22" s="1"/>
  <c r="F24" i="37" s="1"/>
  <c r="G24" i="37" s="1"/>
  <c r="E67" i="29"/>
  <c r="E67" i="22" s="1"/>
  <c r="F68" i="37" s="1"/>
  <c r="E17" i="15"/>
  <c r="E29" i="29" s="1"/>
  <c r="E29" i="22" s="1"/>
  <c r="F30" i="37" s="1"/>
  <c r="G30" i="37" s="1"/>
  <c r="G14" i="16"/>
  <c r="G39" i="29" s="1"/>
  <c r="C39" i="31" s="1"/>
  <c r="I14" i="16"/>
  <c r="I39" i="29" s="1"/>
  <c r="E39" i="31" s="1"/>
  <c r="H14" i="16"/>
  <c r="H39" i="29" s="1"/>
  <c r="D39" i="31" s="1"/>
  <c r="J14" i="16"/>
  <c r="J39" i="29" s="1"/>
  <c r="F39" i="31" s="1"/>
  <c r="K14" i="16"/>
  <c r="K39" i="29" s="1"/>
  <c r="G39" i="31" s="1"/>
  <c r="E14" i="16"/>
  <c r="E39" i="29" s="1"/>
  <c r="E39" i="22" s="1"/>
  <c r="F40" i="37" s="1"/>
  <c r="F14" i="16"/>
  <c r="F39" i="29" s="1"/>
  <c r="B39" i="31" s="1"/>
  <c r="E15" i="17"/>
  <c r="E24" i="17"/>
  <c r="E15" i="16"/>
  <c r="E40" i="29" s="1"/>
  <c r="E40" i="22" s="1"/>
  <c r="F41" i="37" s="1"/>
  <c r="E9" i="14"/>
  <c r="E9" i="29" s="1"/>
  <c r="E9" i="22" s="1"/>
  <c r="F10" i="37" s="1"/>
  <c r="N40" i="2"/>
  <c r="I9" i="15"/>
  <c r="I21" i="29" s="1"/>
  <c r="E21" i="31" s="1"/>
  <c r="E17" i="16"/>
  <c r="E42" i="29" s="1"/>
  <c r="E42" i="22" s="1"/>
  <c r="F43" i="37" s="1"/>
  <c r="E7" i="16"/>
  <c r="E33" i="29" s="1"/>
  <c r="E7" i="14"/>
  <c r="E7" i="29" s="1"/>
  <c r="E16" i="17"/>
  <c r="K12" i="16"/>
  <c r="K37" i="29" s="1"/>
  <c r="G37" i="31" s="1"/>
  <c r="J12" i="16"/>
  <c r="J37" i="29" s="1"/>
  <c r="F37" i="31" s="1"/>
  <c r="H12" i="16"/>
  <c r="H37" i="29" s="1"/>
  <c r="I12" i="16"/>
  <c r="I37" i="29" s="1"/>
  <c r="E37" i="31" s="1"/>
  <c r="G12" i="16"/>
  <c r="G37" i="29" s="1"/>
  <c r="C37" i="31" s="1"/>
  <c r="F12" i="16"/>
  <c r="F37" i="29" s="1"/>
  <c r="B37" i="31" s="1"/>
  <c r="E13" i="15"/>
  <c r="E25" i="29" s="1"/>
  <c r="E12" i="16"/>
  <c r="E37" i="29" s="1"/>
  <c r="E37" i="22" s="1"/>
  <c r="F38" i="37" s="1"/>
  <c r="E6" i="25"/>
  <c r="E71" i="29" s="1"/>
  <c r="E71" i="22" s="1"/>
  <c r="F72" i="37" s="1"/>
  <c r="E5" i="25"/>
  <c r="E70" i="29" s="1"/>
  <c r="E5" i="16"/>
  <c r="E31" i="29" s="1"/>
  <c r="N8" i="4"/>
  <c r="E22" i="17"/>
  <c r="E28" i="17"/>
  <c r="E27" i="17"/>
  <c r="J6" i="16"/>
  <c r="J32" i="29" s="1"/>
  <c r="F32" i="31" s="1"/>
  <c r="K6" i="16"/>
  <c r="K32" i="29" s="1"/>
  <c r="I10" i="15"/>
  <c r="I22" i="29" s="1"/>
  <c r="E22" i="31" s="1"/>
  <c r="G10" i="15"/>
  <c r="G22" i="29" s="1"/>
  <c r="C22" i="31" s="1"/>
  <c r="F10" i="15"/>
  <c r="F22" i="29" s="1"/>
  <c r="B22" i="31" s="1"/>
  <c r="H34" i="17"/>
  <c r="H50" i="29" s="1"/>
  <c r="D50" i="31" s="1"/>
  <c r="I34" i="17"/>
  <c r="I50" i="29" s="1"/>
  <c r="E50" i="31" s="1"/>
  <c r="K34" i="17"/>
  <c r="K50" i="29" s="1"/>
  <c r="G50" i="31" s="1"/>
  <c r="J34" i="17"/>
  <c r="J50" i="29" s="1"/>
  <c r="F50" i="31" s="1"/>
  <c r="G34" i="17"/>
  <c r="G50" i="29" s="1"/>
  <c r="C50" i="31" s="1"/>
  <c r="F34" i="17"/>
  <c r="F50" i="29" s="1"/>
  <c r="B50" i="31" s="1"/>
  <c r="J36" i="17"/>
  <c r="J51" i="29" s="1"/>
  <c r="F51" i="31" s="1"/>
  <c r="H36" i="17"/>
  <c r="H51" i="29" s="1"/>
  <c r="D51" i="31" s="1"/>
  <c r="G36" i="17"/>
  <c r="G51" i="29" s="1"/>
  <c r="C51" i="31" s="1"/>
  <c r="I36" i="17"/>
  <c r="I51" i="29" s="1"/>
  <c r="E51" i="31" s="1"/>
  <c r="F36" i="17"/>
  <c r="F51" i="29" s="1"/>
  <c r="B51" i="31" s="1"/>
  <c r="K36" i="17"/>
  <c r="K51" i="29" s="1"/>
  <c r="G51" i="31" s="1"/>
  <c r="H10" i="15"/>
  <c r="H22" i="29" s="1"/>
  <c r="D22" i="31" s="1"/>
  <c r="J9" i="15"/>
  <c r="J21" i="29" s="1"/>
  <c r="F21" i="31" s="1"/>
  <c r="G13" i="16"/>
  <c r="G38" i="29" s="1"/>
  <c r="C38" i="31" s="1"/>
  <c r="K13" i="16"/>
  <c r="K38" i="29" s="1"/>
  <c r="J13" i="16"/>
  <c r="J38" i="29" s="1"/>
  <c r="F38" i="31" s="1"/>
  <c r="H13" i="16"/>
  <c r="H38" i="29" s="1"/>
  <c r="D38" i="31" s="1"/>
  <c r="F13" i="16"/>
  <c r="F38" i="29" s="1"/>
  <c r="B38" i="31" s="1"/>
  <c r="I13" i="16"/>
  <c r="I38" i="29" s="1"/>
  <c r="E38" i="31" s="1"/>
  <c r="J10" i="15"/>
  <c r="J22" i="29" s="1"/>
  <c r="F22" i="31" s="1"/>
  <c r="F9" i="14"/>
  <c r="F9" i="29" s="1"/>
  <c r="B9" i="31" s="1"/>
  <c r="I9" i="14"/>
  <c r="I9" i="29" s="1"/>
  <c r="E9" i="31" s="1"/>
  <c r="K9" i="14"/>
  <c r="K9" i="29" s="1"/>
  <c r="G9" i="31" s="1"/>
  <c r="G9" i="14"/>
  <c r="G9" i="29" s="1"/>
  <c r="C9" i="31" s="1"/>
  <c r="H9" i="14"/>
  <c r="H9" i="29" s="1"/>
  <c r="D9" i="31" s="1"/>
  <c r="J9" i="14"/>
  <c r="J9" i="29" s="1"/>
  <c r="F9" i="31" s="1"/>
  <c r="N14" i="3"/>
  <c r="AA14" i="3" s="1"/>
  <c r="E16" i="15"/>
  <c r="E28" i="29" s="1"/>
  <c r="N22" i="3"/>
  <c r="X22" i="3" s="1"/>
  <c r="E18" i="17"/>
  <c r="E46" i="29" s="1"/>
  <c r="E46" i="22" s="1"/>
  <c r="F47" i="37" s="1"/>
  <c r="G47" i="37" s="1"/>
  <c r="N29" i="3"/>
  <c r="W29" i="3" s="1"/>
  <c r="E21" i="17"/>
  <c r="E26" i="17"/>
  <c r="H26" i="17" s="1"/>
  <c r="H48" i="29" s="1"/>
  <c r="D48" i="31" s="1"/>
  <c r="N44" i="3"/>
  <c r="X44" i="3" s="1"/>
  <c r="I16" i="16"/>
  <c r="I41" i="29" s="1"/>
  <c r="E41" i="31" s="1"/>
  <c r="J16" i="16"/>
  <c r="J41" i="29" s="1"/>
  <c r="F41" i="31" s="1"/>
  <c r="K17" i="15"/>
  <c r="K29" i="29" s="1"/>
  <c r="K11" i="15"/>
  <c r="K23" i="29" s="1"/>
  <c r="G23" i="31" s="1"/>
  <c r="G11" i="15"/>
  <c r="G23" i="29" s="1"/>
  <c r="C23" i="31" s="1"/>
  <c r="K16" i="16"/>
  <c r="K41" i="29" s="1"/>
  <c r="G41" i="31" s="1"/>
  <c r="J17" i="15"/>
  <c r="J29" i="29" s="1"/>
  <c r="F29" i="31" s="1"/>
  <c r="F17" i="15"/>
  <c r="F29" i="29" s="1"/>
  <c r="B29" i="31" s="1"/>
  <c r="F11" i="15"/>
  <c r="F23" i="29" s="1"/>
  <c r="B23" i="31" s="1"/>
  <c r="I11" i="15"/>
  <c r="I23" i="29" s="1"/>
  <c r="E23" i="31" s="1"/>
  <c r="G16" i="16"/>
  <c r="G41" i="29" s="1"/>
  <c r="C41" i="31" s="1"/>
  <c r="I17" i="15"/>
  <c r="I29" i="29" s="1"/>
  <c r="E29" i="31" s="1"/>
  <c r="H17" i="15"/>
  <c r="H29" i="29" s="1"/>
  <c r="D29" i="31" s="1"/>
  <c r="J11" i="15"/>
  <c r="J23" i="29" s="1"/>
  <c r="F23" i="31" s="1"/>
  <c r="F16" i="16"/>
  <c r="F41" i="29" s="1"/>
  <c r="B41" i="31" s="1"/>
  <c r="H16" i="16"/>
  <c r="H41" i="29" s="1"/>
  <c r="D41" i="31" s="1"/>
  <c r="G17" i="15"/>
  <c r="G29" i="29" s="1"/>
  <c r="H11" i="15"/>
  <c r="H23" i="29" s="1"/>
  <c r="D23" i="31" s="1"/>
  <c r="H13" i="15"/>
  <c r="H25" i="29" s="1"/>
  <c r="D25" i="31" s="1"/>
  <c r="K13" i="15"/>
  <c r="K25" i="29" s="1"/>
  <c r="G25" i="31" s="1"/>
  <c r="K15" i="16"/>
  <c r="K40" i="29" s="1"/>
  <c r="G40" i="31" s="1"/>
  <c r="H17" i="16"/>
  <c r="H42" i="29" s="1"/>
  <c r="D42" i="31" s="1"/>
  <c r="G17" i="16"/>
  <c r="G42" i="29" s="1"/>
  <c r="C42" i="31" s="1"/>
  <c r="G7" i="16"/>
  <c r="G33" i="29" s="1"/>
  <c r="C33" i="31" s="1"/>
  <c r="I13" i="15"/>
  <c r="I25" i="29" s="1"/>
  <c r="E25" i="31" s="1"/>
  <c r="F13" i="15"/>
  <c r="F25" i="29" s="1"/>
  <c r="J15" i="16"/>
  <c r="J40" i="29" s="1"/>
  <c r="F40" i="31" s="1"/>
  <c r="I15" i="16"/>
  <c r="I40" i="29" s="1"/>
  <c r="E40" i="31" s="1"/>
  <c r="F17" i="16"/>
  <c r="F42" i="29" s="1"/>
  <c r="B42" i="31" s="1"/>
  <c r="I7" i="16"/>
  <c r="I33" i="29" s="1"/>
  <c r="E33" i="31" s="1"/>
  <c r="J13" i="15"/>
  <c r="J25" i="29" s="1"/>
  <c r="F25" i="31" s="1"/>
  <c r="G15" i="16"/>
  <c r="G40" i="29" s="1"/>
  <c r="C40" i="31" s="1"/>
  <c r="H15" i="16"/>
  <c r="H40" i="29" s="1"/>
  <c r="D40" i="31" s="1"/>
  <c r="J17" i="16"/>
  <c r="J42" i="29" s="1"/>
  <c r="F42" i="31" s="1"/>
  <c r="J7" i="16"/>
  <c r="J33" i="29" s="1"/>
  <c r="H7" i="16"/>
  <c r="H33" i="29" s="1"/>
  <c r="D33" i="31" s="1"/>
  <c r="G13" i="15"/>
  <c r="G25" i="29" s="1"/>
  <c r="C25" i="31" s="1"/>
  <c r="F15" i="16"/>
  <c r="F40" i="29" s="1"/>
  <c r="B40" i="31" s="1"/>
  <c r="K17" i="16"/>
  <c r="K42" i="29" s="1"/>
  <c r="G42" i="31" s="1"/>
  <c r="I17" i="16"/>
  <c r="I42" i="29" s="1"/>
  <c r="E42" i="31" s="1"/>
  <c r="F7" i="16"/>
  <c r="F33" i="29" s="1"/>
  <c r="B33" i="31" s="1"/>
  <c r="K7" i="16"/>
  <c r="K33" i="29" s="1"/>
  <c r="G33" i="31" s="1"/>
  <c r="K6" i="25"/>
  <c r="K71" i="29" s="1"/>
  <c r="G71" i="31" s="1"/>
  <c r="G6" i="25"/>
  <c r="G71" i="29" s="1"/>
  <c r="H6" i="25"/>
  <c r="H71" i="29" s="1"/>
  <c r="D71" i="31" s="1"/>
  <c r="J6" i="25"/>
  <c r="J71" i="29" s="1"/>
  <c r="F71" i="31" s="1"/>
  <c r="F6" i="25"/>
  <c r="F71" i="29" s="1"/>
  <c r="B71" i="31" s="1"/>
  <c r="H5" i="25"/>
  <c r="H70" i="29" s="1"/>
  <c r="D70" i="31" s="1"/>
  <c r="F5" i="25"/>
  <c r="F70" i="29" s="1"/>
  <c r="J5" i="25"/>
  <c r="J70" i="29" s="1"/>
  <c r="F70" i="31" s="1"/>
  <c r="K5" i="25"/>
  <c r="K70" i="29" s="1"/>
  <c r="G70" i="31" s="1"/>
  <c r="G5" i="25"/>
  <c r="G70" i="29" s="1"/>
  <c r="C70" i="31" s="1"/>
  <c r="E43" i="17"/>
  <c r="E54" i="29" s="1"/>
  <c r="E54" i="22" s="1"/>
  <c r="F55" i="37" s="1"/>
  <c r="G55" i="37" s="1"/>
  <c r="E40" i="17"/>
  <c r="E53" i="29" s="1"/>
  <c r="E53" i="22" s="1"/>
  <c r="F54" i="37" s="1"/>
  <c r="G54" i="37" s="1"/>
  <c r="N26" i="9"/>
  <c r="AA26" i="9" s="1"/>
  <c r="N53" i="3"/>
  <c r="Z53" i="3" s="1"/>
  <c r="E31" i="17"/>
  <c r="E49" i="29" s="1"/>
  <c r="E49" i="22" s="1"/>
  <c r="F50" i="37" s="1"/>
  <c r="G50" i="37" s="1"/>
  <c r="E46" i="17"/>
  <c r="E55" i="29" s="1"/>
  <c r="E55" i="22" s="1"/>
  <c r="F56" i="37" s="1"/>
  <c r="G56" i="37" s="1"/>
  <c r="G5" i="16"/>
  <c r="G31" i="29" s="1"/>
  <c r="K5" i="16"/>
  <c r="K31" i="29" s="1"/>
  <c r="J5" i="16"/>
  <c r="J31" i="29" s="1"/>
  <c r="H5" i="16"/>
  <c r="H31" i="29" s="1"/>
  <c r="I5" i="16"/>
  <c r="I31" i="29" s="1"/>
  <c r="E31" i="31" s="1"/>
  <c r="F5" i="16"/>
  <c r="F31" i="29" s="1"/>
  <c r="Z29" i="3"/>
  <c r="J21" i="17"/>
  <c r="J47" i="29" s="1"/>
  <c r="F47" i="31" s="1"/>
  <c r="E48" i="29"/>
  <c r="E48" i="22" s="1"/>
  <c r="F49" i="37" s="1"/>
  <c r="G49" i="37" s="1"/>
  <c r="F16" i="15"/>
  <c r="F28" i="29" s="1"/>
  <c r="B28" i="31" s="1"/>
  <c r="H16" i="15"/>
  <c r="H28" i="29" s="1"/>
  <c r="G16" i="15"/>
  <c r="G28" i="29" s="1"/>
  <c r="C28" i="31" s="1"/>
  <c r="I16" i="15"/>
  <c r="I28" i="29" s="1"/>
  <c r="E28" i="31" s="1"/>
  <c r="H21" i="17"/>
  <c r="H47" i="29" s="1"/>
  <c r="D47" i="31" s="1"/>
  <c r="J16" i="15"/>
  <c r="J28" i="29" s="1"/>
  <c r="K16" i="15"/>
  <c r="K28" i="29" s="1"/>
  <c r="K18" i="17"/>
  <c r="K46" i="29" s="1"/>
  <c r="I46" i="17"/>
  <c r="I55" i="29" s="1"/>
  <c r="E55" i="31" s="1"/>
  <c r="J46" i="17"/>
  <c r="J55" i="29" s="1"/>
  <c r="F55" i="31" s="1"/>
  <c r="F46" i="17"/>
  <c r="F55" i="29" s="1"/>
  <c r="B55" i="31" s="1"/>
  <c r="H46" i="17"/>
  <c r="H55" i="29" s="1"/>
  <c r="D55" i="31" s="1"/>
  <c r="K46" i="17"/>
  <c r="K55" i="29" s="1"/>
  <c r="G55" i="31" s="1"/>
  <c r="G46" i="17"/>
  <c r="G55" i="29" s="1"/>
  <c r="C55" i="31" s="1"/>
  <c r="G18" i="17"/>
  <c r="G46" i="29" s="1"/>
  <c r="C46" i="31" s="1"/>
  <c r="F43" i="17"/>
  <c r="F54" i="29" s="1"/>
  <c r="B54" i="31" s="1"/>
  <c r="K43" i="17"/>
  <c r="K54" i="29" s="1"/>
  <c r="G54" i="31" s="1"/>
  <c r="G43" i="17"/>
  <c r="G54" i="29" s="1"/>
  <c r="C54" i="31" s="1"/>
  <c r="J43" i="17"/>
  <c r="J54" i="29" s="1"/>
  <c r="F54" i="31" s="1"/>
  <c r="H43" i="17"/>
  <c r="H54" i="29" s="1"/>
  <c r="D54" i="31" s="1"/>
  <c r="I43" i="17"/>
  <c r="I54" i="29" s="1"/>
  <c r="E54" i="31" s="1"/>
  <c r="J8" i="17"/>
  <c r="J18" i="17"/>
  <c r="J46" i="29" s="1"/>
  <c r="F46" i="31" s="1"/>
  <c r="F18" i="17"/>
  <c r="F46" i="29" s="1"/>
  <c r="B46" i="31" s="1"/>
  <c r="I18" i="17"/>
  <c r="I46" i="29" s="1"/>
  <c r="E46" i="31" s="1"/>
  <c r="H18" i="17"/>
  <c r="H46" i="29" s="1"/>
  <c r="D46" i="31" s="1"/>
  <c r="F26" i="17"/>
  <c r="F48" i="29" s="1"/>
  <c r="B48" i="31" s="1"/>
  <c r="G26" i="17"/>
  <c r="G48" i="29" s="1"/>
  <c r="C48" i="31" s="1"/>
  <c r="I31" i="17"/>
  <c r="I49" i="29" s="1"/>
  <c r="E49" i="31" s="1"/>
  <c r="K40" i="17"/>
  <c r="K53" i="29" s="1"/>
  <c r="G53" i="31" s="1"/>
  <c r="J31" i="17"/>
  <c r="J49" i="29" s="1"/>
  <c r="F49" i="31" s="1"/>
  <c r="G40" i="17"/>
  <c r="G53" i="29" s="1"/>
  <c r="C53" i="31" s="1"/>
  <c r="I40" i="17"/>
  <c r="I53" i="29" s="1"/>
  <c r="E53" i="31" s="1"/>
  <c r="H31" i="17"/>
  <c r="H49" i="29" s="1"/>
  <c r="D49" i="31" s="1"/>
  <c r="G31" i="17"/>
  <c r="G49" i="29" s="1"/>
  <c r="C49" i="31" s="1"/>
  <c r="H40" i="17"/>
  <c r="H53" i="29" s="1"/>
  <c r="D53" i="31" s="1"/>
  <c r="J40" i="17"/>
  <c r="J53" i="29" s="1"/>
  <c r="F53" i="31" s="1"/>
  <c r="F31" i="17"/>
  <c r="F49" i="29" s="1"/>
  <c r="B49" i="31" s="1"/>
  <c r="F40" i="17"/>
  <c r="F53" i="29" s="1"/>
  <c r="B53" i="31" s="1"/>
  <c r="K31" i="17"/>
  <c r="K49" i="29" s="1"/>
  <c r="G49" i="31" s="1"/>
  <c r="E16" i="14"/>
  <c r="E15" i="29" s="1"/>
  <c r="E15" i="22" s="1"/>
  <c r="F16" i="37" s="1"/>
  <c r="H15" i="14"/>
  <c r="H14" i="29" s="1"/>
  <c r="D14" i="31" s="1"/>
  <c r="E15" i="14"/>
  <c r="E14" i="29" s="1"/>
  <c r="E14" i="22" s="1"/>
  <c r="F15" i="37" s="1"/>
  <c r="G15" i="37" s="1"/>
  <c r="E10" i="14"/>
  <c r="E10" i="29" s="1"/>
  <c r="E10" i="22" s="1"/>
  <c r="F11" i="37" s="1"/>
  <c r="E8" i="14"/>
  <c r="E8" i="29" s="1"/>
  <c r="E8" i="22" s="1"/>
  <c r="F9" i="37" s="1"/>
  <c r="X55" i="3"/>
  <c r="X54" i="3"/>
  <c r="G43" i="12" s="1"/>
  <c r="AA55" i="3"/>
  <c r="AA54" i="3" s="1"/>
  <c r="J43" i="12" s="1"/>
  <c r="Y55" i="3"/>
  <c r="Y54" i="3" s="1"/>
  <c r="I10" i="14"/>
  <c r="I10" i="29" s="1"/>
  <c r="E10" i="31" s="1"/>
  <c r="H10" i="14"/>
  <c r="H10" i="29" s="1"/>
  <c r="D10" i="31" s="1"/>
  <c r="J10" i="14"/>
  <c r="J10" i="29" s="1"/>
  <c r="F10" i="31" s="1"/>
  <c r="K10" i="14"/>
  <c r="K10" i="29" s="1"/>
  <c r="G10" i="31" s="1"/>
  <c r="F10" i="14"/>
  <c r="F10" i="29" s="1"/>
  <c r="B10" i="31" s="1"/>
  <c r="G10" i="14"/>
  <c r="G10" i="29" s="1"/>
  <c r="C10" i="31" s="1"/>
  <c r="B48" i="32"/>
  <c r="B48" i="29"/>
  <c r="J15" i="14"/>
  <c r="J14" i="29" s="1"/>
  <c r="F14" i="31" s="1"/>
  <c r="F15" i="14"/>
  <c r="F14" i="29" s="1"/>
  <c r="B14" i="31" s="1"/>
  <c r="G15" i="14"/>
  <c r="G14" i="29" s="1"/>
  <c r="C14" i="31" s="1"/>
  <c r="I15" i="14"/>
  <c r="I14" i="29" s="1"/>
  <c r="E14" i="31" s="1"/>
  <c r="K15" i="14"/>
  <c r="K14" i="29" s="1"/>
  <c r="G14" i="31" s="1"/>
  <c r="V19" i="3"/>
  <c r="B48" i="22"/>
  <c r="B14" i="41"/>
  <c r="L7" i="29"/>
  <c r="G16" i="14"/>
  <c r="G15" i="29" s="1"/>
  <c r="C15" i="31" s="1"/>
  <c r="K16" i="14"/>
  <c r="K15" i="29" s="1"/>
  <c r="G15" i="31" s="1"/>
  <c r="F16" i="14"/>
  <c r="F15" i="29" s="1"/>
  <c r="B15" i="31" s="1"/>
  <c r="H16" i="14"/>
  <c r="H15" i="29" s="1"/>
  <c r="D15" i="31" s="1"/>
  <c r="J16" i="14"/>
  <c r="J15" i="29" s="1"/>
  <c r="F15" i="31" s="1"/>
  <c r="I16" i="14"/>
  <c r="I15" i="29" s="1"/>
  <c r="E15" i="31" s="1"/>
  <c r="W40" i="2"/>
  <c r="AA19" i="3"/>
  <c r="L14" i="29"/>
  <c r="L16" i="29"/>
  <c r="B23" i="41"/>
  <c r="L9" i="29"/>
  <c r="B16" i="41"/>
  <c r="V12" i="7"/>
  <c r="Z12" i="7"/>
  <c r="W12" i="7"/>
  <c r="B8" i="19"/>
  <c r="B4" i="17"/>
  <c r="B3" i="29"/>
  <c r="B3" i="26"/>
  <c r="B4" i="25"/>
  <c r="K11" i="14"/>
  <c r="K11" i="29" s="1"/>
  <c r="G11" i="31" s="1"/>
  <c r="G11" i="14"/>
  <c r="G11" i="29" s="1"/>
  <c r="C11" i="31" s="1"/>
  <c r="I11" i="14"/>
  <c r="I11" i="29" s="1"/>
  <c r="E11" i="31" s="1"/>
  <c r="F11" i="14"/>
  <c r="F11" i="29" s="1"/>
  <c r="B11" i="31" s="1"/>
  <c r="J11" i="14"/>
  <c r="J11" i="29" s="1"/>
  <c r="F11" i="31" s="1"/>
  <c r="H11" i="14"/>
  <c r="H11" i="29" s="1"/>
  <c r="D11" i="31" s="1"/>
  <c r="E10" i="16"/>
  <c r="E35" i="29" s="1"/>
  <c r="E35" i="22" s="1"/>
  <c r="F36" i="37" s="1"/>
  <c r="V44" i="3"/>
  <c r="E13" i="17"/>
  <c r="E14" i="17"/>
  <c r="K10" i="16"/>
  <c r="K35" i="29" s="1"/>
  <c r="G35" i="31" s="1"/>
  <c r="J10" i="16"/>
  <c r="J35" i="29" s="1"/>
  <c r="F35" i="31" s="1"/>
  <c r="E45" i="29"/>
  <c r="E45" i="22" s="1"/>
  <c r="F46" i="37" s="1"/>
  <c r="C47" i="17"/>
  <c r="G10" i="16"/>
  <c r="G35" i="29" s="1"/>
  <c r="C35" i="31" s="1"/>
  <c r="E47" i="29"/>
  <c r="I21" i="17"/>
  <c r="I47" i="29" s="1"/>
  <c r="E47" i="31" s="1"/>
  <c r="G21" i="17"/>
  <c r="G47" i="29" s="1"/>
  <c r="C47" i="31" s="1"/>
  <c r="K21" i="17"/>
  <c r="K47" i="29" s="1"/>
  <c r="G47" i="31" s="1"/>
  <c r="F21" i="17"/>
  <c r="F47" i="29" s="1"/>
  <c r="B47" i="31" s="1"/>
  <c r="B17" i="41"/>
  <c r="L10" i="29"/>
  <c r="X19" i="3"/>
  <c r="L8" i="14"/>
  <c r="B15" i="41" s="1"/>
  <c r="B12" i="41"/>
  <c r="L5" i="29"/>
  <c r="X53" i="9"/>
  <c r="G51" i="12" s="1"/>
  <c r="Y35" i="9"/>
  <c r="H49" i="12" s="1"/>
  <c r="L8" i="29"/>
  <c r="F10" i="16"/>
  <c r="F35" i="29" s="1"/>
  <c r="I10" i="16"/>
  <c r="I35" i="29" s="1"/>
  <c r="E35" i="31" s="1"/>
  <c r="H10" i="16"/>
  <c r="H35" i="29" s="1"/>
  <c r="D35" i="31" s="1"/>
  <c r="C41" i="17"/>
  <c r="C19" i="17"/>
  <c r="I7" i="9"/>
  <c r="K7" i="9" s="1"/>
  <c r="C40" i="17"/>
  <c r="I37" i="9" s="1"/>
  <c r="E18" i="37"/>
  <c r="C8" i="17"/>
  <c r="C44" i="29" s="1"/>
  <c r="C44" i="22" s="1"/>
  <c r="I20" i="3"/>
  <c r="E7" i="37"/>
  <c r="E65" i="37"/>
  <c r="C31" i="17"/>
  <c r="C49" i="29" s="1"/>
  <c r="C49" i="22" s="1"/>
  <c r="E23" i="37"/>
  <c r="E12" i="37"/>
  <c r="E32" i="37"/>
  <c r="E8" i="37"/>
  <c r="E15" i="37"/>
  <c r="E24" i="37"/>
  <c r="E31" i="37"/>
  <c r="G28" i="31"/>
  <c r="L15" i="29" l="1"/>
  <c r="B22" i="41"/>
  <c r="Z63" i="3"/>
  <c r="AA63" i="3"/>
  <c r="C18" i="17"/>
  <c r="C46" i="29" s="1"/>
  <c r="C46" i="22" s="1"/>
  <c r="E19" i="37"/>
  <c r="B13" i="41"/>
  <c r="AA10" i="10"/>
  <c r="J55" i="12" s="1"/>
  <c r="W10" i="10"/>
  <c r="F55" i="12" s="1"/>
  <c r="Y10" i="10"/>
  <c r="H55" i="12" s="1"/>
  <c r="B21" i="41"/>
  <c r="N15" i="14"/>
  <c r="K26" i="17"/>
  <c r="K48" i="29" s="1"/>
  <c r="G48" i="31" s="1"/>
  <c r="B18" i="41"/>
  <c r="Z27" i="5"/>
  <c r="I26" i="12" s="1"/>
  <c r="Y15" i="11"/>
  <c r="E38" i="37"/>
  <c r="E11" i="37"/>
  <c r="I38" i="9"/>
  <c r="C9" i="17"/>
  <c r="E14" i="37"/>
  <c r="E26" i="37"/>
  <c r="C10" i="17"/>
  <c r="E22" i="37"/>
  <c r="E27" i="37"/>
  <c r="E53" i="37"/>
  <c r="E69" i="37"/>
  <c r="E17" i="37"/>
  <c r="I26" i="17"/>
  <c r="I48" i="29" s="1"/>
  <c r="E48" i="31" s="1"/>
  <c r="B45" i="22"/>
  <c r="Z6" i="8"/>
  <c r="I57" i="12" s="1"/>
  <c r="C53" i="29"/>
  <c r="C53" i="22" s="1"/>
  <c r="E67" i="37"/>
  <c r="C46" i="17"/>
  <c r="C55" i="29" s="1"/>
  <c r="C55" i="22" s="1"/>
  <c r="E42" i="37"/>
  <c r="E40" i="37"/>
  <c r="E43" i="37"/>
  <c r="E29" i="37"/>
  <c r="E51" i="37"/>
  <c r="E9" i="37"/>
  <c r="E39" i="37"/>
  <c r="C43" i="17"/>
  <c r="C54" i="29" s="1"/>
  <c r="C54" i="22" s="1"/>
  <c r="E71" i="37"/>
  <c r="X10" i="10"/>
  <c r="G55" i="12" s="1"/>
  <c r="Z10" i="10"/>
  <c r="I55" i="12" s="1"/>
  <c r="X17" i="11"/>
  <c r="X15" i="11" s="1"/>
  <c r="G67" i="12" s="1"/>
  <c r="J26" i="17"/>
  <c r="J48" i="29" s="1"/>
  <c r="F48" i="31" s="1"/>
  <c r="B45" i="29"/>
  <c r="AA17" i="5"/>
  <c r="J23" i="12" s="1"/>
  <c r="B4" i="15"/>
  <c r="B4" i="14"/>
  <c r="W36" i="3"/>
  <c r="V36" i="3"/>
  <c r="W10" i="5"/>
  <c r="V10" i="5"/>
  <c r="X10" i="5"/>
  <c r="AA10" i="5"/>
  <c r="Z10" i="5"/>
  <c r="Y10" i="5"/>
  <c r="N31" i="17"/>
  <c r="N43" i="17"/>
  <c r="N17" i="15"/>
  <c r="N11" i="15"/>
  <c r="N10" i="15"/>
  <c r="N8" i="15"/>
  <c r="N46" i="17"/>
  <c r="N40" i="17"/>
  <c r="N38" i="17"/>
  <c r="N34" i="17"/>
  <c r="N36" i="17"/>
  <c r="I24" i="9"/>
  <c r="K24" i="9" s="1"/>
  <c r="N25" i="9" s="1"/>
  <c r="Z25" i="9" s="1"/>
  <c r="K27" i="3"/>
  <c r="N28" i="3" s="1"/>
  <c r="Y28" i="3" s="1"/>
  <c r="K42" i="3"/>
  <c r="N43" i="3" s="1"/>
  <c r="AA43" i="3" s="1"/>
  <c r="E7" i="17"/>
  <c r="N7" i="9"/>
  <c r="B70" i="31"/>
  <c r="C20" i="30"/>
  <c r="C24" i="39" s="1"/>
  <c r="D9" i="30"/>
  <c r="D13" i="39" s="1"/>
  <c r="C29" i="31"/>
  <c r="W51" i="2"/>
  <c r="V51" i="2"/>
  <c r="Y51" i="2"/>
  <c r="AA11" i="7"/>
  <c r="J31" i="12" s="1"/>
  <c r="Y11" i="7"/>
  <c r="H31" i="12" s="1"/>
  <c r="X11" i="7"/>
  <c r="G31" i="12" s="1"/>
  <c r="Z11" i="7"/>
  <c r="I31" i="12" s="1"/>
  <c r="V11" i="7"/>
  <c r="E31" i="12" s="1"/>
  <c r="W11" i="7"/>
  <c r="F31" i="12" s="1"/>
  <c r="V59" i="3"/>
  <c r="Y59" i="3"/>
  <c r="AA59" i="3"/>
  <c r="V6" i="13"/>
  <c r="E69" i="12" s="1"/>
  <c r="AA6" i="13"/>
  <c r="J69" i="12" s="1"/>
  <c r="Z6" i="13"/>
  <c r="I69" i="12" s="1"/>
  <c r="X6" i="13"/>
  <c r="G69" i="12" s="1"/>
  <c r="W6" i="13"/>
  <c r="F69" i="12" s="1"/>
  <c r="X60" i="3"/>
  <c r="V60" i="3"/>
  <c r="Y60" i="3"/>
  <c r="AA60" i="3"/>
  <c r="Z60" i="3"/>
  <c r="W60" i="3"/>
  <c r="K12" i="3"/>
  <c r="N13" i="3" s="1"/>
  <c r="W13" i="3" s="1"/>
  <c r="E28" i="22"/>
  <c r="F29" i="37" s="1"/>
  <c r="B9" i="30"/>
  <c r="B13" i="39" s="1"/>
  <c r="V25" i="5"/>
  <c r="E25" i="12" s="1"/>
  <c r="Z25" i="5"/>
  <c r="I25" i="12" s="1"/>
  <c r="W25" i="5"/>
  <c r="F25" i="12" s="1"/>
  <c r="X25" i="5"/>
  <c r="G25" i="12" s="1"/>
  <c r="AA26" i="2"/>
  <c r="V26" i="2"/>
  <c r="W26" i="2"/>
  <c r="Z26" i="2"/>
  <c r="X26" i="3"/>
  <c r="AA26" i="3"/>
  <c r="W26" i="3"/>
  <c r="W8" i="13"/>
  <c r="F70" i="12" s="1"/>
  <c r="X8" i="13"/>
  <c r="G70" i="12" s="1"/>
  <c r="Z8" i="13"/>
  <c r="I70" i="12" s="1"/>
  <c r="AA8" i="13"/>
  <c r="J70" i="12" s="1"/>
  <c r="V8" i="13"/>
  <c r="E70" i="12" s="1"/>
  <c r="Z64" i="3"/>
  <c r="X64" i="3"/>
  <c r="W64" i="3"/>
  <c r="Y64" i="3"/>
  <c r="V64" i="3"/>
  <c r="AA64" i="3"/>
  <c r="AA62" i="3" s="1"/>
  <c r="J45" i="12" s="1"/>
  <c r="V16" i="9"/>
  <c r="Z16" i="9"/>
  <c r="Z62" i="3"/>
  <c r="I45" i="12" s="1"/>
  <c r="N9" i="15"/>
  <c r="K20" i="3"/>
  <c r="N21" i="3" s="1"/>
  <c r="Z21" i="3" s="1"/>
  <c r="I51" i="3"/>
  <c r="K38" i="9"/>
  <c r="N38" i="9" s="1"/>
  <c r="K37" i="9"/>
  <c r="N37" i="9" s="1"/>
  <c r="V37" i="9" s="1"/>
  <c r="W14" i="3"/>
  <c r="Z12" i="4"/>
  <c r="I36" i="12" s="1"/>
  <c r="V12" i="4"/>
  <c r="E36" i="12" s="1"/>
  <c r="Y12" i="4"/>
  <c r="H36" i="12" s="1"/>
  <c r="AA12" i="4"/>
  <c r="J36" i="12" s="1"/>
  <c r="X12" i="4"/>
  <c r="G36" i="12" s="1"/>
  <c r="W12" i="4"/>
  <c r="F36" i="12" s="1"/>
  <c r="Z7" i="3"/>
  <c r="X7" i="3"/>
  <c r="Y7" i="3"/>
  <c r="W7" i="3"/>
  <c r="AA7" i="3"/>
  <c r="V7" i="3"/>
  <c r="Y8" i="4"/>
  <c r="Y6" i="4" s="1"/>
  <c r="H34" i="12" s="1"/>
  <c r="AA8" i="4"/>
  <c r="AA6" i="4" s="1"/>
  <c r="J34" i="12" s="1"/>
  <c r="W8" i="4"/>
  <c r="W6" i="4" s="1"/>
  <c r="F34" i="12" s="1"/>
  <c r="Y14" i="9"/>
  <c r="Z14" i="9"/>
  <c r="V14" i="9"/>
  <c r="AA10" i="4"/>
  <c r="J35" i="12" s="1"/>
  <c r="Z8" i="4"/>
  <c r="Z6" i="4" s="1"/>
  <c r="I34" i="12" s="1"/>
  <c r="V8" i="4"/>
  <c r="V6" i="4" s="1"/>
  <c r="E34" i="12" s="1"/>
  <c r="Z10" i="4"/>
  <c r="I35" i="12" s="1"/>
  <c r="W10" i="4"/>
  <c r="F35" i="12" s="1"/>
  <c r="X8" i="4"/>
  <c r="X6" i="4" s="1"/>
  <c r="G34" i="12" s="1"/>
  <c r="W14" i="9"/>
  <c r="AA36" i="3"/>
  <c r="X36" i="3"/>
  <c r="Y36" i="3"/>
  <c r="V55" i="3"/>
  <c r="V54" i="3" s="1"/>
  <c r="E43" i="12" s="1"/>
  <c r="Z55" i="3"/>
  <c r="Z54" i="3" s="1"/>
  <c r="I43" i="12" s="1"/>
  <c r="W55" i="3"/>
  <c r="W54" i="3" s="1"/>
  <c r="F43" i="12" s="1"/>
  <c r="Y63" i="3"/>
  <c r="Y62" i="3" s="1"/>
  <c r="X63" i="3"/>
  <c r="X62" i="3" s="1"/>
  <c r="G45" i="12" s="1"/>
  <c r="V63" i="3"/>
  <c r="V62" i="3" s="1"/>
  <c r="E45" i="12" s="1"/>
  <c r="W63" i="3"/>
  <c r="W62" i="3" s="1"/>
  <c r="F45" i="12" s="1"/>
  <c r="V10" i="4"/>
  <c r="E35" i="12" s="1"/>
  <c r="Y19" i="3"/>
  <c r="Z36" i="3"/>
  <c r="X14" i="9"/>
  <c r="X10" i="4"/>
  <c r="G35" i="12" s="1"/>
  <c r="W19" i="3"/>
  <c r="Z26" i="3"/>
  <c r="Y26" i="3"/>
  <c r="V26" i="3"/>
  <c r="Z59" i="3"/>
  <c r="Z58" i="3" s="1"/>
  <c r="I44" i="12" s="1"/>
  <c r="X59" i="3"/>
  <c r="X58" i="3" s="1"/>
  <c r="G44" i="12" s="1"/>
  <c r="W59" i="3"/>
  <c r="W58" i="3" s="1"/>
  <c r="F44" i="12" s="1"/>
  <c r="W8" i="7"/>
  <c r="W6" i="7" s="1"/>
  <c r="F30" i="12" s="1"/>
  <c r="X8" i="7"/>
  <c r="X6" i="7" s="1"/>
  <c r="G30" i="12" s="1"/>
  <c r="AA8" i="7"/>
  <c r="AA6" i="7" s="1"/>
  <c r="J30" i="12" s="1"/>
  <c r="V8" i="7"/>
  <c r="V6" i="7" s="1"/>
  <c r="E30" i="12" s="1"/>
  <c r="Y8" i="7"/>
  <c r="Y6" i="7" s="1"/>
  <c r="H30" i="12" s="1"/>
  <c r="Z8" i="7"/>
  <c r="Z6" i="7" s="1"/>
  <c r="I30" i="12" s="1"/>
  <c r="G9" i="30"/>
  <c r="G13" i="39" s="1"/>
  <c r="F28" i="31"/>
  <c r="W9" i="5"/>
  <c r="X9" i="5"/>
  <c r="Y9" i="5"/>
  <c r="V9" i="5"/>
  <c r="AA9" i="5"/>
  <c r="Z9" i="5"/>
  <c r="Z8" i="5" s="1"/>
  <c r="I21" i="12" s="1"/>
  <c r="E7" i="15"/>
  <c r="E19" i="29" s="1"/>
  <c r="E19" i="22" s="1"/>
  <c r="F20" i="37" s="1"/>
  <c r="G20" i="37" s="1"/>
  <c r="N7" i="15" s="1"/>
  <c r="N15" i="5"/>
  <c r="AA11" i="5"/>
  <c r="Y11" i="5"/>
  <c r="X11" i="5"/>
  <c r="W23" i="5"/>
  <c r="W21" i="5" s="1"/>
  <c r="F24" i="12" s="1"/>
  <c r="Z23" i="5"/>
  <c r="Z21" i="5" s="1"/>
  <c r="I24" i="12" s="1"/>
  <c r="V19" i="5"/>
  <c r="V17" i="5" s="1"/>
  <c r="E23" i="12" s="1"/>
  <c r="X19" i="5"/>
  <c r="X17" i="5" s="1"/>
  <c r="G23" i="12" s="1"/>
  <c r="Y19" i="5"/>
  <c r="Y17" i="5" s="1"/>
  <c r="H23" i="12" s="1"/>
  <c r="W19" i="5"/>
  <c r="W17" i="5" s="1"/>
  <c r="F23" i="12" s="1"/>
  <c r="V28" i="5"/>
  <c r="V27" i="5" s="1"/>
  <c r="E26" i="12" s="1"/>
  <c r="Y28" i="5"/>
  <c r="Y27" i="5" s="1"/>
  <c r="H26" i="12" s="1"/>
  <c r="AA28" i="5"/>
  <c r="AA27" i="5" s="1"/>
  <c r="J26" i="12" s="1"/>
  <c r="X23" i="5"/>
  <c r="X21" i="5" s="1"/>
  <c r="G24" i="12" s="1"/>
  <c r="Y25" i="5"/>
  <c r="H25" i="12" s="1"/>
  <c r="AA23" i="5"/>
  <c r="AA21" i="5" s="1"/>
  <c r="J24" i="12" s="1"/>
  <c r="Z19" i="5"/>
  <c r="Z17" i="5" s="1"/>
  <c r="I23" i="12" s="1"/>
  <c r="W11" i="5"/>
  <c r="W28" i="5"/>
  <c r="W27" i="5" s="1"/>
  <c r="F26" i="12" s="1"/>
  <c r="AA25" i="5"/>
  <c r="J25" i="12" s="1"/>
  <c r="V23" i="5"/>
  <c r="V21" i="5" s="1"/>
  <c r="E24" i="12" s="1"/>
  <c r="V11" i="5"/>
  <c r="X28" i="5"/>
  <c r="X27" i="5" s="1"/>
  <c r="G26" i="12" s="1"/>
  <c r="C9" i="30"/>
  <c r="C13" i="39" s="1"/>
  <c r="Z25" i="2"/>
  <c r="W25" i="2"/>
  <c r="X25" i="2"/>
  <c r="AA25" i="2"/>
  <c r="V25" i="2"/>
  <c r="Y25" i="2"/>
  <c r="Y26" i="2"/>
  <c r="X26" i="2"/>
  <c r="X39" i="2"/>
  <c r="Z39" i="2"/>
  <c r="W39" i="2"/>
  <c r="Y41" i="2"/>
  <c r="Z41" i="2"/>
  <c r="V41" i="2"/>
  <c r="Y39" i="2"/>
  <c r="X41" i="2"/>
  <c r="E17" i="14"/>
  <c r="E16" i="29" s="1"/>
  <c r="E16" i="22" s="1"/>
  <c r="F17" i="37" s="1"/>
  <c r="G17" i="37" s="1"/>
  <c r="N17" i="14" s="1"/>
  <c r="AA41" i="2"/>
  <c r="N38" i="2"/>
  <c r="V40" i="2"/>
  <c r="AA40" i="2"/>
  <c r="Z40" i="2"/>
  <c r="Y40" i="2"/>
  <c r="X50" i="2"/>
  <c r="G17" i="12" s="1"/>
  <c r="V50" i="2"/>
  <c r="E17" i="12" s="1"/>
  <c r="AA50" i="2"/>
  <c r="J17" i="12" s="1"/>
  <c r="W50" i="2"/>
  <c r="F17" i="12" s="1"/>
  <c r="V39" i="2"/>
  <c r="X40" i="2"/>
  <c r="W41" i="2"/>
  <c r="Y50" i="2"/>
  <c r="H17" i="12" s="1"/>
  <c r="AA51" i="2"/>
  <c r="Z51" i="2"/>
  <c r="X51" i="2"/>
  <c r="W38" i="9"/>
  <c r="AA38" i="9"/>
  <c r="X38" i="9"/>
  <c r="Z38" i="9"/>
  <c r="Y38" i="9"/>
  <c r="V38" i="9"/>
  <c r="X37" i="9"/>
  <c r="W37" i="9"/>
  <c r="Y37" i="9"/>
  <c r="G36" i="37"/>
  <c r="N10" i="16" s="1"/>
  <c r="C32" i="17"/>
  <c r="K51" i="3" s="1"/>
  <c r="N52" i="3" s="1"/>
  <c r="G13" i="37"/>
  <c r="N12" i="14" s="1"/>
  <c r="G72" i="37"/>
  <c r="G41" i="37"/>
  <c r="N15" i="16" s="1"/>
  <c r="G42" i="37"/>
  <c r="N16" i="16" s="1"/>
  <c r="G33" i="37"/>
  <c r="N6" i="16" s="1"/>
  <c r="G37" i="37"/>
  <c r="N11" i="16" s="1"/>
  <c r="G7" i="37"/>
  <c r="N6" i="14" s="1"/>
  <c r="G12" i="37"/>
  <c r="N11" i="14" s="1"/>
  <c r="Y26" i="9"/>
  <c r="G8" i="17"/>
  <c r="AA7" i="9"/>
  <c r="V7" i="9"/>
  <c r="Z26" i="9"/>
  <c r="Z24" i="9" s="1"/>
  <c r="G46" i="37"/>
  <c r="N13" i="17" s="1"/>
  <c r="G9" i="37"/>
  <c r="N8" i="14" s="1"/>
  <c r="G29" i="37"/>
  <c r="N16" i="15" s="1"/>
  <c r="G40" i="37"/>
  <c r="N14" i="16" s="1"/>
  <c r="G68" i="37"/>
  <c r="N21" i="19" s="1"/>
  <c r="G39" i="37"/>
  <c r="N13" i="16" s="1"/>
  <c r="G27" i="37"/>
  <c r="N14" i="15" s="1"/>
  <c r="G62" i="37"/>
  <c r="N14" i="19" s="1"/>
  <c r="X7" i="9"/>
  <c r="G11" i="37"/>
  <c r="N10" i="14" s="1"/>
  <c r="G16" i="37"/>
  <c r="N16" i="14" s="1"/>
  <c r="W26" i="9"/>
  <c r="G38" i="37"/>
  <c r="N12" i="16" s="1"/>
  <c r="G43" i="37"/>
  <c r="N17" i="16" s="1"/>
  <c r="G10" i="37"/>
  <c r="N9" i="14" s="1"/>
  <c r="AA52" i="3"/>
  <c r="Y14" i="3"/>
  <c r="X28" i="3"/>
  <c r="V43" i="3"/>
  <c r="V35" i="3" s="1"/>
  <c r="E42" i="12" s="1"/>
  <c r="X43" i="3"/>
  <c r="X35" i="3" s="1"/>
  <c r="G42" i="12" s="1"/>
  <c r="E13" i="19"/>
  <c r="E60" i="29" s="1"/>
  <c r="E60" i="22" s="1"/>
  <c r="F61" i="37" s="1"/>
  <c r="G61" i="37" s="1"/>
  <c r="N13" i="19" s="1"/>
  <c r="X52" i="3"/>
  <c r="V22" i="3"/>
  <c r="W22" i="3"/>
  <c r="AA28" i="3"/>
  <c r="Z28" i="3"/>
  <c r="W43" i="3"/>
  <c r="X14" i="3"/>
  <c r="E16" i="19"/>
  <c r="E63" i="29" s="1"/>
  <c r="E63" i="22" s="1"/>
  <c r="F64" i="37" s="1"/>
  <c r="G64" i="37" s="1"/>
  <c r="N16" i="19" s="1"/>
  <c r="N6" i="10"/>
  <c r="X6" i="10" s="1"/>
  <c r="E9" i="19"/>
  <c r="E57" i="29" s="1"/>
  <c r="E57" i="22" s="1"/>
  <c r="F58" i="37" s="1"/>
  <c r="G58" i="37" s="1"/>
  <c r="N9" i="19" s="1"/>
  <c r="K17" i="19"/>
  <c r="K64" i="29" s="1"/>
  <c r="G64" i="31" s="1"/>
  <c r="J61" i="12"/>
  <c r="AA21" i="3"/>
  <c r="V21" i="3"/>
  <c r="Z22" i="3"/>
  <c r="Z18" i="3" s="1"/>
  <c r="I40" i="12" s="1"/>
  <c r="AA16" i="9"/>
  <c r="W16" i="9"/>
  <c r="Z17" i="11"/>
  <c r="Z15" i="11" s="1"/>
  <c r="I67" i="12" s="1"/>
  <c r="Y52" i="3"/>
  <c r="Y21" i="3"/>
  <c r="W21" i="3"/>
  <c r="W18" i="3" s="1"/>
  <c r="F40" i="12" s="1"/>
  <c r="V53" i="3"/>
  <c r="Y22" i="3"/>
  <c r="Y16" i="9"/>
  <c r="X16" i="9"/>
  <c r="E17" i="19"/>
  <c r="E64" i="29" s="1"/>
  <c r="E64" i="22" s="1"/>
  <c r="F65" i="37" s="1"/>
  <c r="G65" i="37" s="1"/>
  <c r="N17" i="19" s="1"/>
  <c r="E20" i="19"/>
  <c r="E66" i="29" s="1"/>
  <c r="E66" i="22" s="1"/>
  <c r="F67" i="37" s="1"/>
  <c r="G67" i="37" s="1"/>
  <c r="N20" i="19" s="1"/>
  <c r="E15" i="19"/>
  <c r="E62" i="29" s="1"/>
  <c r="E62" i="22" s="1"/>
  <c r="F63" i="37" s="1"/>
  <c r="G63" i="37" s="1"/>
  <c r="N15" i="19" s="1"/>
  <c r="X21" i="3"/>
  <c r="X18" i="3" s="1"/>
  <c r="G40" i="12" s="1"/>
  <c r="F20" i="19"/>
  <c r="F66" i="29" s="1"/>
  <c r="B66" i="31" s="1"/>
  <c r="AA22" i="3"/>
  <c r="F21" i="19"/>
  <c r="F67" i="29" s="1"/>
  <c r="C18" i="30" s="1"/>
  <c r="C22" i="39" s="1"/>
  <c r="E10" i="19"/>
  <c r="E58" i="29" s="1"/>
  <c r="E58" i="22" s="1"/>
  <c r="F59" i="37" s="1"/>
  <c r="G59" i="37" s="1"/>
  <c r="N10" i="19" s="1"/>
  <c r="J13" i="19"/>
  <c r="J60" i="29" s="1"/>
  <c r="F60" i="31" s="1"/>
  <c r="J23" i="19"/>
  <c r="J68" i="29" s="1"/>
  <c r="F68" i="31" s="1"/>
  <c r="H67" i="12"/>
  <c r="I23" i="19"/>
  <c r="I68" i="29" s="1"/>
  <c r="F19" i="30" s="1"/>
  <c r="F23" i="39" s="1"/>
  <c r="W17" i="11"/>
  <c r="W15" i="11" s="1"/>
  <c r="G23" i="19" s="1"/>
  <c r="G68" i="29" s="1"/>
  <c r="D19" i="30" s="1"/>
  <c r="D23" i="39" s="1"/>
  <c r="E23" i="19"/>
  <c r="E68" i="29" s="1"/>
  <c r="B19" i="30" s="1"/>
  <c r="C33" i="19" s="1"/>
  <c r="H23" i="19"/>
  <c r="H68" i="29" s="1"/>
  <c r="E19" i="30" s="1"/>
  <c r="E23" i="39" s="1"/>
  <c r="E25" i="22"/>
  <c r="F26" i="37" s="1"/>
  <c r="G26" i="37" s="1"/>
  <c r="N13" i="15" s="1"/>
  <c r="B8" i="30"/>
  <c r="B12" i="39" s="1"/>
  <c r="C8" i="30"/>
  <c r="C12" i="39" s="1"/>
  <c r="B25" i="31"/>
  <c r="F8" i="30"/>
  <c r="F12" i="39" s="1"/>
  <c r="D8" i="30"/>
  <c r="D12" i="39" s="1"/>
  <c r="F12" i="30"/>
  <c r="F16" i="39" s="1"/>
  <c r="G12" i="30"/>
  <c r="G16" i="39" s="1"/>
  <c r="G32" i="31"/>
  <c r="H11" i="30"/>
  <c r="H15" i="39" s="1"/>
  <c r="C32" i="31"/>
  <c r="D11" i="30"/>
  <c r="D15" i="39" s="1"/>
  <c r="D32" i="31"/>
  <c r="E11" i="30"/>
  <c r="E15" i="39" s="1"/>
  <c r="E31" i="22"/>
  <c r="F32" i="37" s="1"/>
  <c r="G32" i="37" s="1"/>
  <c r="N5" i="16" s="1"/>
  <c r="B10" i="30"/>
  <c r="B14" i="39" s="1"/>
  <c r="G31" i="31"/>
  <c r="H10" i="30"/>
  <c r="H14" i="39" s="1"/>
  <c r="D31" i="31"/>
  <c r="E10" i="30"/>
  <c r="E14" i="39" s="1"/>
  <c r="C10" i="30"/>
  <c r="C14" i="39" s="1"/>
  <c r="B31" i="31"/>
  <c r="F10" i="30"/>
  <c r="F14" i="39" s="1"/>
  <c r="G22" i="39"/>
  <c r="AA24" i="8"/>
  <c r="Y24" i="8"/>
  <c r="Z24" i="8"/>
  <c r="Z13" i="3"/>
  <c r="AA13" i="3"/>
  <c r="Z44" i="3"/>
  <c r="V29" i="3"/>
  <c r="AA25" i="9"/>
  <c r="AA24" i="9" s="1"/>
  <c r="V26" i="9"/>
  <c r="X13" i="11"/>
  <c r="X13" i="3"/>
  <c r="Z15" i="9"/>
  <c r="W44" i="3"/>
  <c r="W35" i="3" s="1"/>
  <c r="F42" i="12" s="1"/>
  <c r="AA44" i="3"/>
  <c r="AA35" i="3" s="1"/>
  <c r="J42" i="12" s="1"/>
  <c r="Y29" i="3"/>
  <c r="H22" i="39"/>
  <c r="X26" i="9"/>
  <c r="X29" i="3"/>
  <c r="Y44" i="3"/>
  <c r="AA29" i="3"/>
  <c r="V20" i="8"/>
  <c r="V18" i="8" s="1"/>
  <c r="W20" i="8"/>
  <c r="W18" i="8" s="1"/>
  <c r="X20" i="8"/>
  <c r="X18" i="8" s="1"/>
  <c r="Z20" i="8"/>
  <c r="Z18" i="8" s="1"/>
  <c r="AA20" i="8"/>
  <c r="AA18" i="8" s="1"/>
  <c r="Y20" i="8"/>
  <c r="Y18" i="8" s="1"/>
  <c r="X8" i="10"/>
  <c r="V8" i="10"/>
  <c r="W8" i="10"/>
  <c r="Z8" i="10"/>
  <c r="Y8" i="10"/>
  <c r="AA8" i="10"/>
  <c r="V8" i="8"/>
  <c r="V6" i="8" s="1"/>
  <c r="X8" i="8"/>
  <c r="X6" i="8" s="1"/>
  <c r="W8" i="8"/>
  <c r="W6" i="8" s="1"/>
  <c r="Y8" i="8"/>
  <c r="Y6" i="8" s="1"/>
  <c r="AA8" i="8"/>
  <c r="AA6" i="8" s="1"/>
  <c r="V25" i="9"/>
  <c r="X25" i="9"/>
  <c r="W25" i="9"/>
  <c r="W24" i="9" s="1"/>
  <c r="W14" i="8"/>
  <c r="W12" i="8" s="1"/>
  <c r="X14" i="8"/>
  <c r="X12" i="8" s="1"/>
  <c r="Y14" i="8"/>
  <c r="Y12" i="8" s="1"/>
  <c r="Z14" i="8"/>
  <c r="Z12" i="8" s="1"/>
  <c r="AA14" i="8"/>
  <c r="AA12" i="8" s="1"/>
  <c r="V14" i="8"/>
  <c r="V12" i="8" s="1"/>
  <c r="Y25" i="9"/>
  <c r="Y24" i="9" s="1"/>
  <c r="G13" i="17"/>
  <c r="G45" i="29" s="1"/>
  <c r="C45" i="31" s="1"/>
  <c r="W6" i="3"/>
  <c r="F39" i="12" s="1"/>
  <c r="X17" i="9"/>
  <c r="X15" i="9" s="1"/>
  <c r="AA17" i="9"/>
  <c r="V17" i="9"/>
  <c r="V15" i="9" s="1"/>
  <c r="Z26" i="8"/>
  <c r="W26" i="8"/>
  <c r="W13" i="11"/>
  <c r="V28" i="3"/>
  <c r="Y17" i="9"/>
  <c r="Y15" i="9" s="1"/>
  <c r="Y13" i="9" s="1"/>
  <c r="H48" i="12" s="1"/>
  <c r="F22" i="39"/>
  <c r="V24" i="8"/>
  <c r="X24" i="8"/>
  <c r="W24" i="8"/>
  <c r="V17" i="11"/>
  <c r="V15" i="11" s="1"/>
  <c r="AA17" i="11"/>
  <c r="AA15" i="11" s="1"/>
  <c r="AA53" i="3"/>
  <c r="AA49" i="3" s="1"/>
  <c r="X53" i="3"/>
  <c r="X49" i="3" s="1"/>
  <c r="W53" i="3"/>
  <c r="Y13" i="3"/>
  <c r="X6" i="11"/>
  <c r="Y53" i="3"/>
  <c r="Z14" i="3"/>
  <c r="V13" i="3"/>
  <c r="Z43" i="3"/>
  <c r="Y43" i="3"/>
  <c r="V14" i="3"/>
  <c r="V26" i="8"/>
  <c r="X26" i="8"/>
  <c r="Y26" i="8"/>
  <c r="W6" i="11"/>
  <c r="W17" i="9"/>
  <c r="N6" i="25"/>
  <c r="B6" i="30"/>
  <c r="B10" i="39" s="1"/>
  <c r="B18" i="30"/>
  <c r="B20" i="30"/>
  <c r="H8" i="30"/>
  <c r="H12" i="39" s="1"/>
  <c r="F11" i="30"/>
  <c r="F15" i="39" s="1"/>
  <c r="F17" i="30"/>
  <c r="G67" i="31"/>
  <c r="F67" i="31"/>
  <c r="B24" i="39"/>
  <c r="E70" i="22"/>
  <c r="F71" i="37" s="1"/>
  <c r="G71" i="37" s="1"/>
  <c r="N5" i="25" s="1"/>
  <c r="F21" i="39"/>
  <c r="F9" i="30"/>
  <c r="F13" i="39" s="1"/>
  <c r="H20" i="30"/>
  <c r="H24" i="39" s="1"/>
  <c r="K7" i="15"/>
  <c r="K19" i="29" s="1"/>
  <c r="G19" i="31" s="1"/>
  <c r="F7" i="15"/>
  <c r="F19" i="29" s="1"/>
  <c r="B19" i="31" s="1"/>
  <c r="H7" i="15"/>
  <c r="H19" i="29" s="1"/>
  <c r="D19" i="31" s="1"/>
  <c r="J7" i="15"/>
  <c r="J19" i="29" s="1"/>
  <c r="F19" i="31" s="1"/>
  <c r="Y15" i="5"/>
  <c r="Y13" i="5" s="1"/>
  <c r="E6" i="15"/>
  <c r="E18" i="29" s="1"/>
  <c r="X6" i="5"/>
  <c r="H6" i="15" s="1"/>
  <c r="H18" i="29" s="1"/>
  <c r="D18" i="31" s="1"/>
  <c r="V6" i="5"/>
  <c r="F6" i="15" s="1"/>
  <c r="Y6" i="5"/>
  <c r="Z6" i="5"/>
  <c r="E12" i="15"/>
  <c r="E24" i="29" s="1"/>
  <c r="E24" i="22" s="1"/>
  <c r="F25" i="37" s="1"/>
  <c r="G25" i="37" s="1"/>
  <c r="N12" i="15" s="1"/>
  <c r="N33" i="5"/>
  <c r="W32" i="2"/>
  <c r="G8" i="14" s="1"/>
  <c r="G8" i="29" s="1"/>
  <c r="C8" i="31" s="1"/>
  <c r="Z32" i="2"/>
  <c r="J8" i="14" s="1"/>
  <c r="J8" i="29" s="1"/>
  <c r="F8" i="31" s="1"/>
  <c r="V32" i="2"/>
  <c r="F8" i="14" s="1"/>
  <c r="F8" i="29" s="1"/>
  <c r="B8" i="31" s="1"/>
  <c r="AA32" i="2"/>
  <c r="K8" i="14" s="1"/>
  <c r="K8" i="29" s="1"/>
  <c r="G8" i="31" s="1"/>
  <c r="X32" i="2"/>
  <c r="H8" i="14" s="1"/>
  <c r="H8" i="29" s="1"/>
  <c r="D8" i="31" s="1"/>
  <c r="Y32" i="2"/>
  <c r="I8" i="14" s="1"/>
  <c r="I8" i="29" s="1"/>
  <c r="E8" i="31" s="1"/>
  <c r="N19" i="2"/>
  <c r="AA19" i="2" s="1"/>
  <c r="AA14" i="2" s="1"/>
  <c r="AA28" i="2"/>
  <c r="V28" i="2"/>
  <c r="Z28" i="2"/>
  <c r="X28" i="2"/>
  <c r="W28" i="2"/>
  <c r="Y28" i="2"/>
  <c r="E7" i="22"/>
  <c r="F8" i="37" s="1"/>
  <c r="G8" i="37" s="1"/>
  <c r="N7" i="14" s="1"/>
  <c r="B5" i="30"/>
  <c r="B9" i="39" s="1"/>
  <c r="E44" i="29"/>
  <c r="N9" i="2"/>
  <c r="E5" i="14"/>
  <c r="E5" i="29" s="1"/>
  <c r="E5" i="22" s="1"/>
  <c r="F6" i="37" s="1"/>
  <c r="G6" i="37" s="1"/>
  <c r="N5" i="14" s="1"/>
  <c r="E18" i="22"/>
  <c r="F19" i="37" s="1"/>
  <c r="G19" i="37" s="1"/>
  <c r="N6" i="15" s="1"/>
  <c r="W6" i="5"/>
  <c r="AA6" i="5"/>
  <c r="E67" i="31"/>
  <c r="F18" i="30"/>
  <c r="G38" i="31"/>
  <c r="H12" i="30"/>
  <c r="H16" i="39" s="1"/>
  <c r="D37" i="31"/>
  <c r="E12" i="30"/>
  <c r="E16" i="39" s="1"/>
  <c r="F20" i="30"/>
  <c r="F24" i="39" s="1"/>
  <c r="E70" i="31"/>
  <c r="H21" i="39"/>
  <c r="H17" i="30"/>
  <c r="F26" i="31"/>
  <c r="G8" i="30"/>
  <c r="G12" i="39" s="1"/>
  <c r="E8" i="30"/>
  <c r="B12" i="30"/>
  <c r="B16" i="39" s="1"/>
  <c r="C71" i="31"/>
  <c r="D20" i="30"/>
  <c r="C12" i="30"/>
  <c r="B35" i="31"/>
  <c r="G29" i="31"/>
  <c r="H9" i="30"/>
  <c r="H13" i="39" s="1"/>
  <c r="E20" i="31"/>
  <c r="D12" i="30"/>
  <c r="D16" i="39" s="1"/>
  <c r="E47" i="22"/>
  <c r="F48" i="37" s="1"/>
  <c r="G48" i="37" s="1"/>
  <c r="N21" i="17" s="1"/>
  <c r="B14" i="30"/>
  <c r="B18" i="39" s="1"/>
  <c r="E33" i="22"/>
  <c r="F34" i="37" s="1"/>
  <c r="G34" i="37" s="1"/>
  <c r="N7" i="16" s="1"/>
  <c r="B11" i="30"/>
  <c r="B15" i="39" s="1"/>
  <c r="E20" i="30"/>
  <c r="E24" i="39" s="1"/>
  <c r="F66" i="31"/>
  <c r="G21" i="39"/>
  <c r="F31" i="31"/>
  <c r="G10" i="30"/>
  <c r="G14" i="39" s="1"/>
  <c r="D10" i="30"/>
  <c r="C31" i="31"/>
  <c r="G46" i="31"/>
  <c r="F33" i="31"/>
  <c r="G11" i="30"/>
  <c r="G15" i="39" s="1"/>
  <c r="C11" i="30"/>
  <c r="G20" i="30"/>
  <c r="G24" i="39" s="1"/>
  <c r="E9" i="30"/>
  <c r="D28" i="31"/>
  <c r="Y8" i="5" l="1"/>
  <c r="H21" i="12" s="1"/>
  <c r="W28" i="3"/>
  <c r="W25" i="3" s="1"/>
  <c r="F41" i="12" s="1"/>
  <c r="AA37" i="9"/>
  <c r="Z37" i="9"/>
  <c r="N26" i="17"/>
  <c r="N18" i="17"/>
  <c r="Y25" i="3"/>
  <c r="Y58" i="3"/>
  <c r="N8" i="9"/>
  <c r="Y7" i="9"/>
  <c r="I8" i="17" s="1"/>
  <c r="W7" i="9"/>
  <c r="Z7" i="9"/>
  <c r="AA58" i="3"/>
  <c r="J44" i="12" s="1"/>
  <c r="V58" i="3"/>
  <c r="E44" i="12" s="1"/>
  <c r="B67" i="31"/>
  <c r="B17" i="30"/>
  <c r="Z6" i="3"/>
  <c r="I39" i="12" s="1"/>
  <c r="Z25" i="3"/>
  <c r="I41" i="12" s="1"/>
  <c r="AA8" i="5"/>
  <c r="J21" i="12" s="1"/>
  <c r="W8" i="5"/>
  <c r="F21" i="12" s="1"/>
  <c r="AA15" i="5"/>
  <c r="AA13" i="5" s="1"/>
  <c r="J22" i="12" s="1"/>
  <c r="X15" i="5"/>
  <c r="X13" i="5" s="1"/>
  <c r="G22" i="12" s="1"/>
  <c r="V15" i="5"/>
  <c r="V13" i="5" s="1"/>
  <c r="E22" i="12" s="1"/>
  <c r="Z15" i="5"/>
  <c r="Z13" i="5" s="1"/>
  <c r="I22" i="12" s="1"/>
  <c r="V8" i="5"/>
  <c r="E21" i="12" s="1"/>
  <c r="W15" i="5"/>
  <c r="W13" i="5" s="1"/>
  <c r="F22" i="12" s="1"/>
  <c r="X8" i="5"/>
  <c r="G21" i="12" s="1"/>
  <c r="AA38" i="2"/>
  <c r="AA37" i="2" s="1"/>
  <c r="V38" i="2"/>
  <c r="V37" i="2" s="1"/>
  <c r="X38" i="2"/>
  <c r="X37" i="2" s="1"/>
  <c r="Z38" i="2"/>
  <c r="Z37" i="2" s="1"/>
  <c r="Y38" i="2"/>
  <c r="Y37" i="2" s="1"/>
  <c r="W38" i="2"/>
  <c r="W37" i="2" s="1"/>
  <c r="V18" i="3"/>
  <c r="E40" i="12" s="1"/>
  <c r="F8" i="17"/>
  <c r="V52" i="3"/>
  <c r="V49" i="3" s="1"/>
  <c r="W52" i="3"/>
  <c r="W49" i="3" s="1"/>
  <c r="Z52" i="3"/>
  <c r="Z49" i="3" s="1"/>
  <c r="Z13" i="9"/>
  <c r="I48" i="12" s="1"/>
  <c r="H8" i="17"/>
  <c r="K8" i="17"/>
  <c r="J9" i="17"/>
  <c r="I9" i="17"/>
  <c r="C17" i="30"/>
  <c r="C21" i="39" s="1"/>
  <c r="X25" i="3"/>
  <c r="G41" i="12" s="1"/>
  <c r="Z6" i="10"/>
  <c r="W6" i="10"/>
  <c r="G9" i="19" s="1"/>
  <c r="G57" i="29" s="1"/>
  <c r="AA6" i="10"/>
  <c r="K9" i="19" s="1"/>
  <c r="K57" i="29" s="1"/>
  <c r="V6" i="10"/>
  <c r="E53" i="12" s="1"/>
  <c r="C29" i="19"/>
  <c r="B15" i="30"/>
  <c r="B19" i="39" s="1"/>
  <c r="G19" i="30"/>
  <c r="G23" i="39" s="1"/>
  <c r="Y49" i="3"/>
  <c r="AA25" i="3"/>
  <c r="J41" i="12" s="1"/>
  <c r="E68" i="22"/>
  <c r="F69" i="37" s="1"/>
  <c r="G69" i="37" s="1"/>
  <c r="N23" i="19" s="1"/>
  <c r="A2" i="19" s="1"/>
  <c r="H61" i="12"/>
  <c r="I17" i="19"/>
  <c r="I64" i="29" s="1"/>
  <c r="E64" i="31" s="1"/>
  <c r="I53" i="12"/>
  <c r="J9" i="19"/>
  <c r="J57" i="29" s="1"/>
  <c r="F60" i="12"/>
  <c r="G16" i="19"/>
  <c r="G63" i="29" s="1"/>
  <c r="C63" i="31" s="1"/>
  <c r="F61" i="12"/>
  <c r="G17" i="19"/>
  <c r="G64" i="29" s="1"/>
  <c r="C64" i="31" s="1"/>
  <c r="H58" i="12"/>
  <c r="I14" i="19"/>
  <c r="I61" i="29" s="1"/>
  <c r="E61" i="31" s="1"/>
  <c r="H54" i="12"/>
  <c r="I10" i="19"/>
  <c r="I58" i="29" s="1"/>
  <c r="G54" i="12"/>
  <c r="H10" i="19"/>
  <c r="H58" i="29" s="1"/>
  <c r="D58" i="31" s="1"/>
  <c r="I59" i="12"/>
  <c r="J15" i="19"/>
  <c r="J62" i="29" s="1"/>
  <c r="F62" i="31" s="1"/>
  <c r="G66" i="12"/>
  <c r="H21" i="19"/>
  <c r="H67" i="29" s="1"/>
  <c r="I60" i="12"/>
  <c r="J16" i="19"/>
  <c r="J63" i="29" s="1"/>
  <c r="F63" i="31" s="1"/>
  <c r="D68" i="31"/>
  <c r="G61" i="12"/>
  <c r="H17" i="19"/>
  <c r="H64" i="29" s="1"/>
  <c r="D64" i="31" s="1"/>
  <c r="Y35" i="3"/>
  <c r="G60" i="12"/>
  <c r="H16" i="19"/>
  <c r="H63" i="29" s="1"/>
  <c r="D63" i="31" s="1"/>
  <c r="I61" i="12"/>
  <c r="J17" i="19"/>
  <c r="J64" i="29" s="1"/>
  <c r="F64" i="31" s="1"/>
  <c r="E58" i="12"/>
  <c r="F14" i="19"/>
  <c r="F61" i="29" s="1"/>
  <c r="B61" i="31" s="1"/>
  <c r="G58" i="12"/>
  <c r="H14" i="19"/>
  <c r="H61" i="29" s="1"/>
  <c r="D61" i="31" s="1"/>
  <c r="I54" i="12"/>
  <c r="J10" i="19"/>
  <c r="J58" i="29" s="1"/>
  <c r="F58" i="31" s="1"/>
  <c r="G59" i="12"/>
  <c r="H15" i="19"/>
  <c r="H62" i="29" s="1"/>
  <c r="D62" i="31" s="1"/>
  <c r="H60" i="12"/>
  <c r="I16" i="19"/>
  <c r="I63" i="29" s="1"/>
  <c r="E63" i="31" s="1"/>
  <c r="F67" i="12"/>
  <c r="Y18" i="3"/>
  <c r="AA18" i="3"/>
  <c r="J40" i="12" s="1"/>
  <c r="B20" i="39"/>
  <c r="W15" i="9"/>
  <c r="W13" i="9" s="1"/>
  <c r="F48" i="12" s="1"/>
  <c r="E61" i="12"/>
  <c r="F17" i="19"/>
  <c r="F64" i="29" s="1"/>
  <c r="B64" i="31" s="1"/>
  <c r="B21" i="39"/>
  <c r="E60" i="12"/>
  <c r="F16" i="19"/>
  <c r="F63" i="29" s="1"/>
  <c r="B63" i="31" s="1"/>
  <c r="J58" i="12"/>
  <c r="K14" i="19"/>
  <c r="K61" i="29" s="1"/>
  <c r="G61" i="31" s="1"/>
  <c r="F58" i="12"/>
  <c r="G14" i="19"/>
  <c r="G61" i="29" s="1"/>
  <c r="C61" i="31" s="1"/>
  <c r="F54" i="12"/>
  <c r="G10" i="19"/>
  <c r="G58" i="29" s="1"/>
  <c r="C58" i="31" s="1"/>
  <c r="H59" i="12"/>
  <c r="I15" i="19"/>
  <c r="I62" i="29" s="1"/>
  <c r="E62" i="31" s="1"/>
  <c r="F59" i="12"/>
  <c r="G15" i="19"/>
  <c r="G62" i="29" s="1"/>
  <c r="C62" i="31" s="1"/>
  <c r="J60" i="12"/>
  <c r="K16" i="19"/>
  <c r="K63" i="29" s="1"/>
  <c r="G63" i="31" s="1"/>
  <c r="B16" i="30"/>
  <c r="F63" i="12"/>
  <c r="G20" i="19"/>
  <c r="G66" i="29" s="1"/>
  <c r="G63" i="12"/>
  <c r="H20" i="19"/>
  <c r="H66" i="29" s="1"/>
  <c r="F66" i="12"/>
  <c r="G21" i="19"/>
  <c r="G67" i="29" s="1"/>
  <c r="AA15" i="9"/>
  <c r="AA13" i="9" s="1"/>
  <c r="J48" i="12" s="1"/>
  <c r="I58" i="12"/>
  <c r="J14" i="19"/>
  <c r="J61" i="29" s="1"/>
  <c r="F61" i="31" s="1"/>
  <c r="J54" i="12"/>
  <c r="K10" i="19"/>
  <c r="K58" i="29" s="1"/>
  <c r="G58" i="31" s="1"/>
  <c r="E54" i="12"/>
  <c r="F10" i="19"/>
  <c r="F58" i="29" s="1"/>
  <c r="B58" i="31" s="1"/>
  <c r="J59" i="12"/>
  <c r="K15" i="19"/>
  <c r="K62" i="29" s="1"/>
  <c r="G62" i="31" s="1"/>
  <c r="E59" i="12"/>
  <c r="F15" i="19"/>
  <c r="F62" i="29" s="1"/>
  <c r="B62" i="31" s="1"/>
  <c r="J53" i="12"/>
  <c r="F9" i="19"/>
  <c r="F57" i="29" s="1"/>
  <c r="G53" i="12"/>
  <c r="H9" i="19"/>
  <c r="H57" i="29" s="1"/>
  <c r="F57" i="12"/>
  <c r="G13" i="19"/>
  <c r="G60" i="29" s="1"/>
  <c r="G57" i="12"/>
  <c r="H13" i="19"/>
  <c r="H60" i="29" s="1"/>
  <c r="J57" i="12"/>
  <c r="K13" i="19"/>
  <c r="K60" i="29" s="1"/>
  <c r="E57" i="12"/>
  <c r="F13" i="19"/>
  <c r="F60" i="29" s="1"/>
  <c r="H57" i="12"/>
  <c r="I13" i="19"/>
  <c r="I60" i="29" s="1"/>
  <c r="E68" i="31"/>
  <c r="B23" i="39"/>
  <c r="J67" i="12"/>
  <c r="K23" i="19"/>
  <c r="K68" i="29" s="1"/>
  <c r="C68" i="31"/>
  <c r="E67" i="12"/>
  <c r="F23" i="19"/>
  <c r="F68" i="29" s="1"/>
  <c r="A2" i="16"/>
  <c r="D14" i="30"/>
  <c r="D18" i="39" s="1"/>
  <c r="X24" i="9"/>
  <c r="X13" i="9" s="1"/>
  <c r="G48" i="12" s="1"/>
  <c r="H13" i="17"/>
  <c r="H45" i="29" s="1"/>
  <c r="X6" i="3"/>
  <c r="G39" i="12" s="1"/>
  <c r="K13" i="17"/>
  <c r="K45" i="29" s="1"/>
  <c r="AA6" i="3"/>
  <c r="J39" i="12" s="1"/>
  <c r="Z35" i="3"/>
  <c r="I42" i="12" s="1"/>
  <c r="V25" i="3"/>
  <c r="E41" i="12" s="1"/>
  <c r="V24" i="9"/>
  <c r="V13" i="9" s="1"/>
  <c r="E48" i="12" s="1"/>
  <c r="Y6" i="3"/>
  <c r="I13" i="17"/>
  <c r="I45" i="29" s="1"/>
  <c r="J13" i="17"/>
  <c r="J45" i="29" s="1"/>
  <c r="V6" i="3"/>
  <c r="E39" i="12" s="1"/>
  <c r="F13" i="17"/>
  <c r="F45" i="29" s="1"/>
  <c r="A2" i="25"/>
  <c r="B7" i="30"/>
  <c r="B11" i="39" s="1"/>
  <c r="H22" i="12"/>
  <c r="I7" i="15"/>
  <c r="I19" i="29" s="1"/>
  <c r="E19" i="31" s="1"/>
  <c r="G7" i="15"/>
  <c r="G19" i="29" s="1"/>
  <c r="C19" i="31" s="1"/>
  <c r="G20" i="12"/>
  <c r="I20" i="12"/>
  <c r="J6" i="15"/>
  <c r="J18" i="29" s="1"/>
  <c r="F18" i="31" s="1"/>
  <c r="H20" i="12"/>
  <c r="I6" i="15"/>
  <c r="I18" i="29" s="1"/>
  <c r="E18" i="31" s="1"/>
  <c r="E20" i="12"/>
  <c r="F18" i="29"/>
  <c r="B18" i="31" s="1"/>
  <c r="A2" i="15"/>
  <c r="V33" i="5"/>
  <c r="Y33" i="5"/>
  <c r="W33" i="5"/>
  <c r="AA33" i="5"/>
  <c r="J28" i="12" s="1"/>
  <c r="Z33" i="5"/>
  <c r="J12" i="15" s="1"/>
  <c r="J24" i="29" s="1"/>
  <c r="X33" i="5"/>
  <c r="H12" i="15" s="1"/>
  <c r="H24" i="29" s="1"/>
  <c r="B4" i="30"/>
  <c r="B8" i="39" s="1"/>
  <c r="A2" i="14"/>
  <c r="W19" i="2"/>
  <c r="W14" i="2" s="1"/>
  <c r="Y19" i="2"/>
  <c r="Y14" i="2" s="1"/>
  <c r="Z19" i="2"/>
  <c r="Z14" i="2" s="1"/>
  <c r="X19" i="2"/>
  <c r="X14" i="2" s="1"/>
  <c r="V19" i="2"/>
  <c r="V14" i="2" s="1"/>
  <c r="E13" i="12" s="1"/>
  <c r="J13" i="12"/>
  <c r="K6" i="14"/>
  <c r="K6" i="29" s="1"/>
  <c r="G6" i="31" s="1"/>
  <c r="F7" i="14"/>
  <c r="F7" i="29" s="1"/>
  <c r="V24" i="2"/>
  <c r="E14" i="12" s="1"/>
  <c r="X24" i="2"/>
  <c r="G14" i="12" s="1"/>
  <c r="H7" i="14"/>
  <c r="H7" i="29" s="1"/>
  <c r="I7" i="14"/>
  <c r="I7" i="29" s="1"/>
  <c r="Y24" i="2"/>
  <c r="H14" i="12" s="1"/>
  <c r="Z24" i="2"/>
  <c r="I14" i="12" s="1"/>
  <c r="J7" i="14"/>
  <c r="J7" i="29" s="1"/>
  <c r="G7" i="14"/>
  <c r="G7" i="29" s="1"/>
  <c r="W24" i="2"/>
  <c r="F14" i="12" s="1"/>
  <c r="K7" i="14"/>
  <c r="K7" i="29" s="1"/>
  <c r="AA24" i="2"/>
  <c r="J14" i="12" s="1"/>
  <c r="B13" i="30"/>
  <c r="B17" i="39" s="1"/>
  <c r="E44" i="22"/>
  <c r="F45" i="37" s="1"/>
  <c r="G45" i="37" s="1"/>
  <c r="N7" i="17" s="1"/>
  <c r="A2" i="17" s="1"/>
  <c r="AA9" i="2"/>
  <c r="Y9" i="2"/>
  <c r="Z9" i="2"/>
  <c r="W9" i="2"/>
  <c r="X9" i="2"/>
  <c r="V9" i="2"/>
  <c r="G12" i="15"/>
  <c r="G24" i="29" s="1"/>
  <c r="F28" i="12"/>
  <c r="G6" i="15"/>
  <c r="G18" i="29" s="1"/>
  <c r="C18" i="31" s="1"/>
  <c r="F20" i="12"/>
  <c r="J20" i="12"/>
  <c r="K6" i="15"/>
  <c r="K18" i="29" s="1"/>
  <c r="I20" i="30"/>
  <c r="D24" i="39"/>
  <c r="E13" i="39"/>
  <c r="I9" i="30"/>
  <c r="I11" i="30"/>
  <c r="C15" i="39"/>
  <c r="I10" i="30"/>
  <c r="D14" i="39"/>
  <c r="C16" i="39"/>
  <c r="I12" i="30"/>
  <c r="I8" i="30"/>
  <c r="E12" i="39"/>
  <c r="Y8" i="9" l="1"/>
  <c r="W8" i="9"/>
  <c r="X8" i="9"/>
  <c r="N11" i="9"/>
  <c r="V8" i="9"/>
  <c r="AA8" i="9"/>
  <c r="Z8" i="9"/>
  <c r="H19" i="30"/>
  <c r="H23" i="39" s="1"/>
  <c r="G68" i="31"/>
  <c r="F53" i="12"/>
  <c r="I28" i="12"/>
  <c r="F15" i="12"/>
  <c r="G17" i="14"/>
  <c r="G16" i="29" s="1"/>
  <c r="F17" i="14"/>
  <c r="F16" i="29" s="1"/>
  <c r="E15" i="12"/>
  <c r="I17" i="14"/>
  <c r="I16" i="29" s="1"/>
  <c r="H15" i="12"/>
  <c r="K17" i="14"/>
  <c r="K16" i="29" s="1"/>
  <c r="J15" i="12"/>
  <c r="I15" i="12"/>
  <c r="J17" i="14"/>
  <c r="J16" i="29" s="1"/>
  <c r="G15" i="12"/>
  <c r="H17" i="14"/>
  <c r="H16" i="29" s="1"/>
  <c r="H7" i="17"/>
  <c r="H44" i="29" s="1"/>
  <c r="F7" i="17"/>
  <c r="F44" i="29" s="1"/>
  <c r="I7" i="17"/>
  <c r="I44" i="29" s="1"/>
  <c r="K7" i="17"/>
  <c r="K44" i="29" s="1"/>
  <c r="G7" i="17"/>
  <c r="G44" i="29" s="1"/>
  <c r="D66" i="31"/>
  <c r="E17" i="30"/>
  <c r="E21" i="39" s="1"/>
  <c r="E58" i="31"/>
  <c r="F15" i="30"/>
  <c r="F19" i="39" s="1"/>
  <c r="F57" i="31"/>
  <c r="G15" i="30"/>
  <c r="G19" i="39" s="1"/>
  <c r="B25" i="39"/>
  <c r="D57" i="31"/>
  <c r="E15" i="30"/>
  <c r="E19" i="39" s="1"/>
  <c r="G57" i="31"/>
  <c r="H15" i="30"/>
  <c r="H19" i="39" s="1"/>
  <c r="G16" i="30"/>
  <c r="G20" i="39" s="1"/>
  <c r="C67" i="31"/>
  <c r="D18" i="30"/>
  <c r="C66" i="31"/>
  <c r="D17" i="30"/>
  <c r="C57" i="31"/>
  <c r="D15" i="30"/>
  <c r="D19" i="39" s="1"/>
  <c r="D67" i="31"/>
  <c r="E18" i="30"/>
  <c r="E22" i="39" s="1"/>
  <c r="B57" i="31"/>
  <c r="C15" i="30"/>
  <c r="B60" i="31"/>
  <c r="C16" i="30"/>
  <c r="D60" i="31"/>
  <c r="E16" i="30"/>
  <c r="E20" i="39" s="1"/>
  <c r="E60" i="31"/>
  <c r="F16" i="30"/>
  <c r="F20" i="39" s="1"/>
  <c r="H16" i="30"/>
  <c r="H20" i="39" s="1"/>
  <c r="G60" i="31"/>
  <c r="C60" i="31"/>
  <c r="D16" i="30"/>
  <c r="D20" i="39" s="1"/>
  <c r="B68" i="31"/>
  <c r="C19" i="30"/>
  <c r="G45" i="31"/>
  <c r="H14" i="30"/>
  <c r="H18" i="39" s="1"/>
  <c r="D45" i="31"/>
  <c r="E14" i="30"/>
  <c r="E18" i="39" s="1"/>
  <c r="F45" i="31"/>
  <c r="G14" i="30"/>
  <c r="G18" i="39" s="1"/>
  <c r="E45" i="31"/>
  <c r="F14" i="30"/>
  <c r="F18" i="39" s="1"/>
  <c r="B45" i="31"/>
  <c r="C14" i="30"/>
  <c r="K12" i="15"/>
  <c r="K24" i="29" s="1"/>
  <c r="G24" i="31" s="1"/>
  <c r="I12" i="15"/>
  <c r="I24" i="29" s="1"/>
  <c r="H28" i="12"/>
  <c r="G28" i="12"/>
  <c r="F12" i="15"/>
  <c r="F24" i="29" s="1"/>
  <c r="E28" i="12"/>
  <c r="F6" i="14"/>
  <c r="F6" i="29" s="1"/>
  <c r="B6" i="31" s="1"/>
  <c r="H13" i="12"/>
  <c r="I6" i="14"/>
  <c r="I6" i="29" s="1"/>
  <c r="E6" i="31" s="1"/>
  <c r="G6" i="29"/>
  <c r="C6" i="31" s="1"/>
  <c r="F13" i="12"/>
  <c r="G13" i="12"/>
  <c r="H6" i="14"/>
  <c r="H6" i="29" s="1"/>
  <c r="D6" i="31" s="1"/>
  <c r="I13" i="12"/>
  <c r="J6" i="14"/>
  <c r="J6" i="29" s="1"/>
  <c r="F6" i="31" s="1"/>
  <c r="F7" i="31"/>
  <c r="G5" i="30"/>
  <c r="G9" i="39" s="1"/>
  <c r="E5" i="30"/>
  <c r="E9" i="39" s="1"/>
  <c r="D7" i="31"/>
  <c r="H5" i="30"/>
  <c r="G7" i="31"/>
  <c r="C7" i="31"/>
  <c r="D5" i="30"/>
  <c r="D9" i="39" s="1"/>
  <c r="E7" i="31"/>
  <c r="F5" i="30"/>
  <c r="F9" i="39" s="1"/>
  <c r="B7" i="31"/>
  <c r="C5" i="30"/>
  <c r="C9" i="39" s="1"/>
  <c r="V6" i="2"/>
  <c r="E12" i="12" s="1"/>
  <c r="F5" i="14"/>
  <c r="F5" i="29" s="1"/>
  <c r="Y6" i="2"/>
  <c r="H12" i="12" s="1"/>
  <c r="I5" i="14"/>
  <c r="I5" i="29" s="1"/>
  <c r="X6" i="2"/>
  <c r="G12" i="12" s="1"/>
  <c r="H5" i="14"/>
  <c r="H5" i="29" s="1"/>
  <c r="AA6" i="2"/>
  <c r="J12" i="12" s="1"/>
  <c r="K5" i="14"/>
  <c r="K5" i="29" s="1"/>
  <c r="W6" i="2"/>
  <c r="F12" i="12" s="1"/>
  <c r="G5" i="14"/>
  <c r="G5" i="29" s="1"/>
  <c r="Z6" i="2"/>
  <c r="I12" i="12" s="1"/>
  <c r="J5" i="14"/>
  <c r="J5" i="29" s="1"/>
  <c r="C24" i="31"/>
  <c r="D7" i="30"/>
  <c r="F24" i="31"/>
  <c r="G7" i="30"/>
  <c r="D24" i="31"/>
  <c r="E7" i="30"/>
  <c r="G18" i="31"/>
  <c r="F9" i="17" l="1"/>
  <c r="H9" i="17"/>
  <c r="K9" i="17"/>
  <c r="V11" i="9"/>
  <c r="F10" i="17" s="1"/>
  <c r="Y11" i="9"/>
  <c r="I10" i="17" s="1"/>
  <c r="X11" i="9"/>
  <c r="H10" i="17" s="1"/>
  <c r="W11" i="9"/>
  <c r="G10" i="17" s="1"/>
  <c r="Z11" i="9"/>
  <c r="AA11" i="9"/>
  <c r="K10" i="17" s="1"/>
  <c r="G9" i="17"/>
  <c r="W6" i="9"/>
  <c r="F47" i="12" s="1"/>
  <c r="H7" i="30"/>
  <c r="H11" i="39" s="1"/>
  <c r="E71" i="12"/>
  <c r="J71" i="12"/>
  <c r="F16" i="31"/>
  <c r="G6" i="30"/>
  <c r="G10" i="39" s="1"/>
  <c r="C16" i="31"/>
  <c r="D6" i="30"/>
  <c r="D10" i="39" s="1"/>
  <c r="G72" i="29"/>
  <c r="C72" i="31" s="1"/>
  <c r="E16" i="31"/>
  <c r="F6" i="30"/>
  <c r="F10" i="39" s="1"/>
  <c r="D16" i="31"/>
  <c r="E6" i="30"/>
  <c r="E10" i="39" s="1"/>
  <c r="G16" i="31"/>
  <c r="H6" i="30"/>
  <c r="H10" i="39" s="1"/>
  <c r="C6" i="30"/>
  <c r="B16" i="31"/>
  <c r="E72" i="29"/>
  <c r="E72" i="22" s="1"/>
  <c r="C44" i="31"/>
  <c r="D13" i="30"/>
  <c r="B44" i="31"/>
  <c r="C13" i="30"/>
  <c r="K72" i="29"/>
  <c r="G72" i="31" s="1"/>
  <c r="J7" i="17"/>
  <c r="J44" i="29" s="1"/>
  <c r="J72" i="29" s="1"/>
  <c r="F72" i="31" s="1"/>
  <c r="F13" i="30"/>
  <c r="F17" i="39" s="1"/>
  <c r="E44" i="31"/>
  <c r="D44" i="31"/>
  <c r="E13" i="30"/>
  <c r="E17" i="39" s="1"/>
  <c r="G44" i="31"/>
  <c r="H13" i="30"/>
  <c r="H17" i="39" s="1"/>
  <c r="D21" i="39"/>
  <c r="I17" i="30"/>
  <c r="C19" i="39"/>
  <c r="I15" i="30"/>
  <c r="D22" i="39"/>
  <c r="I18" i="30"/>
  <c r="C20" i="39"/>
  <c r="I16" i="30"/>
  <c r="C23" i="39"/>
  <c r="I19" i="30"/>
  <c r="C18" i="39"/>
  <c r="I14" i="30"/>
  <c r="E24" i="31"/>
  <c r="F7" i="30"/>
  <c r="F11" i="39" s="1"/>
  <c r="B24" i="31"/>
  <c r="C7" i="30"/>
  <c r="C11" i="39" s="1"/>
  <c r="I71" i="12"/>
  <c r="F71" i="12"/>
  <c r="G71" i="12"/>
  <c r="H72" i="29"/>
  <c r="D72" i="31" s="1"/>
  <c r="H71" i="12"/>
  <c r="I5" i="30"/>
  <c r="H9" i="39"/>
  <c r="F5" i="31"/>
  <c r="G4" i="30"/>
  <c r="G8" i="39" s="1"/>
  <c r="E4" i="30"/>
  <c r="E8" i="39" s="1"/>
  <c r="D5" i="31"/>
  <c r="B5" i="31"/>
  <c r="C4" i="30"/>
  <c r="F72" i="29"/>
  <c r="B72" i="31" s="1"/>
  <c r="G5" i="31"/>
  <c r="H4" i="30"/>
  <c r="H8" i="39" s="1"/>
  <c r="E5" i="31"/>
  <c r="F4" i="30"/>
  <c r="I72" i="29"/>
  <c r="E72" i="31" s="1"/>
  <c r="D4" i="30"/>
  <c r="D8" i="39" s="1"/>
  <c r="C5" i="31"/>
  <c r="D11" i="39"/>
  <c r="E11" i="39"/>
  <c r="G11" i="39"/>
  <c r="AA6" i="9" l="1"/>
  <c r="J47" i="12" s="1"/>
  <c r="Y6" i="9"/>
  <c r="H47" i="12" s="1"/>
  <c r="J10" i="17"/>
  <c r="Z6" i="9"/>
  <c r="I47" i="12" s="1"/>
  <c r="X6" i="9"/>
  <c r="G47" i="12" s="1"/>
  <c r="V6" i="9"/>
  <c r="E47" i="12" s="1"/>
  <c r="C10" i="39"/>
  <c r="I6" i="30"/>
  <c r="B21" i="30"/>
  <c r="C17" i="39"/>
  <c r="G13" i="30"/>
  <c r="G17" i="39" s="1"/>
  <c r="G25" i="39" s="1"/>
  <c r="F44" i="31"/>
  <c r="C30" i="19"/>
  <c r="D17" i="39"/>
  <c r="D25" i="39" s="1"/>
  <c r="C34" i="19"/>
  <c r="I7" i="30"/>
  <c r="E25" i="39"/>
  <c r="H25" i="39"/>
  <c r="E21" i="30"/>
  <c r="C8" i="39"/>
  <c r="I4" i="30"/>
  <c r="C21" i="30"/>
  <c r="H21" i="30"/>
  <c r="F8" i="39"/>
  <c r="F25" i="39" s="1"/>
  <c r="F21" i="30"/>
  <c r="D21" i="30"/>
  <c r="G21" i="30" l="1"/>
  <c r="I13" i="30"/>
  <c r="I21" i="30" s="1"/>
  <c r="C25" i="39"/>
  <c r="J6" i="30" l="1"/>
  <c r="J7" i="30"/>
  <c r="J17" i="30"/>
  <c r="J18" i="30"/>
  <c r="J11" i="30"/>
  <c r="J20" i="30"/>
  <c r="J19" i="30"/>
  <c r="J13" i="30"/>
  <c r="J12" i="30"/>
  <c r="J10" i="30"/>
  <c r="J14" i="30"/>
  <c r="J9" i="30"/>
  <c r="J16" i="30"/>
  <c r="J8" i="30"/>
  <c r="J15" i="30"/>
  <c r="J5" i="30"/>
  <c r="J4" i="30"/>
  <c r="J21" i="30" l="1"/>
</calcChain>
</file>

<file path=xl/sharedStrings.xml><?xml version="1.0" encoding="utf-8"?>
<sst xmlns="http://schemas.openxmlformats.org/spreadsheetml/2006/main" count="2665" uniqueCount="1105">
  <si>
    <t>Guide to the column headers and the entry of data:</t>
  </si>
  <si>
    <t>Other important information:</t>
  </si>
  <si>
    <t>For some source sectors, e.g. coal combustion, the total calculated mercury input must be distributed between the relevant scenarios in accordance with information obtained in your data collection. For example for coal combustion, half of the annual coal supply may be used in facilities with no emission reduction devices, while the other half is used in facilities with fabric filters. In this example, 50% of your mercury input must entered in the "no devises" row in this column, while the other 50% must be entered in the "fabric filters" row. For other sources, e.g. batteries, you can choose the scenario you find most appropriate for the country covered in your inventory - and enter the total calculated mercury input in that row, or you can distribute the total input between the scenarios, for example if different scenarios are relevant in different parts of the country investigated.</t>
  </si>
  <si>
    <r>
      <t>Read the Toolkit report sections carefully before using this spreadsheet!</t>
    </r>
    <r>
      <rPr>
        <sz val="10"/>
        <rFont val="Arial"/>
        <family val="2"/>
      </rPr>
      <t>: This spreadsheet is not self-explaining and there is a clear risk of making serious mistakes, if the proposed principles and data are not read and understood carefully. Make yourself acquainted with the methodology used for mercury inventories in the Toolkit report. Before working with an individual source sub-category in this spreadsheet, read the Toolkit report's section describing the source.</t>
    </r>
  </si>
  <si>
    <r>
      <t>Spreadsheet names</t>
    </r>
    <r>
      <rPr>
        <sz val="10"/>
        <rFont val="Arial"/>
        <family val="2"/>
      </rPr>
      <t>: The numbers in the individual sheets' names refer to the chapter number of the source category dealt with in the individual sheet.</t>
    </r>
  </si>
  <si>
    <r>
      <t>Metric units</t>
    </r>
    <r>
      <rPr>
        <sz val="10"/>
        <rFont val="Arial"/>
        <family val="2"/>
      </rPr>
      <t>: All units used in this spreadsheet are - and must be - metric units, in accordance with the Toolkit report. The notation "t", means metric tons (also called "tonnes" in UK terminology).</t>
    </r>
  </si>
  <si>
    <r>
      <t>"C"</t>
    </r>
    <r>
      <rPr>
        <sz val="10"/>
        <rFont val="Arial"/>
        <family val="2"/>
      </rPr>
      <t>: The column shows the section number in the Toolkit report describing this source category.</t>
    </r>
  </si>
  <si>
    <r>
      <t>"Su-C"</t>
    </r>
    <r>
      <rPr>
        <sz val="10"/>
        <rFont val="Arial"/>
        <family val="2"/>
      </rPr>
      <t>: The column shows the section number in the Toolkit report describing this source sub-category.</t>
    </r>
  </si>
  <si>
    <r>
      <t>"Source category /phase"</t>
    </r>
    <r>
      <rPr>
        <sz val="10"/>
        <rFont val="Arial"/>
        <family val="2"/>
      </rPr>
      <t>: This column displays the name of the source category, source sub-category or life cycle phase dealt with in this line and in any lines below until the line with the next name in the column.</t>
    </r>
  </si>
  <si>
    <r>
      <t>"Exists? (y/n/?)"</t>
    </r>
    <r>
      <rPr>
        <sz val="10"/>
        <rFont val="Arial"/>
        <family val="2"/>
      </rPr>
      <t>: Enter "yes" if it is confirmed that this source is present in the area covered by the inventory. Enter "no" if it is confirmed that this source is NOT present in the area. Enter "?", if it is not known if the source is present or not in the area covered by the inventory.</t>
    </r>
  </si>
  <si>
    <r>
      <t>Non-existing source categories:</t>
    </r>
    <r>
      <rPr>
        <sz val="10"/>
        <rFont val="Arial"/>
        <family val="2"/>
      </rPr>
      <t xml:space="preserve"> If you have positively verified that the source in question does not exist in the country, enter the number "0" as the activity rate and as the Hg input in order to display the correct output numbers, namely "0".</t>
    </r>
  </si>
  <si>
    <r>
      <t>"Default input factor""</t>
    </r>
    <r>
      <rPr>
        <sz val="10"/>
        <rFont val="Arial"/>
        <family val="2"/>
      </rPr>
      <t>: These columns inform you of the default input factors defined in the Toolkit report, and their units. The appropriate unit is noted in the next column to the right.</t>
    </r>
  </si>
  <si>
    <r>
      <t>"Enter input factor"</t>
    </r>
    <r>
      <rPr>
        <sz val="10"/>
        <rFont val="Arial"/>
        <family val="2"/>
      </rPr>
      <t>: Here you enter your choice of input factor for the source in question. For source sub categories where default factors are defined in the Toolkit report, the MAXIMUM default input factor is already entered in the appropriate cell. Remember that well documented national or local input factors should always be preferred, if available. Provide documentation for the used factors in the inventory report. The appropriate unit is noted in the next column to the right.</t>
    </r>
  </si>
  <si>
    <r>
      <t>"Enter activity rate"</t>
    </r>
    <r>
      <rPr>
        <sz val="10"/>
        <rFont val="Arial"/>
        <family val="2"/>
      </rPr>
      <t>: Here you enter the activity rate for the source category in question. See in the corresponding section of the Toolkit report, which type of activity rate you must use. Find appropriate activity rate data according to the principles and advice given in section 4.4 ("Data gathering and quantification of mercury releases") in the Toolkit report.</t>
    </r>
  </si>
  <si>
    <r>
      <t>"Calculat. Hg input"</t>
    </r>
    <r>
      <rPr>
        <sz val="10"/>
        <rFont val="Arial"/>
        <family val="2"/>
      </rPr>
      <t>: This column displays the calculated mercury input to the source in question. For source sub categories where default factors are defined in the Toolkit report, the appropriate calculation formula is already entered in the cell. For sources where this is not the case, you must enter appropriate calculation formulas according to the Toolkit principles; often you can copy - or be inspired by - calculation formulas given for other sources in the same column. BE VERY CAREFUL THAT THE UNIT AND ORDER OF MAGNITUDE ARE CORRECT - this is one of the error types most often made in such calculations. For source sub-categories that have several contributions to the overall releases from the sub-category, e.g. several life cycle phase, the sum of input contributions is displayed in bold red writing.</t>
    </r>
  </si>
  <si>
    <r>
      <t>"Output scenarios, where relevant"</t>
    </r>
    <r>
      <rPr>
        <sz val="10"/>
        <rFont val="Arial"/>
        <family val="2"/>
      </rPr>
      <t>: For some source sub-categories, several output scenarios are defined in the Toolkit report according to the characteristics of the source. For such sources, the description of the scenario is given in this column, and corresponding output distribution factors are entered - or can be entered - in the columns to the right of this column. For sources where there is only one output scenario, this column is empty.</t>
    </r>
  </si>
  <si>
    <r>
      <t>"Enter Hg input"</t>
    </r>
    <r>
      <rPr>
        <sz val="10"/>
        <rFont val="Arial"/>
        <family val="2"/>
      </rPr>
      <t>: In this column, the mercury INPUT to this source category, or phase, or scenario must be entered. In simple cases, the number to be entered here is the number calculated in the column "Calculat. Hg input"; for these a simple reference (e.g. "= k34") can be made or the number can be entered manually. For sources with several output scenarios you must investigate which scenario(s) is/are relevant and enter the mercury input lead to that scenario.</t>
    </r>
  </si>
  <si>
    <r>
      <t>"Enter output distribution factors"</t>
    </r>
    <r>
      <rPr>
        <sz val="10"/>
        <rFont val="Arial"/>
        <family val="2"/>
      </rPr>
      <t>: Here you enter your choice of output distribution factors. Important: In most cases the sum of all output distributions factors for a source must be 1 (exceptions: see notes in this spreadsheet and corresponding sections in the Toolkit report). For source sub categories where default factors are defined in the Toolkit report, the default factors are already entered in the appropriate cells; note that question marks in the report are substituted here by "0" to facilitate the use of the spreadsheet for quick initial screenings. Remember that well documented national or local distribution factors should always be preferred, if available. Provide documentation for the used factors in the inventory report. NB: For a few sources, other methodology is used to estimate releases; this is described in notes in each relevant sheet.</t>
    </r>
  </si>
  <si>
    <r>
      <t>"Calculated Hg output, Kg/y</t>
    </r>
    <r>
      <rPr>
        <sz val="10"/>
        <rFont val="Arial"/>
        <family val="2"/>
      </rPr>
      <t>": These columns display the calculated mercury releases distributed on the output pathways considered. Each cell in these columns contain a formula calculating the release estimate based on the mercury inputs to the source or phase or output scenario in question and the output distribution factor for this pathway. In very few cases, the release estimates are calculated with other principles - see specific notes in the sheets in question.</t>
    </r>
  </si>
  <si>
    <r>
      <t>"Remarks"</t>
    </r>
    <r>
      <rPr>
        <sz val="10"/>
        <rFont val="Arial"/>
        <family val="2"/>
      </rPr>
      <t>: Here you enter a few words on information on the specific fate of mercury released to "Sector specific treatment/disposal", and you enter important key information on a summary level. Give reference to where in the inventory report the information is described in more detail.</t>
    </r>
  </si>
  <si>
    <r>
      <t>"#Value!"</t>
    </r>
    <r>
      <rPr>
        <sz val="10"/>
        <rFont val="Arial"/>
        <family val="2"/>
      </rPr>
      <t>: This term appear in calculation results, if "?", "-" or similar text signs are written in input cells. If data are available, enter these instead of the "?" in the input cells. If data are not available, the sign (?,- or other) may often be the appropriate thing to show in the results cell. To present the same sign (?,- or other), enter the appropriate sign manually in the calculation cell.</t>
    </r>
  </si>
  <si>
    <r>
      <t>User defined alterations of the spreadsheet principles</t>
    </r>
    <r>
      <rPr>
        <sz val="10"/>
        <rFont val="Arial"/>
        <family val="2"/>
      </rPr>
      <t>: This spreadsheet is designed for mercury release quantification according to the general methodology and specific principles for each source sub-category recommended in the Toolkit report. For many source sub-categories other specific approaches may be usable (e.g. other activity rate types). This spreadsheet may be adjusted accordingly by the users as desired, requiring that the applied principles are in line with the overall approach of the Toolkit, and are well documented in the inventory reporting and that full reference is given to this Toolkit spreadsheet.</t>
    </r>
  </si>
  <si>
    <r>
      <t>Enter calculation formulas</t>
    </r>
    <r>
      <rPr>
        <sz val="10"/>
        <rFont val="Arial"/>
        <family val="2"/>
      </rPr>
      <t>: In this spreadsheet, default calculation formulas were only entered for source sub-categories, for which defaults were defined in the Toolkit report. Depending in the data available, inputs and releases may however be possible to estimate for many more sources. In such cases, the user should enter appropriate formulas and data for the calculations. In many cases this can be done by copying appropriate formulas from other cells in this spreadsheet - be careful to be accurate.</t>
    </r>
  </si>
  <si>
    <r>
      <t>Sub-calculations</t>
    </r>
    <r>
      <rPr>
        <sz val="10"/>
        <rFont val="Arial"/>
        <family val="2"/>
      </rPr>
      <t>: In many cases sub-calculations will be needed, e.g. for calculations/conversions of the activity rates, or alternative input factors or alternative output distribution factors. Such calculations must be made in other spreadsheets, for instance in new sheets inserted in this same Tollkit spreadsheet file; remember to report clear and transparent documentation of all data and calculations used - read more about this in the Toolkit report.</t>
    </r>
  </si>
  <si>
    <r>
      <t>Decimal point/comma:</t>
    </r>
    <r>
      <rPr>
        <sz val="10"/>
        <rFont val="Arial"/>
        <family val="2"/>
      </rPr>
      <t xml:space="preserve"> In order to display decimal comma or decimal point according to your preference, make sure your MS Windows systems language is set accordingly. Note however that numbers displayed here as  text (default factor intervals) will display with decimal point, in accordance with the Toolkit report format, regardless of language settings chosen.</t>
    </r>
  </si>
  <si>
    <r>
      <t>Sum of quantified releases</t>
    </r>
    <r>
      <rPr>
        <sz val="10"/>
        <rFont val="Arial"/>
        <family val="2"/>
      </rPr>
      <t>: If you wish to calculate sums of quantified inputs or releases, other than the ones already displayed, remember not to double-count Hg amounts quantified for several source categories (e.g. Hg amounts that are counted under both production, use, and disposal) . This requires a deeper analysis based on relevant Toolkit report sections.</t>
    </r>
  </si>
  <si>
    <t>Disclaimer:</t>
  </si>
  <si>
    <t>This publication is intended to serve as a guide. While the information provided is believed to be accurate, UNEP disclaims any responsibility for possible inaccuracies or omissions and consequences that may flow from them. Neither UNEP nor any individual involved in the preparation of this publication shall be liable for any injury, loss, damage or prejudice of any kind that may be caused by persons who have acted based on their understanding of the information contained in this publication.</t>
  </si>
  <si>
    <t>The designation employed and the presentation of material in this publication do not imply any expression of any opinion whatsoever on the part of the United Nations or UNEP concerning the legal status of any country, territory, city or area or any of its authorities, or concerning any definition of frontiers or boundaries.</t>
  </si>
  <si>
    <t>Summary of estimated mercury inputs and releases</t>
  </si>
  <si>
    <t>Enter year, date and responsible institution/person</t>
  </si>
  <si>
    <t>SUM OF QUANTIFIED RELEASES:</t>
  </si>
  <si>
    <t>(a and (b: See note text in the relevant sheets</t>
  </si>
  <si>
    <t xml:space="preserve">- </t>
  </si>
  <si>
    <t>Draft spreadsheet of UNEP Chemicals' Toolkit for identification and quantification of mercury releases</t>
  </si>
  <si>
    <t>Unit</t>
  </si>
  <si>
    <t>Kg Hg/y</t>
  </si>
  <si>
    <t>Enter input factor</t>
  </si>
  <si>
    <t>Air</t>
  </si>
  <si>
    <t>Water</t>
  </si>
  <si>
    <t>Land</t>
  </si>
  <si>
    <t>Products</t>
  </si>
  <si>
    <t>General waste</t>
  </si>
  <si>
    <t>?</t>
  </si>
  <si>
    <t>Source category: Extraction and use of fuels/energy sources</t>
  </si>
  <si>
    <t>5.1.1</t>
  </si>
  <si>
    <t>5.1</t>
  </si>
  <si>
    <t>Coal combustion in large power plants</t>
  </si>
  <si>
    <t>0.05-0.5</t>
  </si>
  <si>
    <t>Default input factor</t>
  </si>
  <si>
    <t>Su-C</t>
  </si>
  <si>
    <t xml:space="preserve"> Enter activity rate</t>
  </si>
  <si>
    <t>C</t>
  </si>
  <si>
    <t>Secto r specific treatment/disposal</t>
  </si>
  <si>
    <t>Calculated Hg output, Kg/y</t>
  </si>
  <si>
    <t>Enter output distribution factors (unitless)</t>
  </si>
  <si>
    <t>Notes:</t>
  </si>
  <si>
    <t>"Output scenario"</t>
  </si>
  <si>
    <t>0.05-0.5 (a</t>
  </si>
  <si>
    <t>Source category /phase</t>
  </si>
  <si>
    <t>/Coal wash</t>
  </si>
  <si>
    <t>Calculat. Hg input</t>
  </si>
  <si>
    <t>5.1.2</t>
  </si>
  <si>
    <t>Other coal use</t>
  </si>
  <si>
    <t>Coke production</t>
  </si>
  <si>
    <t>Coal combustion</t>
  </si>
  <si>
    <t>Kg Hg/y (a</t>
  </si>
  <si>
    <t>5.1.3</t>
  </si>
  <si>
    <t>Uses (other than combustion)</t>
  </si>
  <si>
    <t>Residential heating with no controls</t>
  </si>
  <si>
    <t>Oil Combustion Facility with no emissions controls</t>
  </si>
  <si>
    <t>Oil Combustion Facility with PM control using an ESP or scrubber</t>
  </si>
  <si>
    <t>Mineral oils - extraction, refining and use</t>
  </si>
  <si>
    <t>5.1.4</t>
  </si>
  <si>
    <t>Natural gas - extraction, refining and use</t>
  </si>
  <si>
    <t>Nm3 gas/y</t>
  </si>
  <si>
    <t>0.03 - 0.4</t>
  </si>
  <si>
    <t>2 - 200</t>
  </si>
  <si>
    <t>µg Hg/Nm3 gas</t>
  </si>
  <si>
    <t>5.1.5</t>
  </si>
  <si>
    <t>Other fossil fuels - extraction and use</t>
  </si>
  <si>
    <t>Use of oil shale</t>
  </si>
  <si>
    <t>5.1.6</t>
  </si>
  <si>
    <t>Biomass fired power and heat production</t>
  </si>
  <si>
    <t>5.1.7</t>
  </si>
  <si>
    <t>Geothermal power production</t>
  </si>
  <si>
    <t>40 - 193 (b</t>
  </si>
  <si>
    <t>Combustion of peat</t>
  </si>
  <si>
    <t>Combustion of other fossil fuels</t>
  </si>
  <si>
    <t>Remarks</t>
  </si>
  <si>
    <t>5.5</t>
  </si>
  <si>
    <t>5.5.1</t>
  </si>
  <si>
    <t>Thermometers with mercury</t>
  </si>
  <si>
    <t>/Use+disposal</t>
  </si>
  <si>
    <t>Enter Hg input</t>
  </si>
  <si>
    <t>Medical thermometers</t>
  </si>
  <si>
    <t>Ambient air thermom.</t>
  </si>
  <si>
    <t>Industrial and special th.</t>
  </si>
  <si>
    <t>Other glass Hg thermometers</t>
  </si>
  <si>
    <t>(a1) No separate collection. Waste handl. controlled</t>
  </si>
  <si>
    <t>(a3) Separate collection. Waste handl. controlled</t>
  </si>
  <si>
    <t>/Production</t>
  </si>
  <si>
    <t>/Use+disposal:</t>
  </si>
  <si>
    <t>/Extraction</t>
  </si>
  <si>
    <t>/Refining</t>
  </si>
  <si>
    <t>/Extraction/refining</t>
  </si>
  <si>
    <t>/Use of raw or pre-cleaned gas</t>
  </si>
  <si>
    <t>/Use of pipeline gas (consumer quality)</t>
  </si>
  <si>
    <t>0.5-1.5</t>
  </si>
  <si>
    <t>5-200</t>
  </si>
  <si>
    <t>2-5</t>
  </si>
  <si>
    <t>1-40</t>
  </si>
  <si>
    <t>g Hg/item</t>
  </si>
  <si>
    <t>items/y</t>
  </si>
  <si>
    <t>(a2) No separate collection. Informal waste handl. widespread</t>
  </si>
  <si>
    <t>Electrical switches and relays with mercury</t>
  </si>
  <si>
    <t>5.5.2</t>
  </si>
  <si>
    <t>0.02-0.25</t>
  </si>
  <si>
    <t>0.25</t>
  </si>
  <si>
    <t>Inhabitants</t>
  </si>
  <si>
    <t>g Hg/(y*inhabitant)</t>
  </si>
  <si>
    <t>5.5.3</t>
  </si>
  <si>
    <t>Fluorescent tubes (double end)</t>
  </si>
  <si>
    <t>Compact fluorescent lamp (CFL single end)</t>
  </si>
  <si>
    <t xml:space="preserve">High pressure mercury vapour </t>
  </si>
  <si>
    <t>High-pressure sodium lamps</t>
  </si>
  <si>
    <t>UV light for tanning</t>
  </si>
  <si>
    <t>Metal halide lamps</t>
  </si>
  <si>
    <t>10 - 40</t>
  </si>
  <si>
    <t>5 - 15</t>
  </si>
  <si>
    <t>30</t>
  </si>
  <si>
    <t>10 - 30</t>
  </si>
  <si>
    <t>5 - 25</t>
  </si>
  <si>
    <t>25</t>
  </si>
  <si>
    <t>mg Hg/item</t>
  </si>
  <si>
    <t>Biocides and pesticides with mercury</t>
  </si>
  <si>
    <t>5.5.5</t>
  </si>
  <si>
    <t>5.5.4</t>
  </si>
  <si>
    <t>Batteries with mercury</t>
  </si>
  <si>
    <t>Mercury oxide (all sizes); also called mercury-zinc cells</t>
  </si>
  <si>
    <t>Zinc-air button cells</t>
  </si>
  <si>
    <t>Alkaline button cells</t>
  </si>
  <si>
    <t>Silver oxide button cells</t>
  </si>
  <si>
    <t>Alkaline, other than  button cell shapes</t>
  </si>
  <si>
    <t>Paints with mercury</t>
  </si>
  <si>
    <t>5.5.6</t>
  </si>
  <si>
    <t>0.3-5</t>
  </si>
  <si>
    <t>/Use (application + when appl.)</t>
  </si>
  <si>
    <t>Cosmetics and related products with mercury</t>
  </si>
  <si>
    <t>10-50</t>
  </si>
  <si>
    <t>Source category: Intentional use of mercury in industrial processes</t>
  </si>
  <si>
    <t>5.4</t>
  </si>
  <si>
    <t>5.4.1</t>
  </si>
  <si>
    <t>Chlor-alkali production with mercury-technology</t>
  </si>
  <si>
    <t>5.4.2</t>
  </si>
  <si>
    <t>100-140</t>
  </si>
  <si>
    <t>VCM production with mercury catalyst</t>
  </si>
  <si>
    <t>Acetaldehyde production with mercury catalyst</t>
  </si>
  <si>
    <t>Other production of chemicals and polymers with mercury</t>
  </si>
  <si>
    <t>Exists? (y/n/?)</t>
  </si>
  <si>
    <t>Chlor-alkali prod.</t>
  </si>
  <si>
    <t>Other oil combustion facilities</t>
  </si>
  <si>
    <t>5.2</t>
  </si>
  <si>
    <t>5.2.1</t>
  </si>
  <si>
    <t>5.2.2</t>
  </si>
  <si>
    <t>Gold and silver extraction with mercury amalgamation processes</t>
  </si>
  <si>
    <t>Zinc extraction and initial processing</t>
  </si>
  <si>
    <t>Mercury (primary) extraction and initial processing</t>
  </si>
  <si>
    <t>/Mining and concentrating</t>
  </si>
  <si>
    <t>/Production of zinc from concentrates</t>
  </si>
  <si>
    <t>Copper extraction and initial processing</t>
  </si>
  <si>
    <t>/Production of copper from concentrates</t>
  </si>
  <si>
    <t>Lead extraction and initial processing</t>
  </si>
  <si>
    <t>/Production of lead from concentrates</t>
  </si>
  <si>
    <t>5.3.3</t>
  </si>
  <si>
    <t>5.3.4</t>
  </si>
  <si>
    <t>5.3.5</t>
  </si>
  <si>
    <t>5.3.6</t>
  </si>
  <si>
    <t>(a: Due to lack of data, this calculation is proposed with traditional emission factors, instead of input and output factors as recommended in this Toolkit.</t>
  </si>
  <si>
    <t xml:space="preserve">    If you have data to use the inputs and outputs balance method, the calculation approach used for zinc can be copied here for gold.</t>
  </si>
  <si>
    <t>Aliminium extraction and initial processing</t>
  </si>
  <si>
    <t>/Aluminium production from alumina</t>
  </si>
  <si>
    <t>5.3.7</t>
  </si>
  <si>
    <t>5.3.8</t>
  </si>
  <si>
    <t>5.3.9</t>
  </si>
  <si>
    <t>Primary ferrous metal production</t>
  </si>
  <si>
    <t>Other non-ferrous metals - extraction and processing</t>
  </si>
  <si>
    <t>0.05</t>
  </si>
  <si>
    <t>/From whole ore</t>
  </si>
  <si>
    <t>3</t>
  </si>
  <si>
    <t>kg Hg/kg gold produced</t>
  </si>
  <si>
    <t>kg gold produced/y</t>
  </si>
  <si>
    <t>/From concentrate</t>
  </si>
  <si>
    <t>/From concentrate and with use of retorts</t>
  </si>
  <si>
    <t>5.3</t>
  </si>
  <si>
    <t>Source category: Production of other minerals and materials with mercury impurities</t>
  </si>
  <si>
    <t>5.3.1</t>
  </si>
  <si>
    <t>5.3.2</t>
  </si>
  <si>
    <t>Pulp and paper production</t>
  </si>
  <si>
    <t>Production of lime and light weight aggregates</t>
  </si>
  <si>
    <t>Lime production</t>
  </si>
  <si>
    <t>Light weight aggregate kilns</t>
  </si>
  <si>
    <t>5.8</t>
  </si>
  <si>
    <t>Source category: Waste incineration</t>
  </si>
  <si>
    <t>5.8.1</t>
  </si>
  <si>
    <t>Incineration of municipal/general waste</t>
  </si>
  <si>
    <t>1-10</t>
  </si>
  <si>
    <t>Acid gas control with limestone (or similar acid gas absorbent) and downstream high efficiency FF or ESP PM retention</t>
  </si>
  <si>
    <t>Mercury specific absorbents and downstream FF</t>
  </si>
  <si>
    <t>5.8.2</t>
  </si>
  <si>
    <t>No emission reduction devices</t>
  </si>
  <si>
    <t>PM reduc, simple ESP, or similar</t>
  </si>
  <si>
    <t>Incineration of hazardous waste</t>
  </si>
  <si>
    <t>Incineration of medical waste</t>
  </si>
  <si>
    <t>5.8.3</t>
  </si>
  <si>
    <t>8-40</t>
  </si>
  <si>
    <t>5.8.4</t>
  </si>
  <si>
    <t>Sewage sludge incineration</t>
  </si>
  <si>
    <t>5.8.5</t>
  </si>
  <si>
    <t>"Output scenario (where relevant)</t>
  </si>
  <si>
    <t>5.6</t>
  </si>
  <si>
    <t>5.6.1</t>
  </si>
  <si>
    <t>Source category: Consumer products with intentional use of mercury</t>
  </si>
  <si>
    <t>Source category: Other intentional product/process use</t>
  </si>
  <si>
    <t>0.05-0.2</t>
  </si>
  <si>
    <t>/Preparations of fillings at dentist clinics (share of current mercury supply for amalgam fillings)</t>
  </si>
  <si>
    <t>/Disposal (releases from mercury supply for fillings 10-20 years ago)</t>
  </si>
  <si>
    <t>/Use - from fillings in the mouth (releases from mercury supply for fillings 5-15 years ago)</t>
  </si>
  <si>
    <t>(a: See detailed explanations in the dental fillings section in the Toolkit report.</t>
  </si>
  <si>
    <t xml:space="preserve">     If no change in the amalgam fillings supply have been observed, current supply may be used as a substitute; changes are likely to have occurred in most countries.</t>
  </si>
  <si>
    <t>- In countries where most dental clinics are equipped with high efficiency amalgam filters (95% retention rate)</t>
  </si>
  <si>
    <t>-  In countries where only dental chair filters/strainers are used in most clinics</t>
  </si>
  <si>
    <r>
      <t>Preparations of fillings</t>
    </r>
    <r>
      <rPr>
        <sz val="10"/>
        <rFont val="Times New Roman"/>
        <family val="1"/>
      </rPr>
      <t xml:space="preserve"> at dentist clinics (input is current Hg supply for amalgam fillings)</t>
    </r>
  </si>
  <si>
    <r>
      <t>Use</t>
    </r>
    <r>
      <rPr>
        <sz val="10"/>
        <rFont val="Times New Roman"/>
        <family val="1"/>
      </rPr>
      <t xml:space="preserve"> (input is Hg supply for </t>
    </r>
    <r>
      <rPr>
        <i/>
        <sz val="10"/>
        <rFont val="Times New Roman"/>
        <family val="1"/>
      </rPr>
      <t>fillings</t>
    </r>
    <r>
      <rPr>
        <sz val="10"/>
        <rFont val="Times New Roman"/>
        <family val="1"/>
      </rPr>
      <t xml:space="preserve"> 5-15 years ago (a)</t>
    </r>
  </si>
  <si>
    <r>
      <t xml:space="preserve">Disposal </t>
    </r>
    <r>
      <rPr>
        <sz val="10"/>
        <rFont val="Times New Roman"/>
        <family val="1"/>
      </rPr>
      <t>(input is Hg supply for fillings 10-20 years ago (a)</t>
    </r>
  </si>
  <si>
    <t>5.6.2</t>
  </si>
  <si>
    <t>Manometers and gauges with mercury</t>
  </si>
  <si>
    <t>Sector specific treatment/disposal</t>
  </si>
  <si>
    <t>Laboratory chemicals and equipment with mercury</t>
  </si>
  <si>
    <t>5.6.3</t>
  </si>
  <si>
    <t>Mercury metal use in religious rituals and folklore medicine</t>
  </si>
  <si>
    <t>Miscellaneous product uses, mercury metal uses, and other sources</t>
  </si>
  <si>
    <t>5.6.4</t>
  </si>
  <si>
    <t>5.6.5</t>
  </si>
  <si>
    <t>Infra red detection semiconductors</t>
  </si>
  <si>
    <t>Bougie tubes and Cantor tubes</t>
  </si>
  <si>
    <t>Educational uses</t>
  </si>
  <si>
    <t>Gyroscopes with mercury</t>
  </si>
  <si>
    <t>Vacuum pumps with mercury</t>
  </si>
  <si>
    <t>Use of mercury as a refrigerant in certain cooling systems</t>
  </si>
  <si>
    <t>Light houses (Marine navigation lights)</t>
  </si>
  <si>
    <t>Mercury in large bearings of rotating mechanic parts in for example older waste water treatment plants</t>
  </si>
  <si>
    <t>Tanning</t>
  </si>
  <si>
    <t>Pigments</t>
  </si>
  <si>
    <t>Browning and etching steel</t>
  </si>
  <si>
    <t>Certain colour photograph paper types</t>
  </si>
  <si>
    <t>Recoil softeners in rifles</t>
  </si>
  <si>
    <t>Explosives (mercury-fulminate a.o.)</t>
  </si>
  <si>
    <t>Fireworks</t>
  </si>
  <si>
    <t>Executive toys</t>
  </si>
  <si>
    <t>Others</t>
  </si>
  <si>
    <t>Medical blood pressure gauges</t>
  </si>
  <si>
    <t>Manometers</t>
  </si>
  <si>
    <t>U-shaped manometers</t>
  </si>
  <si>
    <t xml:space="preserve">Manometers for milking systems </t>
  </si>
  <si>
    <t>Manometers and barometers used for measuring air pressure</t>
  </si>
  <si>
    <t xml:space="preserve">Barometers </t>
  </si>
  <si>
    <t>Environmental manometers</t>
  </si>
  <si>
    <t>Pressure valves in district heating plants</t>
  </si>
  <si>
    <t>Pressure gauges</t>
  </si>
  <si>
    <t>Blood gas analyzer</t>
  </si>
  <si>
    <t>Mercury electrodes (calomel)</t>
  </si>
  <si>
    <t>Blood lead analyzer</t>
  </si>
  <si>
    <t>Mercury drop electrode</t>
  </si>
  <si>
    <t>Coulter counter</t>
  </si>
  <si>
    <t>Sample collector for oil offshore</t>
  </si>
  <si>
    <t>Centrifuges</t>
  </si>
  <si>
    <t>Electron microscope</t>
  </si>
  <si>
    <t>Thermostats</t>
  </si>
  <si>
    <t xml:space="preserve">Thermometers, manometers, and other measuring equipment </t>
  </si>
  <si>
    <t>Mercury lamps for atomic absorption spectrophotometers and other equipment</t>
  </si>
  <si>
    <t>Items/y</t>
  </si>
  <si>
    <t>-</t>
  </si>
  <si>
    <t>5.7</t>
  </si>
  <si>
    <t>5.7.1</t>
  </si>
  <si>
    <t>Source category: Production of recycled metals ("secondary" metal production)</t>
  </si>
  <si>
    <t>Production of recycled mercury ("secondary production”)</t>
  </si>
  <si>
    <t>Production of recycled ferrous metals (iron and steel)</t>
  </si>
  <si>
    <t>Production of other recycled metals</t>
  </si>
  <si>
    <t>Output scenario (where relevant)</t>
  </si>
  <si>
    <t>Note:</t>
  </si>
  <si>
    <t>(a: The Hg input to be entered here is metric tons of seconday mercury produced per year.</t>
  </si>
  <si>
    <t>Diffuse disposal under some control</t>
  </si>
  <si>
    <t>Source category: Waste deposition/landfilling and waste water treatment</t>
  </si>
  <si>
    <t>This source category is expected covered under the original sources of the mercury containing material, under det output path "sector specific treatment/disposal accompanied by a descriptive note; e.g. solid residues from waste incineration or metal extraction.</t>
  </si>
  <si>
    <t>Informal local disposal of industrial production waste</t>
  </si>
  <si>
    <t>Waste water system/treatment</t>
  </si>
  <si>
    <t>(b: It should be noted that mercury releases to informal waste incineration and waste dumping under the individual product and materials sub-categories are quantified in these sub-sections as direct releases to land, air and water.</t>
  </si>
  <si>
    <t xml:space="preserve">    Beware of double-counting. Note, however, that mercury inputs to dumping from mercury trace concentrations in high volume materials (plastics, paper, etc.) are not quantified individually elsewhere in this Toolkit</t>
  </si>
  <si>
    <t>5.9</t>
  </si>
  <si>
    <t>5.9.1</t>
  </si>
  <si>
    <t>5.9.2</t>
  </si>
  <si>
    <t>5.9.3</t>
  </si>
  <si>
    <t>5.9.4</t>
  </si>
  <si>
    <t>5.9.5</t>
  </si>
  <si>
    <t>No treatment; direct release from sewage pipe</t>
  </si>
  <si>
    <t>Mechanical treatment only</t>
  </si>
  <si>
    <t>Mechanical and biological (activated sludge) treatment; no land application of sludge</t>
  </si>
  <si>
    <t>Mechanical and biological (activated sludge) treatment; 40% of sludge used for land application</t>
  </si>
  <si>
    <t>0.5-10</t>
  </si>
  <si>
    <t>m3 waste water/y</t>
  </si>
  <si>
    <t>mg Hg/m3 waste water</t>
  </si>
  <si>
    <t>Enter description of estimation scenario presented below (maximum defaults/minimum defaults/other):</t>
  </si>
  <si>
    <t>Source category: Crematoria and cemetaries</t>
  </si>
  <si>
    <t>Crematoria</t>
  </si>
  <si>
    <t>1-4</t>
  </si>
  <si>
    <t>g Hg/corpse</t>
  </si>
  <si>
    <t>corpses cremated/y</t>
  </si>
  <si>
    <t>corpses burried/y</t>
  </si>
  <si>
    <t>5.10</t>
  </si>
  <si>
    <t>5.10.1</t>
  </si>
  <si>
    <t>5.10.2</t>
  </si>
  <si>
    <t>Read "introduction" before starting</t>
  </si>
  <si>
    <t>Source category</t>
  </si>
  <si>
    <t xml:space="preserve"> - If "other": Summarise main principles/characteristics in a few words (elaborate description in inventory report):</t>
  </si>
  <si>
    <t>Source category: Primary (virgin) metal production</t>
  </si>
  <si>
    <t>Hg unaccounted for presented under "Sector specific treatment/disposal" (a</t>
  </si>
  <si>
    <t>Hg unaccounted for is presented as releases (a</t>
  </si>
  <si>
    <t>Gold extraction and initial processing by methods other than mercury amalgamation (a</t>
  </si>
  <si>
    <t xml:space="preserve">   In order for the releases to be presented correctly in the summary sheet, only one of the presentation options can be used (or the summary sheet should be adjusted for this source by the user).</t>
  </si>
  <si>
    <t>Controlled landfills/deposits (a</t>
  </si>
  <si>
    <t>Informal dumping of general waste (b</t>
  </si>
  <si>
    <t>Light sources with mercury</t>
  </si>
  <si>
    <t>Sub-C</t>
  </si>
  <si>
    <t>t coal/y</t>
  </si>
  <si>
    <t>t oil/y</t>
  </si>
  <si>
    <t>t peat/y</t>
  </si>
  <si>
    <t>t oil shale/y</t>
  </si>
  <si>
    <t>t concentratel/y</t>
  </si>
  <si>
    <t>t pig iron produced</t>
  </si>
  <si>
    <t>t cement produced/y</t>
  </si>
  <si>
    <t>t Cl2/y</t>
  </si>
  <si>
    <t>t bat/y</t>
  </si>
  <si>
    <t>t paint/y</t>
  </si>
  <si>
    <t>t cream or soap/y</t>
  </si>
  <si>
    <t>g Hg/t waste</t>
  </si>
  <si>
    <t>t waste landfilled/y</t>
  </si>
  <si>
    <t>t waste dumped/y</t>
  </si>
  <si>
    <t>g Hg/t waste incinerated</t>
  </si>
  <si>
    <t>t waste incinerated/y</t>
  </si>
  <si>
    <t>kg Hg/t batteries</t>
  </si>
  <si>
    <t>kg Hg/t</t>
  </si>
  <si>
    <t>g Hg/t Cl2 produced</t>
  </si>
  <si>
    <t>g Hg/t VCM produced</t>
  </si>
  <si>
    <t>g Hg/t</t>
  </si>
  <si>
    <t>g Hg/t pig iron produced</t>
  </si>
  <si>
    <t>mg Hg/t</t>
  </si>
  <si>
    <t>(b: Based on one data set only</t>
  </si>
  <si>
    <t>mg Hg/t (dry weight)</t>
  </si>
  <si>
    <t>(a: These two possible presentation forms pertains to the way "unaccounted losses" is chosen to be presented - see the Toolkit report section. It is up to the users to decide which one of the release presentations they choose.</t>
  </si>
  <si>
    <t>(b: Enter sum for total inputs to recycling, if know from other sources</t>
  </si>
  <si>
    <t>t concentrate/y</t>
  </si>
  <si>
    <r>
      <t xml:space="preserve">Dental mercury-amalgam fillings </t>
    </r>
    <r>
      <rPr>
        <b/>
        <sz val="10"/>
        <color indexed="10"/>
        <rFont val="Arial"/>
        <family val="2"/>
      </rPr>
      <t>(b</t>
    </r>
  </si>
  <si>
    <t>(b: Note that output distribution factors should not sum up to 1 for this source or phase.</t>
  </si>
  <si>
    <t>(a: Note that output distribution factors should not sum up to 1 for this source or phase.</t>
  </si>
  <si>
    <t>/Production (a</t>
  </si>
  <si>
    <r>
      <t xml:space="preserve">(b </t>
    </r>
    <r>
      <rPr>
        <sz val="10"/>
        <rFont val="Arial"/>
        <family val="2"/>
      </rPr>
      <t>Kg Hg/y</t>
    </r>
  </si>
  <si>
    <t>(c: Note that output distribution factors should not sum up to 1 for this source or phase.</t>
  </si>
  <si>
    <t>(a, (c</t>
  </si>
  <si>
    <t>(a: Important: If coal wash is aplied, the Hg input to combustion is the calculated output "Products" from coal wash. For more complicated mixes, see the relevant section in the toolkit report.</t>
  </si>
  <si>
    <t>Other minerals and materials</t>
  </si>
  <si>
    <t>Impurity in pro-ducts</t>
  </si>
  <si>
    <t>Y/N/?</t>
  </si>
  <si>
    <t>5.2.3</t>
  </si>
  <si>
    <t>5.2.4</t>
  </si>
  <si>
    <t>5.2.5</t>
  </si>
  <si>
    <t>5.2.6</t>
  </si>
  <si>
    <t>5.2.7</t>
  </si>
  <si>
    <t>5.2.9</t>
  </si>
  <si>
    <t>Cement production</t>
  </si>
  <si>
    <t>5.4.3</t>
  </si>
  <si>
    <t>5.4.4</t>
  </si>
  <si>
    <t>5.5.7</t>
  </si>
  <si>
    <t>5.6.3, 5.6.5</t>
  </si>
  <si>
    <t>Impurity in products</t>
  </si>
  <si>
    <t>5.7.2</t>
  </si>
  <si>
    <t>Informal waste burning</t>
  </si>
  <si>
    <t>Before you start on Inventory Level 2!!</t>
  </si>
  <si>
    <t>Charcoal combustion</t>
  </si>
  <si>
    <t>Cemeteries</t>
  </si>
  <si>
    <t>t biomass/year</t>
  </si>
  <si>
    <t>t charcoal/year</t>
  </si>
  <si>
    <t>g Hg/ t cement produced</t>
  </si>
  <si>
    <t>t Hg produced</t>
  </si>
  <si>
    <t>g Hg/t concentrate</t>
  </si>
  <si>
    <t>g Hg/t acetaledhyde</t>
  </si>
  <si>
    <t>t VCM/y</t>
  </si>
  <si>
    <t>t acetaldehyde/y</t>
  </si>
  <si>
    <t>Production</t>
  </si>
  <si>
    <t>g Hg used for production/y</t>
  </si>
  <si>
    <t>kg Hg used for production/y</t>
  </si>
  <si>
    <r>
      <t>kg recycled mercury</t>
    </r>
    <r>
      <rPr>
        <b/>
        <sz val="10"/>
        <rFont val="Arial"/>
        <family val="2"/>
      </rPr>
      <t>/year</t>
    </r>
  </si>
  <si>
    <t>g Hg/t sludge incinerated</t>
  </si>
  <si>
    <t xml:space="preserve">Total </t>
  </si>
  <si>
    <t>Inpurity in produtcs</t>
  </si>
  <si>
    <t>Inpurity in products</t>
  </si>
  <si>
    <t>70-85</t>
  </si>
  <si>
    <t>Other laboratory equipment (level 1 default)</t>
  </si>
  <si>
    <t>Laboratory chemicals and pharmaceutical (level 1 default)</t>
  </si>
  <si>
    <t>g Hg/y*inhabitant)</t>
  </si>
  <si>
    <t>5.5.8</t>
  </si>
  <si>
    <t>5.5.5.</t>
  </si>
  <si>
    <t>Polyurethane with mercury catalysts</t>
  </si>
  <si>
    <t>PM control with general ESP, or PS</t>
  </si>
  <si>
    <t>g Hg/t biomass (dry weight)</t>
  </si>
  <si>
    <t>0.07-1</t>
  </si>
  <si>
    <t>t bauxite/y</t>
  </si>
  <si>
    <t>g Hg/t bauxite</t>
  </si>
  <si>
    <t>/Alumina production from bauxite</t>
  </si>
  <si>
    <t>/Use of gasoline, diesel and other light distillates:</t>
  </si>
  <si>
    <t>Transportation and other uses other than combustion</t>
  </si>
  <si>
    <t>/Use of heavy oil and petroleum coke:</t>
  </si>
  <si>
    <t>10 - 100</t>
  </si>
  <si>
    <t>1 - 10</t>
  </si>
  <si>
    <t>Oil combustion facilities</t>
  </si>
  <si>
    <t>g Hg/t(dry weight)</t>
  </si>
  <si>
    <t>0.007-0.07</t>
  </si>
  <si>
    <t>Gas processing with mercury removal</t>
  </si>
  <si>
    <t>Gas processing without mercury removal</t>
  </si>
  <si>
    <t>INVENTORY LEVEL 1 - TOTAL SUMMARY</t>
  </si>
  <si>
    <t>0,007-0,07</t>
  </si>
  <si>
    <t>g Hg/ t biomass used in production</t>
  </si>
  <si>
    <t>kg Hg/t Hg produced</t>
  </si>
  <si>
    <t>g Hg/t ore used (extracted)</t>
  </si>
  <si>
    <t>0.01-0.05</t>
  </si>
  <si>
    <t>0.005</t>
  </si>
  <si>
    <t>Other manometers (level 1 default for whole group)</t>
  </si>
  <si>
    <t>0.2-2</t>
  </si>
  <si>
    <t>g Hg/vehicle</t>
  </si>
  <si>
    <t>vehicles recycled/y</t>
  </si>
  <si>
    <t>4x conc. in biomass</t>
  </si>
  <si>
    <t>No filter</t>
  </si>
  <si>
    <t>t gold ore used/y</t>
  </si>
  <si>
    <t>g Hg/t ore used</t>
  </si>
  <si>
    <t>1020-1040</t>
  </si>
  <si>
    <t>kg Hg/kg Hg released totally</t>
  </si>
  <si>
    <t>Y</t>
  </si>
  <si>
    <t>Original English version</t>
  </si>
  <si>
    <t>N</t>
  </si>
  <si>
    <t>Answer Y or N in cell B4 in the sheet 'Step5 - Waste treatment + recycling'</t>
  </si>
  <si>
    <t>Can be changed according to language</t>
  </si>
  <si>
    <t>Not to be changed</t>
  </si>
  <si>
    <t>The "-", indicated when the source category is not present in the country, cannot be changed</t>
  </si>
  <si>
    <t>Present?</t>
  </si>
  <si>
    <t>Enter translation (in white cells only)</t>
  </si>
  <si>
    <t>Y/N</t>
  </si>
  <si>
    <t>White cells:</t>
  </si>
  <si>
    <t>Yellow cells:</t>
  </si>
  <si>
    <t>Important for translators, in this sheet:</t>
  </si>
  <si>
    <r>
      <t xml:space="preserve">VERY IMPORTANT: DO </t>
    </r>
    <r>
      <rPr>
        <b/>
        <sz val="10"/>
        <rFont val="Arial"/>
        <family val="2"/>
      </rPr>
      <t>NOT</t>
    </r>
    <r>
      <rPr>
        <sz val="10"/>
        <rFont val="Arial"/>
        <family val="2"/>
      </rPr>
      <t xml:space="preserve"> CHANGE ANY FORMULAS. CHECK CAREFULLY BEFORE TRANSLATION, WHICH CELLS CONTAIN FORMULAS!</t>
    </r>
  </si>
  <si>
    <t xml:space="preserve">This page includes country specific data for population, access to electricity and number of dental personnel. </t>
  </si>
  <si>
    <t xml:space="preserve">These data are used in background calculations and should not be altered by users. </t>
  </si>
  <si>
    <t>UNEP may update data here regularly, as updates become available and as feasible.</t>
  </si>
  <si>
    <t>Country</t>
  </si>
  <si>
    <t>Afghanistan</t>
  </si>
  <si>
    <t>Algeria</t>
  </si>
  <si>
    <t>Angola</t>
  </si>
  <si>
    <t>Argentina</t>
  </si>
  <si>
    <t>Armenia</t>
  </si>
  <si>
    <t>Austria</t>
  </si>
  <si>
    <t>Bahrain</t>
  </si>
  <si>
    <t>Bangladesh</t>
  </si>
  <si>
    <t>Belgium</t>
  </si>
  <si>
    <t>Benin</t>
  </si>
  <si>
    <t>Bolivia</t>
  </si>
  <si>
    <t>Botswana</t>
  </si>
  <si>
    <t>Brazil</t>
  </si>
  <si>
    <t>Brunei Darussalam</t>
  </si>
  <si>
    <t>Burkina Faso</t>
  </si>
  <si>
    <t>Cambodia</t>
  </si>
  <si>
    <t>Cameroon</t>
  </si>
  <si>
    <t>Chile</t>
  </si>
  <si>
    <t>China</t>
  </si>
  <si>
    <t>Colombia</t>
  </si>
  <si>
    <t>Costa Rica</t>
  </si>
  <si>
    <t>Côte d'Ivoire</t>
  </si>
  <si>
    <t>Cuba</t>
  </si>
  <si>
    <t>Democratic People's Republic of Korea</t>
  </si>
  <si>
    <t>Democratic Republic of the Congo</t>
  </si>
  <si>
    <t>Denmark</t>
  </si>
  <si>
    <t>Dominican Republic</t>
  </si>
  <si>
    <t>Ecuador</t>
  </si>
  <si>
    <t>Egypt</t>
  </si>
  <si>
    <t>El Salvador</t>
  </si>
  <si>
    <t>Eritrea</t>
  </si>
  <si>
    <t>Fiji</t>
  </si>
  <si>
    <t>Finland</t>
  </si>
  <si>
    <t>France</t>
  </si>
  <si>
    <t>Gabon</t>
  </si>
  <si>
    <t>Germany</t>
  </si>
  <si>
    <t>Ghana</t>
  </si>
  <si>
    <t>Greece</t>
  </si>
  <si>
    <t>Guatemala</t>
  </si>
  <si>
    <t>Haiti</t>
  </si>
  <si>
    <t>Honduras</t>
  </si>
  <si>
    <t>Iceland</t>
  </si>
  <si>
    <t>India</t>
  </si>
  <si>
    <t>Indonesia</t>
  </si>
  <si>
    <t>Iran, Islamic Republic of</t>
  </si>
  <si>
    <t>Iraq</t>
  </si>
  <si>
    <t>Ireland</t>
  </si>
  <si>
    <t>Israel</t>
  </si>
  <si>
    <t>Italy</t>
  </si>
  <si>
    <t>Jamaica</t>
  </si>
  <si>
    <t>Jordan</t>
  </si>
  <si>
    <t>Kenya</t>
  </si>
  <si>
    <t>Kuwait</t>
  </si>
  <si>
    <t>Kyrgyzstan</t>
  </si>
  <si>
    <t>Lao People's Democratic Republic</t>
  </si>
  <si>
    <t>Lebanon</t>
  </si>
  <si>
    <t>Lesotho</t>
  </si>
  <si>
    <t>Libyan Arab Jamahiriya</t>
  </si>
  <si>
    <t>Luxembourg</t>
  </si>
  <si>
    <t>Madagascar</t>
  </si>
  <si>
    <t>Malaysia</t>
  </si>
  <si>
    <t>Malta</t>
  </si>
  <si>
    <t>Mauritius</t>
  </si>
  <si>
    <t>Monaco</t>
  </si>
  <si>
    <t>Morocco</t>
  </si>
  <si>
    <t>Mozambique</t>
  </si>
  <si>
    <t>Myanmar</t>
  </si>
  <si>
    <t>Namibia</t>
  </si>
  <si>
    <t>Nepal</t>
  </si>
  <si>
    <t>Netherlands</t>
  </si>
  <si>
    <t>Nicaragua</t>
  </si>
  <si>
    <t>Nigeria</t>
  </si>
  <si>
    <t>Norway</t>
  </si>
  <si>
    <t>Oman</t>
  </si>
  <si>
    <t>Pakistan</t>
  </si>
  <si>
    <t>Panama</t>
  </si>
  <si>
    <t>Paraguay</t>
  </si>
  <si>
    <t>Peru</t>
  </si>
  <si>
    <t>Philippines</t>
  </si>
  <si>
    <t>Portugal</t>
  </si>
  <si>
    <t>Qatar</t>
  </si>
  <si>
    <t>Romania</t>
  </si>
  <si>
    <t>Saint Kitts and Nevis</t>
  </si>
  <si>
    <t>Saint Lucia</t>
  </si>
  <si>
    <t>Samoa</t>
  </si>
  <si>
    <t>Saudi Arabia</t>
  </si>
  <si>
    <t>Senegal</t>
  </si>
  <si>
    <t>Slovakia</t>
  </si>
  <si>
    <t>Slovenia</t>
  </si>
  <si>
    <t>South Africa</t>
  </si>
  <si>
    <t>Spain</t>
  </si>
  <si>
    <t>Sri Lanka</t>
  </si>
  <si>
    <t>Sudan</t>
  </si>
  <si>
    <t>Swaziland</t>
  </si>
  <si>
    <t>Sweden</t>
  </si>
  <si>
    <t>Switzerland</t>
  </si>
  <si>
    <t>Syrian Arab Republic</t>
  </si>
  <si>
    <t>Thailand</t>
  </si>
  <si>
    <t>Timor-Leste</t>
  </si>
  <si>
    <t>Togo</t>
  </si>
  <si>
    <t>Tonga</t>
  </si>
  <si>
    <t>Trinidad and Tobago</t>
  </si>
  <si>
    <t>Tunisia</t>
  </si>
  <si>
    <t>Uganda</t>
  </si>
  <si>
    <t>Ukraine</t>
  </si>
  <si>
    <t>United Arab Emirates</t>
  </si>
  <si>
    <t>United Kingdom</t>
  </si>
  <si>
    <t>United Republic of Tanzania</t>
  </si>
  <si>
    <t>United States of America</t>
  </si>
  <si>
    <t>Uruguay</t>
  </si>
  <si>
    <t>Uzbekistan</t>
  </si>
  <si>
    <t>Venezuela, Bolivarian Republic of</t>
  </si>
  <si>
    <t>Yemen</t>
  </si>
  <si>
    <t>Zambia</t>
  </si>
  <si>
    <t>Zimbabwe</t>
  </si>
  <si>
    <r>
      <t xml:space="preserve">Figures computed by WHO to ensure comparability; </t>
    </r>
    <r>
      <rPr>
        <sz val="10"/>
        <rFont val="Arial"/>
        <family val="2"/>
      </rPr>
      <t>they are not necessarily the official statistics of Member States, which may use alternative rigorous methods. See explanatory notes for sources and methods.</t>
    </r>
  </si>
  <si>
    <t>See Step5 cell F4</t>
  </si>
  <si>
    <t>Number of inhabitants 2010*3</t>
  </si>
  <si>
    <t>o</t>
  </si>
  <si>
    <t>Other non-OECD country</t>
  </si>
  <si>
    <t>Other OECD country</t>
  </si>
  <si>
    <t>Viet Nam*4</t>
  </si>
  <si>
    <t>OECD average of dental density</t>
  </si>
  <si>
    <t>Non-OECD 20% percentile</t>
  </si>
  <si>
    <t>*4: Dental personnel density assumed as average of Lao and Cambodia</t>
  </si>
  <si>
    <t>Montenegro*5</t>
  </si>
  <si>
    <t>For non-OECD countries with dental personnel density values below the 20% percentile for this group in the original data, the 20% percentile was used in calculations in order to eliminate errors of reporting.</t>
  </si>
  <si>
    <t>Non-OECD average of dental personnel density</t>
  </si>
  <si>
    <t>d</t>
  </si>
  <si>
    <t>o,d</t>
  </si>
  <si>
    <t>Electrification rate *2</t>
  </si>
  <si>
    <t>Albania*8</t>
  </si>
  <si>
    <t>Andorra*7</t>
  </si>
  <si>
    <t>Antigua and Barbuda*8</t>
  </si>
  <si>
    <t>Australia*8</t>
  </si>
  <si>
    <t>Azerbaijan*8</t>
  </si>
  <si>
    <t>Bahamas*8</t>
  </si>
  <si>
    <t>Barbados*8</t>
  </si>
  <si>
    <t>Belarus*9</t>
  </si>
  <si>
    <t>Belize*8</t>
  </si>
  <si>
    <t>Bhutan*6</t>
  </si>
  <si>
    <t>Bosnia and Herzegovina*6</t>
  </si>
  <si>
    <t>Bulgaria*8</t>
  </si>
  <si>
    <t>Burundi*6</t>
  </si>
  <si>
    <t>Canada*9</t>
  </si>
  <si>
    <t>Cape Verde*6</t>
  </si>
  <si>
    <t>Central African Republic*6</t>
  </si>
  <si>
    <t>Chad*6</t>
  </si>
  <si>
    <t>Comoros*6</t>
  </si>
  <si>
    <t>Republic of the Congo</t>
  </si>
  <si>
    <t>Cook Islands*8</t>
  </si>
  <si>
    <t>Croatia*8</t>
  </si>
  <si>
    <t>Cyprus*9</t>
  </si>
  <si>
    <t>Czech Republic*8</t>
  </si>
  <si>
    <t>Djibouti*6</t>
  </si>
  <si>
    <t>Dominica*6</t>
  </si>
  <si>
    <t>Estonia*8</t>
  </si>
  <si>
    <t>Gambia*6</t>
  </si>
  <si>
    <t>Georgia*6</t>
  </si>
  <si>
    <t>Grenada*8</t>
  </si>
  <si>
    <t>Guinea*6</t>
  </si>
  <si>
    <t>Guinea-Bissau*6</t>
  </si>
  <si>
    <t>Guyana*6</t>
  </si>
  <si>
    <t>Hungary*8</t>
  </si>
  <si>
    <t>Japan*8</t>
  </si>
  <si>
    <t>Kazakhstan*9</t>
  </si>
  <si>
    <t>Latvia*8</t>
  </si>
  <si>
    <t>Liberia*6</t>
  </si>
  <si>
    <t>Lithuania*8</t>
  </si>
  <si>
    <t>Maldives*6</t>
  </si>
  <si>
    <t>Mali*6</t>
  </si>
  <si>
    <t>Marshall Islands*8</t>
  </si>
  <si>
    <t>Mauritania*8</t>
  </si>
  <si>
    <t>Mexico*8</t>
  </si>
  <si>
    <t>Micronesia, Federated States of*8</t>
  </si>
  <si>
    <t>Mongolia*8</t>
  </si>
  <si>
    <t>New Zealand*8</t>
  </si>
  <si>
    <t>Niger*8</t>
  </si>
  <si>
    <t>Niue*8</t>
  </si>
  <si>
    <t>Palau*8</t>
  </si>
  <si>
    <t>Papua New Guinea*6</t>
  </si>
  <si>
    <t>Poland*8</t>
  </si>
  <si>
    <t>Republic of Korea*8</t>
  </si>
  <si>
    <t>Republic of Moldova*6</t>
  </si>
  <si>
    <t>Russian Federation*8</t>
  </si>
  <si>
    <t>Rwanda*6</t>
  </si>
  <si>
    <t>Saint Vincent and the Grenadines*6</t>
  </si>
  <si>
    <t>San Marino*9</t>
  </si>
  <si>
    <t>Sao Tome and Principe*8</t>
  </si>
  <si>
    <t>Serbia*5*8</t>
  </si>
  <si>
    <t>Seychelles*8</t>
  </si>
  <si>
    <t>Sierra Leone*6</t>
  </si>
  <si>
    <t>Singapore*8</t>
  </si>
  <si>
    <t>Solomon Islands*6</t>
  </si>
  <si>
    <t>Somalia*8</t>
  </si>
  <si>
    <t>Suriname*8</t>
  </si>
  <si>
    <t>Tajikistan*8</t>
  </si>
  <si>
    <t>The former Yugoslav Republic of Macedonia*8</t>
  </si>
  <si>
    <t>Turkey*8</t>
  </si>
  <si>
    <t>Turkmenistan*8</t>
  </si>
  <si>
    <t>Tuvalu*8</t>
  </si>
  <si>
    <t>*1: Source: WHO: World health report 2006, Annex, Table 4: Global distribution of health workers in WHO Member States. Accessed June 2012</t>
  </si>
  <si>
    <t>http://www.who.int/whr/2006/annex/en/index.html</t>
  </si>
  <si>
    <t>*2: Percent of population with access to electricity. Data source: IEA, Electricity access Today – WEO-2011 new Electricity access Database (2009 data country-by-country), accessed June 2012. Except for a few countries; see notes *6, *8 and *9.</t>
  </si>
  <si>
    <t>http://www.worldenergyoutlook.org/resources/energydevelopment/accesstoelectricity/</t>
  </si>
  <si>
    <t>*3: Data source: UNSD Demographics Statistics, accessed Aug.2012. Population for countries in green letters are from the latest year available before 2010; in most cases from 2000-2009.</t>
  </si>
  <si>
    <t>http://data.un.org/Data.aspx?d=POP&amp;f=tableCode%3a1</t>
  </si>
  <si>
    <t>*5: Assumed as Serbia and Montenegro in 2002 (or 2007, see report)</t>
  </si>
  <si>
    <t>http://www.reeep.org/file_upload/296_tmpphpW16ncV.pdf</t>
  </si>
  <si>
    <t xml:space="preserve">*6 Data source for electrification rate: Datamarket.com, accessed Aug. 2012. Data compiled by World Bank staff from households surveys. </t>
  </si>
  <si>
    <t>http://datamarket.com/data/set/1459/household-electrification-rate-of-households#!display=line&amp;ds=1459!g6f=6.12.15.n.g</t>
  </si>
  <si>
    <t>*7 Electrification rate assumed as Spain, Italy and France.</t>
  </si>
  <si>
    <t>*8  Data source for electrification rate: reegle www.regel.info -&gt; Resources &amp; Services (mostly 2000 data)</t>
  </si>
  <si>
    <t>http://www.reegle.info/countries</t>
  </si>
  <si>
    <t>*9  Data source for electrification rate: The U.S. National geophysical data center: If no other data/estimations were available, this source was used. The data are based on areas with electrification, and not by population.</t>
  </si>
  <si>
    <t>http://www.ngdc.noaa.gov/dmsp/pubs/Elvidge_WINTD_20091022.pdf</t>
  </si>
  <si>
    <t>Dental personnel per 1000 inhabitants (adjusted)*1</t>
  </si>
  <si>
    <t>Dental personnel per 1000 inhabitants (original WHO data)</t>
  </si>
  <si>
    <t>Year for dental personnel data*1</t>
  </si>
  <si>
    <t>o=OECD countries/d= countries in EIA electrification list</t>
  </si>
  <si>
    <t>*10: Assumed = average of (mainland) China and Japan.</t>
  </si>
  <si>
    <t>Chinese Taipei/Taiwan*10</t>
  </si>
  <si>
    <t>*11: Electrification rate assumed as Gabon.</t>
  </si>
  <si>
    <t>Equatorial Guinea*11</t>
  </si>
  <si>
    <t>Kiribati*12</t>
  </si>
  <si>
    <t>*12: Electrification rate assumed as Micronesia, Federated States of.</t>
  </si>
  <si>
    <t>Ethiopia*8*13</t>
  </si>
  <si>
    <t>Non-OECD average, electrification rates</t>
  </si>
  <si>
    <t>1-Click here to select country</t>
  </si>
  <si>
    <t>Tanzania*6*13</t>
  </si>
  <si>
    <t>*13: Dental personnel density assumed as Kenya.</t>
  </si>
  <si>
    <t>Nauru*8*12</t>
  </si>
  <si>
    <t>Malawi*14</t>
  </si>
  <si>
    <t>*14: Dental personnel density assumed as Mozambique.</t>
  </si>
  <si>
    <t>Vanuatu*8*12</t>
  </si>
  <si>
    <t>IMPORTANT NOTE:</t>
  </si>
  <si>
    <t>Enter calculated Hg releases in Kg Hg/y</t>
  </si>
  <si>
    <t>Hg input</t>
  </si>
  <si>
    <t>Aggregates</t>
  </si>
  <si>
    <t>Nm3/TJ</t>
  </si>
  <si>
    <t>More than 2/3 (two thirds; 67%) of the general waste is collected and deposited on lined landfills or incinerated with pollution abatement</t>
  </si>
  <si>
    <t>Less than 2/3 (two thirds; 67%) of the general waste is collected and deposited on lined landfills or incinerated with pollution abatement</t>
  </si>
  <si>
    <t>1 - 66</t>
  </si>
  <si>
    <t>[New output scenario in IL2 for power plants with good filters not introduced here, as it is not used IL1 which focus on dev. world with no filters here]</t>
  </si>
  <si>
    <t>0.1</t>
  </si>
  <si>
    <t>5 - 130</t>
  </si>
  <si>
    <t>Smelters with wet gas cleaning and acid plant</t>
  </si>
  <si>
    <t>1-100</t>
  </si>
  <si>
    <t>2-60</t>
  </si>
  <si>
    <t>1 - 30</t>
  </si>
  <si>
    <t>/without  co-incineration of waste</t>
  </si>
  <si>
    <t>/with co-incineration of waste</t>
  </si>
  <si>
    <t>0.004 – 0.5</t>
  </si>
  <si>
    <t>0.06 – 1</t>
  </si>
  <si>
    <t>Mixed scenario in IL1: 50% no filter/50% simple filter with dust recycling</t>
  </si>
  <si>
    <t>10 - 200</t>
  </si>
  <si>
    <t>http://www.iea.org/stats/docs/statistics_manual.pdf, p182</t>
  </si>
  <si>
    <t>UNEP/AMAP (2012)</t>
  </si>
  <si>
    <t>kg/item</t>
  </si>
  <si>
    <t>kg</t>
  </si>
  <si>
    <t>1.3</t>
  </si>
  <si>
    <t>Extraction from whole ore (no retort use)</t>
  </si>
  <si>
    <t>Extraction from concentrate  (no retort use)</t>
  </si>
  <si>
    <t>Extraction from concentrate and with use of retorts and mercury recycling</t>
  </si>
  <si>
    <t>/Combustion of coal mix scenariao (special for IL1): 1/3 bituminous, 1/3 sub-bituminous and 1/3 lignite</t>
  </si>
  <si>
    <t>/Combustion of coal mix scenario (special for IL1): 1/3 bituminous, 1/3 sub-bituminous and 1/3 lignite, all assumed with only particulate matter simple APC: ESP/PS/CYC</t>
  </si>
  <si>
    <t>s</t>
  </si>
  <si>
    <t>Universal maximum</t>
  </si>
  <si>
    <t>Country-specific threshold</t>
  </si>
  <si>
    <t>(threshold times population)</t>
  </si>
  <si>
    <t>Hg input, kg/y</t>
  </si>
  <si>
    <t>Safety factor</t>
  </si>
  <si>
    <t>(general:)</t>
  </si>
  <si>
    <t xml:space="preserve">SKIP - -NO DATA </t>
  </si>
  <si>
    <t>SKIP -no need</t>
  </si>
  <si>
    <t>(custom factors in red based on expert judgement)</t>
  </si>
  <si>
    <t>Resulting generic threshold/per capita</t>
  </si>
  <si>
    <t>Hg input, kg/(capita*y)</t>
  </si>
  <si>
    <t>User input</t>
  </si>
  <si>
    <t>User input within bounds?</t>
  </si>
  <si>
    <t>**</t>
  </si>
  <si>
    <t>y</t>
  </si>
  <si>
    <t>instead of the results shown above for the same source sub-categories. See the sheet "Insert IL2 results" for details.</t>
  </si>
  <si>
    <t>See entered IL2 results in the sheet "Insert IL2 results".</t>
  </si>
  <si>
    <t>Note: Data for some of these source sub-categories were entered in the sheet "Insert IL2 results". The calculations shown above for the same source sub-categories are overruled by the IL2 results, and the IL2 results are shown in all summary and chart sheets.</t>
  </si>
  <si>
    <t>The test result indicates that the default input factor for wastewater treatment may over-estimate the flow of mercury in  wastewater treatment.</t>
  </si>
  <si>
    <t>Presente?</t>
  </si>
  <si>
    <t>S</t>
  </si>
  <si>
    <t>Mais de 2/3 (dois terços; 67%) do lixo são coletados e depositados em aterros ou incinerados com abatimento de poluição</t>
  </si>
  <si>
    <t>Menos de 2/3 (dois terços; 67%) do lixo são coletados e depositados em aterros ou incinerados com abatimento de poluição</t>
  </si>
  <si>
    <t>Responda S ou N na célula B4 na folha 'Passo 5 - Tratamento de Resíduos + reciclagem'</t>
  </si>
  <si>
    <t>Ver Passo5 F4</t>
  </si>
  <si>
    <t>Toolkit do PNUMA para a identificação e quantificação de liberações de mercúrio - Planilha de Cálculos do Inventário Nível 1</t>
  </si>
  <si>
    <t>INVENTÁRIO DE MERCÚRIO PARA (INSERIR NOME DE PAÍS):</t>
  </si>
  <si>
    <t>Dados gerais da população</t>
  </si>
  <si>
    <t>PIB (Produto Interno Bruto)</t>
  </si>
  <si>
    <t>Ano e referência para os dados do PIB</t>
  </si>
  <si>
    <t>Principais setores da economia do país (lista)</t>
  </si>
  <si>
    <t>Nome completo da instituição</t>
  </si>
  <si>
    <t>Pessoa de contato</t>
  </si>
  <si>
    <t>Número de telefone</t>
  </si>
  <si>
    <t>Número de fax</t>
  </si>
  <si>
    <t>Website da instituição</t>
  </si>
  <si>
    <t>Obrigatório: Clique na célula abaixo e selecione o país da lista</t>
  </si>
  <si>
    <t>População em 2010 (ou ano mais recente com dados disponíveis; UNSD, 2012)</t>
  </si>
  <si>
    <t>Profissionais de odontologia por 1000 habitantes</t>
  </si>
  <si>
    <r>
      <t>I</t>
    </r>
    <r>
      <rPr>
        <b/>
        <sz val="10"/>
        <rFont val="Arial"/>
        <family val="2"/>
      </rPr>
      <t>nventários não específicos a um país</t>
    </r>
    <r>
      <rPr>
        <sz val="10"/>
        <rFont val="Arial"/>
      </rPr>
      <t xml:space="preserve">: Caso fizer este inventário para um território que não seja um país (uma cidade, região etc.), você deve selecionar um país relevante para as condições existentes no território, </t>
    </r>
  </si>
  <si>
    <t>Aviso legal:</t>
  </si>
  <si>
    <t>Versão:</t>
  </si>
  <si>
    <t>Abril de 2015</t>
  </si>
  <si>
    <t>CONSUMO DE ENERGIA E PRODUÇÃO DE COMBUSTÍVEIS</t>
  </si>
  <si>
    <t>Categoria de fonte</t>
  </si>
  <si>
    <t>Fonte presente?</t>
  </si>
  <si>
    <t>Taxa de atividade</t>
  </si>
  <si>
    <t>Entrada estimada de Hg , Kg Hg/ano</t>
  </si>
  <si>
    <t>Liberações estimadas de Hg, estimativas padrão, Kg Hg/ano</t>
  </si>
  <si>
    <t>Consumo de energia</t>
  </si>
  <si>
    <t>Consumo/produção anual</t>
  </si>
  <si>
    <t>Unidade</t>
  </si>
  <si>
    <t>Estimativa padrão</t>
  </si>
  <si>
    <t>Ar</t>
  </si>
  <si>
    <t>Água</t>
  </si>
  <si>
    <t>Solo</t>
  </si>
  <si>
    <t>Subprodutos e impurezas</t>
  </si>
  <si>
    <t>Notas:</t>
  </si>
  <si>
    <t>Combustão de carvão em grandes termoelétricas</t>
  </si>
  <si>
    <t>Outros usos de carvão</t>
  </si>
  <si>
    <t>Combustão/utilização de coque de petróleo e petróleo pesado</t>
  </si>
  <si>
    <t>Combustão/uso de diesel, gasóleo, petróleo, querosene, GLP e outros destilados leves ou médios</t>
  </si>
  <si>
    <t>Utilização de gás natural bruto ou limpo</t>
  </si>
  <si>
    <t>Uso de gás canalizado (qualidade para o consumidor)</t>
  </si>
  <si>
    <t>Produção de energia ou aquecimento com biomassa</t>
  </si>
  <si>
    <t>Combustão do carvão vegetal</t>
  </si>
  <si>
    <t>Produção de combustíveis</t>
  </si>
  <si>
    <t>Extração de petróleo</t>
  </si>
  <si>
    <t>Refinamento de petróleo</t>
  </si>
  <si>
    <t>Extração e processamento de gás natural</t>
  </si>
  <si>
    <t>Carvão queimado, t/ano</t>
  </si>
  <si>
    <t>Carvão usado, t/ano</t>
  </si>
  <si>
    <t>Produto de petróleo queimado, t/ano</t>
  </si>
  <si>
    <t>Gás usado Nm³/ano</t>
  </si>
  <si>
    <t>Biomassa queimado, t/ano</t>
  </si>
  <si>
    <t>Carvão vegetal queimado, t/ano</t>
  </si>
  <si>
    <t>Petróleo bruto produzido, t/ano</t>
  </si>
  <si>
    <t>Petróleo bruto refinado, t/ano</t>
  </si>
  <si>
    <t>Gás produzido Nm³/ano</t>
  </si>
  <si>
    <t>PRODUÇÃO INTERNA DE METAIS E MATÉRIAS-PRIMAS</t>
  </si>
  <si>
    <t>Produção de metais primários</t>
  </si>
  <si>
    <t>Extração e processamento inicial de mercúrio (primário)</t>
  </si>
  <si>
    <t>Produção de zinco a partir de concentrados</t>
  </si>
  <si>
    <t>Produção de cobre a partir de concentrados</t>
  </si>
  <si>
    <t>Produção de chumbo a partir de concentrados</t>
  </si>
  <si>
    <t>Extração de ouro por métodos sem amálgama de mercúrio</t>
  </si>
  <si>
    <t>Produção de alumina a partir da bauxita (produção de alumínio)</t>
  </si>
  <si>
    <t>Produção de metais ferrosos primários (produção de ferro gusa)</t>
  </si>
  <si>
    <t>Extração de ouro com amálgama de mercúrio - sem o uso de retorta</t>
  </si>
  <si>
    <t>Extração de ouro com amálgama de mercúrio - com uso de retortas</t>
  </si>
  <si>
    <t>Produção de outros materiais</t>
  </si>
  <si>
    <t>Produção de cimento</t>
  </si>
  <si>
    <t>Produção de papel e celulose</t>
  </si>
  <si>
    <t>Mercúrio produzido, t/ano</t>
  </si>
  <si>
    <t>Concentrado utilizado, t/ano</t>
  </si>
  <si>
    <t>Minério de ouro usado, t/ano</t>
  </si>
  <si>
    <t>Ferro-gusa produzido, t/ano</t>
  </si>
  <si>
    <t>Ouro produzido, kg/ano</t>
  </si>
  <si>
    <t>Cimento produzido, t/ano</t>
  </si>
  <si>
    <t>Biomassa utilizada na produção, t/ano</t>
  </si>
  <si>
    <t>Bauxita processada, t/ano</t>
  </si>
  <si>
    <t>Produção de produtos químicos</t>
  </si>
  <si>
    <t>Produção de cloro e álcalis com células de mercúrio</t>
  </si>
  <si>
    <t>Produção de VCM com catalisador de mercúrio</t>
  </si>
  <si>
    <t>Produção de acetaldeído com catalisador de mercúrio</t>
  </si>
  <si>
    <t>Produção de produtos com teor de mercúrio</t>
  </si>
  <si>
    <t>Termômetros Hg (medicina, ar, laboratório, industrial etc.)</t>
  </si>
  <si>
    <t>Interruptores e relés elétricos com mercúrio</t>
  </si>
  <si>
    <t>Fontes de luz com mercúrio (fluorescentes, fluorescentes compactas e outros. Ver diretrizes)</t>
  </si>
  <si>
    <t>Baterias com mercúrio</t>
  </si>
  <si>
    <t xml:space="preserve">Manômetros e medidores com mercúrio </t>
  </si>
  <si>
    <t>Biocidas e pesticidas com mercúrio</t>
  </si>
  <si>
    <t xml:space="preserve">Tintas com mercúrio </t>
  </si>
  <si>
    <t xml:space="preserve">Cremes para clareamento de pele e sabonetes com substâncias químicas do mercúrio </t>
  </si>
  <si>
    <r>
      <t>Cl</t>
    </r>
    <r>
      <rPr>
        <vertAlign val="subscript"/>
        <sz val="10"/>
        <rFont val="Arial"/>
        <family val="2"/>
      </rPr>
      <t>2</t>
    </r>
    <r>
      <rPr>
        <sz val="10"/>
        <rFont val="Arial"/>
      </rPr>
      <t xml:space="preserve"> produzido, t/ano </t>
    </r>
  </si>
  <si>
    <t xml:space="preserve">VCM produzido, t/ano </t>
  </si>
  <si>
    <t>Acetaldeído produzido, t/ano</t>
  </si>
  <si>
    <t>Mercúrio utilizado para a produção, kg/ano</t>
  </si>
  <si>
    <t>INFRAESTRUTURA DE GESTÃO DE RESÍDUOS NO PAÍS</t>
  </si>
  <si>
    <t>Mais de 2/3 (dois terços; 67%) do lixo geral recolhido e depositado em aterros com contenção ou incinerados com abatimento de poluição?</t>
  </si>
  <si>
    <t>TRATAMENTO DE RESÍDUOS E RECICLAGEM</t>
  </si>
  <si>
    <t>Produção de metais reciclados</t>
  </si>
  <si>
    <t>Produção de mercúrio reciclado ("produção secundária")</t>
  </si>
  <si>
    <t>Produção de metais ferrosos reciclados (ferro e aço)</t>
  </si>
  <si>
    <t>Incineração de resíduos</t>
  </si>
  <si>
    <t>Incineração de resíduos perigosos</t>
  </si>
  <si>
    <t>Incineração de resíduos hospitalares</t>
  </si>
  <si>
    <t>Incineração de lodo de estações de tratamento de efluente</t>
  </si>
  <si>
    <t>Aterros/depósitos controlados</t>
  </si>
  <si>
    <t>Sistemas/tratamentos de águas residuais</t>
  </si>
  <si>
    <t>Mercúrio produzido kg/ano</t>
  </si>
  <si>
    <t>Número de veículos reciclado/ano</t>
  </si>
  <si>
    <t>Resíduos incinerados, t/ano</t>
  </si>
  <si>
    <t>Resíduos queimados t/ano</t>
  </si>
  <si>
    <t>Resíduos em aterro, t/ano</t>
  </si>
  <si>
    <t>Resíduos eliminados, t/ano</t>
  </si>
  <si>
    <r>
      <t>Águas residuais, m</t>
    </r>
    <r>
      <rPr>
        <vertAlign val="superscript"/>
        <sz val="10"/>
        <rFont val="Arial"/>
        <family val="2"/>
      </rPr>
      <t>3</t>
    </r>
    <r>
      <rPr>
        <sz val="10"/>
        <rFont val="Arial"/>
      </rPr>
      <t xml:space="preserve">/ano </t>
    </r>
  </si>
  <si>
    <t>Entradas para o tratamento de águas residuais:</t>
  </si>
  <si>
    <t>NOTA: Seleção referente a gestão dos resíduos:</t>
  </si>
  <si>
    <t>Amálgama dental</t>
  </si>
  <si>
    <t>Preparação de amálgama em clínicas odontológicas</t>
  </si>
  <si>
    <t>Uso - de amálgama já na boca</t>
  </si>
  <si>
    <t>Termômetros</t>
  </si>
  <si>
    <t>Termômetros médicos Hg</t>
  </si>
  <si>
    <t>Fontes de luz com mercúrio</t>
  </si>
  <si>
    <t>Lâmpadas tubos fluorescentes (2 polos)</t>
  </si>
  <si>
    <t>Lâmpada fluorescente compacta (LFC rosqueada)</t>
  </si>
  <si>
    <t>Outras fontes de luz contendo Hg (ver diretriz)</t>
  </si>
  <si>
    <t>Óxido de mercúrio (pilhas-botão e outros tamanhos); também chamado de células mercúrio-zinco</t>
  </si>
  <si>
    <t>Outras pilhas-botão (zinco-ar, alcalina,óxido de prata)</t>
  </si>
  <si>
    <t>Outras baterias com mercúrio (alcalina cilíndrica simples, permanganato etc., ver diretriz)</t>
  </si>
  <si>
    <t>Poliuretano (PU, PUR) produzido com catalisador de mercúrio</t>
  </si>
  <si>
    <t>Tintas com conservantes de mercúrio</t>
  </si>
  <si>
    <t>Cremes para clareamento de pele e sabonetes com substâncias químicas do mercúrio</t>
  </si>
  <si>
    <t>Outros manômetros e medidores com mercúrio</t>
  </si>
  <si>
    <t>Produtos químicos de laboratório</t>
  </si>
  <si>
    <t>Número de habitantes</t>
  </si>
  <si>
    <t>Número de profissionais de odontologia por 1000 hab.</t>
  </si>
  <si>
    <t>Itens vendidos/ano</t>
  </si>
  <si>
    <t>Toneladas de baterias vendidas/ano</t>
  </si>
  <si>
    <t>Baterias vendidas/ano</t>
  </si>
  <si>
    <t>Taxa de eletrificação, %</t>
  </si>
  <si>
    <t>Tinta vendida, t/ano</t>
  </si>
  <si>
    <t>CREMATÓRIOS E CEMITÉRIOS</t>
  </si>
  <si>
    <t>Crematórios</t>
  </si>
  <si>
    <t>Crematórios e cemitérios</t>
  </si>
  <si>
    <t>Número de mortos anuais</t>
  </si>
  <si>
    <t>Cadáveres cremados/ano</t>
  </si>
  <si>
    <t>Cadáveres enterrados/ano</t>
  </si>
  <si>
    <t>Produção de poliuretano com catalisadores de mercúrio</t>
  </si>
  <si>
    <t>Combustão de óleo de xisto</t>
  </si>
  <si>
    <t>Combustão de turfa</t>
  </si>
  <si>
    <t>Produção de energia geotérmica</t>
  </si>
  <si>
    <t>Produção de outros metais reciclados</t>
  </si>
  <si>
    <t>Produção de cal</t>
  </si>
  <si>
    <t>Produção de agregados leves (argila expandida para construção)</t>
  </si>
  <si>
    <t>Tratamento de sementes com substâncias químicas com mercúrio</t>
  </si>
  <si>
    <t>Semicondutores de deteção de infravermelho</t>
  </si>
  <si>
    <t>Usos educacionais</t>
  </si>
  <si>
    <t>Giroscópios com mercúrio</t>
  </si>
  <si>
    <t>Bombas de vácuo com mercúrio</t>
  </si>
  <si>
    <t>Mercúrio utilizado em rituais religiosos (amuletos e outros usos)</t>
  </si>
  <si>
    <t>Mercúrio usado na medicina tradicional (ayurvédica e outros) e medicina homeopática</t>
  </si>
  <si>
    <t>Faróis (rolamentos de nivelamento em luzes de navegação marinhos)</t>
  </si>
  <si>
    <t>Pigmentos</t>
  </si>
  <si>
    <t>Produtos para queimar e gravar em aço</t>
  </si>
  <si>
    <t>Determinados tipos de papel fotográfico colorido</t>
  </si>
  <si>
    <t>Amortecedores de recuo em rifles</t>
  </si>
  <si>
    <t>Explosivos (fulminato de mercúrio)</t>
  </si>
  <si>
    <t>Fogos de artifício</t>
  </si>
  <si>
    <t>Brinquedos executivos</t>
  </si>
  <si>
    <t>Indicador IN2</t>
  </si>
  <si>
    <t>Número de Categoria de Fonte</t>
  </si>
  <si>
    <t>Entrada de Hg estimada, Kg Hg/ano</t>
  </si>
  <si>
    <t>Incineração de resíduos perigosos*1</t>
  </si>
  <si>
    <t>Incineração de resíduos hospitalares*1</t>
  </si>
  <si>
    <t>Incineração de lodo de estações de tratamento de efluente*1</t>
  </si>
  <si>
    <t>Aterros/depósitos controlados *1</t>
  </si>
  <si>
    <t>Sistemas/tratamentos de águas residuais*3</t>
  </si>
  <si>
    <t>CONVERSÃO DE UNIDADE</t>
  </si>
  <si>
    <t>Como uma ajuda para o usuário, o Toolkit fornece abaixo alguns exemplos de taxas de conversão com a possibilidade de calcular conversões aqui.</t>
  </si>
  <si>
    <t>Estas taxas de conversão são aproximações, já que os parâmetros envolvidos podem variar substancialmente.</t>
  </si>
  <si>
    <t>Termômetros Hg (medicina)</t>
  </si>
  <si>
    <t>Tipo de fonte</t>
  </si>
  <si>
    <t>Inserir dados de taxa de atividade alternativa</t>
  </si>
  <si>
    <t>Unidade para a taxa de atividade alternativa (deve ser exatamente este)</t>
  </si>
  <si>
    <t>Lâmpadas fluorescentes em tubo (polo duplo)</t>
  </si>
  <si>
    <t>Lâmpada fluorescente compacta (rosqueada)</t>
  </si>
  <si>
    <t>Unidade de taxa de atividade do Toolkit</t>
  </si>
  <si>
    <t>Fator de conversão utilizado</t>
  </si>
  <si>
    <t>Referências e observações</t>
  </si>
  <si>
    <t>Nm3 de gás usado/ano</t>
  </si>
  <si>
    <t>TJ (Terajoule) de gás usado/ano</t>
  </si>
  <si>
    <t>TJ (Terajoule) de gás produzido/ano</t>
  </si>
  <si>
    <t>Nm3 de gás produzido/ano</t>
  </si>
  <si>
    <t>Zinco produzido t/ano</t>
  </si>
  <si>
    <t>Cobre produzido t/ano</t>
  </si>
  <si>
    <t>Chumbo produzido t/ano</t>
  </si>
  <si>
    <t>Ouro produzido t/ano</t>
  </si>
  <si>
    <t>Alumínio bruto produzido t/ano</t>
  </si>
  <si>
    <t>tonelada de concentrado utilizada / tonelada de zinco produzida</t>
  </si>
  <si>
    <t>tonelada de concentrado utilizada / tonelada de cobre produzida</t>
  </si>
  <si>
    <t>tonelada de concentrado utilizada / tonelada de chumbo produzida</t>
  </si>
  <si>
    <t>tonelada de minério de ouro utilizada / tonelada de ouro produzida</t>
  </si>
  <si>
    <t>tonelada de bauxita processada / tonelada de alumínio produzida</t>
  </si>
  <si>
    <t>Estimativa de média com base em estatísticas do comércio</t>
  </si>
  <si>
    <t>Média estimada com base em vários dados de produtos na Internet</t>
  </si>
  <si>
    <t>Média estimada com base em vários dados de produtos do Osram.com</t>
  </si>
  <si>
    <t>Produção de produtos com teor de mercúrio*1</t>
  </si>
  <si>
    <t>Sistemas/tratamentos de águas residuais *4</t>
  </si>
  <si>
    <t>TOTAIS (redondos) *1*2*3*4*5</t>
  </si>
  <si>
    <t>Incineração de resíduos e incineração de resíduos ao ar livre *2</t>
  </si>
  <si>
    <t>Combustão do carvão e outros usos de carvão</t>
  </si>
  <si>
    <t>Combustão de outros combustíveis fósseis e de biomassa</t>
  </si>
  <si>
    <t>Produção de petróleo e gás</t>
  </si>
  <si>
    <t>Produção de metais primários (excluindo a produção de ouro por amalgamação)</t>
  </si>
  <si>
    <t>Extração de ouro com amálgama de mercúrio</t>
  </si>
  <si>
    <t>Outra produção de produtos químicos e polímeros</t>
  </si>
  <si>
    <t>INVENTÁRIO NÍVEL 1 - RESUMO EXECUTIVO</t>
  </si>
  <si>
    <t>Total de liberações *3*4*5</t>
  </si>
  <si>
    <t>Porcentagem de total de liberações *3*4</t>
  </si>
  <si>
    <t>individualmente no Inventário Nível 1 do Toolkit. Ver Apêndice 1 do Inventário Nível 1 Diretriz para mais explicações.</t>
  </si>
  <si>
    <t xml:space="preserve">*4: A entrada e liberação estimada para água incluem quantidades de mercúrio que também foram contabilizadas em cada categoria de fonte. </t>
  </si>
  <si>
    <t>é encontrada em produtos/metais que não são vendidos no mesmo país ou no mesmo ano.</t>
  </si>
  <si>
    <t>INVENTÁRIO NÍVEL 1 - FONTES DE MERCÚRIO IDENTIFICADAS</t>
  </si>
  <si>
    <t>Fonte de categoria</t>
  </si>
  <si>
    <t>USE GRÁFICOS PADRÃO NOS RELATÓRIOS DE INVENTÁRIO. VER ABAIXO NO FINAL DA PÁGINA.</t>
  </si>
  <si>
    <t>OBSERVE QUE ESTA TABELA DE RESUMO DE GRÁFICOS DO INVENTÁRIO NÍVEL 1 DEVE SER USADA PARA GRÁFICOS (CONCEBIDA ESPECIALMENTE PARA NEUTRALIZAR A CONTAGEM DUPLA DAS CONTRIBUIÇÕES DE RESÍDUOS. VER NOTAS)</t>
  </si>
  <si>
    <t>presença de fonte ("S/N/?") deve ser inserido para todas as fontes para os gráficos funcionar corretamente</t>
  </si>
  <si>
    <t>ESTA TABELA NÃO É PARA EXIBIÇÃO NO RELATÓRIO</t>
  </si>
  <si>
    <t xml:space="preserve">Extração de ouro com amálgama de mercúrio </t>
  </si>
  <si>
    <t>Produção de outros materiais*5</t>
  </si>
  <si>
    <t>Outra produção de produtos químicos e polímeros*6</t>
  </si>
  <si>
    <t xml:space="preserve">Produção de produtos com teor de mercúrio </t>
  </si>
  <si>
    <t>Incineração de resíduos e queima aberta de resíduos *1</t>
  </si>
  <si>
    <t>Sistema/tratamento de águas residuais  *3</t>
  </si>
  <si>
    <t>TOTAIS (redondos) *1*2*3</t>
  </si>
  <si>
    <t>* 4: Inclui coque de petróleo, petróleo pesado, diesel, gasóleo, petróleo, querosene, gás natural, carvão e outros biocombustíveis.</t>
  </si>
  <si>
    <t>*5: Inclui a produção de cimento e de papel e celulose.</t>
  </si>
  <si>
    <t>*6: Inclui a produção de VCM e acetaldeído</t>
  </si>
  <si>
    <t>Combustão de outros combustíveis fósseis e de biomassa*4</t>
  </si>
  <si>
    <t>em cada categoria de fonte. Para evitar a contagem dupla, as entradas para o sistema/tratamento de águas residuais foram subtraídas automaticamente nos gráficos.</t>
  </si>
  <si>
    <t>NOTA QUE OS LAYOUTS DOS GRÁFICOS PODEM PRECISAR DE UMA MODIFICAÇÃO PARA SEREM EXIBIDOS DE FORMA ADEQUADA NO SEU RELATÓRIO (a exibição depende de seus resultados)</t>
  </si>
  <si>
    <t>INVENTÁRIO NÍVEL 1 - RESUMO DAS ENTRADAS DE MERCÚRIO</t>
  </si>
  <si>
    <t>TOTAL de entradas qualificadas*1*2*3</t>
  </si>
  <si>
    <t>Ver Apêndice 1 do Inventário Nível 1 Diretriz para mais explicações.</t>
  </si>
  <si>
    <t>TOTAL de liberações quantificadas*1*2</t>
  </si>
  <si>
    <t>Sistemas/tratamentos de águas residuais *2</t>
  </si>
  <si>
    <t>INVENTÁRIO NÍVEL 1 - RESUMO DAS LIBERAÇÕES</t>
  </si>
  <si>
    <t>INVENTÁRIO NÍVEL 1 - RESUMO TOTAL</t>
  </si>
  <si>
    <t>Produção de produtos com teor de mercúrio *4</t>
  </si>
  <si>
    <t>Incineração e queima a céu aberto de resíduos hospitalares*1</t>
  </si>
  <si>
    <t>Sistemas/tratamentos de águas residuais *3</t>
  </si>
  <si>
    <t>TOTAL de liberações quantificadas *1*2*3*4</t>
  </si>
  <si>
    <t>no total para as entradas de mercúrio. Estes 10% representam, aproximadamente, a entrada de mercúrio para resíduos dos materiais que não foram quantificados individualmente no Inventário Nível 1 do Toolkit.</t>
  </si>
  <si>
    <t>População (selecione o país abaixo para obter a população)</t>
  </si>
  <si>
    <t>Taxa de eletrificação, porcentagem da população com acesso à eletricidade</t>
  </si>
  <si>
    <t>Ano e referência para os dados da população</t>
  </si>
  <si>
    <t>Contato do responsável pelo inventário</t>
  </si>
  <si>
    <t>E-mail</t>
  </si>
  <si>
    <t>Notas: Consulte o Anexo 1 do Inventário Nível 1 para a Diretriz sobre o histórico para os números.</t>
  </si>
  <si>
    <t>Para referências, consulte as seções relevantes do Relatório de Referências do Toolkit.</t>
  </si>
  <si>
    <t>pois isto ajustará as estimativas calculadas de acordo com as condições. Você precisa também digitar os dados da população do território manualmente na célula B6 acima (substituir o número indicado automaticamente).</t>
  </si>
  <si>
    <t>Note também que as Folhas de Trabalho e o Caderno de Trabalho são protegidos com senha para evitar danos não intencionais aos cálculos.</t>
  </si>
  <si>
    <t>As designações empregadas e a apresentação do material nesta publicação não implicam a expressão de qualquer opinião por parte do Programa das Nações Unidas para o Meio Ambiente relativo ao estatuto legal de qualquer país, território, cidade ou área ou de suas autoridades, ou sobre a delimitação das suas fronteiras ou limites territoriais. Além disso, as opiniões expressas não representam necessariamente a decisão ou a política declarada do Programa das Nações Unidas para o Meio Ambiente, nem a citação de nomes ou processos comerciais constituem o respectivo endosso.</t>
  </si>
  <si>
    <t>Esta publicação deve servir como um guia. Embora as informações fornecidas são consideradas precisas, o PNUMA se exime de qualquer responsabilidade por eventuais imprecisões ou omissões e as consequências que podem advir-los. Nem o PNUMA nem qualquer pessoa envolvida na preparação desta publicação será responsável por qualquer prejuízo, perda, dano ou prejuízo de qualquer tipo que possam ser causados por pessoas que agiram com base na sua compreensão da informação contida nesta publicação.</t>
  </si>
  <si>
    <t>Nº de Cat.</t>
  </si>
  <si>
    <t>PRODUÇÃO E PROCESSAMENTO INTERNO COM USO INTENCIONAL DE MERCÚRIO</t>
  </si>
  <si>
    <t>Qual quantidade do lixo é coletada e tratada sob condições controladas?</t>
  </si>
  <si>
    <t>Responda de acordo com sua melhor estimativa (você pode rever sua resposta uma vez que você tem dados mais específicos)</t>
  </si>
  <si>
    <t>Teste de fatores de entrada padrão para resíduos (ver IN1 Diretriz Apêndice 4; exige que todos os resultados relevantes sejam calculados):</t>
  </si>
  <si>
    <t>Teste de fatores de entrada padrão para águas residuais (ver IN1 Diretriz Apêndice 4; exige que todos os resultados relevantes sejam calculados):</t>
  </si>
  <si>
    <t>CONSUMO EM GERAL DO MERCÚRIO NOS PRODUTOS, COMO MERCÚRIO EM METAL E SUBSTÂNCIAS QUE CONTÉM MERCÚRIO</t>
  </si>
  <si>
    <t>Outros termómetros Hg de vidro (ar, laboratório, laticínio etc.)</t>
  </si>
  <si>
    <t>termômetros Hg de controle de motores e outros termômetros Hg para a indústria ou fins especiais</t>
  </si>
  <si>
    <t>Creme e sabonete vendidos, t/ano</t>
  </si>
  <si>
    <t>Cemitérios</t>
  </si>
  <si>
    <t>Fontes diversas de liberação de mercúrio não quantificadas no Inventário nível 1</t>
  </si>
  <si>
    <t>Produção de outros produtos químicos (além de cloro e hidróxido de sódio) em indústrias de cloro e álcalis com tecnologia de células de mercúrio</t>
  </si>
  <si>
    <t>Uso de mercúrio como fluido refrigerante, em determinados sistemas de refrigeração</t>
  </si>
  <si>
    <t>Mercúrio em grandes rolamentos de peças mecânicas de rotação (por exemplo, antigas estações de tratamento de águas residuais)</t>
  </si>
  <si>
    <t>Insira notas (documente também em detalhes no relatório de inventário):</t>
  </si>
  <si>
    <t>PARA SER UTILIZADA SOMENTE SE OS DADOS DE TAXA DE ATIVIDADE NÃO PUDEREM SER OBTIDOS NA UNIDADE PREVISTA (E SE OS FATORES DE CONVERSÃO ESPECÍFICOS PARA O PAÍS NÃO ESTIVEREM DISPONÍVEIS).</t>
  </si>
  <si>
    <t>Esta lista não está completa e as taxas de conversão para outros tipos de fontes precisam ser encontradas em outros lugares, por exemplo na Internet.</t>
  </si>
  <si>
    <t>Taxa de atividade do Toolkit calculada (copiar para a célula relevante)</t>
  </si>
  <si>
    <t>Unidade para o fator de conversão</t>
  </si>
  <si>
    <t xml:space="preserve">Notas para a tabela acima: *1 Para evitar a contagem dupla de mercúrio em produtos produzidos e vendidos no mercado interno (incluindo petróleo e gás), apenas a parte das entradas de mercúrio provenientes da produção </t>
  </si>
  <si>
    <t>Para evitar a contagem dupla, a entrada e liberação para água a partir de sistemas/tratamento de águas residuais foram subtraídas automaticamente dos TOTAIS.</t>
  </si>
  <si>
    <t xml:space="preserve">*5: O total de entradas não é necessariamente igual ao total de liberações devido às correções para a contagem dupla (ver notas *1- *3) e porque uma parte do mercúrio </t>
  </si>
  <si>
    <t>Combustão do carvão e outro uso do carvão</t>
  </si>
  <si>
    <t>Copie estas notas e demonstre com os gráficos no relatório</t>
  </si>
  <si>
    <t>*1: Resíduos não são uma fonte original para a entrada de mercúrio para a sociedade. Para evitar a contagem dupla das entradas de mercúrio de resíduos e produtos nos gráficos, apenas 10% das entradas de mercúrio</t>
  </si>
  <si>
    <t>Para mostrar a importância desta via de liberação, as liberações para a água através de sistema/tratamento de águas residuais não foram ajustadas nos gráficos, apesar da contagem dupla.</t>
  </si>
  <si>
    <t>*7: Inclui termômetros, interruptores e relés elétricos, fontes de luz, baterias, poliuretano com catalisador Hg, tintas e cremes para a pele com Hg, medidores de pressão arterial</t>
  </si>
  <si>
    <t>e outros manómetros, produtos químicos de laboratório e outros usos laboratoriais e médicos.</t>
  </si>
  <si>
    <t>VER O FINAL DESTA FOLHA PARA ENCONTRAR GRÁFICOS COM OUTROS RESULTADOS DE RESUMO. COPIE OS GRÁFICOS PARA INCLUIR COM O RELATÓRIO JUNTAMENTE COM AS NOTAS ACIMA</t>
  </si>
  <si>
    <t>*3: A entrada e liberação estimada para a água incluem quantidades de mercúrio que também foram contabilizadas em cada categoria de fonte.</t>
  </si>
  <si>
    <t>Para evitar a contagem dupla, a entrada para água de sistemas/tratamentos de águas residuais foi subtraída automaticamente dos totais.</t>
  </si>
  <si>
    <t xml:space="preserve">*1: As quantidades estimadas incluem mercúrio em produtos que também foi contabilizado em cada categoria de produto. </t>
  </si>
  <si>
    <t>*2: As quantidades estimadas incluem mercúrio em produtos que também foi contabilizado em cada categoria de produto.</t>
  </si>
  <si>
    <t>*2: As quantidades estimadas incluem mercúrio em produtos que também foi contabilizado em cada categoria de produtos.</t>
  </si>
  <si>
    <t>*4: Para evitar a contagem dupla de mercúrio em produtos produzidos e vendidos no mercado interno (incluindo petróleo e gás), apenas a parte das entradas de mercúrio provenientes da produção está incluída no TOTAL de entrada.</t>
  </si>
  <si>
    <t>Os dados apresentados em letras verdes, se houver, foram inseridos na folha "Inserir resultados IN2". Tais dados anulam os resultados calculados no IN1 para as mesmas subcategorias de fonte e os dados IN2 são mostrados em todas as folhas de resumo e gráficos.</t>
  </si>
  <si>
    <t>*2: Resíduos não são uma fonte original para a entrada de mercúrio para a sociedade. As quantidades estimadas incluem mercúrio em produtos que também foi contabilizado em cada categoria de produto.</t>
  </si>
  <si>
    <t xml:space="preserve">*3: Águas residuais não é uma fonte original de entrada de mercúrio para a sociedade. As entradas e liberações estimadas para a água incluem quantidades de mercúrio que também foi contabilizado. </t>
  </si>
  <si>
    <t>de materiais que não foi quantificada individualmente no Inventário Nível 1 deste Toolkit. Ver Apêndice 1 do Inventário Nível 1 Diretriz para mais explicações.</t>
  </si>
  <si>
    <t>no total para as entradas de mercúrio. Estes 10% representam, aproximadamente, a entrada de mercúrio para resíduos de materiais que não foi quantificada. individualmente no Inventário Nível 1 deste Toolkit.</t>
  </si>
  <si>
    <t>está incluída no TOTAL de entradas.</t>
  </si>
  <si>
    <t xml:space="preserve">*3: As quantidades estimadas incluem mercúrio em produtos que também foi contabilizado em cada categoria de produto. </t>
  </si>
  <si>
    <t>* 2: A liberação estimada para a água inclui quantidades de mercúrio que também foram contabilizadas em cada categoria de fonte.</t>
  </si>
  <si>
    <t xml:space="preserve">*3: A entrada e liberação estimadas para água incluem quantidades de mercúrio que também foram contabilizadas em cada categoria de fonte. </t>
  </si>
  <si>
    <t>Resíduos em geral</t>
  </si>
  <si>
    <t>Entradas para resíduos em geral:</t>
  </si>
  <si>
    <t>Incineração de resíduos municipais/em geral</t>
  </si>
  <si>
    <t>Incineração de resíduos municipais/em geral*1</t>
  </si>
  <si>
    <t>Tratamen-to/destinação de resíduos por setor</t>
  </si>
  <si>
    <t>destinação informal de resíduos em geral *1</t>
  </si>
  <si>
    <t>Utilização e destinação de produtos com teores de mercúrio</t>
  </si>
  <si>
    <t>Destinação (dentes perdidos e extraídos)</t>
  </si>
  <si>
    <t>destinação informal de resíduos em geral  *1*2</t>
  </si>
  <si>
    <t>Aplicação, utilização e destinação de amálgama dental</t>
  </si>
  <si>
    <t>Utilização e destinação de outros produtos</t>
  </si>
  <si>
    <t xml:space="preserve">destinação informal de resíduos estão incluídas no total para as entradas de mercúrio. Estes 10% representam, aproximadamente, a entrada de mercúrio para resíduos dos materiais que não foram quantificados. </t>
  </si>
  <si>
    <t>Para evitar a contagem dupla, a liberação para o solo a partir da destinação informal de resíduos em geral foi subtraída automaticamente dos TOTAIS.</t>
  </si>
  <si>
    <t xml:space="preserve">* 2: Para evitar a contagem dupla das entradas de mercúrio de resíduos e produtos no TOTAL de entradas, apenas 10% das entradas de mercúrio para a incineração de resíduos, destinação de resíduos e </t>
  </si>
  <si>
    <t>Utilização e destinação de amálgama dental</t>
  </si>
  <si>
    <t>Utilização e destinação de outros produtos*7</t>
  </si>
  <si>
    <t>destinação de resíduos *1</t>
  </si>
  <si>
    <t xml:space="preserve">para a incineração de resíduos, destinação de resíduos e o descarte informal estão incluídos no gráfico para as entradas de mercúrio. Estes 10% representam, aproximadamente, a entrada de mercúrio para resíduos </t>
  </si>
  <si>
    <t>Para mostrar a importância desta via de liberação, a liberação para o solo a partir da destinação informal de resíduos em geral não foi subtraída nos gráficos.</t>
  </si>
  <si>
    <t>*1: Para evitar a contagem dupla das entradas de mercúrio de resíduos e produtos no total de entradas, apenas 10% das entradas de mercúrio para as fontes de incineração de resíduos, destinação de resíduos e a destinação informal de resíduos foram incluídas.</t>
  </si>
  <si>
    <t>Para evitar a contagem dupla, a liberação para o solo a partir da destinação informal de resíduos em geral foi subtraída automaticamente dos totais.</t>
  </si>
  <si>
    <t xml:space="preserve">Para evitar a contagem dupla, a liberação para o solo a partir da destinação informal de resíduos em geral foi subtraída automaticamente dos TOTAIS. </t>
  </si>
  <si>
    <t>destinação informal de resíduos em geral *1*2</t>
  </si>
  <si>
    <t xml:space="preserve">* 1: Para evitar a contagem dupla das entradas de mercúrio de resíduos e produtos no TOTAL de entrada, apenas 10% da entrada de mercúrio para as fontes de incineração de resíduos, a destinação de resíduos e a destinação informal de resíduos estão incluídas </t>
  </si>
  <si>
    <t xml:space="preserve">Saídas de resíduos provenientes do uso intencional de mercúrio. </t>
  </si>
  <si>
    <t>Saídas para a água do uso intencional do mercúrio:</t>
  </si>
  <si>
    <t>Incineração de resíduos ao ar livre (informalmente)</t>
  </si>
  <si>
    <t>Deposição de resíduos /aterros e tratamento de águas residuais</t>
  </si>
  <si>
    <t>Incineração de resíduos ao ar livre (informalmente)*1</t>
  </si>
  <si>
    <t>Tubos Bougie e Cantor (medicinal)</t>
  </si>
  <si>
    <t>Curtição de peles</t>
  </si>
  <si>
    <t>Outros equipamentos laboratoriais e médicos com mercúrio</t>
  </si>
  <si>
    <t>Medidores de pressão arterial médicos (esfigmomanômetro com mercúrio)</t>
  </si>
  <si>
    <t>BASE DE DADOS NECESSÁRIA PARA OS CÁLCULOS-PADRÃO E TESTE DE VARIAÇÃO</t>
  </si>
  <si>
    <t>Destinação informal de resíduos em geral *1</t>
  </si>
  <si>
    <t>Destinação de resíduos *2</t>
  </si>
  <si>
    <t>Destinação informal de resíduos em geral  *2*3</t>
  </si>
  <si>
    <t>INVENTÁRIO NÍVEL 1 (IN-1) - INSERÇÃO DE RESULTADOS DO INVENTÁRIO NÍVEL 2 (IN-2), SE HOUVER</t>
  </si>
  <si>
    <t>(Qualquer inserção de dados aqui comprometerá a apresentação do resumo de resultados do IN 1 para as mesmas categorias de fontes)</t>
  </si>
  <si>
    <t>Se você calculou os resultados de inventário para determinadas categorias de fontes de mercúrio no inventário Nível 2, os resultados podem ser inseridos aqui para serem incluídos nas tabelas de resumo de resultados (ver a Diretriz do Inventário Nível 1 para mais detalhes).</t>
  </si>
  <si>
    <t>Dados de presença de fonte (s/n/?) e de taxa de atividade devem ser sempre inseridos na página adequada de "Passos" nesta planilha e também quando os resultados do Inventário Nível 2 são introduzidos.</t>
  </si>
  <si>
    <t>Note-se que os dados e cálculos inseridos nos Passos 1-7 para as mesmas categorias de fonte são anulados, pelos resultados do IN 2 inseridos nessa página, em todas as páginas de resumos e de gráficos da planilha.</t>
  </si>
  <si>
    <t>Importante: Esta página deve ser usada apenas para a inclusão de resultados de inventário calculados no Inventário Nível 2. A documentação adequada é necessária.</t>
  </si>
</sst>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164" formatCode="_(* #,##0.00_);_(* \(#,##0.00\);_(* &quot;-&quot;??_);_(@_)"/>
    <numFmt numFmtId="165" formatCode="0.000"/>
    <numFmt numFmtId="166" formatCode="0.0"/>
    <numFmt numFmtId="167" formatCode="#,##0.000"/>
    <numFmt numFmtId="168" formatCode="#,##0.00000"/>
    <numFmt numFmtId="169" formatCode="#,##0.0"/>
    <numFmt numFmtId="170" formatCode="_(* #,##0_);_(* \(#,##0\);_(* &quot;-&quot;??_);_(@_)"/>
    <numFmt numFmtId="171" formatCode="0.0000"/>
    <numFmt numFmtId="172" formatCode="0.0000000000"/>
    <numFmt numFmtId="173" formatCode="0.000000"/>
    <numFmt numFmtId="174" formatCode="#,##0\ ;&quot; (&quot;#,##0\);&quot; -&quot;#\ ;@\ "/>
  </numFmts>
  <fonts count="54">
    <font>
      <sz val="10"/>
      <name val="Arial"/>
    </font>
    <font>
      <sz val="10"/>
      <name val="Arial"/>
      <family val="2"/>
    </font>
    <font>
      <sz val="8"/>
      <name val="Arial"/>
      <family val="2"/>
    </font>
    <font>
      <b/>
      <sz val="10"/>
      <name val="Arial"/>
      <family val="2"/>
    </font>
    <font>
      <b/>
      <sz val="14"/>
      <name val="Arial"/>
      <family val="2"/>
    </font>
    <font>
      <b/>
      <u/>
      <sz val="10"/>
      <name val="Arial"/>
      <family val="2"/>
    </font>
    <font>
      <sz val="10"/>
      <name val="Arial"/>
      <family val="2"/>
    </font>
    <font>
      <sz val="10"/>
      <name val="Times New Roman"/>
      <family val="1"/>
    </font>
    <font>
      <b/>
      <sz val="10"/>
      <color indexed="10"/>
      <name val="Arial"/>
      <family val="2"/>
    </font>
    <font>
      <sz val="10"/>
      <color indexed="11"/>
      <name val="Arial"/>
      <family val="2"/>
    </font>
    <font>
      <b/>
      <sz val="10"/>
      <name val="Times New Roman"/>
      <family val="1"/>
    </font>
    <font>
      <i/>
      <sz val="10"/>
      <name val="Times New Roman"/>
      <family val="1"/>
    </font>
    <font>
      <b/>
      <sz val="11.5"/>
      <name val="Times New Roman"/>
      <family val="1"/>
    </font>
    <font>
      <b/>
      <sz val="11"/>
      <name val="Times New Roman"/>
      <family val="1"/>
    </font>
    <font>
      <b/>
      <sz val="11"/>
      <color indexed="10"/>
      <name val="Arial"/>
      <family val="2"/>
    </font>
    <font>
      <sz val="10"/>
      <color indexed="43"/>
      <name val="Arial"/>
      <family val="2"/>
    </font>
    <font>
      <sz val="10"/>
      <color indexed="10"/>
      <name val="Arial"/>
      <family val="2"/>
    </font>
    <font>
      <u/>
      <sz val="8.5"/>
      <color indexed="12"/>
      <name val="Arial"/>
      <family val="2"/>
    </font>
    <font>
      <b/>
      <sz val="12"/>
      <name val="Arial"/>
      <family val="2"/>
    </font>
    <font>
      <b/>
      <sz val="11"/>
      <name val="Arial"/>
      <family val="2"/>
    </font>
    <font>
      <b/>
      <sz val="14"/>
      <color indexed="10"/>
      <name val="Arial"/>
      <family val="2"/>
    </font>
    <font>
      <b/>
      <sz val="10"/>
      <name val="Arial"/>
      <family val="2"/>
    </font>
    <font>
      <sz val="10"/>
      <name val="Arial"/>
      <family val="2"/>
    </font>
    <font>
      <b/>
      <sz val="10"/>
      <color indexed="10"/>
      <name val="Arial"/>
      <family val="2"/>
    </font>
    <font>
      <i/>
      <sz val="10"/>
      <name val="Arial"/>
      <family val="2"/>
    </font>
    <font>
      <sz val="10"/>
      <name val="Arial"/>
      <family val="2"/>
    </font>
    <font>
      <b/>
      <i/>
      <sz val="10"/>
      <name val="Arial"/>
      <family val="2"/>
    </font>
    <font>
      <sz val="10"/>
      <name val="Arial"/>
      <family val="2"/>
    </font>
    <font>
      <sz val="11"/>
      <name val="Calibri"/>
      <family val="2"/>
    </font>
    <font>
      <sz val="10"/>
      <name val="Arial"/>
      <family val="2"/>
    </font>
    <font>
      <sz val="10"/>
      <name val="Arial"/>
      <family val="2"/>
    </font>
    <font>
      <vertAlign val="subscript"/>
      <sz val="10"/>
      <name val="Arial"/>
      <family val="2"/>
    </font>
    <font>
      <vertAlign val="superscript"/>
      <sz val="10"/>
      <name val="Arial"/>
      <family val="2"/>
    </font>
    <font>
      <sz val="11"/>
      <color theme="1"/>
      <name val="Calibri"/>
      <family val="2"/>
      <scheme val="minor"/>
    </font>
    <font>
      <b/>
      <sz val="11"/>
      <color theme="1"/>
      <name val="Calibri"/>
      <family val="2"/>
      <scheme val="minor"/>
    </font>
    <font>
      <sz val="11"/>
      <color rgb="FFFF0000"/>
      <name val="Calibri"/>
      <family val="2"/>
      <scheme val="minor"/>
    </font>
    <font>
      <b/>
      <sz val="10"/>
      <color rgb="FFFF0000"/>
      <name val="Arial"/>
      <family val="2"/>
    </font>
    <font>
      <sz val="10"/>
      <color rgb="FFFF0000"/>
      <name val="Arial"/>
      <family val="2"/>
    </font>
    <font>
      <b/>
      <sz val="10"/>
      <color rgb="FFC00000"/>
      <name val="Times New Roman"/>
      <family val="1"/>
    </font>
    <font>
      <b/>
      <sz val="10"/>
      <color rgb="FFC00000"/>
      <name val="Arial"/>
      <family val="2"/>
    </font>
    <font>
      <sz val="10"/>
      <color rgb="FFC00000"/>
      <name val="Arial"/>
      <family val="2"/>
    </font>
    <font>
      <b/>
      <sz val="10"/>
      <color rgb="FFFF0000"/>
      <name val="Times New Roman"/>
      <family val="1"/>
    </font>
    <font>
      <sz val="10"/>
      <color rgb="FF222222"/>
      <name val="Inherit"/>
    </font>
    <font>
      <sz val="10"/>
      <color rgb="FF00B050"/>
      <name val="Arial"/>
      <family val="2"/>
    </font>
    <font>
      <sz val="8"/>
      <color rgb="FF000000"/>
      <name val="Verdana"/>
      <family val="2"/>
    </font>
    <font>
      <i/>
      <sz val="8"/>
      <color rgb="FF000000"/>
      <name val="Verdana"/>
      <family val="2"/>
    </font>
    <font>
      <u/>
      <sz val="8"/>
      <color rgb="FF000000"/>
      <name val="Verdana"/>
      <family val="2"/>
    </font>
    <font>
      <sz val="11"/>
      <name val="Calibri"/>
      <family val="2"/>
      <scheme val="minor"/>
    </font>
    <font>
      <sz val="8"/>
      <color theme="0"/>
      <name val="Arial"/>
      <family val="2"/>
    </font>
    <font>
      <sz val="10"/>
      <color theme="4" tint="0.59999389629810485"/>
      <name val="Arial"/>
      <family val="2"/>
    </font>
    <font>
      <sz val="10"/>
      <color theme="1" tint="0.499984740745262"/>
      <name val="Arial"/>
      <family val="2"/>
    </font>
    <font>
      <b/>
      <sz val="10"/>
      <color theme="1" tint="0.499984740745262"/>
      <name val="Arial"/>
      <family val="2"/>
    </font>
    <font>
      <sz val="10"/>
      <color theme="0"/>
      <name val="Arial"/>
      <family val="2"/>
    </font>
    <font>
      <sz val="10"/>
      <color indexed="23"/>
      <name val="Arial"/>
      <family val="2"/>
    </font>
  </fonts>
  <fills count="15">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rgb="FFFFC000"/>
        <bgColor indexed="64"/>
      </patternFill>
    </fill>
    <fill>
      <patternFill patternType="solid">
        <fgColor rgb="FFFFFFCC"/>
        <bgColor indexed="64"/>
      </patternFill>
    </fill>
    <fill>
      <patternFill patternType="solid">
        <fgColor theme="0"/>
        <bgColor indexed="64"/>
      </patternFill>
    </fill>
    <fill>
      <patternFill patternType="solid">
        <fgColor rgb="FFCCFFFF"/>
        <bgColor indexed="64"/>
      </patternFill>
    </fill>
    <fill>
      <patternFill patternType="solid">
        <fgColor rgb="FF92D050"/>
        <bgColor indexed="64"/>
      </patternFill>
    </fill>
    <fill>
      <patternFill patternType="solid">
        <fgColor rgb="FFFFFF66"/>
        <bgColor indexed="64"/>
      </patternFill>
    </fill>
    <fill>
      <patternFill patternType="solid">
        <fgColor rgb="FFFF0000"/>
        <bgColor indexed="64"/>
      </patternFill>
    </fill>
    <fill>
      <patternFill patternType="solid">
        <fgColor theme="6" tint="0.39997558519241921"/>
        <bgColor indexed="64"/>
      </patternFill>
    </fill>
    <fill>
      <patternFill patternType="solid">
        <fgColor indexed="26"/>
        <bgColor indexed="9"/>
      </patternFill>
    </fill>
    <fill>
      <patternFill patternType="solid">
        <fgColor indexed="9"/>
        <bgColor indexed="26"/>
      </patternFill>
    </fill>
  </fills>
  <borders count="48">
    <border>
      <left/>
      <right/>
      <top/>
      <bottom/>
      <diagonal/>
    </border>
    <border>
      <left style="thin">
        <color indexed="64"/>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bottom style="medium">
        <color indexed="64"/>
      </bottom>
      <diagonal/>
    </border>
    <border>
      <left style="medium">
        <color indexed="64"/>
      </left>
      <right style="medium">
        <color indexed="64"/>
      </right>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diagonal/>
    </border>
  </borders>
  <cellStyleXfs count="5">
    <xf numFmtId="0" fontId="0" fillId="0" borderId="0"/>
    <xf numFmtId="164" fontId="1" fillId="0" borderId="0" applyFont="0" applyFill="0" applyBorder="0" applyAlignment="0" applyProtection="0"/>
    <xf numFmtId="0" fontId="17" fillId="0" borderId="0" applyNumberFormat="0" applyFill="0" applyBorder="0" applyAlignment="0" applyProtection="0">
      <alignment vertical="top"/>
      <protection locked="0"/>
    </xf>
    <xf numFmtId="9" fontId="1" fillId="0" borderId="0" applyFont="0" applyFill="0" applyBorder="0" applyAlignment="0" applyProtection="0"/>
    <xf numFmtId="0" fontId="1" fillId="0" borderId="0"/>
  </cellStyleXfs>
  <cellXfs count="747">
    <xf numFmtId="0" fontId="0" fillId="0" borderId="0" xfId="0"/>
    <xf numFmtId="0" fontId="4" fillId="0" borderId="0" xfId="0" applyFont="1"/>
    <xf numFmtId="0" fontId="0" fillId="2" borderId="0" xfId="0" applyFill="1"/>
    <xf numFmtId="0" fontId="0" fillId="0" borderId="0" xfId="0" applyFill="1"/>
    <xf numFmtId="0" fontId="0" fillId="3" borderId="0" xfId="0" applyFill="1"/>
    <xf numFmtId="0" fontId="3" fillId="0" borderId="0" xfId="0" applyFont="1"/>
    <xf numFmtId="0" fontId="0" fillId="0" borderId="0" xfId="0" quotePrefix="1"/>
    <xf numFmtId="0" fontId="3" fillId="0" borderId="0" xfId="0" applyFont="1" applyFill="1"/>
    <xf numFmtId="0" fontId="6" fillId="0" borderId="0" xfId="0" applyFont="1"/>
    <xf numFmtId="0" fontId="0" fillId="0" borderId="0" xfId="0" applyAlignment="1">
      <alignment wrapText="1"/>
    </xf>
    <xf numFmtId="0" fontId="8" fillId="3" borderId="0" xfId="0" applyFont="1" applyFill="1"/>
    <xf numFmtId="0" fontId="0" fillId="0" borderId="0" xfId="0" quotePrefix="1" applyFill="1"/>
    <xf numFmtId="0" fontId="3" fillId="0" borderId="0" xfId="0" applyFont="1" applyAlignment="1">
      <alignment wrapText="1"/>
    </xf>
    <xf numFmtId="0" fontId="0" fillId="0" borderId="1" xfId="0" applyBorder="1"/>
    <xf numFmtId="0" fontId="3" fillId="0" borderId="1" xfId="0" applyFont="1" applyBorder="1"/>
    <xf numFmtId="0" fontId="7" fillId="0" borderId="1" xfId="0" applyFont="1" applyBorder="1" applyAlignment="1">
      <alignment wrapText="1"/>
    </xf>
    <xf numFmtId="0" fontId="3" fillId="0" borderId="1" xfId="0" quotePrefix="1" applyFont="1" applyBorder="1"/>
    <xf numFmtId="0" fontId="7" fillId="0" borderId="0" xfId="0" applyFont="1" applyFill="1" applyBorder="1" applyAlignment="1">
      <alignment vertical="top" wrapText="1"/>
    </xf>
    <xf numFmtId="17" fontId="0" fillId="0" borderId="0" xfId="0" quotePrefix="1" applyNumberFormat="1"/>
    <xf numFmtId="0" fontId="9" fillId="0" borderId="0" xfId="0" applyFont="1" applyFill="1"/>
    <xf numFmtId="3" fontId="9" fillId="0" borderId="0" xfId="0" applyNumberFormat="1" applyFont="1" applyFill="1"/>
    <xf numFmtId="3" fontId="0" fillId="0" borderId="0" xfId="0" applyNumberFormat="1" applyFill="1"/>
    <xf numFmtId="4" fontId="0" fillId="0" borderId="0" xfId="0" applyNumberFormat="1" applyFill="1"/>
    <xf numFmtId="0" fontId="7" fillId="0" borderId="0" xfId="0" applyFont="1" applyFill="1" applyBorder="1" applyAlignment="1">
      <alignment horizontal="right" vertical="top" wrapText="1"/>
    </xf>
    <xf numFmtId="0" fontId="7" fillId="0" borderId="0" xfId="0" applyFont="1" applyFill="1" applyBorder="1" applyAlignment="1">
      <alignment horizontal="left" vertical="top" wrapText="1"/>
    </xf>
    <xf numFmtId="4" fontId="8" fillId="0" borderId="0" xfId="0" applyNumberFormat="1" applyFont="1" applyFill="1"/>
    <xf numFmtId="0" fontId="3" fillId="0" borderId="0" xfId="0" applyFont="1" applyFill="1" applyAlignment="1">
      <alignment wrapText="1"/>
    </xf>
    <xf numFmtId="0" fontId="0" fillId="0" borderId="0" xfId="0" quotePrefix="1" applyNumberFormat="1"/>
    <xf numFmtId="0" fontId="0" fillId="0" borderId="0" xfId="0" applyFill="1" applyBorder="1"/>
    <xf numFmtId="0" fontId="7" fillId="0" borderId="0" xfId="0" applyFont="1" applyFill="1" applyBorder="1" applyAlignment="1">
      <alignment wrapText="1"/>
    </xf>
    <xf numFmtId="0" fontId="3" fillId="0" borderId="0" xfId="0" applyFont="1" applyFill="1" applyBorder="1"/>
    <xf numFmtId="0" fontId="3" fillId="0" borderId="0" xfId="0" quotePrefix="1" applyFont="1" applyFill="1" applyBorder="1"/>
    <xf numFmtId="0" fontId="3" fillId="0" borderId="1" xfId="0" applyFont="1" applyBorder="1" applyAlignment="1">
      <alignment wrapText="1"/>
    </xf>
    <xf numFmtId="0" fontId="0" fillId="0" borderId="1" xfId="0" applyBorder="1" applyAlignment="1">
      <alignment wrapText="1"/>
    </xf>
    <xf numFmtId="0" fontId="3" fillId="0" borderId="1" xfId="0" quotePrefix="1" applyFont="1" applyBorder="1" applyAlignment="1">
      <alignment wrapText="1"/>
    </xf>
    <xf numFmtId="0" fontId="7" fillId="0" borderId="0" xfId="0" applyFont="1" applyBorder="1" applyAlignment="1">
      <alignment wrapText="1"/>
    </xf>
    <xf numFmtId="0" fontId="6" fillId="0" borderId="0" xfId="0" applyFont="1" applyFill="1"/>
    <xf numFmtId="0" fontId="7" fillId="0" borderId="0" xfId="0" applyFont="1" applyBorder="1" applyAlignment="1">
      <alignment horizontal="center" wrapText="1"/>
    </xf>
    <xf numFmtId="0" fontId="7" fillId="0" borderId="1" xfId="0" quotePrefix="1" applyFont="1" applyBorder="1" applyAlignment="1">
      <alignment wrapText="1"/>
    </xf>
    <xf numFmtId="0" fontId="10" fillId="0" borderId="1" xfId="0" applyFont="1" applyBorder="1" applyAlignment="1">
      <alignment wrapText="1"/>
    </xf>
    <xf numFmtId="0" fontId="3" fillId="0" borderId="0" xfId="0" quotePrefix="1" applyFont="1" applyFill="1"/>
    <xf numFmtId="17" fontId="0" fillId="0" borderId="0" xfId="0" quotePrefix="1" applyNumberFormat="1" applyFill="1"/>
    <xf numFmtId="0" fontId="7" fillId="0" borderId="0" xfId="0" applyFont="1" applyBorder="1" applyAlignment="1"/>
    <xf numFmtId="0" fontId="0" fillId="0" borderId="0" xfId="0" quotePrefix="1" applyAlignment="1">
      <alignment horizontal="center"/>
    </xf>
    <xf numFmtId="0" fontId="0" fillId="0" borderId="0" xfId="0" applyAlignment="1">
      <alignment horizontal="center"/>
    </xf>
    <xf numFmtId="0" fontId="0" fillId="0" borderId="0" xfId="0" quotePrefix="1" applyAlignment="1">
      <alignment horizontal="left"/>
    </xf>
    <xf numFmtId="0" fontId="0" fillId="0" borderId="0" xfId="0" quotePrefix="1" applyAlignment="1">
      <alignment horizontal="left" wrapText="1"/>
    </xf>
    <xf numFmtId="0" fontId="0" fillId="0" borderId="0" xfId="0" quotePrefix="1" applyFill="1" applyAlignment="1">
      <alignment horizontal="center"/>
    </xf>
    <xf numFmtId="0" fontId="0" fillId="0" borderId="0" xfId="0" applyBorder="1"/>
    <xf numFmtId="0" fontId="0" fillId="2" borderId="0" xfId="0" applyFill="1" applyBorder="1"/>
    <xf numFmtId="0" fontId="3" fillId="0" borderId="0" xfId="0" applyFont="1" applyBorder="1"/>
    <xf numFmtId="0" fontId="6" fillId="0" borderId="0" xfId="0" applyFont="1" applyBorder="1"/>
    <xf numFmtId="0" fontId="6" fillId="0" borderId="0" xfId="0" applyFont="1" applyBorder="1" applyAlignment="1">
      <alignment horizontal="left"/>
    </xf>
    <xf numFmtId="0" fontId="6" fillId="0" borderId="0" xfId="0" applyFont="1" applyAlignment="1">
      <alignment wrapText="1"/>
    </xf>
    <xf numFmtId="0" fontId="14" fillId="0" borderId="0" xfId="0" applyFont="1"/>
    <xf numFmtId="0" fontId="0" fillId="0" borderId="2" xfId="0" applyBorder="1"/>
    <xf numFmtId="0" fontId="3" fillId="3" borderId="3" xfId="0" applyFont="1" applyFill="1" applyBorder="1"/>
    <xf numFmtId="0" fontId="3" fillId="3" borderId="3" xfId="0" applyFont="1" applyFill="1" applyBorder="1" applyAlignment="1">
      <alignment wrapText="1"/>
    </xf>
    <xf numFmtId="0" fontId="0" fillId="3" borderId="3" xfId="0" applyFill="1" applyBorder="1"/>
    <xf numFmtId="0" fontId="3" fillId="0" borderId="1" xfId="0" quotePrefix="1" applyFont="1" applyFill="1" applyBorder="1"/>
    <xf numFmtId="0" fontId="7" fillId="0" borderId="0" xfId="0" applyFont="1" applyFill="1" applyBorder="1" applyAlignment="1">
      <alignment horizontal="center" wrapText="1"/>
    </xf>
    <xf numFmtId="0" fontId="7" fillId="0" borderId="0" xfId="0" applyFont="1" applyFill="1" applyBorder="1" applyAlignment="1"/>
    <xf numFmtId="0" fontId="7" fillId="0" borderId="1" xfId="0" applyFont="1" applyFill="1" applyBorder="1" applyAlignment="1">
      <alignment wrapText="1"/>
    </xf>
    <xf numFmtId="0" fontId="0" fillId="0" borderId="1" xfId="0" applyFill="1" applyBorder="1"/>
    <xf numFmtId="0" fontId="3" fillId="0" borderId="1" xfId="0" applyFont="1" applyFill="1" applyBorder="1"/>
    <xf numFmtId="0" fontId="3" fillId="2" borderId="0" xfId="0" applyFont="1" applyFill="1"/>
    <xf numFmtId="0" fontId="6" fillId="0" borderId="0" xfId="0" applyFont="1" applyFill="1" applyAlignment="1">
      <alignment wrapText="1"/>
    </xf>
    <xf numFmtId="0" fontId="3" fillId="0" borderId="0" xfId="0" quotePrefix="1" applyFont="1" applyAlignment="1">
      <alignment wrapText="1"/>
    </xf>
    <xf numFmtId="0" fontId="10" fillId="0" borderId="0" xfId="0" applyFont="1" applyBorder="1" applyAlignment="1">
      <alignment wrapText="1"/>
    </xf>
    <xf numFmtId="0" fontId="10" fillId="0" borderId="0" xfId="0" applyFont="1" applyBorder="1" applyAlignment="1">
      <alignment vertical="top" wrapText="1"/>
    </xf>
    <xf numFmtId="0" fontId="3" fillId="0" borderId="0" xfId="0" quotePrefix="1" applyFont="1" applyFill="1" applyAlignment="1">
      <alignment wrapText="1"/>
    </xf>
    <xf numFmtId="0" fontId="12" fillId="0" borderId="0" xfId="0" applyFont="1" applyAlignment="1">
      <alignment wrapText="1"/>
    </xf>
    <xf numFmtId="0" fontId="13" fillId="0" borderId="0" xfId="0" applyFont="1" applyAlignment="1">
      <alignment wrapText="1"/>
    </xf>
    <xf numFmtId="0" fontId="13" fillId="0" borderId="0" xfId="0" applyFont="1" applyBorder="1" applyAlignment="1">
      <alignment vertical="top" wrapText="1"/>
    </xf>
    <xf numFmtId="0" fontId="6" fillId="0" borderId="0" xfId="0" applyFont="1" applyAlignment="1"/>
    <xf numFmtId="0" fontId="3" fillId="0" borderId="0" xfId="0" quotePrefix="1" applyFont="1" applyAlignment="1">
      <alignment horizontal="center"/>
    </xf>
    <xf numFmtId="0" fontId="0" fillId="2" borderId="3" xfId="0" applyFill="1" applyBorder="1"/>
    <xf numFmtId="0" fontId="0" fillId="3" borderId="3" xfId="0" applyFill="1" applyBorder="1" applyAlignment="1">
      <alignment horizontal="center"/>
    </xf>
    <xf numFmtId="0" fontId="3" fillId="3" borderId="4" xfId="0" applyFont="1" applyFill="1" applyBorder="1" applyAlignment="1">
      <alignment horizontal="center"/>
    </xf>
    <xf numFmtId="0" fontId="3" fillId="3" borderId="4" xfId="0" applyFont="1" applyFill="1" applyBorder="1" applyAlignment="1">
      <alignment horizontal="center" wrapText="1"/>
    </xf>
    <xf numFmtId="0" fontId="3" fillId="3" borderId="5" xfId="0" applyFont="1" applyFill="1" applyBorder="1"/>
    <xf numFmtId="0" fontId="0" fillId="3" borderId="5" xfId="0" applyFill="1" applyBorder="1"/>
    <xf numFmtId="0" fontId="3" fillId="3" borderId="6" xfId="0" applyFont="1" applyFill="1" applyBorder="1"/>
    <xf numFmtId="0" fontId="0" fillId="3" borderId="7" xfId="0" applyFill="1" applyBorder="1"/>
    <xf numFmtId="0" fontId="8" fillId="3" borderId="3" xfId="0" applyFont="1" applyFill="1" applyBorder="1" applyAlignment="1">
      <alignment wrapText="1"/>
    </xf>
    <xf numFmtId="1" fontId="0" fillId="3" borderId="3" xfId="0" applyNumberFormat="1" applyFill="1" applyBorder="1" applyAlignment="1">
      <alignment horizontal="center"/>
    </xf>
    <xf numFmtId="1" fontId="0" fillId="3" borderId="3" xfId="0" quotePrefix="1" applyNumberFormat="1" applyFill="1" applyBorder="1" applyAlignment="1">
      <alignment horizontal="center"/>
    </xf>
    <xf numFmtId="166" fontId="0" fillId="3" borderId="3" xfId="0" applyNumberFormat="1" applyFill="1" applyBorder="1" applyAlignment="1">
      <alignment horizontal="center"/>
    </xf>
    <xf numFmtId="0" fontId="0" fillId="0" borderId="8" xfId="0" applyFill="1" applyBorder="1"/>
    <xf numFmtId="0" fontId="3" fillId="0" borderId="8" xfId="0" applyFont="1" applyFill="1" applyBorder="1" applyAlignment="1">
      <alignment wrapText="1"/>
    </xf>
    <xf numFmtId="0" fontId="0" fillId="0" borderId="9" xfId="0" applyBorder="1" applyAlignment="1">
      <alignment wrapText="1"/>
    </xf>
    <xf numFmtId="0" fontId="0" fillId="0" borderId="8" xfId="0" applyBorder="1"/>
    <xf numFmtId="0" fontId="5" fillId="0" borderId="0" xfId="0" applyFont="1" applyFill="1" applyBorder="1"/>
    <xf numFmtId="0" fontId="3" fillId="0" borderId="0" xfId="0" applyFont="1" applyFill="1" applyBorder="1" applyAlignment="1">
      <alignment wrapText="1"/>
    </xf>
    <xf numFmtId="0" fontId="3" fillId="2" borderId="0" xfId="0" applyFont="1" applyFill="1" applyBorder="1"/>
    <xf numFmtId="0" fontId="0" fillId="0" borderId="0" xfId="0" quotePrefix="1" applyBorder="1"/>
    <xf numFmtId="0" fontId="0" fillId="0" borderId="0" xfId="0" applyBorder="1" applyAlignment="1">
      <alignment wrapText="1"/>
    </xf>
    <xf numFmtId="0" fontId="3" fillId="0" borderId="8" xfId="0" applyFont="1" applyBorder="1" applyAlignment="1">
      <alignment wrapText="1"/>
    </xf>
    <xf numFmtId="0" fontId="0" fillId="0" borderId="8" xfId="0" quotePrefix="1" applyBorder="1"/>
    <xf numFmtId="0" fontId="3" fillId="0" borderId="9" xfId="0" quotePrefix="1" applyFont="1" applyBorder="1" applyAlignment="1">
      <alignment wrapText="1"/>
    </xf>
    <xf numFmtId="0" fontId="3" fillId="0" borderId="0" xfId="0" applyFont="1" applyBorder="1" applyAlignment="1">
      <alignment wrapText="1"/>
    </xf>
    <xf numFmtId="0" fontId="0" fillId="0" borderId="10" xfId="0" applyFill="1" applyBorder="1"/>
    <xf numFmtId="164" fontId="0" fillId="0" borderId="0" xfId="1" applyFont="1"/>
    <xf numFmtId="0" fontId="3" fillId="3" borderId="0" xfId="0" applyFont="1" applyFill="1"/>
    <xf numFmtId="0" fontId="0" fillId="0" borderId="2" xfId="0" applyFill="1" applyBorder="1"/>
    <xf numFmtId="0" fontId="0" fillId="0" borderId="2" xfId="0" applyBorder="1" applyAlignment="1">
      <alignment wrapText="1"/>
    </xf>
    <xf numFmtId="0" fontId="0" fillId="0" borderId="2" xfId="0" quotePrefix="1" applyBorder="1"/>
    <xf numFmtId="0" fontId="7" fillId="0" borderId="11" xfId="0" applyFont="1" applyBorder="1" applyAlignment="1">
      <alignment wrapText="1"/>
    </xf>
    <xf numFmtId="0" fontId="3" fillId="0" borderId="11" xfId="0" quotePrefix="1" applyFont="1" applyBorder="1" applyAlignment="1">
      <alignment wrapText="1"/>
    </xf>
    <xf numFmtId="0" fontId="7" fillId="0" borderId="2" xfId="0" applyFont="1" applyFill="1" applyBorder="1" applyAlignment="1">
      <alignment vertical="top" wrapText="1"/>
    </xf>
    <xf numFmtId="0" fontId="3" fillId="0" borderId="11" xfId="0" applyFont="1" applyBorder="1" applyAlignment="1">
      <alignment wrapText="1"/>
    </xf>
    <xf numFmtId="0" fontId="3" fillId="2" borderId="3" xfId="0" applyFont="1" applyFill="1" applyBorder="1"/>
    <xf numFmtId="0" fontId="3" fillId="2" borderId="3" xfId="0" applyFont="1" applyFill="1" applyBorder="1" applyAlignment="1">
      <alignment wrapText="1"/>
    </xf>
    <xf numFmtId="0" fontId="6" fillId="3" borderId="3" xfId="0" applyFont="1" applyFill="1" applyBorder="1"/>
    <xf numFmtId="4" fontId="8" fillId="3" borderId="3" xfId="0" applyNumberFormat="1" applyFont="1" applyFill="1" applyBorder="1"/>
    <xf numFmtId="3" fontId="0" fillId="3" borderId="3" xfId="0" applyNumberFormat="1" applyFill="1" applyBorder="1"/>
    <xf numFmtId="4" fontId="0" fillId="3" borderId="3" xfId="0" applyNumberFormat="1" applyFill="1" applyBorder="1"/>
    <xf numFmtId="0" fontId="7" fillId="2" borderId="3" xfId="0" applyFont="1" applyFill="1" applyBorder="1" applyAlignment="1">
      <alignment horizontal="right" vertical="top" wrapText="1"/>
    </xf>
    <xf numFmtId="0" fontId="7" fillId="2" borderId="3" xfId="0" applyFont="1" applyFill="1" applyBorder="1" applyAlignment="1">
      <alignment horizontal="left" vertical="top" wrapText="1"/>
    </xf>
    <xf numFmtId="0" fontId="0" fillId="2" borderId="4" xfId="0" applyFill="1" applyBorder="1"/>
    <xf numFmtId="0" fontId="3" fillId="2" borderId="4" xfId="0" applyFont="1" applyFill="1" applyBorder="1"/>
    <xf numFmtId="0" fontId="6" fillId="3" borderId="4" xfId="0" applyFont="1" applyFill="1" applyBorder="1"/>
    <xf numFmtId="0" fontId="0" fillId="3" borderId="4" xfId="0" applyFill="1" applyBorder="1"/>
    <xf numFmtId="0" fontId="3" fillId="0" borderId="3" xfId="0" applyFont="1" applyBorder="1"/>
    <xf numFmtId="0" fontId="3" fillId="0" borderId="3" xfId="0" applyFont="1" applyBorder="1" applyAlignment="1">
      <alignment wrapText="1"/>
    </xf>
    <xf numFmtId="0" fontId="3" fillId="0" borderId="3" xfId="0" applyFont="1" applyFill="1" applyBorder="1"/>
    <xf numFmtId="0" fontId="3" fillId="0" borderId="3" xfId="0" applyFont="1" applyFill="1" applyBorder="1" applyAlignment="1">
      <alignment wrapText="1"/>
    </xf>
    <xf numFmtId="0" fontId="0" fillId="2" borderId="3" xfId="0" applyFill="1" applyBorder="1" applyAlignment="1">
      <alignment horizontal="center"/>
    </xf>
    <xf numFmtId="0" fontId="0" fillId="0" borderId="5" xfId="0" applyFill="1" applyBorder="1"/>
    <xf numFmtId="0" fontId="0" fillId="0" borderId="5" xfId="0" applyBorder="1"/>
    <xf numFmtId="0" fontId="7" fillId="2" borderId="3" xfId="0" applyFont="1" applyFill="1" applyBorder="1" applyAlignment="1">
      <alignment horizontal="center" vertical="top" wrapText="1"/>
    </xf>
    <xf numFmtId="0" fontId="7" fillId="2" borderId="3" xfId="0" applyFont="1" applyFill="1" applyBorder="1" applyAlignment="1">
      <alignment horizontal="center" wrapText="1"/>
    </xf>
    <xf numFmtId="0" fontId="0" fillId="2" borderId="4" xfId="0" applyFill="1" applyBorder="1" applyAlignment="1">
      <alignment horizontal="center"/>
    </xf>
    <xf numFmtId="4" fontId="8" fillId="3" borderId="4" xfId="0" applyNumberFormat="1" applyFont="1" applyFill="1" applyBorder="1"/>
    <xf numFmtId="0" fontId="3" fillId="0" borderId="5" xfId="0" applyFont="1" applyBorder="1" applyAlignment="1">
      <alignment wrapText="1"/>
    </xf>
    <xf numFmtId="0" fontId="3" fillId="0" borderId="6" xfId="0" applyFont="1" applyBorder="1"/>
    <xf numFmtId="0" fontId="3" fillId="0" borderId="2" xfId="0" applyFont="1" applyBorder="1" applyAlignment="1">
      <alignment wrapText="1"/>
    </xf>
    <xf numFmtId="0" fontId="3" fillId="0" borderId="2" xfId="0" applyFont="1" applyFill="1" applyBorder="1" applyAlignment="1">
      <alignment wrapText="1"/>
    </xf>
    <xf numFmtId="0" fontId="0" fillId="0" borderId="11" xfId="0" applyBorder="1" applyAlignment="1">
      <alignment wrapText="1"/>
    </xf>
    <xf numFmtId="0" fontId="3" fillId="0" borderId="2" xfId="0" applyFont="1" applyFill="1" applyBorder="1"/>
    <xf numFmtId="0" fontId="3" fillId="0" borderId="6" xfId="0" applyFont="1" applyBorder="1" applyAlignment="1">
      <alignment wrapText="1"/>
    </xf>
    <xf numFmtId="0" fontId="3" fillId="0" borderId="7" xfId="0" applyFont="1" applyBorder="1" applyAlignment="1">
      <alignment wrapText="1"/>
    </xf>
    <xf numFmtId="0" fontId="3" fillId="0" borderId="6" xfId="0" applyFont="1" applyFill="1" applyBorder="1"/>
    <xf numFmtId="0" fontId="3" fillId="0" borderId="5" xfId="0" applyFont="1" applyFill="1" applyBorder="1"/>
    <xf numFmtId="0" fontId="3" fillId="0" borderId="5" xfId="0" applyFont="1" applyBorder="1"/>
    <xf numFmtId="0" fontId="3" fillId="0" borderId="7" xfId="0" applyFont="1" applyFill="1" applyBorder="1"/>
    <xf numFmtId="0" fontId="3" fillId="0" borderId="6" xfId="0" applyFont="1" applyFill="1" applyBorder="1" applyAlignment="1">
      <alignment wrapText="1"/>
    </xf>
    <xf numFmtId="0" fontId="3" fillId="2" borderId="3" xfId="0" applyFont="1" applyFill="1" applyBorder="1" applyAlignment="1">
      <alignment horizontal="center"/>
    </xf>
    <xf numFmtId="0" fontId="3" fillId="2" borderId="3" xfId="0" applyFont="1" applyFill="1" applyBorder="1" applyAlignment="1">
      <alignment horizontal="center" wrapText="1"/>
    </xf>
    <xf numFmtId="0" fontId="0" fillId="0" borderId="2" xfId="0" quotePrefix="1" applyFill="1" applyBorder="1"/>
    <xf numFmtId="0" fontId="0" fillId="0" borderId="2" xfId="0" applyFill="1" applyBorder="1" applyAlignment="1">
      <alignment wrapText="1"/>
    </xf>
    <xf numFmtId="0" fontId="3" fillId="0" borderId="5" xfId="0" applyFont="1" applyFill="1" applyBorder="1" applyAlignment="1">
      <alignment wrapText="1"/>
    </xf>
    <xf numFmtId="0" fontId="5" fillId="0" borderId="2" xfId="0" applyFont="1" applyFill="1" applyBorder="1"/>
    <xf numFmtId="4" fontId="15" fillId="3" borderId="3" xfId="0" applyNumberFormat="1" applyFont="1" applyFill="1" applyBorder="1"/>
    <xf numFmtId="0" fontId="3" fillId="0" borderId="4" xfId="0" applyFont="1" applyFill="1" applyBorder="1"/>
    <xf numFmtId="0" fontId="3" fillId="0" borderId="4" xfId="0" applyFont="1" applyFill="1" applyBorder="1" applyAlignment="1">
      <alignment wrapText="1"/>
    </xf>
    <xf numFmtId="0" fontId="3" fillId="0" borderId="12" xfId="0" applyFont="1" applyFill="1" applyBorder="1"/>
    <xf numFmtId="0" fontId="3" fillId="0" borderId="11" xfId="0" applyFont="1" applyFill="1" applyBorder="1" applyAlignment="1">
      <alignment wrapText="1"/>
    </xf>
    <xf numFmtId="0" fontId="3" fillId="0" borderId="13" xfId="0" applyFont="1" applyBorder="1"/>
    <xf numFmtId="0" fontId="7" fillId="0" borderId="13" xfId="0" applyFont="1" applyBorder="1" applyAlignment="1">
      <alignment wrapText="1"/>
    </xf>
    <xf numFmtId="0" fontId="7" fillId="0" borderId="4" xfId="0" applyFont="1" applyBorder="1" applyAlignment="1">
      <alignment wrapText="1"/>
    </xf>
    <xf numFmtId="0" fontId="0" fillId="0" borderId="4" xfId="0" applyBorder="1"/>
    <xf numFmtId="0" fontId="6" fillId="0" borderId="2" xfId="0" applyFont="1" applyBorder="1" applyAlignment="1">
      <alignment wrapText="1"/>
    </xf>
    <xf numFmtId="0" fontId="0" fillId="0" borderId="11" xfId="0" applyBorder="1"/>
    <xf numFmtId="0" fontId="3" fillId="0" borderId="2" xfId="0" quotePrefix="1" applyFont="1" applyBorder="1" applyAlignment="1">
      <alignment wrapText="1"/>
    </xf>
    <xf numFmtId="0" fontId="3" fillId="0" borderId="11" xfId="0" quotePrefix="1" applyFont="1" applyBorder="1"/>
    <xf numFmtId="0" fontId="3" fillId="0" borderId="2" xfId="0" quotePrefix="1" applyFont="1" applyBorder="1"/>
    <xf numFmtId="17" fontId="7" fillId="2" borderId="3" xfId="0" applyNumberFormat="1" applyFont="1" applyFill="1" applyBorder="1" applyAlignment="1">
      <alignment horizontal="center" vertical="top" wrapText="1"/>
    </xf>
    <xf numFmtId="0" fontId="7" fillId="2" borderId="3" xfId="0" applyFont="1" applyFill="1" applyBorder="1" applyAlignment="1">
      <alignment horizontal="right" wrapText="1"/>
    </xf>
    <xf numFmtId="3" fontId="8" fillId="3" borderId="3" xfId="0" applyNumberFormat="1" applyFont="1" applyFill="1" applyBorder="1"/>
    <xf numFmtId="3" fontId="6" fillId="3" borderId="3" xfId="0" applyNumberFormat="1" applyFont="1" applyFill="1" applyBorder="1"/>
    <xf numFmtId="0" fontId="0" fillId="2" borderId="3" xfId="0" applyFill="1" applyBorder="1" applyAlignment="1">
      <alignment horizontal="right"/>
    </xf>
    <xf numFmtId="4" fontId="6" fillId="3" borderId="3" xfId="0" applyNumberFormat="1" applyFont="1" applyFill="1" applyBorder="1"/>
    <xf numFmtId="3" fontId="1" fillId="3" borderId="3" xfId="0" applyNumberFormat="1" applyFont="1" applyFill="1" applyBorder="1"/>
    <xf numFmtId="0" fontId="1" fillId="3" borderId="3" xfId="0" applyFont="1" applyFill="1" applyBorder="1"/>
    <xf numFmtId="0" fontId="3" fillId="0" borderId="11" xfId="0" applyFont="1" applyBorder="1"/>
    <xf numFmtId="0" fontId="3" fillId="0" borderId="2" xfId="0" quotePrefix="1" applyFont="1" applyFill="1" applyBorder="1" applyAlignment="1">
      <alignment wrapText="1"/>
    </xf>
    <xf numFmtId="0" fontId="12" fillId="0" borderId="2" xfId="0" applyFont="1" applyBorder="1" applyAlignment="1">
      <alignment wrapText="1"/>
    </xf>
    <xf numFmtId="4" fontId="8" fillId="0" borderId="2" xfId="0" applyNumberFormat="1" applyFont="1" applyFill="1" applyBorder="1"/>
    <xf numFmtId="0" fontId="3" fillId="0" borderId="2" xfId="0" quotePrefix="1" applyFont="1" applyFill="1" applyBorder="1"/>
    <xf numFmtId="0" fontId="0" fillId="2" borderId="3" xfId="0" quotePrefix="1" applyFill="1" applyBorder="1"/>
    <xf numFmtId="0" fontId="3" fillId="0" borderId="8" xfId="0" applyFont="1" applyBorder="1"/>
    <xf numFmtId="0" fontId="3" fillId="0" borderId="8" xfId="0" applyFont="1" applyFill="1" applyBorder="1"/>
    <xf numFmtId="0" fontId="3" fillId="0" borderId="9" xfId="0" applyFont="1" applyFill="1" applyBorder="1"/>
    <xf numFmtId="0" fontId="3" fillId="2" borderId="8" xfId="0" applyFont="1" applyFill="1" applyBorder="1"/>
    <xf numFmtId="0" fontId="8" fillId="3" borderId="8" xfId="0" applyFont="1" applyFill="1" applyBorder="1"/>
    <xf numFmtId="0" fontId="3" fillId="3" borderId="8" xfId="0" applyFont="1" applyFill="1" applyBorder="1"/>
    <xf numFmtId="0" fontId="3" fillId="0" borderId="2" xfId="0" applyFont="1" applyBorder="1"/>
    <xf numFmtId="0" fontId="0" fillId="0" borderId="5" xfId="0" applyBorder="1" applyAlignment="1">
      <alignment horizontal="center"/>
    </xf>
    <xf numFmtId="0" fontId="0" fillId="2" borderId="3" xfId="0" quotePrefix="1" applyFill="1" applyBorder="1" applyAlignment="1">
      <alignment horizontal="center"/>
    </xf>
    <xf numFmtId="0" fontId="16" fillId="3" borderId="3" xfId="0" applyFont="1" applyFill="1" applyBorder="1"/>
    <xf numFmtId="3" fontId="16" fillId="3" borderId="3" xfId="0" applyNumberFormat="1" applyFont="1" applyFill="1" applyBorder="1"/>
    <xf numFmtId="0" fontId="8" fillId="3" borderId="3" xfId="0" applyFont="1" applyFill="1" applyBorder="1"/>
    <xf numFmtId="0" fontId="7" fillId="2" borderId="3" xfId="0" quotePrefix="1" applyFont="1" applyFill="1" applyBorder="1" applyAlignment="1">
      <alignment horizontal="center" wrapText="1"/>
    </xf>
    <xf numFmtId="0" fontId="3" fillId="2" borderId="3" xfId="0" quotePrefix="1" applyFont="1" applyFill="1" applyBorder="1" applyAlignment="1">
      <alignment horizontal="center"/>
    </xf>
    <xf numFmtId="3" fontId="0" fillId="3" borderId="3" xfId="0" applyNumberFormat="1" applyFill="1" applyBorder="1" applyAlignment="1">
      <alignment horizontal="right"/>
    </xf>
    <xf numFmtId="0" fontId="0" fillId="0" borderId="0" xfId="0" applyFill="1" applyAlignment="1">
      <alignment horizontal="center"/>
    </xf>
    <xf numFmtId="0" fontId="8" fillId="0" borderId="0" xfId="0" applyFont="1" applyFill="1"/>
    <xf numFmtId="0" fontId="8" fillId="0" borderId="0" xfId="0" applyFont="1" applyFill="1" applyBorder="1"/>
    <xf numFmtId="4" fontId="8" fillId="0" borderId="0" xfId="0" applyNumberFormat="1" applyFont="1" applyFill="1" applyBorder="1"/>
    <xf numFmtId="4" fontId="8" fillId="3" borderId="3" xfId="0" applyNumberFormat="1" applyFont="1" applyFill="1" applyBorder="1" applyAlignment="1">
      <alignment horizontal="center"/>
    </xf>
    <xf numFmtId="4" fontId="8" fillId="3" borderId="3" xfId="0" quotePrefix="1" applyNumberFormat="1" applyFont="1" applyFill="1" applyBorder="1" applyAlignment="1">
      <alignment horizontal="center"/>
    </xf>
    <xf numFmtId="4" fontId="0" fillId="3" borderId="3" xfId="0" applyNumberFormat="1" applyFill="1" applyBorder="1" applyAlignment="1">
      <alignment horizontal="center"/>
    </xf>
    <xf numFmtId="0" fontId="7" fillId="2" borderId="3" xfId="0" applyFont="1" applyFill="1" applyBorder="1" applyAlignment="1">
      <alignment wrapText="1"/>
    </xf>
    <xf numFmtId="0" fontId="0" fillId="4" borderId="0" xfId="0" applyFill="1"/>
    <xf numFmtId="0" fontId="3" fillId="4" borderId="0" xfId="0" applyFont="1" applyFill="1" applyAlignment="1">
      <alignment horizontal="left" vertical="top" wrapText="1"/>
    </xf>
    <xf numFmtId="0" fontId="3" fillId="4" borderId="0" xfId="0" applyFont="1" applyFill="1" applyBorder="1" applyAlignment="1">
      <alignment horizontal="left" vertical="top" wrapText="1"/>
    </xf>
    <xf numFmtId="0" fontId="6" fillId="4" borderId="0" xfId="0" applyFont="1" applyFill="1" applyAlignment="1">
      <alignment horizontal="left" vertical="top" wrapText="1"/>
    </xf>
    <xf numFmtId="0" fontId="6" fillId="4" borderId="0" xfId="0" applyFont="1" applyFill="1" applyBorder="1"/>
    <xf numFmtId="0" fontId="0" fillId="4" borderId="0" xfId="0" applyFill="1" applyAlignment="1">
      <alignment horizontal="left" vertical="top" wrapText="1"/>
    </xf>
    <xf numFmtId="0" fontId="0" fillId="4" borderId="0" xfId="0" applyNumberFormat="1" applyFill="1" applyAlignment="1">
      <alignment horizontal="left" vertical="top" wrapText="1"/>
    </xf>
    <xf numFmtId="0" fontId="20" fillId="4" borderId="2" xfId="0" applyFont="1" applyFill="1" applyBorder="1" applyAlignment="1">
      <alignment horizontal="left" vertical="top" wrapText="1"/>
    </xf>
    <xf numFmtId="0" fontId="18" fillId="4" borderId="2" xfId="0" applyFont="1" applyFill="1" applyBorder="1" applyAlignment="1">
      <alignment horizontal="left" vertical="top" wrapText="1"/>
    </xf>
    <xf numFmtId="0" fontId="19" fillId="4" borderId="2" xfId="0" applyFont="1" applyFill="1" applyBorder="1" applyAlignment="1">
      <alignment horizontal="left" vertical="top" wrapText="1"/>
    </xf>
    <xf numFmtId="0" fontId="3" fillId="4" borderId="0" xfId="0" applyFont="1" applyFill="1" applyAlignment="1">
      <alignment wrapText="1"/>
    </xf>
    <xf numFmtId="0" fontId="6" fillId="4" borderId="0" xfId="0" applyFont="1" applyFill="1" applyAlignment="1">
      <alignment wrapText="1"/>
    </xf>
    <xf numFmtId="0" fontId="3" fillId="3" borderId="3" xfId="0" applyFont="1" applyFill="1" applyBorder="1" applyAlignment="1">
      <alignment horizontal="left" wrapText="1"/>
    </xf>
    <xf numFmtId="0" fontId="3" fillId="2" borderId="7" xfId="0" applyFont="1" applyFill="1" applyBorder="1" applyAlignment="1">
      <alignment wrapText="1"/>
    </xf>
    <xf numFmtId="0" fontId="6" fillId="2" borderId="3" xfId="0" applyFont="1" applyFill="1" applyBorder="1" applyAlignment="1">
      <alignment wrapText="1"/>
    </xf>
    <xf numFmtId="0" fontId="0" fillId="2" borderId="3" xfId="0" applyFill="1" applyBorder="1" applyAlignment="1">
      <alignment wrapText="1"/>
    </xf>
    <xf numFmtId="4" fontId="0" fillId="2" borderId="3" xfId="0" applyNumberFormat="1" applyFill="1" applyBorder="1" applyAlignment="1">
      <alignment wrapText="1"/>
    </xf>
    <xf numFmtId="0" fontId="3" fillId="3" borderId="14" xfId="0" applyFont="1" applyFill="1" applyBorder="1"/>
    <xf numFmtId="0" fontId="3" fillId="0" borderId="15" xfId="0" applyFont="1" applyBorder="1"/>
    <xf numFmtId="0" fontId="3" fillId="3" borderId="16" xfId="0" applyFont="1" applyFill="1" applyBorder="1"/>
    <xf numFmtId="0" fontId="3" fillId="3" borderId="15" xfId="0" applyFont="1" applyFill="1" applyBorder="1"/>
    <xf numFmtId="0" fontId="3" fillId="3" borderId="17" xfId="0" applyFont="1" applyFill="1" applyBorder="1"/>
    <xf numFmtId="0" fontId="3" fillId="2" borderId="17" xfId="0" applyFont="1" applyFill="1" applyBorder="1" applyAlignment="1">
      <alignment wrapText="1"/>
    </xf>
    <xf numFmtId="0" fontId="0" fillId="3" borderId="14" xfId="0" applyFill="1" applyBorder="1" applyAlignment="1">
      <alignment horizontal="center"/>
    </xf>
    <xf numFmtId="0" fontId="0" fillId="2" borderId="14" xfId="0" applyFill="1" applyBorder="1" applyAlignment="1">
      <alignment wrapText="1"/>
    </xf>
    <xf numFmtId="0" fontId="0" fillId="0" borderId="15" xfId="0" applyBorder="1"/>
    <xf numFmtId="0" fontId="3" fillId="3" borderId="17" xfId="0" quotePrefix="1" applyFont="1" applyFill="1" applyBorder="1" applyAlignment="1">
      <alignment horizontal="center"/>
    </xf>
    <xf numFmtId="0" fontId="0" fillId="0" borderId="0" xfId="0" applyAlignment="1"/>
    <xf numFmtId="0" fontId="1" fillId="0" borderId="0" xfId="0" applyFont="1"/>
    <xf numFmtId="0" fontId="1" fillId="0" borderId="0" xfId="0" applyFont="1" applyFill="1"/>
    <xf numFmtId="0" fontId="22" fillId="3" borderId="4" xfId="0" applyFont="1" applyFill="1" applyBorder="1"/>
    <xf numFmtId="4" fontId="21" fillId="3" borderId="3" xfId="0" applyNumberFormat="1" applyFont="1" applyFill="1" applyBorder="1"/>
    <xf numFmtId="3" fontId="22" fillId="3" borderId="3" xfId="0" applyNumberFormat="1" applyFont="1" applyFill="1" applyBorder="1"/>
    <xf numFmtId="0" fontId="22" fillId="3" borderId="3" xfId="0" applyFont="1" applyFill="1" applyBorder="1"/>
    <xf numFmtId="169" fontId="21" fillId="3" borderId="3" xfId="0" applyNumberFormat="1" applyFont="1" applyFill="1" applyBorder="1"/>
    <xf numFmtId="4" fontId="22" fillId="3" borderId="3" xfId="0" applyNumberFormat="1" applyFont="1" applyFill="1" applyBorder="1"/>
    <xf numFmtId="169" fontId="22" fillId="3" borderId="3" xfId="0" applyNumberFormat="1" applyFont="1" applyFill="1" applyBorder="1"/>
    <xf numFmtId="0" fontId="22" fillId="0" borderId="0" xfId="0" applyFont="1" applyFill="1"/>
    <xf numFmtId="0" fontId="22" fillId="0" borderId="0" xfId="0" applyFont="1"/>
    <xf numFmtId="0" fontId="23" fillId="3" borderId="3" xfId="0" applyFont="1" applyFill="1" applyBorder="1" applyAlignment="1">
      <alignment wrapText="1"/>
    </xf>
    <xf numFmtId="4" fontId="21" fillId="3" borderId="4" xfId="0" applyNumberFormat="1" applyFont="1" applyFill="1" applyBorder="1"/>
    <xf numFmtId="3" fontId="22" fillId="3" borderId="4" xfId="0" applyNumberFormat="1" applyFont="1" applyFill="1" applyBorder="1"/>
    <xf numFmtId="4" fontId="8" fillId="3" borderId="3" xfId="0" quotePrefix="1" applyNumberFormat="1" applyFont="1" applyFill="1" applyBorder="1"/>
    <xf numFmtId="0" fontId="21" fillId="2" borderId="3" xfId="0" applyFont="1" applyFill="1" applyBorder="1" applyAlignment="1">
      <alignment wrapText="1"/>
    </xf>
    <xf numFmtId="0" fontId="22" fillId="2" borderId="4" xfId="0" applyFont="1" applyFill="1" applyBorder="1"/>
    <xf numFmtId="0" fontId="22" fillId="2" borderId="3" xfId="0" applyFont="1" applyFill="1" applyBorder="1"/>
    <xf numFmtId="3" fontId="22" fillId="2" borderId="3" xfId="0" applyNumberFormat="1" applyFont="1" applyFill="1" applyBorder="1"/>
    <xf numFmtId="3" fontId="22" fillId="0" borderId="0" xfId="0" applyNumberFormat="1" applyFont="1" applyFill="1"/>
    <xf numFmtId="3" fontId="22" fillId="2" borderId="4" xfId="0" applyNumberFormat="1" applyFont="1" applyFill="1" applyBorder="1"/>
    <xf numFmtId="3" fontId="22" fillId="2" borderId="4" xfId="0" quotePrefix="1" applyNumberFormat="1" applyFont="1" applyFill="1" applyBorder="1" applyAlignment="1">
      <alignment horizontal="center"/>
    </xf>
    <xf numFmtId="3" fontId="22" fillId="2" borderId="3" xfId="0" quotePrefix="1" applyNumberFormat="1" applyFont="1" applyFill="1" applyBorder="1" applyAlignment="1">
      <alignment horizontal="center"/>
    </xf>
    <xf numFmtId="0" fontId="1" fillId="2" borderId="3" xfId="0" applyFont="1" applyFill="1" applyBorder="1"/>
    <xf numFmtId="3" fontId="1" fillId="2" borderId="3" xfId="0" applyNumberFormat="1" applyFont="1" applyFill="1" applyBorder="1"/>
    <xf numFmtId="0" fontId="21" fillId="0" borderId="0" xfId="0" applyFont="1" applyFill="1"/>
    <xf numFmtId="3" fontId="22" fillId="0" borderId="0" xfId="0" applyNumberFormat="1" applyFont="1" applyFill="1" applyBorder="1"/>
    <xf numFmtId="0" fontId="22" fillId="0" borderId="0" xfId="0" applyFont="1" applyFill="1" applyBorder="1"/>
    <xf numFmtId="0" fontId="21" fillId="0" borderId="8" xfId="0" applyFont="1" applyFill="1" applyBorder="1"/>
    <xf numFmtId="0" fontId="22" fillId="2" borderId="3" xfId="0" quotePrefix="1" applyFont="1" applyFill="1" applyBorder="1" applyAlignment="1">
      <alignment horizontal="center"/>
    </xf>
    <xf numFmtId="3" fontId="22" fillId="2" borderId="3" xfId="0" quotePrefix="1" applyNumberFormat="1" applyFont="1" applyFill="1" applyBorder="1"/>
    <xf numFmtId="3" fontId="22" fillId="2" borderId="3" xfId="0" applyNumberFormat="1" applyFont="1" applyFill="1" applyBorder="1" applyAlignment="1">
      <alignment horizontal="center"/>
    </xf>
    <xf numFmtId="0" fontId="0" fillId="6" borderId="0" xfId="0" applyFill="1"/>
    <xf numFmtId="0" fontId="0" fillId="6" borderId="3" xfId="0" applyFill="1" applyBorder="1" applyAlignment="1">
      <alignment wrapText="1"/>
    </xf>
    <xf numFmtId="0" fontId="6" fillId="6" borderId="3" xfId="0" applyFont="1" applyFill="1" applyBorder="1" applyAlignment="1">
      <alignment horizontal="center" wrapText="1"/>
    </xf>
    <xf numFmtId="0" fontId="3" fillId="6" borderId="3" xfId="0" applyFont="1" applyFill="1" applyBorder="1" applyAlignment="1">
      <alignment wrapText="1"/>
    </xf>
    <xf numFmtId="0" fontId="3" fillId="6" borderId="18" xfId="0" applyFont="1" applyFill="1" applyBorder="1" applyAlignment="1">
      <alignment horizontal="center"/>
    </xf>
    <xf numFmtId="0" fontId="6" fillId="6" borderId="18" xfId="0" applyFont="1" applyFill="1" applyBorder="1" applyAlignment="1">
      <alignment horizontal="center" wrapText="1"/>
    </xf>
    <xf numFmtId="0" fontId="0" fillId="6" borderId="3" xfId="0" applyFill="1" applyBorder="1" applyAlignment="1">
      <alignment horizontal="center" wrapText="1"/>
    </xf>
    <xf numFmtId="0" fontId="0" fillId="6" borderId="6" xfId="0" applyFill="1" applyBorder="1" applyAlignment="1">
      <alignment wrapText="1"/>
    </xf>
    <xf numFmtId="0" fontId="0" fillId="6" borderId="3" xfId="0" applyFill="1" applyBorder="1"/>
    <xf numFmtId="0" fontId="6" fillId="6" borderId="3" xfId="0" applyFont="1" applyFill="1" applyBorder="1"/>
    <xf numFmtId="0" fontId="6" fillId="6" borderId="6" xfId="0" applyFont="1" applyFill="1" applyBorder="1" applyAlignment="1">
      <alignment wrapText="1"/>
    </xf>
    <xf numFmtId="3" fontId="6" fillId="7" borderId="3" xfId="0" applyNumberFormat="1" applyFont="1" applyFill="1" applyBorder="1" applyProtection="1">
      <protection locked="0"/>
    </xf>
    <xf numFmtId="0" fontId="6" fillId="2" borderId="3" xfId="0" applyFont="1" applyFill="1" applyBorder="1"/>
    <xf numFmtId="0" fontId="6" fillId="0" borderId="0" xfId="0" applyFont="1" applyFill="1" applyBorder="1"/>
    <xf numFmtId="3" fontId="0" fillId="6" borderId="3" xfId="0" applyNumberFormat="1" applyFill="1" applyBorder="1"/>
    <xf numFmtId="169" fontId="0" fillId="6" borderId="3" xfId="0" applyNumberFormat="1" applyFill="1" applyBorder="1"/>
    <xf numFmtId="0" fontId="6" fillId="3" borderId="3" xfId="0" applyFont="1" applyFill="1" applyBorder="1" applyAlignment="1">
      <alignment wrapText="1"/>
    </xf>
    <xf numFmtId="0" fontId="6" fillId="3" borderId="14" xfId="0" applyFont="1" applyFill="1" applyBorder="1"/>
    <xf numFmtId="0" fontId="0" fillId="8" borderId="3" xfId="0" applyFill="1" applyBorder="1"/>
    <xf numFmtId="0" fontId="7" fillId="8" borderId="3" xfId="0" applyFont="1" applyFill="1" applyBorder="1" applyAlignment="1">
      <alignment horizontal="center" wrapText="1"/>
    </xf>
    <xf numFmtId="3" fontId="1" fillId="2" borderId="4" xfId="0" applyNumberFormat="1" applyFont="1" applyFill="1" applyBorder="1"/>
    <xf numFmtId="0" fontId="0" fillId="0" borderId="6" xfId="0" quotePrefix="1" applyBorder="1"/>
    <xf numFmtId="0" fontId="6" fillId="7" borderId="7" xfId="0" applyFont="1" applyFill="1" applyBorder="1"/>
    <xf numFmtId="0" fontId="0" fillId="2" borderId="18" xfId="0" applyFill="1" applyBorder="1"/>
    <xf numFmtId="0" fontId="1" fillId="2" borderId="18" xfId="0" applyFont="1" applyFill="1" applyBorder="1"/>
    <xf numFmtId="3" fontId="6" fillId="3" borderId="18" xfId="0" applyNumberFormat="1" applyFont="1" applyFill="1" applyBorder="1"/>
    <xf numFmtId="3" fontId="6" fillId="3" borderId="4" xfId="0" applyNumberFormat="1" applyFont="1" applyFill="1" applyBorder="1"/>
    <xf numFmtId="0" fontId="1" fillId="2" borderId="4" xfId="0" applyFont="1" applyFill="1" applyBorder="1"/>
    <xf numFmtId="0" fontId="0" fillId="0" borderId="6" xfId="0" applyFill="1" applyBorder="1"/>
    <xf numFmtId="0" fontId="6" fillId="0" borderId="5" xfId="0" applyFont="1" applyFill="1" applyBorder="1"/>
    <xf numFmtId="0" fontId="0" fillId="0" borderId="7" xfId="0" applyBorder="1"/>
    <xf numFmtId="0" fontId="7" fillId="8" borderId="3" xfId="0" applyFont="1" applyFill="1" applyBorder="1" applyAlignment="1">
      <alignment horizontal="right" wrapText="1"/>
    </xf>
    <xf numFmtId="0" fontId="0" fillId="8" borderId="3" xfId="0" applyFill="1" applyBorder="1" applyAlignment="1">
      <alignment horizontal="right"/>
    </xf>
    <xf numFmtId="3" fontId="6" fillId="8" borderId="3" xfId="0" applyNumberFormat="1" applyFont="1" applyFill="1" applyBorder="1"/>
    <xf numFmtId="0" fontId="6" fillId="0" borderId="0" xfId="0" applyFont="1" applyAlignment="1">
      <alignment horizontal="left" wrapText="1"/>
    </xf>
    <xf numFmtId="3" fontId="1" fillId="3" borderId="3" xfId="0" applyNumberFormat="1" applyFont="1" applyFill="1" applyBorder="1" applyAlignment="1">
      <alignment horizontal="right"/>
    </xf>
    <xf numFmtId="3" fontId="6" fillId="3" borderId="3" xfId="0" quotePrefix="1" applyNumberFormat="1" applyFont="1" applyFill="1" applyBorder="1" applyAlignment="1">
      <alignment horizontal="right"/>
    </xf>
    <xf numFmtId="3" fontId="0" fillId="3" borderId="3" xfId="0" quotePrefix="1" applyNumberFormat="1" applyFill="1" applyBorder="1" applyAlignment="1">
      <alignment horizontal="right"/>
    </xf>
    <xf numFmtId="3" fontId="8" fillId="3" borderId="3" xfId="0" applyNumberFormat="1" applyFont="1" applyFill="1" applyBorder="1" applyAlignment="1">
      <alignment horizontal="right"/>
    </xf>
    <xf numFmtId="0" fontId="0" fillId="7" borderId="3" xfId="0" applyFill="1" applyBorder="1" applyAlignment="1">
      <alignment horizontal="center" wrapText="1"/>
    </xf>
    <xf numFmtId="0" fontId="6" fillId="7" borderId="3" xfId="0" applyFont="1" applyFill="1" applyBorder="1"/>
    <xf numFmtId="0" fontId="0" fillId="7" borderId="3" xfId="0" applyFill="1" applyBorder="1"/>
    <xf numFmtId="0" fontId="36" fillId="0" borderId="0" xfId="0" applyFont="1"/>
    <xf numFmtId="170" fontId="25" fillId="5" borderId="3" xfId="1" applyNumberFormat="1" applyFont="1" applyFill="1" applyBorder="1"/>
    <xf numFmtId="0" fontId="6" fillId="7" borderId="3" xfId="0" applyFont="1" applyFill="1" applyBorder="1" applyAlignment="1">
      <alignment horizontal="center" wrapText="1"/>
    </xf>
    <xf numFmtId="4" fontId="37" fillId="3" borderId="3" xfId="0" applyNumberFormat="1" applyFont="1" applyFill="1" applyBorder="1"/>
    <xf numFmtId="164" fontId="6" fillId="0" borderId="0" xfId="1" applyNumberFormat="1" applyFont="1"/>
    <xf numFmtId="0" fontId="38" fillId="0" borderId="0" xfId="0" applyFont="1" applyBorder="1" applyAlignment="1">
      <alignment vertical="top" wrapText="1"/>
    </xf>
    <xf numFmtId="0" fontId="39" fillId="2" borderId="3" xfId="0" applyFont="1" applyFill="1" applyBorder="1"/>
    <xf numFmtId="0" fontId="40" fillId="0" borderId="0" xfId="0" applyFont="1" applyFill="1"/>
    <xf numFmtId="0" fontId="40" fillId="2" borderId="3" xfId="0" applyFont="1" applyFill="1" applyBorder="1"/>
    <xf numFmtId="3" fontId="40" fillId="2" borderId="3" xfId="0" applyNumberFormat="1" applyFont="1" applyFill="1" applyBorder="1"/>
    <xf numFmtId="0" fontId="37" fillId="0" borderId="0" xfId="0" applyFont="1"/>
    <xf numFmtId="0" fontId="37" fillId="0" borderId="0" xfId="0" applyFont="1" applyFill="1"/>
    <xf numFmtId="0" fontId="41" fillId="0" borderId="0" xfId="0" applyFont="1" applyBorder="1" applyAlignment="1">
      <alignment wrapText="1"/>
    </xf>
    <xf numFmtId="0" fontId="36" fillId="2" borderId="3" xfId="0" applyFont="1" applyFill="1" applyBorder="1"/>
    <xf numFmtId="0" fontId="37" fillId="2" borderId="3" xfId="0" applyFont="1" applyFill="1" applyBorder="1"/>
    <xf numFmtId="3" fontId="37" fillId="2" borderId="3" xfId="0" applyNumberFormat="1" applyFont="1" applyFill="1" applyBorder="1"/>
    <xf numFmtId="0" fontId="37" fillId="0" borderId="1" xfId="0" applyFont="1" applyBorder="1" applyAlignment="1">
      <alignment wrapText="1"/>
    </xf>
    <xf numFmtId="0" fontId="6" fillId="7" borderId="0" xfId="0" applyFont="1" applyFill="1"/>
    <xf numFmtId="3" fontId="6" fillId="2" borderId="3" xfId="0" applyNumberFormat="1" applyFont="1" applyFill="1" applyBorder="1"/>
    <xf numFmtId="0" fontId="36" fillId="3" borderId="3" xfId="0" applyFont="1" applyFill="1" applyBorder="1"/>
    <xf numFmtId="0" fontId="22" fillId="2" borderId="18" xfId="0" applyFont="1" applyFill="1" applyBorder="1"/>
    <xf numFmtId="0" fontId="0" fillId="3" borderId="18" xfId="0" applyFill="1" applyBorder="1"/>
    <xf numFmtId="3" fontId="22" fillId="2" borderId="18" xfId="0" applyNumberFormat="1" applyFont="1" applyFill="1" applyBorder="1"/>
    <xf numFmtId="4" fontId="0" fillId="3" borderId="18" xfId="0" applyNumberFormat="1" applyFill="1" applyBorder="1"/>
    <xf numFmtId="0" fontId="6" fillId="0" borderId="8" xfId="0" applyFont="1" applyBorder="1"/>
    <xf numFmtId="0" fontId="3" fillId="0" borderId="9" xfId="0" applyFont="1" applyBorder="1"/>
    <xf numFmtId="4" fontId="0" fillId="2" borderId="3" xfId="0" applyNumberFormat="1" applyFill="1" applyBorder="1"/>
    <xf numFmtId="0" fontId="22" fillId="8" borderId="3" xfId="0" applyFont="1" applyFill="1" applyBorder="1"/>
    <xf numFmtId="3" fontId="22" fillId="8" borderId="3" xfId="0" applyNumberFormat="1" applyFont="1" applyFill="1" applyBorder="1"/>
    <xf numFmtId="0" fontId="0" fillId="0" borderId="0" xfId="0" applyFill="1" applyAlignment="1">
      <alignment wrapText="1"/>
    </xf>
    <xf numFmtId="4" fontId="36" fillId="3" borderId="3" xfId="0" applyNumberFormat="1" applyFont="1" applyFill="1" applyBorder="1" applyAlignment="1">
      <alignment horizontal="center"/>
    </xf>
    <xf numFmtId="0" fontId="6" fillId="8" borderId="3" xfId="0" applyFont="1" applyFill="1" applyBorder="1"/>
    <xf numFmtId="0" fontId="7" fillId="8" borderId="3" xfId="0" applyFont="1" applyFill="1" applyBorder="1" applyAlignment="1">
      <alignment horizontal="center" vertical="top" wrapText="1"/>
    </xf>
    <xf numFmtId="0" fontId="0" fillId="8" borderId="4" xfId="0" applyFill="1" applyBorder="1"/>
    <xf numFmtId="0" fontId="0" fillId="7" borderId="0" xfId="0" applyFill="1"/>
    <xf numFmtId="3" fontId="36" fillId="3" borderId="3" xfId="0" applyNumberFormat="1" applyFont="1" applyFill="1" applyBorder="1"/>
    <xf numFmtId="0" fontId="6" fillId="0" borderId="1" xfId="0" applyFont="1" applyBorder="1"/>
    <xf numFmtId="0" fontId="0" fillId="8" borderId="3" xfId="0" applyFill="1" applyBorder="1" applyAlignment="1">
      <alignment horizontal="center"/>
    </xf>
    <xf numFmtId="0" fontId="0" fillId="8" borderId="4" xfId="0" applyFill="1" applyBorder="1" applyAlignment="1">
      <alignment horizontal="center"/>
    </xf>
    <xf numFmtId="0" fontId="3" fillId="6" borderId="3" xfId="0" applyFont="1" applyFill="1" applyBorder="1" applyAlignment="1">
      <alignment horizontal="center"/>
    </xf>
    <xf numFmtId="0" fontId="6" fillId="6" borderId="7" xfId="0" applyFont="1" applyFill="1" applyBorder="1"/>
    <xf numFmtId="0" fontId="0" fillId="6" borderId="18" xfId="0" applyFill="1" applyBorder="1" applyAlignment="1">
      <alignment horizontal="center" wrapText="1"/>
    </xf>
    <xf numFmtId="3" fontId="6" fillId="6" borderId="18" xfId="0" applyNumberFormat="1" applyFont="1" applyFill="1" applyBorder="1" applyProtection="1">
      <protection locked="0"/>
    </xf>
    <xf numFmtId="0" fontId="0" fillId="6" borderId="4" xfId="0" applyFill="1" applyBorder="1" applyAlignment="1">
      <alignment horizontal="center" wrapText="1"/>
    </xf>
    <xf numFmtId="3" fontId="6" fillId="6" borderId="4" xfId="0" applyNumberFormat="1" applyFont="1" applyFill="1" applyBorder="1" applyProtection="1">
      <protection locked="0"/>
    </xf>
    <xf numFmtId="3" fontId="6" fillId="6" borderId="3" xfId="0" applyNumberFormat="1" applyFont="1" applyFill="1" applyBorder="1" applyAlignment="1">
      <alignment horizontal="center" wrapText="1"/>
    </xf>
    <xf numFmtId="169" fontId="6" fillId="6" borderId="3" xfId="0" applyNumberFormat="1" applyFont="1" applyFill="1" applyBorder="1" applyAlignment="1">
      <alignment horizontal="center"/>
    </xf>
    <xf numFmtId="169" fontId="6" fillId="6" borderId="3" xfId="0" applyNumberFormat="1" applyFont="1" applyFill="1" applyBorder="1" applyAlignment="1">
      <alignment horizontal="center" wrapText="1"/>
    </xf>
    <xf numFmtId="0" fontId="0" fillId="6" borderId="7" xfId="0" applyFill="1" applyBorder="1"/>
    <xf numFmtId="0" fontId="3" fillId="7" borderId="0" xfId="0" applyFont="1" applyFill="1"/>
    <xf numFmtId="0" fontId="3" fillId="7" borderId="0" xfId="0" applyFont="1" applyFill="1" applyAlignment="1">
      <alignment horizontal="center"/>
    </xf>
    <xf numFmtId="0" fontId="6" fillId="7" borderId="0" xfId="0" applyFont="1" applyFill="1" applyBorder="1" applyAlignment="1">
      <alignment horizontal="left"/>
    </xf>
    <xf numFmtId="0" fontId="6" fillId="7" borderId="0" xfId="0" applyFont="1" applyFill="1" applyBorder="1" applyAlignment="1">
      <alignment horizontal="center"/>
    </xf>
    <xf numFmtId="0" fontId="0" fillId="7" borderId="0" xfId="0" applyFill="1" applyAlignment="1">
      <alignment horizontal="center"/>
    </xf>
    <xf numFmtId="0" fontId="0" fillId="7" borderId="0" xfId="0" applyFill="1" applyAlignment="1">
      <alignment wrapText="1"/>
    </xf>
    <xf numFmtId="0" fontId="7" fillId="8" borderId="3" xfId="0" applyFont="1" applyFill="1" applyBorder="1" applyAlignment="1">
      <alignment horizontal="right" vertical="top" wrapText="1"/>
    </xf>
    <xf numFmtId="0" fontId="0" fillId="0" borderId="6" xfId="0" applyBorder="1"/>
    <xf numFmtId="3" fontId="21" fillId="3" borderId="3" xfId="0" applyNumberFormat="1" applyFont="1" applyFill="1" applyBorder="1"/>
    <xf numFmtId="0" fontId="6" fillId="7" borderId="3" xfId="0" applyFont="1" applyFill="1" applyBorder="1" applyAlignment="1">
      <alignment horizontal="center"/>
    </xf>
    <xf numFmtId="0" fontId="6" fillId="0" borderId="19" xfId="0" applyFont="1" applyFill="1" applyBorder="1" applyAlignment="1" applyProtection="1">
      <alignment horizontal="center" wrapText="1"/>
      <protection locked="0"/>
    </xf>
    <xf numFmtId="0" fontId="6" fillId="0" borderId="20" xfId="0" applyFont="1" applyFill="1" applyBorder="1" applyAlignment="1" applyProtection="1">
      <alignment horizontal="center" wrapText="1"/>
      <protection locked="0"/>
    </xf>
    <xf numFmtId="0" fontId="6" fillId="6" borderId="3" xfId="0" applyFont="1" applyFill="1" applyBorder="1" applyAlignment="1">
      <alignment wrapText="1"/>
    </xf>
    <xf numFmtId="0" fontId="0" fillId="7" borderId="0" xfId="0" applyFill="1" applyAlignment="1">
      <alignment horizontal="left"/>
    </xf>
    <xf numFmtId="0" fontId="0" fillId="7" borderId="0" xfId="0" applyFill="1" applyBorder="1"/>
    <xf numFmtId="0" fontId="6" fillId="7" borderId="0" xfId="0" applyFont="1" applyFill="1" applyBorder="1"/>
    <xf numFmtId="0" fontId="0" fillId="7" borderId="3" xfId="0" applyFill="1" applyBorder="1" applyAlignment="1">
      <alignment wrapText="1"/>
    </xf>
    <xf numFmtId="0" fontId="3" fillId="7" borderId="3" xfId="0" applyFont="1" applyFill="1" applyBorder="1" applyAlignment="1">
      <alignment horizontal="center"/>
    </xf>
    <xf numFmtId="0" fontId="6" fillId="7" borderId="3" xfId="0" applyFont="1" applyFill="1" applyBorder="1" applyAlignment="1">
      <alignment wrapText="1"/>
    </xf>
    <xf numFmtId="0" fontId="3" fillId="6" borderId="3" xfId="0" applyFont="1" applyFill="1" applyBorder="1"/>
    <xf numFmtId="3" fontId="6" fillId="6" borderId="3" xfId="0" applyNumberFormat="1" applyFont="1" applyFill="1" applyBorder="1" applyProtection="1">
      <protection locked="0"/>
    </xf>
    <xf numFmtId="3" fontId="0" fillId="6" borderId="4" xfId="0" applyNumberFormat="1" applyFill="1" applyBorder="1"/>
    <xf numFmtId="0" fontId="6" fillId="7" borderId="19" xfId="0" applyFont="1" applyFill="1" applyBorder="1" applyAlignment="1" applyProtection="1">
      <alignment horizontal="center" wrapText="1"/>
      <protection locked="0"/>
    </xf>
    <xf numFmtId="3" fontId="6" fillId="7" borderId="21" xfId="0" applyNumberFormat="1" applyFont="1" applyFill="1" applyBorder="1" applyProtection="1">
      <protection locked="0"/>
    </xf>
    <xf numFmtId="0" fontId="6" fillId="7" borderId="22" xfId="0" applyFont="1" applyFill="1" applyBorder="1" applyAlignment="1" applyProtection="1">
      <alignment horizontal="center" wrapText="1"/>
      <protection locked="0"/>
    </xf>
    <xf numFmtId="3" fontId="6" fillId="7" borderId="23" xfId="0" applyNumberFormat="1" applyFont="1" applyFill="1" applyBorder="1" applyProtection="1">
      <protection locked="0"/>
    </xf>
    <xf numFmtId="3" fontId="0" fillId="7" borderId="23" xfId="0" applyNumberFormat="1" applyFill="1" applyBorder="1" applyProtection="1">
      <protection locked="0"/>
    </xf>
    <xf numFmtId="0" fontId="6" fillId="7" borderId="20" xfId="0" applyFont="1" applyFill="1" applyBorder="1" applyAlignment="1" applyProtection="1">
      <alignment horizontal="center" wrapText="1"/>
      <protection locked="0"/>
    </xf>
    <xf numFmtId="3" fontId="0" fillId="6" borderId="18" xfId="0" applyNumberFormat="1" applyFill="1" applyBorder="1"/>
    <xf numFmtId="0" fontId="6" fillId="7" borderId="19" xfId="0" applyFont="1" applyFill="1" applyBorder="1" applyAlignment="1" applyProtection="1">
      <alignment horizontal="center"/>
      <protection locked="0"/>
    </xf>
    <xf numFmtId="3" fontId="0" fillId="7" borderId="21" xfId="0" applyNumberFormat="1" applyFill="1" applyBorder="1" applyProtection="1">
      <protection locked="0"/>
    </xf>
    <xf numFmtId="3" fontId="6" fillId="7" borderId="24" xfId="0" applyNumberFormat="1" applyFont="1" applyFill="1" applyBorder="1" applyAlignment="1" applyProtection="1">
      <alignment horizontal="left" wrapText="1"/>
      <protection locked="0"/>
    </xf>
    <xf numFmtId="1" fontId="6" fillId="7" borderId="24" xfId="0" applyNumberFormat="1" applyFont="1" applyFill="1" applyBorder="1" applyAlignment="1" applyProtection="1">
      <alignment horizontal="left" wrapText="1"/>
      <protection locked="0"/>
    </xf>
    <xf numFmtId="3" fontId="6" fillId="7" borderId="25" xfId="0" applyNumberFormat="1" applyFont="1" applyFill="1" applyBorder="1" applyAlignment="1" applyProtection="1">
      <alignment horizontal="left" wrapText="1"/>
      <protection locked="0"/>
    </xf>
    <xf numFmtId="3" fontId="6" fillId="7" borderId="26" xfId="0" applyNumberFormat="1" applyFont="1" applyFill="1" applyBorder="1" applyAlignment="1" applyProtection="1">
      <alignment horizontal="left"/>
      <protection locked="0"/>
    </xf>
    <xf numFmtId="0" fontId="6" fillId="0" borderId="22" xfId="0" applyFont="1" applyFill="1" applyBorder="1" applyAlignment="1" applyProtection="1">
      <alignment horizontal="center" wrapText="1"/>
      <protection locked="0"/>
    </xf>
    <xf numFmtId="0" fontId="3" fillId="0" borderId="22" xfId="0" applyFont="1" applyFill="1" applyBorder="1" applyAlignment="1" applyProtection="1">
      <alignment horizontal="center"/>
      <protection locked="0"/>
    </xf>
    <xf numFmtId="0" fontId="3" fillId="7" borderId="0" xfId="0" applyFont="1" applyFill="1" applyBorder="1" applyAlignment="1"/>
    <xf numFmtId="0" fontId="3" fillId="7" borderId="0" xfId="0" applyFont="1" applyFill="1" applyBorder="1" applyAlignment="1">
      <alignment horizontal="center"/>
    </xf>
    <xf numFmtId="0" fontId="3" fillId="7" borderId="3" xfId="0" applyFont="1" applyFill="1" applyBorder="1" applyAlignment="1">
      <alignment wrapText="1"/>
    </xf>
    <xf numFmtId="0" fontId="6" fillId="6" borderId="0" xfId="0" applyFont="1" applyFill="1" applyBorder="1" applyAlignment="1">
      <alignment horizontal="left" wrapText="1"/>
    </xf>
    <xf numFmtId="0" fontId="6" fillId="6" borderId="0" xfId="0" applyFont="1" applyFill="1" applyBorder="1"/>
    <xf numFmtId="0" fontId="0" fillId="6" borderId="0" xfId="0" applyFill="1" applyBorder="1"/>
    <xf numFmtId="0" fontId="3" fillId="6" borderId="0" xfId="0" applyFont="1" applyFill="1" applyBorder="1" applyAlignment="1">
      <alignment horizontal="center"/>
    </xf>
    <xf numFmtId="3" fontId="6" fillId="6" borderId="3" xfId="0" applyNumberFormat="1" applyFont="1" applyFill="1" applyBorder="1"/>
    <xf numFmtId="0" fontId="6" fillId="6" borderId="4" xfId="0" applyFont="1" applyFill="1" applyBorder="1"/>
    <xf numFmtId="3" fontId="6" fillId="6" borderId="4" xfId="0" applyNumberFormat="1" applyFont="1" applyFill="1" applyBorder="1"/>
    <xf numFmtId="3" fontId="6" fillId="7" borderId="27" xfId="0" applyNumberFormat="1" applyFont="1" applyFill="1" applyBorder="1" applyProtection="1">
      <protection locked="0"/>
    </xf>
    <xf numFmtId="0" fontId="0" fillId="6" borderId="13" xfId="0" applyFill="1" applyBorder="1" applyAlignment="1">
      <alignment horizontal="center" wrapText="1"/>
    </xf>
    <xf numFmtId="3" fontId="6" fillId="6" borderId="13" xfId="0" applyNumberFormat="1" applyFont="1" applyFill="1" applyBorder="1" applyProtection="1">
      <protection locked="0"/>
    </xf>
    <xf numFmtId="3" fontId="6" fillId="7" borderId="28" xfId="0" applyNumberFormat="1" applyFont="1" applyFill="1" applyBorder="1" applyProtection="1">
      <protection locked="0"/>
    </xf>
    <xf numFmtId="0" fontId="6" fillId="7" borderId="29" xfId="0" applyFont="1" applyFill="1" applyBorder="1" applyAlignment="1" applyProtection="1">
      <alignment horizontal="center" wrapText="1"/>
      <protection locked="0"/>
    </xf>
    <xf numFmtId="170" fontId="25" fillId="7" borderId="0" xfId="1" applyNumberFormat="1" applyFont="1" applyFill="1"/>
    <xf numFmtId="169" fontId="26" fillId="6" borderId="3" xfId="0" applyNumberFormat="1" applyFont="1" applyFill="1" applyBorder="1" applyAlignment="1">
      <alignment horizontal="right"/>
    </xf>
    <xf numFmtId="169" fontId="6" fillId="6" borderId="3" xfId="0" applyNumberFormat="1" applyFont="1" applyFill="1" applyBorder="1"/>
    <xf numFmtId="3" fontId="0" fillId="5" borderId="6" xfId="0" applyNumberFormat="1" applyFill="1" applyBorder="1"/>
    <xf numFmtId="3" fontId="0" fillId="5" borderId="5" xfId="0" applyNumberFormat="1" applyFill="1" applyBorder="1"/>
    <xf numFmtId="3" fontId="0" fillId="5" borderId="7" xfId="0" applyNumberFormat="1" applyFill="1" applyBorder="1"/>
    <xf numFmtId="0" fontId="26" fillId="6" borderId="18" xfId="0" applyFont="1" applyFill="1" applyBorder="1" applyAlignment="1">
      <alignment horizontal="center"/>
    </xf>
    <xf numFmtId="3" fontId="26" fillId="6" borderId="18" xfId="0" applyNumberFormat="1" applyFont="1" applyFill="1" applyBorder="1"/>
    <xf numFmtId="0" fontId="0" fillId="6" borderId="4" xfId="0" applyFill="1" applyBorder="1"/>
    <xf numFmtId="3" fontId="6" fillId="6" borderId="7" xfId="0" applyNumberFormat="1" applyFont="1" applyFill="1" applyBorder="1"/>
    <xf numFmtId="0" fontId="6" fillId="6" borderId="18" xfId="0" applyFont="1" applyFill="1" applyBorder="1" applyAlignment="1">
      <alignment horizontal="center"/>
    </xf>
    <xf numFmtId="0" fontId="26" fillId="7" borderId="30" xfId="0" applyFont="1" applyFill="1" applyBorder="1" applyAlignment="1" applyProtection="1">
      <alignment horizontal="center"/>
      <protection locked="0"/>
    </xf>
    <xf numFmtId="0" fontId="0" fillId="6" borderId="13" xfId="0" applyFill="1" applyBorder="1"/>
    <xf numFmtId="3" fontId="0" fillId="6" borderId="13" xfId="0" applyNumberFormat="1" applyFill="1" applyBorder="1"/>
    <xf numFmtId="3" fontId="24" fillId="6" borderId="18" xfId="0" applyNumberFormat="1" applyFont="1" applyFill="1" applyBorder="1"/>
    <xf numFmtId="3" fontId="6" fillId="6" borderId="13" xfId="0" applyNumberFormat="1" applyFont="1" applyFill="1" applyBorder="1" applyProtection="1"/>
    <xf numFmtId="0" fontId="6" fillId="6" borderId="4" xfId="0" applyFont="1" applyFill="1" applyBorder="1" applyAlignment="1" applyProtection="1">
      <alignment horizontal="center" wrapText="1"/>
    </xf>
    <xf numFmtId="3" fontId="6" fillId="6" borderId="3" xfId="0" applyNumberFormat="1" applyFont="1" applyFill="1" applyBorder="1" applyProtection="1"/>
    <xf numFmtId="0" fontId="6" fillId="6" borderId="3" xfId="0" applyFont="1" applyFill="1" applyBorder="1" applyAlignment="1" applyProtection="1">
      <alignment horizontal="center"/>
    </xf>
    <xf numFmtId="3" fontId="6" fillId="7" borderId="3" xfId="0" applyNumberFormat="1" applyFont="1" applyFill="1" applyBorder="1" applyAlignment="1">
      <alignment horizontal="center" wrapText="1"/>
    </xf>
    <xf numFmtId="3" fontId="0" fillId="7" borderId="3" xfId="0" applyNumberFormat="1" applyFill="1" applyBorder="1" applyAlignment="1">
      <alignment wrapText="1"/>
    </xf>
    <xf numFmtId="169" fontId="0" fillId="7" borderId="3" xfId="0" applyNumberFormat="1" applyFill="1" applyBorder="1" applyAlignment="1">
      <alignment horizontal="right" wrapText="1"/>
    </xf>
    <xf numFmtId="3" fontId="0" fillId="6" borderId="3" xfId="0" applyNumberFormat="1" applyFill="1" applyBorder="1" applyAlignment="1">
      <alignment wrapText="1"/>
    </xf>
    <xf numFmtId="169" fontId="0" fillId="6" borderId="3" xfId="0" applyNumberFormat="1" applyFill="1" applyBorder="1" applyAlignment="1">
      <alignment horizontal="right" wrapText="1"/>
    </xf>
    <xf numFmtId="0" fontId="3" fillId="6" borderId="3" xfId="0" applyFont="1" applyFill="1" applyBorder="1" applyAlignment="1">
      <alignment horizontal="center" wrapText="1"/>
    </xf>
    <xf numFmtId="3" fontId="3" fillId="6" borderId="3" xfId="0" applyNumberFormat="1" applyFont="1" applyFill="1" applyBorder="1" applyProtection="1">
      <protection locked="0"/>
    </xf>
    <xf numFmtId="3" fontId="3" fillId="6" borderId="3" xfId="0" applyNumberFormat="1" applyFont="1" applyFill="1" applyBorder="1"/>
    <xf numFmtId="0" fontId="0" fillId="6" borderId="10" xfId="0" applyFill="1" applyBorder="1"/>
    <xf numFmtId="0" fontId="0" fillId="6" borderId="18" xfId="0" applyFill="1" applyBorder="1" applyAlignment="1">
      <alignment wrapText="1"/>
    </xf>
    <xf numFmtId="0" fontId="0" fillId="8" borderId="18" xfId="0" applyFill="1" applyBorder="1" applyAlignment="1">
      <alignment horizontal="right"/>
    </xf>
    <xf numFmtId="0" fontId="7" fillId="8" borderId="3" xfId="0" quotePrefix="1" applyFont="1" applyFill="1" applyBorder="1" applyAlignment="1">
      <alignment horizontal="center" wrapText="1"/>
    </xf>
    <xf numFmtId="0" fontId="6" fillId="7" borderId="30" xfId="0" applyFont="1" applyFill="1" applyBorder="1" applyAlignment="1" applyProtection="1">
      <alignment horizontal="center" wrapText="1"/>
      <protection locked="0"/>
    </xf>
    <xf numFmtId="0" fontId="6" fillId="7" borderId="30" xfId="0" applyFont="1" applyFill="1" applyBorder="1" applyAlignment="1" applyProtection="1">
      <alignment horizontal="center"/>
      <protection locked="0"/>
    </xf>
    <xf numFmtId="169" fontId="0" fillId="7" borderId="3" xfId="0" applyNumberFormat="1" applyFill="1" applyBorder="1" applyAlignment="1">
      <alignment horizontal="right"/>
    </xf>
    <xf numFmtId="169" fontId="3" fillId="6" borderId="3" xfId="0" applyNumberFormat="1" applyFont="1" applyFill="1" applyBorder="1" applyAlignment="1">
      <alignment horizontal="right"/>
    </xf>
    <xf numFmtId="3" fontId="0" fillId="6" borderId="3" xfId="0" applyNumberFormat="1" applyFill="1" applyBorder="1" applyAlignment="1">
      <alignment horizontal="right" wrapText="1"/>
    </xf>
    <xf numFmtId="3" fontId="0" fillId="7" borderId="3" xfId="0" applyNumberFormat="1" applyFill="1" applyBorder="1" applyAlignment="1">
      <alignment horizontal="right" wrapText="1"/>
    </xf>
    <xf numFmtId="0" fontId="7" fillId="0" borderId="0" xfId="0" applyFont="1" applyBorder="1" applyAlignment="1">
      <alignment horizontal="center" vertical="top" wrapText="1"/>
    </xf>
    <xf numFmtId="0" fontId="6" fillId="0" borderId="1" xfId="0" applyFont="1" applyBorder="1" applyAlignment="1">
      <alignment wrapText="1"/>
    </xf>
    <xf numFmtId="4" fontId="22" fillId="2" borderId="4" xfId="0" applyNumberFormat="1" applyFont="1" applyFill="1" applyBorder="1" applyAlignment="1">
      <alignment horizontal="center"/>
    </xf>
    <xf numFmtId="168" fontId="22" fillId="2" borderId="3" xfId="0" applyNumberFormat="1" applyFont="1" applyFill="1" applyBorder="1"/>
    <xf numFmtId="0" fontId="7" fillId="0" borderId="0" xfId="0" applyFont="1" applyBorder="1" applyAlignment="1">
      <alignment horizontal="center"/>
    </xf>
    <xf numFmtId="168" fontId="22" fillId="0" borderId="0" xfId="0" applyNumberFormat="1" applyFont="1" applyFill="1" applyBorder="1"/>
    <xf numFmtId="171" fontId="0" fillId="0" borderId="0" xfId="0" applyNumberFormat="1" applyFill="1" applyBorder="1"/>
    <xf numFmtId="0" fontId="0" fillId="0" borderId="0" xfId="0" applyAlignment="1">
      <alignment horizontal="left"/>
    </xf>
    <xf numFmtId="0" fontId="6" fillId="0" borderId="2" xfId="0" applyFont="1" applyBorder="1"/>
    <xf numFmtId="0" fontId="3" fillId="7" borderId="30" xfId="0" applyFont="1" applyFill="1" applyBorder="1" applyAlignment="1" applyProtection="1">
      <alignment horizontal="left" wrapText="1"/>
      <protection locked="0"/>
    </xf>
    <xf numFmtId="169" fontId="22" fillId="2" borderId="3" xfId="0" applyNumberFormat="1" applyFont="1" applyFill="1" applyBorder="1"/>
    <xf numFmtId="0" fontId="7" fillId="9" borderId="3" xfId="0" applyFont="1" applyFill="1" applyBorder="1" applyAlignment="1">
      <alignment horizontal="center" wrapText="1"/>
    </xf>
    <xf numFmtId="169" fontId="0" fillId="0" borderId="3" xfId="0" applyNumberFormat="1" applyFill="1" applyBorder="1" applyAlignment="1">
      <alignment horizontal="right" wrapText="1"/>
    </xf>
    <xf numFmtId="0" fontId="0" fillId="10" borderId="0" xfId="0" applyFill="1" applyAlignment="1">
      <alignment wrapText="1"/>
    </xf>
    <xf numFmtId="0" fontId="0" fillId="10" borderId="3" xfId="0" applyFill="1" applyBorder="1" applyAlignment="1">
      <alignment wrapText="1"/>
    </xf>
    <xf numFmtId="0" fontId="6" fillId="10" borderId="3" xfId="0" applyFont="1" applyFill="1" applyBorder="1" applyAlignment="1">
      <alignment wrapText="1"/>
    </xf>
    <xf numFmtId="3" fontId="0" fillId="7" borderId="0" xfId="0" applyNumberFormat="1" applyFill="1"/>
    <xf numFmtId="3" fontId="25" fillId="6" borderId="3" xfId="1" applyNumberFormat="1" applyFont="1" applyFill="1" applyBorder="1" applyAlignment="1"/>
    <xf numFmtId="3" fontId="25" fillId="6" borderId="0" xfId="1" applyNumberFormat="1" applyFont="1" applyFill="1" applyAlignment="1"/>
    <xf numFmtId="3" fontId="25" fillId="6" borderId="7" xfId="1" applyNumberFormat="1" applyFont="1" applyFill="1" applyBorder="1" applyAlignment="1"/>
    <xf numFmtId="3" fontId="6" fillId="6" borderId="3" xfId="1" applyNumberFormat="1" applyFont="1" applyFill="1" applyBorder="1" applyAlignment="1"/>
    <xf numFmtId="3" fontId="0" fillId="6" borderId="3" xfId="0" applyNumberFormat="1" applyFill="1" applyBorder="1" applyAlignment="1"/>
    <xf numFmtId="169" fontId="0" fillId="6" borderId="3" xfId="0" applyNumberFormat="1" applyFill="1" applyBorder="1" applyAlignment="1"/>
    <xf numFmtId="0" fontId="6" fillId="5" borderId="0" xfId="0" applyFont="1" applyFill="1" applyAlignment="1">
      <alignment wrapText="1"/>
    </xf>
    <xf numFmtId="0" fontId="0" fillId="7" borderId="0" xfId="0" applyFill="1" applyProtection="1">
      <protection locked="0"/>
    </xf>
    <xf numFmtId="0" fontId="6" fillId="7" borderId="0" xfId="0" applyFont="1" applyFill="1" applyProtection="1">
      <protection locked="0"/>
    </xf>
    <xf numFmtId="0" fontId="0" fillId="7" borderId="0" xfId="0" applyFill="1" applyBorder="1" applyProtection="1">
      <protection locked="0"/>
    </xf>
    <xf numFmtId="0" fontId="0" fillId="0" borderId="0" xfId="0" applyFill="1" applyProtection="1">
      <protection locked="0"/>
    </xf>
    <xf numFmtId="0" fontId="3" fillId="7" borderId="0" xfId="0" applyFont="1" applyFill="1" applyBorder="1" applyAlignment="1">
      <alignment wrapText="1"/>
    </xf>
    <xf numFmtId="169" fontId="3" fillId="7" borderId="0" xfId="0" applyNumberFormat="1" applyFont="1" applyFill="1" applyBorder="1"/>
    <xf numFmtId="3" fontId="0" fillId="0" borderId="3" xfId="0" applyNumberFormat="1" applyFill="1" applyBorder="1" applyAlignment="1">
      <alignment horizontal="right" wrapText="1"/>
    </xf>
    <xf numFmtId="9" fontId="27" fillId="7" borderId="3" xfId="3" applyFont="1" applyFill="1" applyBorder="1" applyAlignment="1">
      <alignment horizontal="right" wrapText="1"/>
    </xf>
    <xf numFmtId="9" fontId="3" fillId="6" borderId="3" xfId="3" applyFont="1" applyFill="1" applyBorder="1"/>
    <xf numFmtId="169" fontId="0" fillId="7" borderId="0" xfId="0" applyNumberFormat="1" applyFill="1"/>
    <xf numFmtId="166" fontId="0" fillId="7" borderId="0" xfId="0" applyNumberFormat="1" applyFill="1"/>
    <xf numFmtId="0" fontId="3" fillId="6" borderId="12" xfId="0" applyFont="1" applyFill="1" applyBorder="1" applyAlignment="1">
      <alignment horizontal="left"/>
    </xf>
    <xf numFmtId="0" fontId="3" fillId="6" borderId="32" xfId="0" applyFont="1" applyFill="1" applyBorder="1" applyAlignment="1">
      <alignment horizontal="left"/>
    </xf>
    <xf numFmtId="3" fontId="6" fillId="6" borderId="12" xfId="0" applyNumberFormat="1" applyFont="1" applyFill="1" applyBorder="1" applyAlignment="1">
      <alignment horizontal="left" wrapText="1"/>
    </xf>
    <xf numFmtId="3" fontId="3" fillId="6" borderId="32" xfId="0" applyNumberFormat="1" applyFont="1" applyFill="1" applyBorder="1" applyAlignment="1">
      <alignment horizontal="left"/>
    </xf>
    <xf numFmtId="0" fontId="0" fillId="6" borderId="12" xfId="0" applyFill="1" applyBorder="1" applyAlignment="1">
      <alignment horizontal="left"/>
    </xf>
    <xf numFmtId="0" fontId="3" fillId="6" borderId="32" xfId="0" applyFont="1" applyFill="1" applyBorder="1" applyAlignment="1">
      <alignment horizontal="center"/>
    </xf>
    <xf numFmtId="0" fontId="0" fillId="6" borderId="12" xfId="0" applyFill="1" applyBorder="1" applyAlignment="1">
      <alignment horizontal="center"/>
    </xf>
    <xf numFmtId="0" fontId="0" fillId="6" borderId="12" xfId="0" applyFill="1" applyBorder="1" applyAlignment="1">
      <alignment horizontal="center" wrapText="1"/>
    </xf>
    <xf numFmtId="0" fontId="0" fillId="6" borderId="32" xfId="0" applyFill="1" applyBorder="1" applyAlignment="1">
      <alignment horizontal="center" wrapText="1"/>
    </xf>
    <xf numFmtId="0" fontId="6" fillId="6" borderId="9" xfId="0" applyFont="1" applyFill="1" applyBorder="1" applyAlignment="1">
      <alignment wrapText="1"/>
    </xf>
    <xf numFmtId="0" fontId="3" fillId="6" borderId="1" xfId="0" applyFont="1" applyFill="1" applyBorder="1"/>
    <xf numFmtId="0" fontId="6" fillId="6" borderId="6" xfId="0" applyFont="1" applyFill="1" applyBorder="1" applyAlignment="1">
      <alignment horizontal="left"/>
    </xf>
    <xf numFmtId="0" fontId="6" fillId="6" borderId="2" xfId="0" applyFont="1" applyFill="1" applyBorder="1" applyAlignment="1">
      <alignment horizontal="center"/>
    </xf>
    <xf numFmtId="0" fontId="6" fillId="0" borderId="26" xfId="0" applyFont="1" applyFill="1" applyBorder="1" applyAlignment="1" applyProtection="1">
      <alignment horizontal="center" wrapText="1"/>
      <protection locked="0"/>
    </xf>
    <xf numFmtId="0" fontId="6" fillId="0" borderId="24" xfId="0" applyFont="1" applyFill="1" applyBorder="1" applyAlignment="1" applyProtection="1">
      <alignment horizontal="center" wrapText="1"/>
      <protection locked="0"/>
    </xf>
    <xf numFmtId="0" fontId="6" fillId="0" borderId="25" xfId="0" applyFont="1" applyFill="1" applyBorder="1" applyAlignment="1" applyProtection="1">
      <alignment horizontal="center" wrapText="1"/>
      <protection locked="0"/>
    </xf>
    <xf numFmtId="0" fontId="36" fillId="6" borderId="13" xfId="0" applyFont="1" applyFill="1" applyBorder="1"/>
    <xf numFmtId="0" fontId="0" fillId="11" borderId="0" xfId="0" applyFill="1"/>
    <xf numFmtId="1" fontId="6" fillId="0" borderId="0" xfId="0" applyNumberFormat="1" applyFont="1" applyFill="1" applyBorder="1"/>
    <xf numFmtId="171" fontId="6" fillId="0" borderId="0" xfId="0" applyNumberFormat="1" applyFont="1" applyFill="1" applyBorder="1"/>
    <xf numFmtId="166" fontId="6" fillId="0" borderId="0" xfId="0" applyNumberFormat="1" applyFont="1" applyFill="1" applyBorder="1"/>
    <xf numFmtId="169" fontId="6" fillId="6" borderId="7" xfId="0" applyNumberFormat="1" applyFont="1" applyFill="1" applyBorder="1"/>
    <xf numFmtId="165" fontId="6" fillId="6" borderId="7" xfId="0" applyNumberFormat="1" applyFont="1" applyFill="1" applyBorder="1" applyProtection="1"/>
    <xf numFmtId="0" fontId="0" fillId="6" borderId="12" xfId="0" applyFill="1" applyBorder="1"/>
    <xf numFmtId="3" fontId="6" fillId="6" borderId="4" xfId="0" applyNumberFormat="1" applyFont="1" applyFill="1" applyBorder="1" applyProtection="1"/>
    <xf numFmtId="0" fontId="6" fillId="6" borderId="0" xfId="0" applyFont="1" applyFill="1" applyBorder="1" applyAlignment="1">
      <alignment wrapText="1"/>
    </xf>
    <xf numFmtId="1" fontId="0" fillId="3" borderId="3" xfId="0" applyNumberFormat="1" applyFill="1" applyBorder="1"/>
    <xf numFmtId="0" fontId="0" fillId="0" borderId="3" xfId="0" applyBorder="1"/>
    <xf numFmtId="0" fontId="0" fillId="0" borderId="0" xfId="0" applyAlignment="1">
      <alignment horizontal="right"/>
    </xf>
    <xf numFmtId="170" fontId="28" fillId="0" borderId="3" xfId="1" applyNumberFormat="1" applyFont="1" applyBorder="1" applyAlignment="1">
      <alignment horizontal="right" wrapText="1"/>
    </xf>
    <xf numFmtId="0" fontId="42" fillId="0" borderId="0" xfId="0" applyFont="1" applyAlignment="1">
      <alignment horizontal="left" vertical="top" wrapText="1"/>
    </xf>
    <xf numFmtId="0" fontId="17" fillId="0" borderId="0" xfId="2" applyAlignment="1" applyProtection="1">
      <alignment horizontal="left" vertical="top" wrapText="1"/>
    </xf>
    <xf numFmtId="15" fontId="42" fillId="0" borderId="0" xfId="0" applyNumberFormat="1" applyFont="1" applyAlignment="1">
      <alignment horizontal="left" vertical="top" wrapText="1"/>
    </xf>
    <xf numFmtId="0" fontId="42" fillId="0" borderId="3" xfId="0" applyFont="1" applyBorder="1" applyAlignment="1">
      <alignment horizontal="left" vertical="top" wrapText="1"/>
    </xf>
    <xf numFmtId="0" fontId="3" fillId="0" borderId="3" xfId="0" applyFont="1" applyBorder="1" applyAlignment="1">
      <alignment horizontal="left"/>
    </xf>
    <xf numFmtId="0" fontId="0" fillId="0" borderId="0" xfId="0" applyBorder="1" applyAlignment="1">
      <alignment horizontal="left"/>
    </xf>
    <xf numFmtId="0" fontId="3" fillId="0" borderId="3" xfId="0" applyFont="1" applyBorder="1" applyAlignment="1">
      <alignment horizontal="left" wrapText="1"/>
    </xf>
    <xf numFmtId="3" fontId="6" fillId="7" borderId="26" xfId="0" applyNumberFormat="1" applyFont="1" applyFill="1" applyBorder="1" applyAlignment="1" applyProtection="1">
      <alignment horizontal="left" wrapText="1"/>
      <protection locked="0"/>
    </xf>
    <xf numFmtId="3" fontId="39" fillId="3" borderId="3" xfId="0" applyNumberFormat="1" applyFont="1" applyFill="1" applyBorder="1"/>
    <xf numFmtId="0" fontId="37" fillId="6" borderId="3" xfId="0" applyFont="1" applyFill="1" applyBorder="1"/>
    <xf numFmtId="0" fontId="37" fillId="6" borderId="0" xfId="0" applyFont="1" applyFill="1" applyBorder="1" applyAlignment="1">
      <alignment wrapText="1"/>
    </xf>
    <xf numFmtId="0" fontId="6" fillId="0" borderId="0" xfId="0" applyFont="1" applyFill="1" applyBorder="1" applyAlignment="1">
      <alignment vertical="center"/>
    </xf>
    <xf numFmtId="170" fontId="28" fillId="0" borderId="3" xfId="1" applyNumberFormat="1" applyFont="1" applyFill="1" applyBorder="1" applyAlignment="1">
      <alignment horizontal="right" vertical="center" wrapText="1"/>
    </xf>
    <xf numFmtId="0" fontId="6" fillId="0" borderId="0" xfId="0" applyFont="1" applyFill="1" applyAlignment="1">
      <alignment vertical="center"/>
    </xf>
    <xf numFmtId="0" fontId="17" fillId="0" borderId="0" xfId="2" applyAlignment="1" applyProtection="1"/>
    <xf numFmtId="0" fontId="6" fillId="0" borderId="0" xfId="0" applyFont="1" applyAlignment="1">
      <alignment vertical="center"/>
    </xf>
    <xf numFmtId="0" fontId="6" fillId="0" borderId="3" xfId="0" applyFont="1" applyFill="1" applyBorder="1" applyAlignment="1">
      <alignment vertical="center"/>
    </xf>
    <xf numFmtId="0" fontId="6" fillId="0" borderId="3" xfId="0" applyFont="1" applyFill="1" applyBorder="1"/>
    <xf numFmtId="1" fontId="6" fillId="0" borderId="3" xfId="0" applyNumberFormat="1" applyFont="1" applyFill="1" applyBorder="1" applyAlignment="1">
      <alignment vertical="center"/>
    </xf>
    <xf numFmtId="171" fontId="6" fillId="0" borderId="3" xfId="0" applyNumberFormat="1" applyFont="1" applyFill="1" applyBorder="1"/>
    <xf numFmtId="1" fontId="6" fillId="0" borderId="3" xfId="0" applyNumberFormat="1" applyFont="1" applyFill="1" applyBorder="1"/>
    <xf numFmtId="3" fontId="6" fillId="0" borderId="3" xfId="0" applyNumberFormat="1" applyFont="1" applyFill="1" applyBorder="1"/>
    <xf numFmtId="0" fontId="43" fillId="0" borderId="3" xfId="0" applyFont="1" applyFill="1" applyBorder="1" applyAlignment="1">
      <alignment vertical="center"/>
    </xf>
    <xf numFmtId="170" fontId="28" fillId="0" borderId="3" xfId="1" applyNumberFormat="1" applyFont="1" applyFill="1" applyBorder="1" applyAlignment="1">
      <alignment horizontal="right" wrapText="1"/>
    </xf>
    <xf numFmtId="170" fontId="28" fillId="0" borderId="3" xfId="1" applyNumberFormat="1" applyFont="1" applyBorder="1"/>
    <xf numFmtId="2" fontId="6" fillId="0" borderId="3" xfId="0" applyNumberFormat="1" applyFont="1" applyFill="1" applyBorder="1"/>
    <xf numFmtId="1" fontId="3" fillId="0" borderId="3" xfId="0" applyNumberFormat="1" applyFont="1" applyFill="1" applyBorder="1" applyAlignment="1">
      <alignment horizontal="right"/>
    </xf>
    <xf numFmtId="0" fontId="3" fillId="0" borderId="0" xfId="0" applyFont="1" applyFill="1" applyAlignment="1">
      <alignment horizontal="right"/>
    </xf>
    <xf numFmtId="0" fontId="3" fillId="0" borderId="0" xfId="0" applyFont="1" applyFill="1" applyAlignment="1">
      <alignment horizontal="left"/>
    </xf>
    <xf numFmtId="1" fontId="0" fillId="0" borderId="0" xfId="0" applyNumberFormat="1"/>
    <xf numFmtId="1" fontId="0" fillId="0" borderId="3" xfId="0" applyNumberFormat="1" applyBorder="1"/>
    <xf numFmtId="0" fontId="6" fillId="0" borderId="3" xfId="0" applyFont="1" applyBorder="1" applyAlignment="1">
      <alignment horizontal="left" wrapText="1"/>
    </xf>
    <xf numFmtId="1" fontId="6" fillId="0" borderId="3" xfId="0" applyNumberFormat="1" applyFont="1" applyBorder="1"/>
    <xf numFmtId="0" fontId="3" fillId="6" borderId="3" xfId="0" applyFont="1" applyFill="1" applyBorder="1" applyAlignment="1" applyProtection="1"/>
    <xf numFmtId="0" fontId="6" fillId="6" borderId="3" xfId="0" applyFont="1" applyFill="1" applyBorder="1" applyAlignment="1" applyProtection="1">
      <alignment wrapText="1"/>
    </xf>
    <xf numFmtId="3" fontId="6" fillId="6" borderId="3" xfId="0" applyNumberFormat="1" applyFont="1" applyFill="1" applyBorder="1" applyAlignment="1" applyProtection="1">
      <alignment horizontal="right"/>
    </xf>
    <xf numFmtId="167" fontId="6" fillId="6" borderId="3" xfId="0" applyNumberFormat="1" applyFont="1" applyFill="1" applyBorder="1" applyAlignment="1" applyProtection="1">
      <alignment horizontal="right" wrapText="1"/>
    </xf>
    <xf numFmtId="3" fontId="6" fillId="6" borderId="3" xfId="0" applyNumberFormat="1" applyFont="1" applyFill="1" applyBorder="1" applyAlignment="1" applyProtection="1">
      <alignment horizontal="right" wrapText="1"/>
    </xf>
    <xf numFmtId="0" fontId="36" fillId="7" borderId="0" xfId="0" applyFont="1" applyFill="1"/>
    <xf numFmtId="0" fontId="0" fillId="6" borderId="22" xfId="0" applyFill="1" applyBorder="1" applyAlignment="1">
      <alignment wrapText="1"/>
    </xf>
    <xf numFmtId="0" fontId="0" fillId="6" borderId="20" xfId="0" applyFill="1" applyBorder="1" applyAlignment="1">
      <alignment wrapText="1"/>
    </xf>
    <xf numFmtId="0" fontId="0" fillId="6" borderId="14" xfId="0" applyFill="1" applyBorder="1" applyAlignment="1">
      <alignment wrapText="1"/>
    </xf>
    <xf numFmtId="0" fontId="0" fillId="6" borderId="19" xfId="0" applyFill="1" applyBorder="1" applyAlignment="1">
      <alignment wrapText="1"/>
    </xf>
    <xf numFmtId="0" fontId="0" fillId="6" borderId="33" xfId="0" applyFill="1" applyBorder="1" applyAlignment="1">
      <alignment wrapText="1"/>
    </xf>
    <xf numFmtId="0" fontId="0" fillId="6" borderId="21" xfId="0" applyFill="1" applyBorder="1" applyAlignment="1">
      <alignment wrapText="1"/>
    </xf>
    <xf numFmtId="0" fontId="0" fillId="6" borderId="35" xfId="0" applyFill="1" applyBorder="1"/>
    <xf numFmtId="0" fontId="0" fillId="6" borderId="14" xfId="0" applyFill="1" applyBorder="1"/>
    <xf numFmtId="0" fontId="6" fillId="6" borderId="22" xfId="0" applyFont="1" applyFill="1" applyBorder="1" applyAlignment="1">
      <alignment wrapText="1"/>
    </xf>
    <xf numFmtId="3" fontId="3" fillId="6" borderId="3" xfId="0" applyNumberFormat="1" applyFont="1" applyFill="1" applyBorder="1" applyAlignment="1">
      <alignment wrapText="1"/>
    </xf>
    <xf numFmtId="169" fontId="3" fillId="6" borderId="3" xfId="0" applyNumberFormat="1" applyFont="1" applyFill="1" applyBorder="1" applyAlignment="1">
      <alignment horizontal="right" wrapText="1"/>
    </xf>
    <xf numFmtId="3" fontId="6" fillId="0" borderId="3" xfId="0" applyNumberFormat="1" applyFont="1" applyFill="1" applyBorder="1" applyAlignment="1" applyProtection="1">
      <alignment horizontal="right" wrapText="1"/>
      <protection locked="0"/>
    </xf>
    <xf numFmtId="0" fontId="6" fillId="6" borderId="7" xfId="0" applyFont="1" applyFill="1" applyBorder="1" applyAlignment="1">
      <alignment wrapText="1"/>
    </xf>
    <xf numFmtId="0" fontId="0" fillId="6" borderId="7" xfId="0" applyFill="1" applyBorder="1" applyAlignment="1">
      <alignment wrapText="1"/>
    </xf>
    <xf numFmtId="0" fontId="37" fillId="7" borderId="0" xfId="0" applyFont="1" applyFill="1"/>
    <xf numFmtId="170" fontId="29" fillId="7" borderId="0" xfId="1" applyNumberFormat="1" applyFont="1" applyFill="1"/>
    <xf numFmtId="169" fontId="0" fillId="0" borderId="3" xfId="0" applyNumberFormat="1" applyFill="1" applyBorder="1" applyAlignment="1">
      <alignment horizontal="right"/>
    </xf>
    <xf numFmtId="169" fontId="37" fillId="7" borderId="0" xfId="0" applyNumberFormat="1" applyFont="1" applyFill="1"/>
    <xf numFmtId="0" fontId="6" fillId="0" borderId="0" xfId="0" quotePrefix="1" applyFont="1"/>
    <xf numFmtId="0" fontId="37" fillId="0" borderId="0" xfId="0" applyFont="1" applyAlignment="1">
      <alignment wrapText="1"/>
    </xf>
    <xf numFmtId="0" fontId="6" fillId="0" borderId="0" xfId="0" quotePrefix="1" applyFont="1" applyFill="1"/>
    <xf numFmtId="17" fontId="6" fillId="0" borderId="0" xfId="0" quotePrefix="1" applyNumberFormat="1" applyFont="1"/>
    <xf numFmtId="0" fontId="6" fillId="0" borderId="6" xfId="0" quotePrefix="1" applyFont="1" applyBorder="1"/>
    <xf numFmtId="2" fontId="6" fillId="6" borderId="7" xfId="0" applyNumberFormat="1" applyFont="1" applyFill="1" applyBorder="1"/>
    <xf numFmtId="0" fontId="6" fillId="0" borderId="0" xfId="0" applyFont="1" applyFill="1" applyBorder="1" applyAlignment="1">
      <alignment wrapText="1"/>
    </xf>
    <xf numFmtId="165" fontId="0" fillId="0" borderId="0" xfId="0" applyNumberFormat="1" applyFill="1" applyBorder="1"/>
    <xf numFmtId="165" fontId="6" fillId="0" borderId="0" xfId="0" applyNumberFormat="1" applyFont="1" applyFill="1" applyBorder="1"/>
    <xf numFmtId="0" fontId="44" fillId="0" borderId="0" xfId="0" applyFont="1" applyFill="1" applyBorder="1" applyAlignment="1">
      <alignment horizontal="right" wrapText="1"/>
    </xf>
    <xf numFmtId="0" fontId="45" fillId="0" borderId="0" xfId="0" applyFont="1" applyFill="1" applyBorder="1" applyAlignment="1">
      <alignment horizontal="right" wrapText="1"/>
    </xf>
    <xf numFmtId="0" fontId="46" fillId="0" borderId="0" xfId="0" applyFont="1" applyFill="1" applyBorder="1" applyAlignment="1">
      <alignment horizontal="center" wrapText="1"/>
    </xf>
    <xf numFmtId="0" fontId="44" fillId="0" borderId="0" xfId="0" applyFont="1" applyFill="1" applyBorder="1" applyAlignment="1">
      <alignment horizontal="left" wrapText="1"/>
    </xf>
    <xf numFmtId="0" fontId="36" fillId="12" borderId="7" xfId="0" applyFont="1" applyFill="1" applyBorder="1" applyAlignment="1">
      <alignment horizontal="center" wrapText="1"/>
    </xf>
    <xf numFmtId="170" fontId="6" fillId="12" borderId="7" xfId="1" applyNumberFormat="1" applyFont="1" applyFill="1" applyBorder="1"/>
    <xf numFmtId="170" fontId="30" fillId="12" borderId="7" xfId="1" applyNumberFormat="1" applyFont="1" applyFill="1" applyBorder="1"/>
    <xf numFmtId="170" fontId="6" fillId="6" borderId="7" xfId="1" applyNumberFormat="1" applyFont="1" applyFill="1" applyBorder="1"/>
    <xf numFmtId="170" fontId="6" fillId="0" borderId="26" xfId="1" applyNumberFormat="1" applyFont="1" applyFill="1" applyBorder="1" applyAlignment="1" applyProtection="1">
      <alignment horizontal="center" wrapText="1"/>
      <protection locked="0"/>
    </xf>
    <xf numFmtId="170" fontId="6" fillId="0" borderId="36" xfId="1" applyNumberFormat="1" applyFont="1" applyFill="1" applyBorder="1" applyAlignment="1" applyProtection="1">
      <alignment horizontal="center" wrapText="1"/>
      <protection locked="0"/>
    </xf>
    <xf numFmtId="170" fontId="6" fillId="0" borderId="24" xfId="1" applyNumberFormat="1" applyFont="1" applyFill="1" applyBorder="1" applyAlignment="1" applyProtection="1">
      <alignment horizontal="center" wrapText="1"/>
      <protection locked="0"/>
    </xf>
    <xf numFmtId="170" fontId="6" fillId="0" borderId="25" xfId="1" applyNumberFormat="1" applyFont="1" applyFill="1" applyBorder="1" applyAlignment="1" applyProtection="1">
      <alignment horizontal="center" wrapText="1"/>
      <protection locked="0"/>
    </xf>
    <xf numFmtId="0" fontId="6" fillId="7" borderId="0" xfId="0" applyFont="1" applyFill="1" applyBorder="1" applyAlignment="1">
      <alignment wrapText="1"/>
    </xf>
    <xf numFmtId="0" fontId="6" fillId="7" borderId="0" xfId="0" applyFont="1" applyFill="1" applyBorder="1" applyAlignment="1" applyProtection="1">
      <alignment horizontal="center" wrapText="1"/>
      <protection locked="0"/>
    </xf>
    <xf numFmtId="0" fontId="0" fillId="7" borderId="0" xfId="0" applyFill="1" applyBorder="1" applyAlignment="1">
      <alignment wrapText="1"/>
    </xf>
    <xf numFmtId="0" fontId="3" fillId="7" borderId="0" xfId="0" applyFont="1" applyFill="1" applyBorder="1" applyAlignment="1" applyProtection="1">
      <alignment horizontal="center"/>
      <protection locked="0"/>
    </xf>
    <xf numFmtId="0" fontId="44" fillId="7" borderId="0" xfId="0" applyFont="1" applyFill="1" applyBorder="1" applyAlignment="1">
      <alignment horizontal="right" wrapText="1"/>
    </xf>
    <xf numFmtId="0" fontId="45" fillId="7" borderId="0" xfId="0" applyFont="1" applyFill="1" applyBorder="1" applyAlignment="1">
      <alignment horizontal="right" wrapText="1"/>
    </xf>
    <xf numFmtId="0" fontId="46" fillId="7" borderId="0" xfId="0" applyFont="1" applyFill="1" applyBorder="1" applyAlignment="1">
      <alignment horizontal="center" wrapText="1"/>
    </xf>
    <xf numFmtId="170" fontId="44" fillId="7" borderId="0" xfId="1" applyNumberFormat="1" applyFont="1" applyFill="1" applyBorder="1" applyAlignment="1">
      <alignment horizontal="right" wrapText="1"/>
    </xf>
    <xf numFmtId="165" fontId="0" fillId="7" borderId="0" xfId="0" applyNumberFormat="1" applyFill="1" applyBorder="1"/>
    <xf numFmtId="171" fontId="0" fillId="7" borderId="0" xfId="0" applyNumberFormat="1" applyFill="1" applyBorder="1"/>
    <xf numFmtId="165" fontId="6" fillId="7" borderId="0" xfId="0" applyNumberFormat="1" applyFont="1" applyFill="1" applyBorder="1"/>
    <xf numFmtId="171" fontId="6" fillId="7" borderId="0" xfId="0" applyNumberFormat="1" applyFont="1" applyFill="1" applyBorder="1"/>
    <xf numFmtId="170" fontId="30" fillId="7" borderId="0" xfId="1" applyNumberFormat="1" applyFont="1" applyFill="1" applyBorder="1"/>
    <xf numFmtId="170" fontId="45" fillId="7" borderId="0" xfId="1" applyNumberFormat="1" applyFont="1" applyFill="1" applyBorder="1" applyAlignment="1">
      <alignment horizontal="right" wrapText="1"/>
    </xf>
    <xf numFmtId="0" fontId="44" fillId="7" borderId="0" xfId="0" applyFont="1" applyFill="1" applyBorder="1" applyAlignment="1">
      <alignment wrapText="1"/>
    </xf>
    <xf numFmtId="0" fontId="44" fillId="7" borderId="0" xfId="0" applyFont="1" applyFill="1" applyBorder="1" applyAlignment="1">
      <alignment horizontal="left" wrapText="1"/>
    </xf>
    <xf numFmtId="2" fontId="0" fillId="7" borderId="0" xfId="0" applyNumberFormat="1" applyFill="1" applyBorder="1"/>
    <xf numFmtId="0" fontId="44" fillId="7" borderId="0" xfId="0" applyFont="1" applyFill="1" applyBorder="1"/>
    <xf numFmtId="173" fontId="6" fillId="7" borderId="0" xfId="0" applyNumberFormat="1" applyFont="1" applyFill="1" applyBorder="1"/>
    <xf numFmtId="166" fontId="0" fillId="7" borderId="0" xfId="0" applyNumberFormat="1" applyFill="1" applyBorder="1"/>
    <xf numFmtId="2" fontId="0" fillId="2" borderId="3" xfId="0" applyNumberFormat="1" applyFill="1" applyBorder="1"/>
    <xf numFmtId="0" fontId="35" fillId="3" borderId="3" xfId="0" applyFont="1" applyFill="1" applyBorder="1" applyAlignment="1">
      <alignment wrapText="1"/>
    </xf>
    <xf numFmtId="0" fontId="0" fillId="11" borderId="3" xfId="0" applyFill="1" applyBorder="1" applyAlignment="1">
      <alignment wrapText="1"/>
    </xf>
    <xf numFmtId="0" fontId="36" fillId="0" borderId="0" xfId="0" applyFont="1" applyAlignment="1">
      <alignment wrapText="1"/>
    </xf>
    <xf numFmtId="172" fontId="0" fillId="0" borderId="0" xfId="0" applyNumberFormat="1" applyFont="1"/>
    <xf numFmtId="0" fontId="34" fillId="0" borderId="0" xfId="0" applyFont="1" applyAlignment="1">
      <alignment wrapText="1"/>
    </xf>
    <xf numFmtId="0" fontId="0" fillId="0" borderId="0" xfId="0" applyFont="1" applyAlignment="1">
      <alignment wrapText="1"/>
    </xf>
    <xf numFmtId="0" fontId="33" fillId="0" borderId="0" xfId="0" applyFont="1" applyAlignment="1">
      <alignment wrapText="1"/>
    </xf>
    <xf numFmtId="170" fontId="0" fillId="0" borderId="0" xfId="1" applyNumberFormat="1" applyFont="1"/>
    <xf numFmtId="0" fontId="43" fillId="0" borderId="0" xfId="0" applyFont="1"/>
    <xf numFmtId="0" fontId="43" fillId="0" borderId="0" xfId="0" applyFont="1" applyAlignment="1">
      <alignment wrapText="1"/>
    </xf>
    <xf numFmtId="0" fontId="47" fillId="3" borderId="3" xfId="0" applyFont="1" applyFill="1" applyBorder="1" applyAlignment="1">
      <alignment wrapText="1"/>
    </xf>
    <xf numFmtId="3" fontId="0" fillId="0" borderId="0" xfId="0" applyNumberFormat="1"/>
    <xf numFmtId="3" fontId="6" fillId="0" borderId="28" xfId="0" applyNumberFormat="1" applyFont="1" applyFill="1" applyBorder="1" applyProtection="1">
      <protection locked="0"/>
    </xf>
    <xf numFmtId="3" fontId="0" fillId="7" borderId="3" xfId="0" applyNumberFormat="1" applyFill="1" applyBorder="1" applyAlignment="1">
      <alignment horizontal="right"/>
    </xf>
    <xf numFmtId="0" fontId="37" fillId="7" borderId="0" xfId="0" applyFont="1" applyFill="1" applyAlignment="1">
      <alignment horizontal="center"/>
    </xf>
    <xf numFmtId="0" fontId="48" fillId="7" borderId="0" xfId="0" applyFont="1" applyFill="1"/>
    <xf numFmtId="0" fontId="43" fillId="7" borderId="0" xfId="0" applyFont="1" applyFill="1"/>
    <xf numFmtId="0" fontId="1" fillId="7" borderId="0" xfId="0" applyFont="1" applyFill="1"/>
    <xf numFmtId="0" fontId="49" fillId="7" borderId="0" xfId="0" applyFont="1" applyFill="1"/>
    <xf numFmtId="0" fontId="6" fillId="6" borderId="34" xfId="0" applyFont="1" applyFill="1" applyBorder="1" applyAlignment="1">
      <alignment horizontal="center" wrapText="1"/>
    </xf>
    <xf numFmtId="0" fontId="0" fillId="7" borderId="34" xfId="0" applyFill="1" applyBorder="1" applyProtection="1">
      <protection locked="0"/>
    </xf>
    <xf numFmtId="0" fontId="0" fillId="7" borderId="6" xfId="0" applyFill="1" applyBorder="1" applyProtection="1">
      <protection locked="0"/>
    </xf>
    <xf numFmtId="0" fontId="0" fillId="7" borderId="39" xfId="0" applyFill="1" applyBorder="1" applyProtection="1">
      <protection locked="0"/>
    </xf>
    <xf numFmtId="0" fontId="0" fillId="6" borderId="40" xfId="0" applyFill="1" applyBorder="1" applyAlignment="1">
      <alignment wrapText="1"/>
    </xf>
    <xf numFmtId="0" fontId="0" fillId="6" borderId="41" xfId="0" applyFill="1" applyBorder="1" applyAlignment="1">
      <alignment wrapText="1"/>
    </xf>
    <xf numFmtId="0" fontId="0" fillId="6" borderId="42" xfId="0" applyFill="1" applyBorder="1" applyAlignment="1">
      <alignment wrapText="1"/>
    </xf>
    <xf numFmtId="3" fontId="0" fillId="6" borderId="40" xfId="0" applyNumberFormat="1" applyFill="1" applyBorder="1" applyAlignment="1">
      <alignment wrapText="1"/>
    </xf>
    <xf numFmtId="0" fontId="0" fillId="7" borderId="21" xfId="0" applyFill="1" applyBorder="1" applyProtection="1">
      <protection locked="0"/>
    </xf>
    <xf numFmtId="0" fontId="0" fillId="7" borderId="23" xfId="0" applyFill="1" applyBorder="1" applyProtection="1">
      <protection locked="0"/>
    </xf>
    <xf numFmtId="3" fontId="6" fillId="0" borderId="14" xfId="0" applyNumberFormat="1" applyFont="1" applyFill="1" applyBorder="1" applyAlignment="1" applyProtection="1">
      <alignment horizontal="right" wrapText="1"/>
      <protection locked="0"/>
    </xf>
    <xf numFmtId="0" fontId="0" fillId="7" borderId="27" xfId="0" applyFill="1" applyBorder="1" applyProtection="1">
      <protection locked="0"/>
    </xf>
    <xf numFmtId="0" fontId="1" fillId="6" borderId="40" xfId="0" applyFont="1" applyFill="1" applyBorder="1" applyAlignment="1">
      <alignment wrapText="1"/>
    </xf>
    <xf numFmtId="0" fontId="0" fillId="6" borderId="18" xfId="0" applyFill="1" applyBorder="1"/>
    <xf numFmtId="3" fontId="6" fillId="0" borderId="18" xfId="0" applyNumberFormat="1" applyFont="1" applyFill="1" applyBorder="1" applyAlignment="1" applyProtection="1">
      <alignment horizontal="right" wrapText="1"/>
      <protection locked="0"/>
    </xf>
    <xf numFmtId="0" fontId="0" fillId="7" borderId="9" xfId="0" applyFill="1" applyBorder="1" applyProtection="1">
      <protection locked="0"/>
    </xf>
    <xf numFmtId="0" fontId="3" fillId="6" borderId="19" xfId="0" applyFont="1" applyFill="1" applyBorder="1"/>
    <xf numFmtId="0" fontId="3" fillId="6" borderId="33" xfId="0" applyFont="1" applyFill="1" applyBorder="1"/>
    <xf numFmtId="0" fontId="0" fillId="6" borderId="33" xfId="0" applyFill="1" applyBorder="1"/>
    <xf numFmtId="0" fontId="50" fillId="7" borderId="0" xfId="0" applyFont="1" applyFill="1"/>
    <xf numFmtId="0" fontId="50" fillId="7" borderId="0" xfId="0" applyFont="1" applyFill="1" applyAlignment="1">
      <alignment horizontal="center"/>
    </xf>
    <xf numFmtId="0" fontId="52" fillId="7" borderId="0" xfId="0" applyFont="1" applyFill="1"/>
    <xf numFmtId="0" fontId="1" fillId="7" borderId="19" xfId="0" applyFont="1" applyFill="1" applyBorder="1" applyAlignment="1" applyProtection="1">
      <alignment horizontal="center" wrapText="1"/>
      <protection locked="0"/>
    </xf>
    <xf numFmtId="0" fontId="1" fillId="7" borderId="20" xfId="0" applyFont="1" applyFill="1" applyBorder="1" applyAlignment="1" applyProtection="1">
      <alignment horizontal="center" wrapText="1"/>
      <protection locked="0"/>
    </xf>
    <xf numFmtId="0" fontId="1" fillId="7" borderId="22" xfId="0" applyFont="1" applyFill="1" applyBorder="1" applyAlignment="1" applyProtection="1">
      <alignment horizontal="center" wrapText="1"/>
      <protection locked="0"/>
    </xf>
    <xf numFmtId="0" fontId="1" fillId="7" borderId="29" xfId="0" applyFont="1" applyFill="1" applyBorder="1" applyAlignment="1" applyProtection="1">
      <alignment horizontal="center" wrapText="1"/>
      <protection locked="0"/>
    </xf>
    <xf numFmtId="0" fontId="1" fillId="0" borderId="19" xfId="0" applyFont="1" applyFill="1" applyBorder="1" applyAlignment="1" applyProtection="1">
      <alignment horizontal="center" wrapText="1"/>
      <protection locked="0"/>
    </xf>
    <xf numFmtId="0" fontId="1" fillId="0" borderId="22" xfId="0" applyFont="1" applyFill="1" applyBorder="1" applyAlignment="1" applyProtection="1">
      <alignment horizontal="center" wrapText="1"/>
      <protection locked="0"/>
    </xf>
    <xf numFmtId="0" fontId="1" fillId="0" borderId="20" xfId="0" applyFont="1" applyFill="1" applyBorder="1" applyAlignment="1" applyProtection="1">
      <alignment horizontal="center" wrapText="1"/>
      <protection locked="0"/>
    </xf>
    <xf numFmtId="0" fontId="1" fillId="0" borderId="31" xfId="0" applyFont="1" applyFill="1" applyBorder="1" applyAlignment="1" applyProtection="1">
      <alignment horizontal="center" wrapText="1"/>
      <protection locked="0"/>
    </xf>
    <xf numFmtId="170" fontId="50" fillId="7" borderId="0" xfId="1" applyNumberFormat="1" applyFont="1" applyFill="1" applyAlignment="1">
      <alignment horizontal="center"/>
    </xf>
    <xf numFmtId="0" fontId="1" fillId="0" borderId="5" xfId="0" applyFont="1" applyBorder="1"/>
    <xf numFmtId="0" fontId="1" fillId="7" borderId="3" xfId="0" applyFont="1" applyFill="1" applyBorder="1" applyAlignment="1">
      <alignment wrapText="1"/>
    </xf>
    <xf numFmtId="0" fontId="3" fillId="13" borderId="44" xfId="4" applyFont="1" applyFill="1" applyBorder="1" applyAlignment="1">
      <alignment wrapText="1"/>
    </xf>
    <xf numFmtId="0" fontId="3" fillId="13" borderId="45" xfId="4" applyFont="1" applyFill="1" applyBorder="1" applyAlignment="1">
      <alignment wrapText="1"/>
    </xf>
    <xf numFmtId="0" fontId="0" fillId="13" borderId="45" xfId="4" applyFont="1" applyFill="1" applyBorder="1" applyAlignment="1">
      <alignment wrapText="1"/>
    </xf>
    <xf numFmtId="0" fontId="0" fillId="13" borderId="44" xfId="4" applyFont="1" applyFill="1" applyBorder="1" applyAlignment="1">
      <alignment wrapText="1"/>
    </xf>
    <xf numFmtId="0" fontId="0" fillId="13" borderId="44" xfId="4" applyFont="1" applyFill="1" applyBorder="1" applyAlignment="1">
      <alignment horizontal="left" wrapText="1"/>
    </xf>
    <xf numFmtId="0" fontId="0" fillId="13" borderId="44" xfId="4" applyFont="1" applyFill="1" applyBorder="1"/>
    <xf numFmtId="0" fontId="1" fillId="13" borderId="45" xfId="4" applyFill="1" applyBorder="1"/>
    <xf numFmtId="0" fontId="1" fillId="6" borderId="3" xfId="0" applyFont="1" applyFill="1" applyBorder="1" applyAlignment="1" applyProtection="1">
      <alignment wrapText="1"/>
      <protection locked="0"/>
    </xf>
    <xf numFmtId="0" fontId="3" fillId="13" borderId="45" xfId="4" applyFont="1" applyFill="1" applyBorder="1" applyAlignment="1" applyProtection="1">
      <alignment wrapText="1"/>
    </xf>
    <xf numFmtId="0" fontId="0" fillId="13" borderId="45" xfId="4" applyFont="1" applyFill="1" applyBorder="1" applyAlignment="1" applyProtection="1">
      <alignment wrapText="1"/>
    </xf>
    <xf numFmtId="0" fontId="1" fillId="14" borderId="0" xfId="4" applyFill="1"/>
    <xf numFmtId="0" fontId="0" fillId="14" borderId="0" xfId="4" applyFont="1" applyFill="1"/>
    <xf numFmtId="0" fontId="1" fillId="14" borderId="0" xfId="4" applyFill="1" applyAlignment="1">
      <alignment horizontal="left"/>
    </xf>
    <xf numFmtId="0" fontId="3" fillId="14" borderId="0" xfId="4" applyFont="1" applyFill="1" applyAlignment="1">
      <alignment wrapText="1"/>
    </xf>
    <xf numFmtId="167" fontId="1" fillId="14" borderId="0" xfId="4" applyNumberFormat="1" applyFill="1" applyAlignment="1">
      <alignment horizontal="left"/>
    </xf>
    <xf numFmtId="0" fontId="0" fillId="14" borderId="0" xfId="4" applyFont="1" applyFill="1" applyAlignment="1">
      <alignment wrapText="1"/>
    </xf>
    <xf numFmtId="0" fontId="3" fillId="14" borderId="0" xfId="4" applyFont="1" applyFill="1"/>
    <xf numFmtId="0" fontId="3" fillId="14" borderId="0" xfId="4" applyFont="1" applyFill="1" applyAlignment="1">
      <alignment horizontal="center"/>
    </xf>
    <xf numFmtId="0" fontId="0" fillId="13" borderId="46" xfId="4" applyFont="1" applyFill="1" applyBorder="1" applyAlignment="1">
      <alignment horizontal="center" wrapText="1"/>
    </xf>
    <xf numFmtId="0" fontId="0" fillId="13" borderId="45" xfId="4" applyFont="1" applyFill="1" applyBorder="1" applyAlignment="1">
      <alignment horizontal="center" wrapText="1"/>
    </xf>
    <xf numFmtId="0" fontId="0" fillId="13" borderId="44" xfId="4" applyFont="1" applyFill="1" applyBorder="1" applyAlignment="1">
      <alignment horizontal="center" wrapText="1"/>
    </xf>
    <xf numFmtId="0" fontId="0" fillId="13" borderId="45" xfId="4" applyFont="1" applyFill="1" applyBorder="1" applyAlignment="1">
      <alignment horizontal="center" wrapText="1"/>
    </xf>
    <xf numFmtId="0" fontId="1" fillId="14" borderId="0" xfId="4" applyFill="1" applyAlignment="1">
      <alignment wrapText="1"/>
    </xf>
    <xf numFmtId="0" fontId="0" fillId="13" borderId="47" xfId="4" applyFont="1" applyFill="1" applyBorder="1" applyAlignment="1">
      <alignment horizontal="center" wrapText="1"/>
    </xf>
    <xf numFmtId="0" fontId="0" fillId="13" borderId="45" xfId="4" applyFont="1" applyFill="1" applyBorder="1" applyAlignment="1">
      <alignment horizontal="left" wrapText="1"/>
    </xf>
    <xf numFmtId="0" fontId="0" fillId="13" borderId="45" xfId="4" applyFont="1" applyFill="1" applyBorder="1" applyAlignment="1">
      <alignment horizontal="center"/>
    </xf>
    <xf numFmtId="0" fontId="3" fillId="13" borderId="45" xfId="4" applyFont="1" applyFill="1" applyBorder="1"/>
    <xf numFmtId="0" fontId="0" fillId="13" borderId="46" xfId="4" applyFont="1" applyFill="1" applyBorder="1"/>
    <xf numFmtId="0" fontId="0" fillId="13" borderId="45" xfId="4" applyFont="1" applyFill="1" applyBorder="1"/>
    <xf numFmtId="0" fontId="3" fillId="14" borderId="0" xfId="4" applyFont="1" applyFill="1" applyAlignment="1">
      <alignment horizontal="left"/>
    </xf>
    <xf numFmtId="0" fontId="0" fillId="13" borderId="46" xfId="4" applyFont="1" applyFill="1" applyBorder="1" applyAlignment="1"/>
    <xf numFmtId="0" fontId="3" fillId="14" borderId="0" xfId="4" applyFont="1" applyFill="1" applyBorder="1" applyAlignment="1"/>
    <xf numFmtId="0" fontId="3" fillId="14" borderId="0" xfId="4" applyFont="1" applyFill="1" applyBorder="1" applyAlignment="1">
      <alignment horizontal="left"/>
    </xf>
    <xf numFmtId="0" fontId="1" fillId="14" borderId="0" xfId="4" applyFill="1" applyBorder="1"/>
    <xf numFmtId="0" fontId="1" fillId="6" borderId="3" xfId="0" applyFont="1" applyFill="1" applyBorder="1" applyAlignment="1">
      <alignment wrapText="1"/>
    </xf>
    <xf numFmtId="0" fontId="1" fillId="6" borderId="3" xfId="0" applyFont="1" applyFill="1" applyBorder="1"/>
    <xf numFmtId="0" fontId="51" fillId="7" borderId="0" xfId="0" applyFont="1" applyFill="1"/>
    <xf numFmtId="0" fontId="53" fillId="14" borderId="0" xfId="4" applyFont="1" applyFill="1"/>
    <xf numFmtId="0" fontId="1" fillId="14" borderId="0" xfId="4" applyFill="1" applyBorder="1" applyAlignment="1"/>
    <xf numFmtId="174" fontId="0" fillId="14" borderId="0" xfId="1" applyNumberFormat="1" applyFont="1" applyFill="1" applyBorder="1" applyAlignment="1" applyProtection="1"/>
    <xf numFmtId="0" fontId="1" fillId="6" borderId="3" xfId="0" applyFont="1" applyFill="1" applyBorder="1" applyAlignment="1">
      <alignment horizontal="center" wrapText="1"/>
    </xf>
    <xf numFmtId="0" fontId="1" fillId="5" borderId="3" xfId="0" applyFont="1" applyFill="1" applyBorder="1"/>
    <xf numFmtId="0" fontId="24" fillId="13" borderId="44" xfId="4" applyFont="1" applyFill="1" applyBorder="1" applyAlignment="1">
      <alignment wrapText="1"/>
    </xf>
    <xf numFmtId="0" fontId="24" fillId="13" borderId="45" xfId="4" applyFont="1" applyFill="1" applyBorder="1" applyAlignment="1">
      <alignment wrapText="1"/>
    </xf>
    <xf numFmtId="0" fontId="26" fillId="13" borderId="45" xfId="4" applyFont="1" applyFill="1" applyBorder="1"/>
    <xf numFmtId="0" fontId="0" fillId="13" borderId="0" xfId="4" applyFont="1" applyFill="1" applyBorder="1"/>
    <xf numFmtId="0" fontId="0" fillId="13" borderId="0" xfId="4" applyFont="1" applyFill="1"/>
    <xf numFmtId="0" fontId="1" fillId="6" borderId="7" xfId="0" applyFont="1" applyFill="1" applyBorder="1" applyAlignment="1"/>
    <xf numFmtId="0" fontId="1" fillId="13" borderId="47" xfId="4" applyFont="1" applyFill="1" applyBorder="1" applyAlignment="1">
      <alignment horizontal="center" wrapText="1"/>
    </xf>
    <xf numFmtId="0" fontId="1" fillId="13" borderId="45" xfId="4" applyFont="1" applyFill="1" applyBorder="1" applyAlignment="1">
      <alignment horizontal="center" wrapText="1"/>
    </xf>
    <xf numFmtId="0" fontId="1" fillId="13" borderId="45" xfId="4" applyFont="1" applyFill="1" applyBorder="1" applyAlignment="1">
      <alignment horizontal="center"/>
    </xf>
    <xf numFmtId="0" fontId="1" fillId="14" borderId="0" xfId="4" applyFont="1" applyFill="1"/>
    <xf numFmtId="0" fontId="1" fillId="6" borderId="6" xfId="0" applyFont="1" applyFill="1" applyBorder="1" applyAlignment="1">
      <alignment wrapText="1"/>
    </xf>
    <xf numFmtId="0" fontId="1" fillId="6" borderId="39" xfId="0" applyFont="1" applyFill="1" applyBorder="1" applyAlignment="1">
      <alignment wrapText="1"/>
    </xf>
    <xf numFmtId="0" fontId="1" fillId="6" borderId="14" xfId="0" applyFont="1" applyFill="1" applyBorder="1" applyAlignment="1">
      <alignment wrapText="1"/>
    </xf>
    <xf numFmtId="0" fontId="1" fillId="6" borderId="14" xfId="0" applyFont="1" applyFill="1" applyBorder="1" applyAlignment="1">
      <alignment horizontal="center" wrapText="1"/>
    </xf>
    <xf numFmtId="0" fontId="1" fillId="6" borderId="14" xfId="0" applyFont="1" applyFill="1" applyBorder="1" applyAlignment="1">
      <alignment horizontal="center"/>
    </xf>
    <xf numFmtId="0" fontId="1" fillId="6" borderId="22" xfId="0" applyFont="1" applyFill="1" applyBorder="1" applyAlignment="1">
      <alignment wrapText="1"/>
    </xf>
    <xf numFmtId="0" fontId="1" fillId="6" borderId="43" xfId="0" applyFont="1" applyFill="1" applyBorder="1" applyAlignment="1">
      <alignment wrapText="1"/>
    </xf>
    <xf numFmtId="0" fontId="1" fillId="6" borderId="20" xfId="0" applyFont="1" applyFill="1" applyBorder="1" applyAlignment="1">
      <alignment wrapText="1"/>
    </xf>
    <xf numFmtId="0" fontId="1" fillId="6" borderId="7" xfId="0" applyFont="1" applyFill="1" applyBorder="1"/>
    <xf numFmtId="0" fontId="1" fillId="6" borderId="7" xfId="0" applyFont="1" applyFill="1" applyBorder="1" applyAlignment="1">
      <alignment horizontal="center" wrapText="1"/>
    </xf>
    <xf numFmtId="0" fontId="1" fillId="6" borderId="7" xfId="0" applyFont="1" applyFill="1" applyBorder="1" applyAlignment="1">
      <alignment wrapText="1"/>
    </xf>
    <xf numFmtId="0" fontId="1" fillId="6" borderId="3" xfId="0" applyFont="1" applyFill="1" applyBorder="1" applyAlignment="1">
      <alignment horizontal="center"/>
    </xf>
    <xf numFmtId="0" fontId="1" fillId="6" borderId="6" xfId="0" applyFont="1" applyFill="1" applyBorder="1" applyAlignment="1">
      <alignment horizontal="center" wrapText="1"/>
    </xf>
    <xf numFmtId="0" fontId="1" fillId="7" borderId="0" xfId="0" applyFont="1" applyFill="1" applyAlignment="1">
      <alignment wrapText="1"/>
    </xf>
    <xf numFmtId="0" fontId="0" fillId="13" borderId="45" xfId="4" applyFont="1" applyFill="1" applyBorder="1" applyAlignment="1">
      <alignment horizontal="center" wrapText="1"/>
    </xf>
    <xf numFmtId="0" fontId="1" fillId="13" borderId="45" xfId="4" applyFont="1" applyFill="1" applyBorder="1" applyAlignment="1">
      <alignment horizontal="center" wrapText="1"/>
    </xf>
    <xf numFmtId="0" fontId="0" fillId="13" borderId="45" xfId="4" applyFont="1" applyFill="1" applyBorder="1" applyAlignment="1">
      <alignment horizontal="center" wrapText="1"/>
    </xf>
    <xf numFmtId="0" fontId="3" fillId="7" borderId="6" xfId="0" applyFont="1" applyFill="1" applyBorder="1" applyAlignment="1">
      <alignment horizontal="left" wrapText="1"/>
    </xf>
    <xf numFmtId="0" fontId="3" fillId="7" borderId="5" xfId="0" applyFont="1" applyFill="1" applyBorder="1" applyAlignment="1">
      <alignment horizontal="left" wrapText="1"/>
    </xf>
    <xf numFmtId="0" fontId="3" fillId="7" borderId="7" xfId="0" applyFont="1" applyFill="1" applyBorder="1" applyAlignment="1">
      <alignment horizontal="left" wrapText="1"/>
    </xf>
    <xf numFmtId="0" fontId="3" fillId="7" borderId="0" xfId="0" applyFont="1" applyFill="1" applyAlignment="1">
      <alignment horizontal="left" wrapText="1"/>
    </xf>
    <xf numFmtId="0" fontId="1" fillId="13" borderId="45" xfId="4" applyFont="1" applyFill="1" applyBorder="1" applyAlignment="1">
      <alignment horizontal="center" wrapText="1"/>
    </xf>
    <xf numFmtId="0" fontId="6" fillId="6" borderId="34" xfId="0" applyFont="1" applyFill="1" applyBorder="1" applyAlignment="1">
      <alignment horizontal="center" wrapText="1"/>
    </xf>
    <xf numFmtId="0" fontId="6" fillId="6" borderId="37" xfId="0" applyFont="1" applyFill="1" applyBorder="1" applyAlignment="1">
      <alignment horizontal="center" wrapText="1"/>
    </xf>
    <xf numFmtId="0" fontId="6" fillId="6" borderId="38" xfId="0" applyFont="1" applyFill="1" applyBorder="1" applyAlignment="1">
      <alignment horizontal="center" wrapText="1"/>
    </xf>
    <xf numFmtId="0" fontId="43" fillId="7" borderId="0" xfId="0" applyFont="1" applyFill="1" applyAlignment="1">
      <alignment wrapText="1"/>
    </xf>
    <xf numFmtId="0" fontId="1" fillId="6" borderId="18" xfId="0" applyFont="1" applyFill="1" applyBorder="1" applyAlignment="1">
      <alignment horizontal="center" vertical="top" wrapText="1"/>
    </xf>
    <xf numFmtId="0" fontId="6" fillId="6" borderId="4" xfId="0" applyFont="1" applyFill="1" applyBorder="1" applyAlignment="1">
      <alignment horizontal="center" vertical="top" wrapText="1"/>
    </xf>
    <xf numFmtId="0" fontId="1" fillId="6" borderId="6" xfId="0" applyFont="1" applyFill="1" applyBorder="1" applyAlignment="1">
      <alignment horizontal="center" vertical="top" wrapText="1"/>
    </xf>
    <xf numFmtId="0" fontId="6" fillId="6" borderId="5" xfId="0" applyFont="1" applyFill="1" applyBorder="1" applyAlignment="1">
      <alignment horizontal="center" vertical="top" wrapText="1"/>
    </xf>
    <xf numFmtId="0" fontId="6" fillId="6" borderId="7" xfId="0" applyFont="1" applyFill="1" applyBorder="1" applyAlignment="1">
      <alignment horizontal="center" vertical="top" wrapText="1"/>
    </xf>
    <xf numFmtId="0" fontId="1" fillId="6" borderId="6" xfId="0" applyFont="1" applyFill="1" applyBorder="1" applyAlignment="1">
      <alignment horizontal="center" wrapText="1"/>
    </xf>
    <xf numFmtId="0" fontId="6" fillId="6" borderId="5" xfId="0" applyFont="1" applyFill="1" applyBorder="1" applyAlignment="1">
      <alignment horizontal="center" wrapText="1"/>
    </xf>
    <xf numFmtId="0" fontId="6" fillId="6" borderId="7" xfId="0" applyFont="1" applyFill="1" applyBorder="1" applyAlignment="1">
      <alignment horizontal="center" wrapText="1"/>
    </xf>
    <xf numFmtId="0" fontId="6" fillId="0" borderId="0" xfId="0" applyFont="1" applyAlignment="1">
      <alignment wrapText="1"/>
    </xf>
  </cellXfs>
  <cellStyles count="5">
    <cellStyle name="Excel Built-in Normal" xfId="4"/>
    <cellStyle name="Hiperlink" xfId="2" builtinId="8"/>
    <cellStyle name="Normal" xfId="0" builtinId="0"/>
    <cellStyle name="Porcentagem" xfId="3" builtinId="5"/>
    <cellStyle name="Vírgula" xfId="1" builtinId="3"/>
  </cellStyles>
  <dxfs count="21">
    <dxf>
      <font>
        <color rgb="FF00B050"/>
      </font>
    </dxf>
    <dxf>
      <font>
        <color rgb="FFFF0000"/>
      </font>
    </dxf>
    <dxf>
      <fill>
        <patternFill>
          <bgColor rgb="FFFF0000"/>
        </patternFill>
      </fill>
    </dxf>
    <dxf>
      <fill>
        <patternFill>
          <bgColor rgb="FFFF0000"/>
        </patternFill>
      </fill>
    </dxf>
    <dxf>
      <font>
        <color rgb="FFFF0000"/>
      </font>
    </dxf>
    <dxf>
      <fill>
        <patternFill>
          <bgColor rgb="FFFF0000"/>
        </patternFill>
      </fill>
    </dxf>
    <dxf>
      <fill>
        <patternFill>
          <bgColor rgb="FFFF0000"/>
        </patternFill>
      </fill>
    </dxf>
    <dxf>
      <font>
        <color rgb="FFFF0000"/>
      </font>
    </dxf>
    <dxf>
      <font>
        <color theme="1" tint="0.499984740745262"/>
      </font>
    </dxf>
    <dxf>
      <font>
        <color theme="1" tint="0.499984740745262"/>
      </font>
    </dxf>
    <dxf>
      <fill>
        <patternFill>
          <bgColor rgb="FFFF0000"/>
        </patternFill>
      </fill>
    </dxf>
    <dxf>
      <fill>
        <patternFill>
          <bgColor rgb="FFFF0000"/>
        </patternFill>
      </fill>
    </dxf>
    <dxf>
      <font>
        <color rgb="FFFF0000"/>
      </font>
    </dxf>
    <dxf>
      <fill>
        <patternFill>
          <bgColor rgb="FFFF0000"/>
        </patternFill>
      </fill>
    </dxf>
    <dxf>
      <fill>
        <patternFill>
          <bgColor rgb="FFFF0000"/>
        </patternFill>
      </fill>
    </dxf>
    <dxf>
      <font>
        <color rgb="FFFF0000"/>
      </font>
    </dxf>
    <dxf>
      <fill>
        <patternFill>
          <bgColor rgb="FFFF0000"/>
        </patternFill>
      </fill>
    </dxf>
    <dxf>
      <fill>
        <patternFill>
          <bgColor rgb="FFFF0000"/>
        </patternFill>
      </fill>
    </dxf>
    <dxf>
      <font>
        <color rgb="FFFF0000"/>
      </font>
    </dxf>
    <dxf>
      <fill>
        <patternFill>
          <bgColor rgb="FFFF0000"/>
        </patternFill>
      </fill>
    </dxf>
    <dxf>
      <fill>
        <patternFill>
          <bgColor rgb="FFFF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externalLink" Target="externalLinks/externalLink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1.xml"/><Relationship Id="rId38"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theme" Target="theme/theme1.xml"/><Relationship Id="rId8" Type="http://schemas.openxmlformats.org/officeDocument/2006/relationships/worksheet" Target="worksheets/sheet8.xml"/><Relationship Id="rId3" Type="http://schemas.openxmlformats.org/officeDocument/2006/relationships/worksheet" Target="worksheets/sheet3.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41422594142259417"/>
          <c:y val="2.4263431542460998E-2"/>
          <c:w val="0.53417015341701535"/>
          <c:h val="0.8440207972270366"/>
        </c:manualLayout>
      </c:layout>
      <c:barChart>
        <c:barDir val="bar"/>
        <c:grouping val="clustered"/>
        <c:varyColors val="0"/>
        <c:ser>
          <c:idx val="0"/>
          <c:order val="0"/>
          <c:invertIfNegative val="0"/>
          <c:cat>
            <c:strRef>
              <c:f>'Nível1-Gráficos'!$A$8:$A$24</c:f>
              <c:strCache>
                <c:ptCount val="17"/>
                <c:pt idx="0">
                  <c:v>Combustão do carvão e outro uso do carvão</c:v>
                </c:pt>
                <c:pt idx="1">
                  <c:v>Combustão de outros combustíveis fósseis e de biomassa*4</c:v>
                </c:pt>
                <c:pt idx="2">
                  <c:v>Produção de petróleo e gás</c:v>
                </c:pt>
                <c:pt idx="3">
                  <c:v>Produção de metais primários (excluindo a produção de ouro por amalgamação)</c:v>
                </c:pt>
                <c:pt idx="4">
                  <c:v>Extração de ouro com amálgama de mercúrio </c:v>
                </c:pt>
                <c:pt idx="5">
                  <c:v>Produção de outros materiais*5</c:v>
                </c:pt>
                <c:pt idx="6">
                  <c:v>Produção de cloro e álcalis com células de mercúrio</c:v>
                </c:pt>
                <c:pt idx="7">
                  <c:v>Outra produção de produtos químicos e polímeros*6</c:v>
                </c:pt>
                <c:pt idx="8">
                  <c:v>Produção de produtos com teor de mercúrio </c:v>
                </c:pt>
                <c:pt idx="9">
                  <c:v>Utilização e destinação de amálgama dental</c:v>
                </c:pt>
                <c:pt idx="10">
                  <c:v>Utilização e destinação de outros produtos*7</c:v>
                </c:pt>
                <c:pt idx="11">
                  <c:v>Produção de metais reciclados</c:v>
                </c:pt>
                <c:pt idx="12">
                  <c:v>Incineração de resíduos e queima aberta de resíduos *1</c:v>
                </c:pt>
                <c:pt idx="13">
                  <c:v>destinação de resíduos *1</c:v>
                </c:pt>
                <c:pt idx="14">
                  <c:v>destinação informal de resíduos em geral  *1*2</c:v>
                </c:pt>
                <c:pt idx="15">
                  <c:v>Sistema/tratamento de águas residuais  *3</c:v>
                </c:pt>
                <c:pt idx="16">
                  <c:v>Crematórios e cemitérios</c:v>
                </c:pt>
              </c:strCache>
            </c:strRef>
          </c:cat>
          <c:val>
            <c:numRef>
              <c:f>'Nível1-Gráficos'!$B$8:$B$24</c:f>
              <c:numCache>
                <c:formatCode>#,##0</c:formatCode>
                <c:ptCount val="1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numCache>
            </c:numRef>
          </c:val>
        </c:ser>
        <c:dLbls>
          <c:showLegendKey val="0"/>
          <c:showVal val="0"/>
          <c:showCatName val="0"/>
          <c:showSerName val="0"/>
          <c:showPercent val="0"/>
          <c:showBubbleSize val="0"/>
        </c:dLbls>
        <c:gapWidth val="150"/>
        <c:axId val="312176976"/>
        <c:axId val="312177536"/>
      </c:barChart>
      <c:catAx>
        <c:axId val="312176976"/>
        <c:scaling>
          <c:orientation val="maxMin"/>
        </c:scaling>
        <c:delete val="0"/>
        <c:axPos val="l"/>
        <c:numFmt formatCode="General" sourceLinked="1"/>
        <c:majorTickMark val="none"/>
        <c:minorTickMark val="none"/>
        <c:tickLblPos val="nextTo"/>
        <c:txPr>
          <a:bodyPr rot="0" vert="horz"/>
          <a:lstStyle/>
          <a:p>
            <a:pPr>
              <a:defRPr lang="en-US" sz="1000" b="0" i="0" u="none" strike="noStrike" baseline="0">
                <a:solidFill>
                  <a:srgbClr val="000000"/>
                </a:solidFill>
                <a:latin typeface="Calibri"/>
                <a:ea typeface="Calibri"/>
                <a:cs typeface="Calibri"/>
              </a:defRPr>
            </a:pPr>
            <a:endParaRPr lang="pt-BR"/>
          </a:p>
        </c:txPr>
        <c:crossAx val="312177536"/>
        <c:crosses val="autoZero"/>
        <c:auto val="1"/>
        <c:lblAlgn val="ctr"/>
        <c:lblOffset val="100"/>
        <c:noMultiLvlLbl val="0"/>
      </c:catAx>
      <c:valAx>
        <c:axId val="312177536"/>
        <c:scaling>
          <c:orientation val="minMax"/>
        </c:scaling>
        <c:delete val="0"/>
        <c:axPos val="b"/>
        <c:majorGridlines/>
        <c:minorGridlines/>
        <c:title>
          <c:tx>
            <c:rich>
              <a:bodyPr/>
              <a:lstStyle/>
              <a:p>
                <a:pPr>
                  <a:defRPr lang="en-US" sz="1800" b="1" i="0" u="none" strike="noStrike" baseline="0">
                    <a:solidFill>
                      <a:srgbClr val="000000"/>
                    </a:solidFill>
                    <a:latin typeface="Calibri"/>
                    <a:ea typeface="Calibri"/>
                    <a:cs typeface="Calibri"/>
                  </a:defRPr>
                </a:pPr>
                <a:r>
                  <a:rPr lang="da-DK"/>
                  <a:t>Entradas estimadas de mercúrio (Kg Hg/ano)</a:t>
                </a:r>
              </a:p>
            </c:rich>
          </c:tx>
          <c:layout>
            <c:manualLayout>
              <c:xMode val="edge"/>
              <c:yMode val="edge"/>
              <c:x val="0.35285913528591412"/>
              <c:y val="0.93178709680354188"/>
            </c:manualLayout>
          </c:layout>
          <c:overlay val="0"/>
        </c:title>
        <c:numFmt formatCode="#,##0" sourceLinked="1"/>
        <c:majorTickMark val="none"/>
        <c:minorTickMark val="none"/>
        <c:tickLblPos val="nextTo"/>
        <c:txPr>
          <a:bodyPr rot="0" vert="horz"/>
          <a:lstStyle/>
          <a:p>
            <a:pPr>
              <a:defRPr lang="en-US" sz="1000" b="0" i="0" u="none" strike="noStrike" baseline="0">
                <a:solidFill>
                  <a:srgbClr val="000000"/>
                </a:solidFill>
                <a:latin typeface="Calibri"/>
                <a:ea typeface="Calibri"/>
                <a:cs typeface="Calibri"/>
              </a:defRPr>
            </a:pPr>
            <a:endParaRPr lang="pt-BR"/>
          </a:p>
        </c:txPr>
        <c:crossAx val="312176976"/>
        <c:crosses val="max"/>
        <c:crossBetween val="between"/>
      </c:valAx>
      <c:spPr>
        <a:ln>
          <a:solidFill>
            <a:schemeClr val="tx1"/>
          </a:solidFill>
        </a:ln>
      </c:spPr>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pt-BR"/>
    </a:p>
  </c:txPr>
  <c:printSettings>
    <c:headerFooter/>
    <c:pageMargins b="0.75000000000000189" l="0.70000000000000062" r="0.70000000000000062" t="0.7500000000000018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41307371349096067"/>
          <c:y val="2.2690437601296611E-2"/>
          <c:w val="0.5438108484005566"/>
          <c:h val="0.85413290113452189"/>
        </c:manualLayout>
      </c:layout>
      <c:barChart>
        <c:barDir val="bar"/>
        <c:grouping val="clustered"/>
        <c:varyColors val="0"/>
        <c:ser>
          <c:idx val="1"/>
          <c:order val="0"/>
          <c:invertIfNegative val="0"/>
          <c:cat>
            <c:strRef>
              <c:f>'Nível1-Gráficos'!$A$8:$A$24</c:f>
              <c:strCache>
                <c:ptCount val="17"/>
                <c:pt idx="0">
                  <c:v>Combustão do carvão e outro uso do carvão</c:v>
                </c:pt>
                <c:pt idx="1">
                  <c:v>Combustão de outros combustíveis fósseis e de biomassa*4</c:v>
                </c:pt>
                <c:pt idx="2">
                  <c:v>Produção de petróleo e gás</c:v>
                </c:pt>
                <c:pt idx="3">
                  <c:v>Produção de metais primários (excluindo a produção de ouro por amalgamação)</c:v>
                </c:pt>
                <c:pt idx="4">
                  <c:v>Extração de ouro com amálgama de mercúrio </c:v>
                </c:pt>
                <c:pt idx="5">
                  <c:v>Produção de outros materiais*5</c:v>
                </c:pt>
                <c:pt idx="6">
                  <c:v>Produção de cloro e álcalis com células de mercúrio</c:v>
                </c:pt>
                <c:pt idx="7">
                  <c:v>Outra produção de produtos químicos e polímeros*6</c:v>
                </c:pt>
                <c:pt idx="8">
                  <c:v>Produção de produtos com teor de mercúrio </c:v>
                </c:pt>
                <c:pt idx="9">
                  <c:v>Utilização e destinação de amálgama dental</c:v>
                </c:pt>
                <c:pt idx="10">
                  <c:v>Utilização e destinação de outros produtos*7</c:v>
                </c:pt>
                <c:pt idx="11">
                  <c:v>Produção de metais reciclados</c:v>
                </c:pt>
                <c:pt idx="12">
                  <c:v>Incineração de resíduos e queima aberta de resíduos *1</c:v>
                </c:pt>
                <c:pt idx="13">
                  <c:v>destinação de resíduos *1</c:v>
                </c:pt>
                <c:pt idx="14">
                  <c:v>destinação informal de resíduos em geral  *1*2</c:v>
                </c:pt>
                <c:pt idx="15">
                  <c:v>Sistema/tratamento de águas residuais  *3</c:v>
                </c:pt>
                <c:pt idx="16">
                  <c:v>Crematórios e cemitérios</c:v>
                </c:pt>
              </c:strCache>
            </c:strRef>
          </c:cat>
          <c:val>
            <c:numRef>
              <c:f>'Nível1-Gráficos'!$C$8:$C$24</c:f>
              <c:numCache>
                <c:formatCode>#,##0</c:formatCode>
                <c:ptCount val="1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numCache>
            </c:numRef>
          </c:val>
        </c:ser>
        <c:dLbls>
          <c:showLegendKey val="0"/>
          <c:showVal val="0"/>
          <c:showCatName val="0"/>
          <c:showSerName val="0"/>
          <c:showPercent val="0"/>
          <c:showBubbleSize val="0"/>
        </c:dLbls>
        <c:gapWidth val="150"/>
        <c:axId val="312179776"/>
        <c:axId val="312180336"/>
      </c:barChart>
      <c:catAx>
        <c:axId val="312179776"/>
        <c:scaling>
          <c:orientation val="maxMin"/>
        </c:scaling>
        <c:delete val="0"/>
        <c:axPos val="l"/>
        <c:numFmt formatCode="General" sourceLinked="1"/>
        <c:majorTickMark val="none"/>
        <c:minorTickMark val="none"/>
        <c:tickLblPos val="nextTo"/>
        <c:txPr>
          <a:bodyPr rot="0" vert="horz"/>
          <a:lstStyle/>
          <a:p>
            <a:pPr>
              <a:defRPr lang="en-US" sz="1000" b="0" i="0" u="none" strike="noStrike" baseline="0">
                <a:solidFill>
                  <a:srgbClr val="000000"/>
                </a:solidFill>
                <a:latin typeface="Calibri"/>
                <a:ea typeface="Calibri"/>
                <a:cs typeface="Calibri"/>
              </a:defRPr>
            </a:pPr>
            <a:endParaRPr lang="pt-BR"/>
          </a:p>
        </c:txPr>
        <c:crossAx val="312180336"/>
        <c:crosses val="autoZero"/>
        <c:auto val="1"/>
        <c:lblAlgn val="ctr"/>
        <c:lblOffset val="100"/>
        <c:noMultiLvlLbl val="0"/>
      </c:catAx>
      <c:valAx>
        <c:axId val="312180336"/>
        <c:scaling>
          <c:orientation val="minMax"/>
        </c:scaling>
        <c:delete val="0"/>
        <c:axPos val="b"/>
        <c:majorGridlines/>
        <c:minorGridlines/>
        <c:title>
          <c:tx>
            <c:rich>
              <a:bodyPr/>
              <a:lstStyle/>
              <a:p>
                <a:pPr>
                  <a:defRPr lang="en-US" sz="1800" b="1" i="0" u="none" strike="noStrike" baseline="0">
                    <a:solidFill>
                      <a:srgbClr val="000000"/>
                    </a:solidFill>
                    <a:latin typeface="Calibri"/>
                    <a:ea typeface="Calibri"/>
                    <a:cs typeface="Calibri"/>
                  </a:defRPr>
                </a:pPr>
                <a:r>
                  <a:rPr lang="da-DK"/>
                  <a:t>Liberações estimadas</a:t>
                </a:r>
                <a:r>
                  <a:rPr lang="da-DK" baseline="0"/>
                  <a:t> de mercúrio para a atmosfera </a:t>
                </a:r>
                <a:r>
                  <a:rPr lang="da-DK"/>
                  <a:t>(Kg Hg/ano)</a:t>
                </a:r>
              </a:p>
            </c:rich>
          </c:tx>
          <c:layout>
            <c:manualLayout>
              <c:xMode val="edge"/>
              <c:yMode val="edge"/>
              <c:x val="0.34954833010268732"/>
              <c:y val="0.92093007822968664"/>
            </c:manualLayout>
          </c:layout>
          <c:overlay val="0"/>
        </c:title>
        <c:numFmt formatCode="#,##0" sourceLinked="1"/>
        <c:majorTickMark val="none"/>
        <c:minorTickMark val="none"/>
        <c:tickLblPos val="nextTo"/>
        <c:txPr>
          <a:bodyPr rot="0" vert="horz"/>
          <a:lstStyle/>
          <a:p>
            <a:pPr>
              <a:defRPr lang="en-US" sz="1000" b="0" i="0" u="none" strike="noStrike" baseline="0">
                <a:solidFill>
                  <a:srgbClr val="000000"/>
                </a:solidFill>
                <a:latin typeface="Calibri"/>
                <a:ea typeface="Calibri"/>
                <a:cs typeface="Calibri"/>
              </a:defRPr>
            </a:pPr>
            <a:endParaRPr lang="pt-BR"/>
          </a:p>
        </c:txPr>
        <c:crossAx val="312179776"/>
        <c:crosses val="max"/>
        <c:crossBetween val="between"/>
      </c:valAx>
      <c:spPr>
        <a:ln>
          <a:solidFill>
            <a:schemeClr val="tx1"/>
          </a:solidFill>
        </a:ln>
      </c:spPr>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pt-BR"/>
    </a:p>
  </c:txPr>
  <c:printSettings>
    <c:headerFooter/>
    <c:pageMargins b="0.75000000000000211" l="0.70000000000000062" r="0.70000000000000062" t="0.7500000000000021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41250000000000031"/>
          <c:y val="2.1138211382113917E-2"/>
          <c:w val="0.54444444444444462"/>
          <c:h val="0.85528455284552862"/>
        </c:manualLayout>
      </c:layout>
      <c:barChart>
        <c:barDir val="bar"/>
        <c:grouping val="clustered"/>
        <c:varyColors val="0"/>
        <c:ser>
          <c:idx val="0"/>
          <c:order val="0"/>
          <c:spPr>
            <a:solidFill>
              <a:srgbClr val="9BBB59">
                <a:lumMod val="75000"/>
              </a:srgbClr>
            </a:solidFill>
          </c:spPr>
          <c:invertIfNegative val="0"/>
          <c:cat>
            <c:strRef>
              <c:f>'Nível1-Gráficos'!$A$8:$A$24</c:f>
              <c:strCache>
                <c:ptCount val="17"/>
                <c:pt idx="0">
                  <c:v>Combustão do carvão e outro uso do carvão</c:v>
                </c:pt>
                <c:pt idx="1">
                  <c:v>Combustão de outros combustíveis fósseis e de biomassa*4</c:v>
                </c:pt>
                <c:pt idx="2">
                  <c:v>Produção de petróleo e gás</c:v>
                </c:pt>
                <c:pt idx="3">
                  <c:v>Produção de metais primários (excluindo a produção de ouro por amalgamação)</c:v>
                </c:pt>
                <c:pt idx="4">
                  <c:v>Extração de ouro com amálgama de mercúrio </c:v>
                </c:pt>
                <c:pt idx="5">
                  <c:v>Produção de outros materiais*5</c:v>
                </c:pt>
                <c:pt idx="6">
                  <c:v>Produção de cloro e álcalis com células de mercúrio</c:v>
                </c:pt>
                <c:pt idx="7">
                  <c:v>Outra produção de produtos químicos e polímeros*6</c:v>
                </c:pt>
                <c:pt idx="8">
                  <c:v>Produção de produtos com teor de mercúrio </c:v>
                </c:pt>
                <c:pt idx="9">
                  <c:v>Utilização e destinação de amálgama dental</c:v>
                </c:pt>
                <c:pt idx="10">
                  <c:v>Utilização e destinação de outros produtos*7</c:v>
                </c:pt>
                <c:pt idx="11">
                  <c:v>Produção de metais reciclados</c:v>
                </c:pt>
                <c:pt idx="12">
                  <c:v>Incineração de resíduos e queima aberta de resíduos *1</c:v>
                </c:pt>
                <c:pt idx="13">
                  <c:v>destinação de resíduos *1</c:v>
                </c:pt>
                <c:pt idx="14">
                  <c:v>destinação informal de resíduos em geral  *1*2</c:v>
                </c:pt>
                <c:pt idx="15">
                  <c:v>Sistema/tratamento de águas residuais  *3</c:v>
                </c:pt>
                <c:pt idx="16">
                  <c:v>Crematórios e cemitérios</c:v>
                </c:pt>
              </c:strCache>
            </c:strRef>
          </c:cat>
          <c:val>
            <c:numRef>
              <c:f>'Nível1-Gráficos'!$E$8:$E$24</c:f>
              <c:numCache>
                <c:formatCode>#,##0</c:formatCode>
                <c:ptCount val="1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numCache>
            </c:numRef>
          </c:val>
        </c:ser>
        <c:dLbls>
          <c:showLegendKey val="0"/>
          <c:showVal val="0"/>
          <c:showCatName val="0"/>
          <c:showSerName val="0"/>
          <c:showPercent val="0"/>
          <c:showBubbleSize val="0"/>
        </c:dLbls>
        <c:gapWidth val="150"/>
        <c:axId val="312182576"/>
        <c:axId val="312183136"/>
      </c:barChart>
      <c:catAx>
        <c:axId val="312182576"/>
        <c:scaling>
          <c:orientation val="maxMin"/>
        </c:scaling>
        <c:delete val="0"/>
        <c:axPos val="l"/>
        <c:numFmt formatCode="General" sourceLinked="1"/>
        <c:majorTickMark val="none"/>
        <c:minorTickMark val="none"/>
        <c:tickLblPos val="nextTo"/>
        <c:txPr>
          <a:bodyPr rot="0" vert="horz"/>
          <a:lstStyle/>
          <a:p>
            <a:pPr>
              <a:defRPr lang="en-US" sz="1000" b="0" i="0" u="none" strike="noStrike" baseline="0">
                <a:solidFill>
                  <a:srgbClr val="000000"/>
                </a:solidFill>
                <a:latin typeface="Calibri"/>
                <a:ea typeface="Calibri"/>
                <a:cs typeface="Calibri"/>
              </a:defRPr>
            </a:pPr>
            <a:endParaRPr lang="pt-BR"/>
          </a:p>
        </c:txPr>
        <c:crossAx val="312183136"/>
        <c:crosses val="autoZero"/>
        <c:auto val="1"/>
        <c:lblAlgn val="ctr"/>
        <c:lblOffset val="100"/>
        <c:noMultiLvlLbl val="0"/>
      </c:catAx>
      <c:valAx>
        <c:axId val="312183136"/>
        <c:scaling>
          <c:orientation val="minMax"/>
        </c:scaling>
        <c:delete val="0"/>
        <c:axPos val="b"/>
        <c:majorGridlines/>
        <c:minorGridlines/>
        <c:title>
          <c:tx>
            <c:rich>
              <a:bodyPr/>
              <a:lstStyle/>
              <a:p>
                <a:pPr>
                  <a:defRPr lang="en-US" sz="1800" b="1" i="0" u="none" strike="noStrike" baseline="0">
                    <a:solidFill>
                      <a:srgbClr val="000000"/>
                    </a:solidFill>
                    <a:latin typeface="Calibri"/>
                    <a:ea typeface="Calibri"/>
                    <a:cs typeface="Calibri"/>
                  </a:defRPr>
                </a:pPr>
                <a:r>
                  <a:rPr lang="da-DK"/>
                  <a:t>Liberações estimadas de mercúrio para o solo (Kg Hg/ano)</a:t>
                </a:r>
              </a:p>
            </c:rich>
          </c:tx>
          <c:layout>
            <c:manualLayout>
              <c:xMode val="edge"/>
              <c:yMode val="edge"/>
              <c:x val="0.34954841061533976"/>
              <c:y val="0.92093020079807164"/>
            </c:manualLayout>
          </c:layout>
          <c:overlay val="0"/>
        </c:title>
        <c:numFmt formatCode="#,##0" sourceLinked="1"/>
        <c:majorTickMark val="none"/>
        <c:minorTickMark val="none"/>
        <c:tickLblPos val="nextTo"/>
        <c:txPr>
          <a:bodyPr rot="0" vert="horz"/>
          <a:lstStyle/>
          <a:p>
            <a:pPr>
              <a:defRPr lang="en-US" sz="1000" b="0" i="0" u="none" strike="noStrike" baseline="0">
                <a:solidFill>
                  <a:srgbClr val="000000"/>
                </a:solidFill>
                <a:latin typeface="Calibri"/>
                <a:ea typeface="Calibri"/>
                <a:cs typeface="Calibri"/>
              </a:defRPr>
            </a:pPr>
            <a:endParaRPr lang="pt-BR"/>
          </a:p>
        </c:txPr>
        <c:crossAx val="312182576"/>
        <c:crosses val="max"/>
        <c:crossBetween val="between"/>
      </c:valAx>
      <c:spPr>
        <a:ln>
          <a:solidFill>
            <a:schemeClr val="tx1"/>
          </a:solidFill>
        </a:ln>
      </c:spPr>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pt-BR"/>
    </a:p>
  </c:txPr>
  <c:printSettings>
    <c:headerFooter/>
    <c:pageMargins b="0.75000000000000233" l="0.70000000000000062" r="0.70000000000000062" t="0.7500000000000023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41192787794729746"/>
          <c:y val="2.1138211382113917E-2"/>
          <c:w val="0.53675450762829602"/>
          <c:h val="0.85528455284552862"/>
        </c:manualLayout>
      </c:layout>
      <c:barChart>
        <c:barDir val="bar"/>
        <c:grouping val="clustered"/>
        <c:varyColors val="0"/>
        <c:ser>
          <c:idx val="1"/>
          <c:order val="0"/>
          <c:spPr>
            <a:solidFill>
              <a:schemeClr val="bg2">
                <a:lumMod val="50000"/>
              </a:schemeClr>
            </a:solidFill>
          </c:spPr>
          <c:invertIfNegative val="0"/>
          <c:cat>
            <c:strRef>
              <c:f>'Nível1-Gráficos'!$A$8:$A$24</c:f>
              <c:strCache>
                <c:ptCount val="17"/>
                <c:pt idx="0">
                  <c:v>Combustão do carvão e outro uso do carvão</c:v>
                </c:pt>
                <c:pt idx="1">
                  <c:v>Combustão de outros combustíveis fósseis e de biomassa*4</c:v>
                </c:pt>
                <c:pt idx="2">
                  <c:v>Produção de petróleo e gás</c:v>
                </c:pt>
                <c:pt idx="3">
                  <c:v>Produção de metais primários (excluindo a produção de ouro por amalgamação)</c:v>
                </c:pt>
                <c:pt idx="4">
                  <c:v>Extração de ouro com amálgama de mercúrio </c:v>
                </c:pt>
                <c:pt idx="5">
                  <c:v>Produção de outros materiais*5</c:v>
                </c:pt>
                <c:pt idx="6">
                  <c:v>Produção de cloro e álcalis com células de mercúrio</c:v>
                </c:pt>
                <c:pt idx="7">
                  <c:v>Outra produção de produtos químicos e polímeros*6</c:v>
                </c:pt>
                <c:pt idx="8">
                  <c:v>Produção de produtos com teor de mercúrio </c:v>
                </c:pt>
                <c:pt idx="9">
                  <c:v>Utilização e destinação de amálgama dental</c:v>
                </c:pt>
                <c:pt idx="10">
                  <c:v>Utilização e destinação de outros produtos*7</c:v>
                </c:pt>
                <c:pt idx="11">
                  <c:v>Produção de metais reciclados</c:v>
                </c:pt>
                <c:pt idx="12">
                  <c:v>Incineração de resíduos e queima aberta de resíduos *1</c:v>
                </c:pt>
                <c:pt idx="13">
                  <c:v>destinação de resíduos *1</c:v>
                </c:pt>
                <c:pt idx="14">
                  <c:v>destinação informal de resíduos em geral  *1*2</c:v>
                </c:pt>
                <c:pt idx="15">
                  <c:v>Sistema/tratamento de águas residuais  *3</c:v>
                </c:pt>
                <c:pt idx="16">
                  <c:v>Crematórios e cemitérios</c:v>
                </c:pt>
              </c:strCache>
            </c:strRef>
          </c:cat>
          <c:val>
            <c:numRef>
              <c:f>'Nível1-Gráficos'!$D$8:$D$24</c:f>
              <c:numCache>
                <c:formatCode>#,##0</c:formatCode>
                <c:ptCount val="1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numCache>
            </c:numRef>
          </c:val>
        </c:ser>
        <c:dLbls>
          <c:showLegendKey val="0"/>
          <c:showVal val="0"/>
          <c:showCatName val="0"/>
          <c:showSerName val="0"/>
          <c:showPercent val="0"/>
          <c:showBubbleSize val="0"/>
        </c:dLbls>
        <c:gapWidth val="150"/>
        <c:axId val="312808400"/>
        <c:axId val="312808960"/>
      </c:barChart>
      <c:catAx>
        <c:axId val="312808400"/>
        <c:scaling>
          <c:orientation val="maxMin"/>
        </c:scaling>
        <c:delete val="0"/>
        <c:axPos val="l"/>
        <c:numFmt formatCode="General" sourceLinked="1"/>
        <c:majorTickMark val="none"/>
        <c:minorTickMark val="none"/>
        <c:tickLblPos val="nextTo"/>
        <c:txPr>
          <a:bodyPr rot="0" vert="horz"/>
          <a:lstStyle/>
          <a:p>
            <a:pPr>
              <a:defRPr lang="en-US" sz="1000" b="0" i="0" u="none" strike="noStrike" baseline="0">
                <a:solidFill>
                  <a:srgbClr val="000000"/>
                </a:solidFill>
                <a:latin typeface="Calibri"/>
                <a:ea typeface="Calibri"/>
                <a:cs typeface="Calibri"/>
              </a:defRPr>
            </a:pPr>
            <a:endParaRPr lang="pt-BR"/>
          </a:p>
        </c:txPr>
        <c:crossAx val="312808960"/>
        <c:crosses val="autoZero"/>
        <c:auto val="1"/>
        <c:lblAlgn val="ctr"/>
        <c:lblOffset val="100"/>
        <c:noMultiLvlLbl val="0"/>
      </c:catAx>
      <c:valAx>
        <c:axId val="312808960"/>
        <c:scaling>
          <c:orientation val="minMax"/>
        </c:scaling>
        <c:delete val="0"/>
        <c:axPos val="b"/>
        <c:majorGridlines/>
        <c:minorGridlines/>
        <c:title>
          <c:tx>
            <c:rich>
              <a:bodyPr/>
              <a:lstStyle/>
              <a:p>
                <a:pPr>
                  <a:defRPr lang="en-US" sz="1800" b="1" i="0" u="none" strike="noStrike" baseline="0">
                    <a:solidFill>
                      <a:srgbClr val="000000"/>
                    </a:solidFill>
                    <a:latin typeface="Calibri"/>
                    <a:ea typeface="Calibri"/>
                    <a:cs typeface="Calibri"/>
                  </a:defRPr>
                </a:pPr>
                <a:r>
                  <a:rPr lang="da-DK"/>
                  <a:t>Liberações estimadas de mercúrio para a água (Kg Hg/ano)</a:t>
                </a:r>
              </a:p>
            </c:rich>
          </c:tx>
          <c:layout>
            <c:manualLayout>
              <c:xMode val="edge"/>
              <c:yMode val="edge"/>
              <c:x val="0.33623466969541588"/>
              <c:y val="0.92093020079807164"/>
            </c:manualLayout>
          </c:layout>
          <c:overlay val="0"/>
        </c:title>
        <c:numFmt formatCode="#,##0" sourceLinked="1"/>
        <c:majorTickMark val="none"/>
        <c:minorTickMark val="none"/>
        <c:tickLblPos val="nextTo"/>
        <c:txPr>
          <a:bodyPr rot="0" vert="horz"/>
          <a:lstStyle/>
          <a:p>
            <a:pPr>
              <a:defRPr lang="en-US" sz="1000" b="0" i="0" u="none" strike="noStrike" baseline="0">
                <a:solidFill>
                  <a:srgbClr val="000000"/>
                </a:solidFill>
                <a:latin typeface="Calibri"/>
                <a:ea typeface="Calibri"/>
                <a:cs typeface="Calibri"/>
              </a:defRPr>
            </a:pPr>
            <a:endParaRPr lang="pt-BR"/>
          </a:p>
        </c:txPr>
        <c:crossAx val="312808400"/>
        <c:crosses val="max"/>
        <c:crossBetween val="between"/>
      </c:valAx>
      <c:spPr>
        <a:ln>
          <a:solidFill>
            <a:schemeClr val="tx1"/>
          </a:solidFill>
        </a:ln>
      </c:spPr>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pt-BR"/>
    </a:p>
  </c:txPr>
  <c:printSettings>
    <c:headerFooter/>
    <c:pageMargins b="0.75000000000000255" l="0.70000000000000062" r="0.70000000000000062" t="0.75000000000000255"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41192787794729746"/>
          <c:y val="2.4179620034542267E-2"/>
          <c:w val="0.5409153952843273"/>
          <c:h val="0.79447322970638956"/>
        </c:manualLayout>
      </c:layout>
      <c:barChart>
        <c:barDir val="bar"/>
        <c:grouping val="clustered"/>
        <c:varyColors val="0"/>
        <c:ser>
          <c:idx val="1"/>
          <c:order val="0"/>
          <c:spPr>
            <a:solidFill>
              <a:srgbClr val="F79646">
                <a:lumMod val="75000"/>
              </a:srgbClr>
            </a:solidFill>
          </c:spPr>
          <c:invertIfNegative val="0"/>
          <c:cat>
            <c:strRef>
              <c:f>'Nível1-Gráficos'!$A$8:$A$24</c:f>
              <c:strCache>
                <c:ptCount val="17"/>
                <c:pt idx="0">
                  <c:v>Combustão do carvão e outro uso do carvão</c:v>
                </c:pt>
                <c:pt idx="1">
                  <c:v>Combustão de outros combustíveis fósseis e de biomassa*4</c:v>
                </c:pt>
                <c:pt idx="2">
                  <c:v>Produção de petróleo e gás</c:v>
                </c:pt>
                <c:pt idx="3">
                  <c:v>Produção de metais primários (excluindo a produção de ouro por amalgamação)</c:v>
                </c:pt>
                <c:pt idx="4">
                  <c:v>Extração de ouro com amálgama de mercúrio </c:v>
                </c:pt>
                <c:pt idx="5">
                  <c:v>Produção de outros materiais*5</c:v>
                </c:pt>
                <c:pt idx="6">
                  <c:v>Produção de cloro e álcalis com células de mercúrio</c:v>
                </c:pt>
                <c:pt idx="7">
                  <c:v>Outra produção de produtos químicos e polímeros*6</c:v>
                </c:pt>
                <c:pt idx="8">
                  <c:v>Produção de produtos com teor de mercúrio </c:v>
                </c:pt>
                <c:pt idx="9">
                  <c:v>Utilização e destinação de amálgama dental</c:v>
                </c:pt>
                <c:pt idx="10">
                  <c:v>Utilização e destinação de outros produtos*7</c:v>
                </c:pt>
                <c:pt idx="11">
                  <c:v>Produção de metais reciclados</c:v>
                </c:pt>
                <c:pt idx="12">
                  <c:v>Incineração de resíduos e queima aberta de resíduos *1</c:v>
                </c:pt>
                <c:pt idx="13">
                  <c:v>destinação de resíduos *1</c:v>
                </c:pt>
                <c:pt idx="14">
                  <c:v>destinação informal de resíduos em geral  *1*2</c:v>
                </c:pt>
                <c:pt idx="15">
                  <c:v>Sistema/tratamento de águas residuais  *3</c:v>
                </c:pt>
                <c:pt idx="16">
                  <c:v>Crematórios e cemitérios</c:v>
                </c:pt>
              </c:strCache>
            </c:strRef>
          </c:cat>
          <c:val>
            <c:numRef>
              <c:f>'Nível1-Gráficos'!$F$8:$F$24</c:f>
              <c:numCache>
                <c:formatCode>#,##0</c:formatCode>
                <c:ptCount val="1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numCache>
            </c:numRef>
          </c:val>
        </c:ser>
        <c:dLbls>
          <c:showLegendKey val="0"/>
          <c:showVal val="0"/>
          <c:showCatName val="0"/>
          <c:showSerName val="0"/>
          <c:showPercent val="0"/>
          <c:showBubbleSize val="0"/>
        </c:dLbls>
        <c:gapWidth val="150"/>
        <c:axId val="312811200"/>
        <c:axId val="312811760"/>
      </c:barChart>
      <c:catAx>
        <c:axId val="312811200"/>
        <c:scaling>
          <c:orientation val="maxMin"/>
        </c:scaling>
        <c:delete val="0"/>
        <c:axPos val="l"/>
        <c:numFmt formatCode="General" sourceLinked="1"/>
        <c:majorTickMark val="none"/>
        <c:minorTickMark val="none"/>
        <c:tickLblPos val="nextTo"/>
        <c:txPr>
          <a:bodyPr rot="0" vert="horz"/>
          <a:lstStyle/>
          <a:p>
            <a:pPr>
              <a:defRPr lang="en-US" sz="1000" b="0" i="0" u="none" strike="noStrike" baseline="0">
                <a:solidFill>
                  <a:srgbClr val="000000"/>
                </a:solidFill>
                <a:latin typeface="Calibri"/>
                <a:ea typeface="Calibri"/>
                <a:cs typeface="Calibri"/>
              </a:defRPr>
            </a:pPr>
            <a:endParaRPr lang="pt-BR"/>
          </a:p>
        </c:txPr>
        <c:crossAx val="312811760"/>
        <c:crosses val="autoZero"/>
        <c:auto val="1"/>
        <c:lblAlgn val="ctr"/>
        <c:lblOffset val="100"/>
        <c:noMultiLvlLbl val="0"/>
      </c:catAx>
      <c:valAx>
        <c:axId val="312811760"/>
        <c:scaling>
          <c:orientation val="minMax"/>
        </c:scaling>
        <c:delete val="0"/>
        <c:axPos val="b"/>
        <c:majorGridlines/>
        <c:minorGridlines/>
        <c:title>
          <c:tx>
            <c:rich>
              <a:bodyPr/>
              <a:lstStyle/>
              <a:p>
                <a:pPr>
                  <a:defRPr lang="en-US" sz="1800" b="1" i="0" u="none" strike="noStrike" baseline="0">
                    <a:solidFill>
                      <a:srgbClr val="000000"/>
                    </a:solidFill>
                    <a:latin typeface="Calibri"/>
                    <a:ea typeface="Calibri"/>
                    <a:cs typeface="Calibri"/>
                  </a:defRPr>
                </a:pPr>
                <a:r>
                  <a:rPr lang="da-DK"/>
                  <a:t>Saídas estimadas de mercúrio para subprodutos e impurezas (Kg Hg/ano)</a:t>
                </a:r>
              </a:p>
            </c:rich>
          </c:tx>
          <c:layout>
            <c:manualLayout>
              <c:xMode val="edge"/>
              <c:yMode val="edge"/>
              <c:x val="0.32594741191331755"/>
              <c:y val="0.88998245685610544"/>
            </c:manualLayout>
          </c:layout>
          <c:overlay val="0"/>
        </c:title>
        <c:numFmt formatCode="#,##0" sourceLinked="1"/>
        <c:majorTickMark val="none"/>
        <c:minorTickMark val="none"/>
        <c:tickLblPos val="nextTo"/>
        <c:txPr>
          <a:bodyPr rot="0" vert="horz"/>
          <a:lstStyle/>
          <a:p>
            <a:pPr>
              <a:defRPr lang="en-US" sz="1000" b="0" i="0" u="none" strike="noStrike" baseline="0">
                <a:solidFill>
                  <a:srgbClr val="000000"/>
                </a:solidFill>
                <a:latin typeface="Calibri"/>
                <a:ea typeface="Calibri"/>
                <a:cs typeface="Calibri"/>
              </a:defRPr>
            </a:pPr>
            <a:endParaRPr lang="pt-BR"/>
          </a:p>
        </c:txPr>
        <c:crossAx val="312811200"/>
        <c:crosses val="max"/>
        <c:crossBetween val="between"/>
      </c:valAx>
      <c:spPr>
        <a:ln>
          <a:solidFill>
            <a:schemeClr val="tx1"/>
          </a:solidFill>
        </a:ln>
      </c:spPr>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pt-BR"/>
    </a:p>
  </c:txPr>
  <c:printSettings>
    <c:headerFooter/>
    <c:pageMargins b="0.75000000000000255" l="0.70000000000000062" r="0.70000000000000062" t="0.75000000000000255"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41192787794729746"/>
          <c:y val="2.4347826086956542E-2"/>
          <c:w val="0.5409153952843273"/>
          <c:h val="0.84347826086956523"/>
        </c:manualLayout>
      </c:layout>
      <c:barChart>
        <c:barDir val="bar"/>
        <c:grouping val="clustered"/>
        <c:varyColors val="0"/>
        <c:ser>
          <c:idx val="0"/>
          <c:order val="0"/>
          <c:spPr>
            <a:solidFill>
              <a:srgbClr val="6C4B7B"/>
            </a:solidFill>
          </c:spPr>
          <c:invertIfNegative val="0"/>
          <c:cat>
            <c:strRef>
              <c:f>'Nível1-Gráficos'!$A$8:$A$24</c:f>
              <c:strCache>
                <c:ptCount val="17"/>
                <c:pt idx="0">
                  <c:v>Combustão do carvão e outro uso do carvão</c:v>
                </c:pt>
                <c:pt idx="1">
                  <c:v>Combustão de outros combustíveis fósseis e de biomassa*4</c:v>
                </c:pt>
                <c:pt idx="2">
                  <c:v>Produção de petróleo e gás</c:v>
                </c:pt>
                <c:pt idx="3">
                  <c:v>Produção de metais primários (excluindo a produção de ouro por amalgamação)</c:v>
                </c:pt>
                <c:pt idx="4">
                  <c:v>Extração de ouro com amálgama de mercúrio </c:v>
                </c:pt>
                <c:pt idx="5">
                  <c:v>Produção de outros materiais*5</c:v>
                </c:pt>
                <c:pt idx="6">
                  <c:v>Produção de cloro e álcalis com células de mercúrio</c:v>
                </c:pt>
                <c:pt idx="7">
                  <c:v>Outra produção de produtos químicos e polímeros*6</c:v>
                </c:pt>
                <c:pt idx="8">
                  <c:v>Produção de produtos com teor de mercúrio </c:v>
                </c:pt>
                <c:pt idx="9">
                  <c:v>Utilização e destinação de amálgama dental</c:v>
                </c:pt>
                <c:pt idx="10">
                  <c:v>Utilização e destinação de outros produtos*7</c:v>
                </c:pt>
                <c:pt idx="11">
                  <c:v>Produção de metais reciclados</c:v>
                </c:pt>
                <c:pt idx="12">
                  <c:v>Incineração de resíduos e queima aberta de resíduos *1</c:v>
                </c:pt>
                <c:pt idx="13">
                  <c:v>destinação de resíduos *1</c:v>
                </c:pt>
                <c:pt idx="14">
                  <c:v>destinação informal de resíduos em geral  *1*2</c:v>
                </c:pt>
                <c:pt idx="15">
                  <c:v>Sistema/tratamento de águas residuais  *3</c:v>
                </c:pt>
                <c:pt idx="16">
                  <c:v>Crematórios e cemitérios</c:v>
                </c:pt>
              </c:strCache>
            </c:strRef>
          </c:cat>
          <c:val>
            <c:numRef>
              <c:f>'Nível1-Gráficos'!$G$8:$G$24</c:f>
              <c:numCache>
                <c:formatCode>#,##0</c:formatCode>
                <c:ptCount val="1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numCache>
            </c:numRef>
          </c:val>
        </c:ser>
        <c:dLbls>
          <c:showLegendKey val="0"/>
          <c:showVal val="0"/>
          <c:showCatName val="0"/>
          <c:showSerName val="0"/>
          <c:showPercent val="0"/>
          <c:showBubbleSize val="0"/>
        </c:dLbls>
        <c:gapWidth val="150"/>
        <c:axId val="312814000"/>
        <c:axId val="312814560"/>
      </c:barChart>
      <c:catAx>
        <c:axId val="312814000"/>
        <c:scaling>
          <c:orientation val="maxMin"/>
        </c:scaling>
        <c:delete val="0"/>
        <c:axPos val="l"/>
        <c:numFmt formatCode="General" sourceLinked="1"/>
        <c:majorTickMark val="none"/>
        <c:minorTickMark val="none"/>
        <c:tickLblPos val="nextTo"/>
        <c:txPr>
          <a:bodyPr rot="0" vert="horz"/>
          <a:lstStyle/>
          <a:p>
            <a:pPr>
              <a:defRPr lang="en-US" sz="1000" b="0" i="0" u="none" strike="noStrike" baseline="0">
                <a:solidFill>
                  <a:srgbClr val="000000"/>
                </a:solidFill>
                <a:latin typeface="Calibri"/>
                <a:ea typeface="Calibri"/>
                <a:cs typeface="Calibri"/>
              </a:defRPr>
            </a:pPr>
            <a:endParaRPr lang="pt-BR"/>
          </a:p>
        </c:txPr>
        <c:crossAx val="312814560"/>
        <c:crosses val="autoZero"/>
        <c:auto val="1"/>
        <c:lblAlgn val="ctr"/>
        <c:lblOffset val="100"/>
        <c:noMultiLvlLbl val="0"/>
      </c:catAx>
      <c:valAx>
        <c:axId val="312814560"/>
        <c:scaling>
          <c:orientation val="minMax"/>
        </c:scaling>
        <c:delete val="0"/>
        <c:axPos val="b"/>
        <c:majorGridlines/>
        <c:minorGridlines/>
        <c:title>
          <c:tx>
            <c:rich>
              <a:bodyPr/>
              <a:lstStyle/>
              <a:p>
                <a:pPr>
                  <a:defRPr lang="en-US" sz="1800" b="1" i="0" u="none" strike="noStrike" baseline="0">
                    <a:solidFill>
                      <a:srgbClr val="000000"/>
                    </a:solidFill>
                    <a:latin typeface="Calibri"/>
                    <a:ea typeface="Calibri"/>
                    <a:cs typeface="Calibri"/>
                  </a:defRPr>
                </a:pPr>
                <a:r>
                  <a:rPr lang="da-DK"/>
                  <a:t>Liberações estimadas de mercúrio para resíduos gerais (Kg Hg/ano)</a:t>
                </a:r>
              </a:p>
            </c:rich>
          </c:tx>
          <c:layout>
            <c:manualLayout>
              <c:xMode val="edge"/>
              <c:yMode val="edge"/>
              <c:x val="0.23388891922490268"/>
              <c:y val="0.89321958233481691"/>
            </c:manualLayout>
          </c:layout>
          <c:overlay val="0"/>
        </c:title>
        <c:numFmt formatCode="#,##0" sourceLinked="1"/>
        <c:majorTickMark val="none"/>
        <c:minorTickMark val="none"/>
        <c:tickLblPos val="nextTo"/>
        <c:txPr>
          <a:bodyPr rot="0" vert="horz"/>
          <a:lstStyle/>
          <a:p>
            <a:pPr>
              <a:defRPr lang="en-US" sz="1000" b="0" i="0" u="none" strike="noStrike" baseline="0">
                <a:solidFill>
                  <a:srgbClr val="000000"/>
                </a:solidFill>
                <a:latin typeface="Calibri"/>
                <a:ea typeface="Calibri"/>
                <a:cs typeface="Calibri"/>
              </a:defRPr>
            </a:pPr>
            <a:endParaRPr lang="pt-BR"/>
          </a:p>
        </c:txPr>
        <c:crossAx val="312814000"/>
        <c:crosses val="max"/>
        <c:crossBetween val="between"/>
      </c:valAx>
      <c:spPr>
        <a:ln>
          <a:solidFill>
            <a:schemeClr val="tx1"/>
          </a:solidFill>
        </a:ln>
      </c:spPr>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pt-BR"/>
    </a:p>
  </c:txPr>
  <c:printSettings>
    <c:headerFooter/>
    <c:pageMargins b="0.75000000000000278" l="0.70000000000000062" r="0.70000000000000062" t="0.75000000000000278"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41192787794729746"/>
          <c:y val="2.4647887323943764E-2"/>
          <c:w val="0.5409153952843273"/>
          <c:h val="0.84154929577464788"/>
        </c:manualLayout>
      </c:layout>
      <c:barChart>
        <c:barDir val="bar"/>
        <c:grouping val="clustered"/>
        <c:varyColors val="0"/>
        <c:ser>
          <c:idx val="0"/>
          <c:order val="0"/>
          <c:spPr>
            <a:solidFill>
              <a:schemeClr val="bg1">
                <a:lumMod val="65000"/>
              </a:schemeClr>
            </a:solidFill>
          </c:spPr>
          <c:invertIfNegative val="0"/>
          <c:cat>
            <c:strRef>
              <c:f>'Nível1-Gráficos'!$A$8:$A$24</c:f>
              <c:strCache>
                <c:ptCount val="17"/>
                <c:pt idx="0">
                  <c:v>Combustão do carvão e outro uso do carvão</c:v>
                </c:pt>
                <c:pt idx="1">
                  <c:v>Combustão de outros combustíveis fósseis e de biomassa*4</c:v>
                </c:pt>
                <c:pt idx="2">
                  <c:v>Produção de petróleo e gás</c:v>
                </c:pt>
                <c:pt idx="3">
                  <c:v>Produção de metais primários (excluindo a produção de ouro por amalgamação)</c:v>
                </c:pt>
                <c:pt idx="4">
                  <c:v>Extração de ouro com amálgama de mercúrio </c:v>
                </c:pt>
                <c:pt idx="5">
                  <c:v>Produção de outros materiais*5</c:v>
                </c:pt>
                <c:pt idx="6">
                  <c:v>Produção de cloro e álcalis com células de mercúrio</c:v>
                </c:pt>
                <c:pt idx="7">
                  <c:v>Outra produção de produtos químicos e polímeros*6</c:v>
                </c:pt>
                <c:pt idx="8">
                  <c:v>Produção de produtos com teor de mercúrio </c:v>
                </c:pt>
                <c:pt idx="9">
                  <c:v>Utilização e destinação de amálgama dental</c:v>
                </c:pt>
                <c:pt idx="10">
                  <c:v>Utilização e destinação de outros produtos*7</c:v>
                </c:pt>
                <c:pt idx="11">
                  <c:v>Produção de metais reciclados</c:v>
                </c:pt>
                <c:pt idx="12">
                  <c:v>Incineração de resíduos e queima aberta de resíduos *1</c:v>
                </c:pt>
                <c:pt idx="13">
                  <c:v>destinação de resíduos *1</c:v>
                </c:pt>
                <c:pt idx="14">
                  <c:v>destinação informal de resíduos em geral  *1*2</c:v>
                </c:pt>
                <c:pt idx="15">
                  <c:v>Sistema/tratamento de águas residuais  *3</c:v>
                </c:pt>
                <c:pt idx="16">
                  <c:v>Crematórios e cemitérios</c:v>
                </c:pt>
              </c:strCache>
            </c:strRef>
          </c:cat>
          <c:val>
            <c:numRef>
              <c:f>'Nível1-Gráficos'!$H$8:$H$24</c:f>
              <c:numCache>
                <c:formatCode>#,##0</c:formatCode>
                <c:ptCount val="1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numCache>
            </c:numRef>
          </c:val>
        </c:ser>
        <c:dLbls>
          <c:showLegendKey val="0"/>
          <c:showVal val="0"/>
          <c:showCatName val="0"/>
          <c:showSerName val="0"/>
          <c:showPercent val="0"/>
          <c:showBubbleSize val="0"/>
        </c:dLbls>
        <c:gapWidth val="150"/>
        <c:axId val="312886800"/>
        <c:axId val="312887360"/>
      </c:barChart>
      <c:catAx>
        <c:axId val="312886800"/>
        <c:scaling>
          <c:orientation val="maxMin"/>
        </c:scaling>
        <c:delete val="0"/>
        <c:axPos val="l"/>
        <c:numFmt formatCode="General" sourceLinked="1"/>
        <c:majorTickMark val="none"/>
        <c:minorTickMark val="none"/>
        <c:tickLblPos val="nextTo"/>
        <c:txPr>
          <a:bodyPr rot="0" vert="horz"/>
          <a:lstStyle/>
          <a:p>
            <a:pPr>
              <a:defRPr lang="en-US" sz="1000" b="0" i="0" u="none" strike="noStrike" baseline="0">
                <a:solidFill>
                  <a:srgbClr val="000000"/>
                </a:solidFill>
                <a:latin typeface="Calibri"/>
                <a:ea typeface="Calibri"/>
                <a:cs typeface="Calibri"/>
              </a:defRPr>
            </a:pPr>
            <a:endParaRPr lang="pt-BR"/>
          </a:p>
        </c:txPr>
        <c:crossAx val="312887360"/>
        <c:crosses val="autoZero"/>
        <c:auto val="1"/>
        <c:lblAlgn val="ctr"/>
        <c:lblOffset val="100"/>
        <c:noMultiLvlLbl val="0"/>
      </c:catAx>
      <c:valAx>
        <c:axId val="312887360"/>
        <c:scaling>
          <c:orientation val="minMax"/>
        </c:scaling>
        <c:delete val="0"/>
        <c:axPos val="b"/>
        <c:majorGridlines/>
        <c:minorGridlines/>
        <c:title>
          <c:tx>
            <c:rich>
              <a:bodyPr/>
              <a:lstStyle/>
              <a:p>
                <a:pPr>
                  <a:defRPr lang="en-US" sz="1800" b="1" i="0" u="none" strike="noStrike" baseline="0">
                    <a:solidFill>
                      <a:srgbClr val="000000"/>
                    </a:solidFill>
                    <a:latin typeface="Calibri"/>
                    <a:ea typeface="Calibri"/>
                    <a:cs typeface="Calibri"/>
                  </a:defRPr>
                </a:pPr>
                <a:r>
                  <a:rPr lang="da-DK"/>
                  <a:t>Liberações estimadas</a:t>
                </a:r>
                <a:r>
                  <a:rPr lang="da-DK" baseline="0"/>
                  <a:t> de mercúrio para resíduos por setor</a:t>
                </a:r>
                <a:r>
                  <a:rPr lang="da-DK"/>
                  <a:t> (Kg Hg/ano)</a:t>
                </a:r>
              </a:p>
            </c:rich>
          </c:tx>
          <c:layout>
            <c:manualLayout>
              <c:xMode val="edge"/>
              <c:yMode val="edge"/>
              <c:x val="0.20236708275543308"/>
              <c:y val="0.89321965916232249"/>
            </c:manualLayout>
          </c:layout>
          <c:overlay val="0"/>
        </c:title>
        <c:numFmt formatCode="#,##0" sourceLinked="1"/>
        <c:majorTickMark val="none"/>
        <c:minorTickMark val="none"/>
        <c:tickLblPos val="nextTo"/>
        <c:txPr>
          <a:bodyPr rot="0" vert="horz"/>
          <a:lstStyle/>
          <a:p>
            <a:pPr>
              <a:defRPr lang="en-US" sz="1000" b="0" i="0" u="none" strike="noStrike" baseline="0">
                <a:solidFill>
                  <a:srgbClr val="000000"/>
                </a:solidFill>
                <a:latin typeface="Calibri"/>
                <a:ea typeface="Calibri"/>
                <a:cs typeface="Calibri"/>
              </a:defRPr>
            </a:pPr>
            <a:endParaRPr lang="pt-BR"/>
          </a:p>
        </c:txPr>
        <c:crossAx val="312886800"/>
        <c:crosses val="max"/>
        <c:crossBetween val="between"/>
      </c:valAx>
      <c:spPr>
        <a:ln>
          <a:solidFill>
            <a:schemeClr val="tx1"/>
          </a:solidFill>
        </a:ln>
      </c:spPr>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pt-BR"/>
    </a:p>
  </c:txPr>
  <c:printSettings>
    <c:headerFooter/>
    <c:pageMargins b="0.750000000000003" l="0.70000000000000062" r="0.70000000000000062" t="0.750000000000003" header="0.30000000000000032" footer="0.30000000000000032"/>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0</xdr:colOff>
      <xdr:row>44</xdr:row>
      <xdr:rowOff>66675</xdr:rowOff>
    </xdr:from>
    <xdr:to>
      <xdr:col>4</xdr:col>
      <xdr:colOff>666750</xdr:colOff>
      <xdr:row>78</xdr:row>
      <xdr:rowOff>57150</xdr:rowOff>
    </xdr:to>
    <xdr:graphicFrame macro="">
      <xdr:nvGraphicFramePr>
        <xdr:cNvPr id="6572851"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80</xdr:row>
      <xdr:rowOff>9525</xdr:rowOff>
    </xdr:from>
    <xdr:to>
      <xdr:col>4</xdr:col>
      <xdr:colOff>685800</xdr:colOff>
      <xdr:row>116</xdr:row>
      <xdr:rowOff>57150</xdr:rowOff>
    </xdr:to>
    <xdr:graphicFrame macro="">
      <xdr:nvGraphicFramePr>
        <xdr:cNvPr id="6572852"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156</xdr:row>
      <xdr:rowOff>38100</xdr:rowOff>
    </xdr:from>
    <xdr:to>
      <xdr:col>4</xdr:col>
      <xdr:colOff>695325</xdr:colOff>
      <xdr:row>192</xdr:row>
      <xdr:rowOff>66675</xdr:rowOff>
    </xdr:to>
    <xdr:graphicFrame macro="">
      <xdr:nvGraphicFramePr>
        <xdr:cNvPr id="6572853" name="Chart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118</xdr:row>
      <xdr:rowOff>66675</xdr:rowOff>
    </xdr:from>
    <xdr:to>
      <xdr:col>4</xdr:col>
      <xdr:colOff>704850</xdr:colOff>
      <xdr:row>154</xdr:row>
      <xdr:rowOff>95250</xdr:rowOff>
    </xdr:to>
    <xdr:graphicFrame macro="">
      <xdr:nvGraphicFramePr>
        <xdr:cNvPr id="6572854" name="Chart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194</xdr:row>
      <xdr:rowOff>114300</xdr:rowOff>
    </xdr:from>
    <xdr:to>
      <xdr:col>4</xdr:col>
      <xdr:colOff>704850</xdr:colOff>
      <xdr:row>228</xdr:row>
      <xdr:rowOff>123825</xdr:rowOff>
    </xdr:to>
    <xdr:graphicFrame macro="">
      <xdr:nvGraphicFramePr>
        <xdr:cNvPr id="6572855" name="Chart 1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230</xdr:row>
      <xdr:rowOff>152400</xdr:rowOff>
    </xdr:from>
    <xdr:to>
      <xdr:col>4</xdr:col>
      <xdr:colOff>704850</xdr:colOff>
      <xdr:row>264</xdr:row>
      <xdr:rowOff>123825</xdr:rowOff>
    </xdr:to>
    <xdr:graphicFrame macro="">
      <xdr:nvGraphicFramePr>
        <xdr:cNvPr id="6572856" name="Chart 1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266</xdr:row>
      <xdr:rowOff>66675</xdr:rowOff>
    </xdr:from>
    <xdr:to>
      <xdr:col>4</xdr:col>
      <xdr:colOff>704850</xdr:colOff>
      <xdr:row>299</xdr:row>
      <xdr:rowOff>133350</xdr:rowOff>
    </xdr:to>
    <xdr:graphicFrame macro="">
      <xdr:nvGraphicFramePr>
        <xdr:cNvPr id="6572857" name="Chart 1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Insert%20IL2%20results"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Step6-A47Hg%20products-substance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ert IL2 results"/>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ep6-A47Hg products-substances"/>
    </sheetNames>
    <sheetDataSet>
      <sheetData sheetId="0" refreshError="1"/>
    </sheetDataSet>
  </externalBook>
</externalLink>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8" Type="http://schemas.openxmlformats.org/officeDocument/2006/relationships/printerSettings" Target="../printerSettings/printerSettings12.bin"/><Relationship Id="rId3" Type="http://schemas.openxmlformats.org/officeDocument/2006/relationships/hyperlink" Target="http://www.reegle.info/countries" TargetMode="External"/><Relationship Id="rId7" Type="http://schemas.openxmlformats.org/officeDocument/2006/relationships/hyperlink" Target="http://www.who.int/whr/2006/annex/en/index.html" TargetMode="External"/><Relationship Id="rId2" Type="http://schemas.openxmlformats.org/officeDocument/2006/relationships/hyperlink" Target="http://www.reeep.org/file_upload/296_tmpphpW16ncV.pdf" TargetMode="External"/><Relationship Id="rId1" Type="http://schemas.openxmlformats.org/officeDocument/2006/relationships/hyperlink" Target="http://datamarket.com/data/set/1459/household-electrification-rate-of-households" TargetMode="External"/><Relationship Id="rId6" Type="http://schemas.openxmlformats.org/officeDocument/2006/relationships/hyperlink" Target="http://www.worldenergyoutlook.org/resources/energydevelopment/accesstoelectricity/" TargetMode="External"/><Relationship Id="rId5" Type="http://schemas.openxmlformats.org/officeDocument/2006/relationships/hyperlink" Target="http://data.un.org/Data.aspx?d=POP&amp;f=tableCode%3a1" TargetMode="External"/><Relationship Id="rId4" Type="http://schemas.openxmlformats.org/officeDocument/2006/relationships/hyperlink" Target="http://www.ngdc.noaa.gov/dmsp/pubs/Elvidge_WINTD_20091022.pdf" TargetMode="Externa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37"/>
  <sheetViews>
    <sheetView topLeftCell="A28" workbookViewId="0">
      <selection activeCell="A21" sqref="A21"/>
    </sheetView>
  </sheetViews>
  <sheetFormatPr defaultRowHeight="12.75"/>
  <cols>
    <col min="1" max="1" width="41.85546875" style="340" customWidth="1"/>
    <col min="2" max="2" width="81.5703125" style="368" customWidth="1"/>
    <col min="3" max="3" width="15.5703125" style="340" customWidth="1"/>
    <col min="4" max="4" width="14.140625" style="340" customWidth="1"/>
    <col min="5" max="5" width="10.85546875" style="340" customWidth="1"/>
    <col min="6" max="6" width="10.42578125" style="340" customWidth="1"/>
    <col min="7" max="7" width="10.28515625" style="340" customWidth="1"/>
    <col min="8" max="8" width="11" style="340" customWidth="1"/>
    <col min="9" max="9" width="9.140625" style="340"/>
    <col min="10" max="10" width="16.140625" style="340" customWidth="1"/>
    <col min="11" max="11" width="11" style="340" customWidth="1"/>
    <col min="12" max="12" width="5.28515625" style="340" customWidth="1"/>
    <col min="13" max="16384" width="9.140625" style="340"/>
  </cols>
  <sheetData>
    <row r="1" spans="1:39" ht="18">
      <c r="A1" s="1" t="s">
        <v>756</v>
      </c>
    </row>
    <row r="2" spans="1:39" ht="13.5" thickBot="1"/>
    <row r="3" spans="1:39" ht="26.25" thickBot="1">
      <c r="A3" s="660" t="s">
        <v>757</v>
      </c>
      <c r="B3" s="453"/>
    </row>
    <row r="4" spans="1:39">
      <c r="A4" s="661"/>
      <c r="B4" s="479"/>
    </row>
    <row r="5" spans="1:39" ht="13.5" thickBot="1">
      <c r="A5" s="661" t="s">
        <v>758</v>
      </c>
      <c r="B5" s="480"/>
    </row>
    <row r="6" spans="1:39" ht="25.5">
      <c r="A6" s="662" t="s">
        <v>1006</v>
      </c>
      <c r="B6" s="516">
        <f>B23</f>
        <v>0</v>
      </c>
      <c r="C6" s="626"/>
    </row>
    <row r="7" spans="1:39" s="496" customFormat="1">
      <c r="A7" s="662" t="s">
        <v>1008</v>
      </c>
      <c r="B7" s="387"/>
      <c r="C7" s="340"/>
      <c r="D7" s="340"/>
      <c r="E7" s="340"/>
      <c r="F7" s="340"/>
      <c r="G7" s="340"/>
      <c r="H7" s="340"/>
      <c r="I7" s="340"/>
      <c r="J7" s="340"/>
      <c r="K7" s="340"/>
      <c r="L7" s="340"/>
      <c r="M7" s="340"/>
      <c r="N7" s="340"/>
      <c r="O7" s="340"/>
      <c r="P7" s="340"/>
      <c r="Q7" s="340"/>
      <c r="R7" s="340"/>
      <c r="S7" s="340"/>
      <c r="T7" s="340"/>
      <c r="U7" s="340"/>
      <c r="V7" s="340"/>
      <c r="W7" s="340"/>
      <c r="X7" s="340"/>
      <c r="Y7" s="340"/>
      <c r="Z7" s="340"/>
      <c r="AA7" s="340"/>
      <c r="AB7" s="340"/>
      <c r="AC7" s="340"/>
      <c r="AD7" s="340"/>
      <c r="AE7" s="340"/>
      <c r="AF7" s="340"/>
      <c r="AG7" s="340"/>
      <c r="AH7" s="340"/>
      <c r="AI7" s="340"/>
      <c r="AJ7" s="340"/>
      <c r="AK7" s="340"/>
      <c r="AL7" s="340"/>
      <c r="AM7" s="340"/>
    </row>
    <row r="8" spans="1:39">
      <c r="A8" s="663" t="s">
        <v>759</v>
      </c>
      <c r="B8" s="386"/>
    </row>
    <row r="9" spans="1:39">
      <c r="A9" s="663" t="s">
        <v>760</v>
      </c>
      <c r="B9" s="387"/>
    </row>
    <row r="10" spans="1:39" ht="13.5" thickBot="1">
      <c r="A10" s="663" t="s">
        <v>761</v>
      </c>
      <c r="B10" s="388"/>
    </row>
    <row r="11" spans="1:39">
      <c r="A11" s="662"/>
      <c r="B11" s="481"/>
    </row>
    <row r="12" spans="1:39" ht="13.5" thickBot="1">
      <c r="A12" s="661" t="s">
        <v>1009</v>
      </c>
      <c r="B12" s="482"/>
      <c r="C12" s="369"/>
      <c r="D12" s="369"/>
      <c r="E12" s="369"/>
      <c r="F12" s="369"/>
      <c r="G12" s="369"/>
      <c r="H12" s="369"/>
      <c r="I12" s="369"/>
      <c r="J12" s="369"/>
      <c r="K12" s="369"/>
      <c r="L12" s="369"/>
    </row>
    <row r="13" spans="1:39">
      <c r="A13" s="663" t="s">
        <v>762</v>
      </c>
      <c r="B13" s="389"/>
      <c r="C13" s="370"/>
      <c r="D13" s="369"/>
      <c r="E13" s="369"/>
      <c r="F13" s="369"/>
      <c r="G13" s="369"/>
      <c r="H13" s="369"/>
      <c r="I13" s="369"/>
      <c r="J13" s="369"/>
      <c r="K13" s="369"/>
      <c r="L13" s="369"/>
    </row>
    <row r="14" spans="1:39">
      <c r="A14" s="663" t="s">
        <v>763</v>
      </c>
      <c r="B14" s="386"/>
      <c r="C14" s="370"/>
      <c r="D14" s="369"/>
      <c r="E14" s="369"/>
      <c r="F14" s="369"/>
      <c r="G14" s="369"/>
      <c r="H14" s="369"/>
      <c r="I14" s="369"/>
      <c r="J14" s="369"/>
      <c r="K14" s="369"/>
      <c r="L14" s="369"/>
    </row>
    <row r="15" spans="1:39">
      <c r="A15" s="663" t="s">
        <v>1010</v>
      </c>
      <c r="B15" s="386"/>
      <c r="C15" s="370"/>
      <c r="D15" s="369"/>
      <c r="E15" s="369"/>
      <c r="F15" s="369"/>
      <c r="G15" s="369"/>
      <c r="H15" s="369"/>
      <c r="I15" s="369"/>
      <c r="J15" s="369"/>
      <c r="K15" s="369"/>
      <c r="L15" s="369"/>
    </row>
    <row r="16" spans="1:39">
      <c r="A16" s="664" t="s">
        <v>764</v>
      </c>
      <c r="B16" s="386"/>
      <c r="C16" s="369"/>
      <c r="D16" s="369"/>
      <c r="E16" s="369"/>
      <c r="F16" s="369"/>
      <c r="G16" s="369"/>
      <c r="H16" s="369"/>
      <c r="I16" s="369"/>
      <c r="J16" s="369"/>
      <c r="K16" s="369"/>
      <c r="L16" s="369"/>
    </row>
    <row r="17" spans="1:4">
      <c r="A17" s="663" t="s">
        <v>765</v>
      </c>
      <c r="B17" s="386"/>
    </row>
    <row r="18" spans="1:4" ht="13.5" thickBot="1">
      <c r="A18" s="665" t="s">
        <v>766</v>
      </c>
      <c r="B18" s="388"/>
    </row>
    <row r="19" spans="1:4">
      <c r="A19" s="666"/>
      <c r="B19" s="483"/>
    </row>
    <row r="21" spans="1:4">
      <c r="A21" s="542" t="s">
        <v>1095</v>
      </c>
      <c r="B21" s="543"/>
      <c r="C21" s="543"/>
      <c r="D21" s="543"/>
    </row>
    <row r="22" spans="1:4" s="670" customFormat="1" ht="76.5">
      <c r="A22" s="668" t="s">
        <v>767</v>
      </c>
      <c r="B22" s="669" t="s">
        <v>768</v>
      </c>
      <c r="C22" s="669" t="s">
        <v>769</v>
      </c>
      <c r="D22" s="669" t="s">
        <v>1007</v>
      </c>
    </row>
    <row r="23" spans="1:4">
      <c r="A23" s="667" t="s">
        <v>692</v>
      </c>
      <c r="B23" s="544">
        <f>IF(ISERROR(INDEX(Countrydata!B$8:B$206,MATCH($A$23,Country,0))),"Select country",INDEX(Countrydata!B$8:B$206,MATCH($A$23,Country,0)))</f>
        <v>0</v>
      </c>
      <c r="C23" s="545">
        <f>IF(ISERROR(INDEX(Countrydata!D$8:D$206,MATCH('Passo1-Dados do país'!$A$23,Country,0))),"Select country",INDEX(Countrydata!D$8:D$206,MATCH('Passo1-Dados do país'!$A$23,Country,0)))</f>
        <v>0.82919079065322876</v>
      </c>
      <c r="D23" s="546">
        <f>IF(ISERROR(INDEX(Countrydata!C$8:C$206,MATCH('Passo1-Dados do país'!$A$23,Country,0))),"Select country",INDEX(Countrydata!C$8:C$206,MATCH('Passo1-Dados do país'!$A$23,Country,0)))</f>
        <v>100</v>
      </c>
    </row>
    <row r="24" spans="1:4" s="670" customFormat="1">
      <c r="A24" s="671" t="s">
        <v>1011</v>
      </c>
    </row>
    <row r="25" spans="1:4" s="670" customFormat="1">
      <c r="A25" s="670" t="s">
        <v>1012</v>
      </c>
      <c r="B25" s="672"/>
    </row>
    <row r="27" spans="1:4" s="670" customFormat="1">
      <c r="A27" s="671" t="s">
        <v>770</v>
      </c>
      <c r="B27" s="672"/>
    </row>
    <row r="28" spans="1:4" s="670" customFormat="1">
      <c r="A28" s="671" t="s">
        <v>1013</v>
      </c>
      <c r="B28" s="672"/>
    </row>
    <row r="30" spans="1:4" s="670" customFormat="1">
      <c r="A30" s="671" t="s">
        <v>1014</v>
      </c>
      <c r="B30" s="672"/>
    </row>
    <row r="31" spans="1:4">
      <c r="C31" s="477"/>
    </row>
    <row r="32" spans="1:4" s="670" customFormat="1">
      <c r="A32" s="673" t="s">
        <v>771</v>
      </c>
      <c r="B32" s="674"/>
    </row>
    <row r="33" spans="1:2" s="670" customFormat="1" ht="178.5">
      <c r="A33" s="675" t="s">
        <v>1015</v>
      </c>
      <c r="B33" s="672"/>
    </row>
    <row r="34" spans="1:2" s="670" customFormat="1" ht="153">
      <c r="A34" s="675" t="s">
        <v>1016</v>
      </c>
      <c r="B34" s="672"/>
    </row>
    <row r="36" spans="1:2">
      <c r="A36" s="355" t="s">
        <v>772</v>
      </c>
    </row>
    <row r="37" spans="1:2">
      <c r="A37" s="233" t="s">
        <v>773</v>
      </c>
    </row>
  </sheetData>
  <dataValidations count="3">
    <dataValidation type="list" allowBlank="1" showInputMessage="1" showErrorMessage="1" errorTitle="Select country" error="Select country" promptTitle="Country" prompt="Select country from drop-down list" sqref="A23">
      <formula1>Country</formula1>
    </dataValidation>
    <dataValidation allowBlank="1" showInputMessage="1" showErrorMessage="1" errorTitle="Input error" error="Use digits and decimal mark only." sqref="B7:B10"/>
    <dataValidation type="decimal" allowBlank="1" showInputMessage="1" showErrorMessage="1" errorTitle="Input error" error="Use digits and decimal mark only in this cell." promptTitle="Input cell" prompt="Use digits and decimal mark only in this cell. _x000a__x000a_Note: If you enter a value here, and later want to use pre-entered population data (by selecting country below), you must re-establish the link here to cell B23 (enter =B23)." sqref="B6">
      <formula1>-999999999999999000</formula1>
      <formula2>999999999999999000</formula2>
    </dataValidation>
  </dataValidations>
  <pageMargins left="0.39370078740157483" right="0.39370078740157483" top="0.74803149606299213" bottom="0.74803149606299213" header="0.31496062992125984" footer="0.31496062992125984"/>
  <pageSetup paperSize="9" orientation="landscape" r:id="rId1"/>
  <headerFooter>
    <oddFooter>&amp;L&amp;APrinted &amp;D</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51"/>
  <sheetViews>
    <sheetView tabSelected="1" topLeftCell="A31" zoomScale="90" zoomScaleNormal="90" workbookViewId="0">
      <selection activeCell="B36" sqref="B36"/>
    </sheetView>
  </sheetViews>
  <sheetFormatPr defaultRowHeight="12.75"/>
  <cols>
    <col min="1" max="1" width="39.85546875" style="340" customWidth="1"/>
    <col min="2" max="2" width="11.85546875" style="359" customWidth="1"/>
    <col min="3" max="3" width="12.85546875" style="340" customWidth="1"/>
    <col min="4" max="4" width="29.28515625" style="340" customWidth="1"/>
    <col min="5" max="5" width="15" style="407" customWidth="1"/>
    <col min="6" max="6" width="14" style="340" customWidth="1"/>
    <col min="7" max="7" width="12.7109375" style="340" customWidth="1"/>
    <col min="8" max="8" width="12.85546875" style="340" customWidth="1"/>
    <col min="9" max="9" width="14.5703125" style="340" customWidth="1"/>
    <col min="10" max="10" width="14.42578125" style="340" customWidth="1"/>
    <col min="11" max="11" width="16.140625" style="340" customWidth="1"/>
    <col min="12" max="12" width="8" style="340" customWidth="1"/>
    <col min="13" max="13" width="9.140625" style="340"/>
    <col min="14" max="14" width="9.140625" style="340" hidden="1" customWidth="1"/>
    <col min="15" max="16384" width="9.140625" style="340"/>
  </cols>
  <sheetData>
    <row r="1" spans="1:14" s="670" customFormat="1">
      <c r="A1" s="691" t="s">
        <v>1023</v>
      </c>
      <c r="B1" s="698"/>
      <c r="E1" s="699"/>
    </row>
    <row r="2" spans="1:14" ht="30" customHeight="1">
      <c r="A2" s="729" t="str">
        <f>IF(ISNA(MATCH("n",N7:N46,0)),"","The Estimated Hg input (or equivalent inserted IL2 results) marked in red colour is very high compared to previous observations. Data may be correct, but please confirm your activity rate data (or inserted IL2 data).")</f>
        <v>The Estimated Hg input (or equivalent inserted IL2 results) marked in red colour is very high compared to previous observations. Data may be correct, but please confirm your activity rate data (or inserted IL2 data).</v>
      </c>
      <c r="B2" s="730"/>
      <c r="C2" s="730"/>
      <c r="D2" s="730"/>
      <c r="E2" s="730"/>
      <c r="F2" s="730"/>
      <c r="G2" s="730"/>
      <c r="H2" s="730"/>
      <c r="I2" s="730"/>
      <c r="J2" s="730"/>
      <c r="K2" s="730"/>
      <c r="L2" s="731"/>
    </row>
    <row r="3" spans="1:14" s="682" customFormat="1" ht="38.25" customHeight="1">
      <c r="A3" s="662" t="s">
        <v>775</v>
      </c>
      <c r="B3" s="678" t="s">
        <v>776</v>
      </c>
      <c r="C3" s="681" t="s">
        <v>777</v>
      </c>
      <c r="D3" s="662"/>
      <c r="E3" s="680" t="s">
        <v>778</v>
      </c>
      <c r="F3" s="728" t="s">
        <v>779</v>
      </c>
      <c r="G3" s="728"/>
      <c r="H3" s="728"/>
      <c r="I3" s="728"/>
      <c r="J3" s="728"/>
      <c r="K3" s="728"/>
      <c r="L3" s="662"/>
    </row>
    <row r="4" spans="1:14" ht="38.25">
      <c r="A4" s="267"/>
      <c r="B4" s="268" t="str">
        <f>quest</f>
        <v>S/N/?</v>
      </c>
      <c r="C4" s="683" t="s">
        <v>781</v>
      </c>
      <c r="D4" s="684" t="s">
        <v>782</v>
      </c>
      <c r="E4" s="709" t="s">
        <v>783</v>
      </c>
      <c r="F4" s="685" t="s">
        <v>784</v>
      </c>
      <c r="G4" s="685" t="s">
        <v>785</v>
      </c>
      <c r="H4" s="685" t="s">
        <v>786</v>
      </c>
      <c r="I4" s="709" t="s">
        <v>787</v>
      </c>
      <c r="J4" s="727" t="s">
        <v>1062</v>
      </c>
      <c r="K4" s="727" t="s">
        <v>1066</v>
      </c>
      <c r="L4" s="662" t="s">
        <v>1017</v>
      </c>
      <c r="M4" s="671" t="s">
        <v>788</v>
      </c>
    </row>
    <row r="5" spans="1:14" ht="17.25" customHeight="1">
      <c r="A5" s="267"/>
      <c r="B5" s="345"/>
      <c r="C5" s="266"/>
      <c r="D5" s="701" t="s">
        <v>869</v>
      </c>
      <c r="E5" s="307"/>
      <c r="F5" s="410" t="str">
        <f>IF('Passo5-TratResíduos+Reciclágem'!B4=yes,trans1,IF('Passo5-TratResíduos+Reciclágem'!B4=no,trans2,trans3))</f>
        <v>Responda S ou N na célula B4 na folha 'Passo 5 - Tratamento de Resíduos + reciclagem'</v>
      </c>
      <c r="G5" s="411"/>
      <c r="H5" s="411"/>
      <c r="I5" s="411"/>
      <c r="J5" s="412"/>
      <c r="K5" s="279"/>
      <c r="L5" s="265"/>
      <c r="M5" s="468"/>
      <c r="N5" s="323"/>
    </row>
    <row r="6" spans="1:14" ht="26.25" thickBot="1">
      <c r="A6" s="661" t="s">
        <v>1068</v>
      </c>
      <c r="B6" s="417"/>
      <c r="C6" s="399"/>
      <c r="D6" s="264"/>
      <c r="E6" s="264"/>
      <c r="F6" s="264"/>
      <c r="G6" s="264"/>
      <c r="H6" s="264"/>
      <c r="I6" s="264"/>
      <c r="J6" s="264"/>
      <c r="K6" s="264"/>
      <c r="L6" s="273"/>
      <c r="M6" s="468"/>
      <c r="N6" s="323"/>
    </row>
    <row r="7" spans="1:14" ht="13.5" thickBot="1">
      <c r="A7" s="702" t="s">
        <v>870</v>
      </c>
      <c r="B7" s="418"/>
      <c r="C7" s="416"/>
      <c r="D7" s="273"/>
      <c r="E7" s="465" t="str">
        <f>IF(AND($B7&lt;&gt;no,$B7&lt;&gt;yes,$B7&lt;&gt;que),pres,IF($B7=yes,'5-6 Other int use'!K7,IF($B7=no,"-",IF($B7=que,que,pres))))</f>
        <v>Presente?</v>
      </c>
      <c r="F7" s="408" t="str">
        <f>IF($E7=pres,pres,IF(OR('Passo5-TratResíduos+Reciclágem'!$B$4=yes,'Passo5-TratResíduos+Reciclágem'!$B$4=no),IF(OR($B7=yes,$B7=yes,$B7=yes,),'5-6 Other int use'!V6, IF(AND($B7=no,$B7=no,$B7=no),"-", IF(OR($B7=que,$B7=que,$B7=que),que, pres))),_SeF4))</f>
        <v>Presente?</v>
      </c>
      <c r="G7" s="408" t="str">
        <f>IF($E7=pres,pres,IF(OR('Passo5-TratResíduos+Reciclágem'!$B$4=yes,'Passo5-TratResíduos+Reciclágem'!$B$4=no),IF(OR($B7=yes,$B7=yes,$B7=yes,),'5-6 Other int use'!W6, IF(AND($B7=no,$B7=no,$B7=no),"-", IF(OR($B7=que,$B7=que,$B7=que),que, pres))),_SeF4))</f>
        <v>Presente?</v>
      </c>
      <c r="H7" s="408" t="str">
        <f>IF($E7=pres,pres,IF(OR('Passo5-TratResíduos+Reciclágem'!$B$4=yes,'Passo5-TratResíduos+Reciclágem'!$B$4=no),IF(OR($B7=yes,$B7=yes,$B7=yes,),'5-6 Other int use'!X6, IF(AND($B7=no,$B7=no,$B7=no),"-", IF(OR($B7=que,$B7=que,$B7=que),que, pres))),_SeF4))</f>
        <v>Presente?</v>
      </c>
      <c r="I7" s="408" t="str">
        <f>IF($E7=pres,pres,IF(OR('Passo5-TratResíduos+Reciclágem'!$B$4=yes,'Passo5-TratResíduos+Reciclágem'!$B$4=no),IF(OR($B7=yes,$B7=yes,$B7=yes,),'5-6 Other int use'!Y6, IF(AND($B7=no,$B7=no,$B7=no),"-", IF(OR($B7=que,$B7=que,$B7=que),que, pres))),_SeF4))</f>
        <v>Presente?</v>
      </c>
      <c r="J7" s="408" t="str">
        <f>IF($E7=pres,pres,IF(OR('Passo5-TratResíduos+Reciclágem'!$B$4=yes,'Passo5-TratResíduos+Reciclágem'!$B$4=no),IF(OR($B7=yes,$B7=yes,$B7=yes,),'5-6 Other int use'!Z6, IF(AND($B7=no,$B7=no,$B7=no),"-", IF(OR($B7=que,$B7=que,$B7=que),que, pres))),_SeF4))</f>
        <v>Presente?</v>
      </c>
      <c r="K7" s="408" t="str">
        <f>IF($E7=pres,pres,IF(OR('Passo5-TratResíduos+Reciclágem'!$B$4=yes,'Passo5-TratResíduos+Reciclágem'!$B$4=no),IF(OR($B7=yes,$B7=yes,$B7=yes,),'5-6 Other int use'!AA6, IF(AND($B7=no,$B7=no,$B7=no),"-", IF(OR($B7=que,$B7=que,$B7=que),que, pres))),_SeF4))</f>
        <v>Presente?</v>
      </c>
      <c r="L7" s="273" t="s">
        <v>221</v>
      </c>
      <c r="M7" s="468"/>
      <c r="N7" s="340" t="str">
        <f>INDEX('Range-thresholds'!$G$6:$G$72,MATCH(A7,'Range-thresholds'!$A$6:$A$72,0))</f>
        <v/>
      </c>
    </row>
    <row r="8" spans="1:14" ht="25.5">
      <c r="A8" s="662" t="s">
        <v>871</v>
      </c>
      <c r="B8" s="423"/>
      <c r="C8" s="424">
        <f>'Passo1-Dados do país'!$B$6</f>
        <v>0</v>
      </c>
      <c r="D8" s="688" t="s">
        <v>887</v>
      </c>
      <c r="E8" s="461"/>
      <c r="F8" s="409" t="str">
        <f>IF(OR('Passo5-TratResíduos+Reciclágem'!$B$4=yes,'Passo5-TratResíduos+Reciclágem'!$B$4=no),IF($B$7=yes,'5-6 Other int use'!V7, IF($B$7=no,"-", IF($B$7=que,que, pres))),_SeF4)</f>
        <v>Ver Passo5 F4</v>
      </c>
      <c r="G8" s="409" t="str">
        <f>IF(OR('Passo5-TratResíduos+Reciclágem'!$B$4=yes,'Passo5-TratResíduos+Reciclágem'!$B$4=no),IF($B$7=yes,'5-6 Other int use'!W7, IF($B$7=no,"-", IF($B$7=que,que, pres))),_SeF4)</f>
        <v>Ver Passo5 F4</v>
      </c>
      <c r="H8" s="409" t="str">
        <f>IF(OR('Passo5-TratResíduos+Reciclágem'!$B$4=yes,'Passo5-TratResíduos+Reciclágem'!$B$4=no),IF($B$7=yes,'5-6 Other int use'!X7, IF($B$7=no,"-", IF($B$7=que,que, pres))),_SeF4)</f>
        <v>Ver Passo5 F4</v>
      </c>
      <c r="I8" s="409" t="str">
        <f>IF(OR('Passo5-TratResíduos+Reciclágem'!$B$4=yes,'Passo5-TratResíduos+Reciclágem'!$B$4=no),IF($B$7=yes,'5-6 Other int use'!Y7, IF($B$7=no,"-", IF($B$7=que,que, pres))),_SeF4)</f>
        <v>Ver Passo5 F4</v>
      </c>
      <c r="J8" s="409" t="str">
        <f>IF(OR('Passo5-TratResíduos+Reciclágem'!$B$4=yes,'Passo5-TratResíduos+Reciclágem'!$B$4=no),IF($B$7=yes,'5-6 Other int use'!Z7, IF($B$7=no,"-", IF($B$7=que,que, pres))),_SeF4)</f>
        <v>Ver Passo5 F4</v>
      </c>
      <c r="K8" s="409" t="str">
        <f>IF(OR('Passo5-TratResíduos+Reciclágem'!$B$4=yes,'Passo5-TratResíduos+Reciclágem'!$B$4=no),IF($B$7=yes,'5-6 Other int use'!AA7, IF($B$7=no,"-", IF($B$7=que,que, pres))),_SeF4)</f>
        <v>Ver Passo5 F4</v>
      </c>
      <c r="L8" s="273"/>
      <c r="M8" s="468"/>
    </row>
    <row r="9" spans="1:14">
      <c r="A9" s="662" t="s">
        <v>872</v>
      </c>
      <c r="B9" s="425"/>
      <c r="C9" s="424">
        <f>'Passo1-Dados do país'!$B$6</f>
        <v>0</v>
      </c>
      <c r="D9" s="688" t="s">
        <v>887</v>
      </c>
      <c r="E9" s="462"/>
      <c r="F9" s="409" t="str">
        <f>IF(OR('Passo5-TratResíduos+Reciclágem'!$B$4=yes,'Passo5-TratResíduos+Reciclágem'!$B$4=no),IF($B7=yes,'5-6 Other int use'!V8, IF($B7=no,"-", IF($B7=que,que, pres))),_SeF4)</f>
        <v>Ver Passo5 F4</v>
      </c>
      <c r="G9" s="409" t="str">
        <f>IF(OR('Passo5-TratResíduos+Reciclágem'!$B$4=yes,'Passo5-TratResíduos+Reciclágem'!$B$4=no),IF($B7=yes,'5-6 Other int use'!W8, IF($B7=no,"-", IF($B7=que,que, pres))),_SeF4)</f>
        <v>Ver Passo5 F4</v>
      </c>
      <c r="H9" s="409" t="str">
        <f>IF(OR('Passo5-TratResíduos+Reciclágem'!$B$4=yes,'Passo5-TratResíduos+Reciclágem'!$B$4=no),IF($B7=yes,'5-6 Other int use'!X8, IF($B7=no,"-", IF($B7=que,que, pres))),_SeF4)</f>
        <v>Ver Passo5 F4</v>
      </c>
      <c r="I9" s="409" t="str">
        <f>IF(OR('Passo5-TratResíduos+Reciclágem'!$B$4=yes,'Passo5-TratResíduos+Reciclágem'!$B$4=no),IF($B7=yes,'5-6 Other int use'!Y8, IF($B7=no,"-", IF($B7=que,que, pres))),_SeF4)</f>
        <v>Ver Passo5 F4</v>
      </c>
      <c r="J9" s="409" t="str">
        <f>IF(OR('Passo5-TratResíduos+Reciclágem'!$B$4=yes,'Passo5-TratResíduos+Reciclágem'!$B$4=no),IF($B7=yes,'5-6 Other int use'!Z8, IF($B7=no,"-", IF($B7=que,que, pres))),_SeF4)</f>
        <v>Ver Passo5 F4</v>
      </c>
      <c r="K9" s="409" t="str">
        <f>IF(OR('Passo5-TratResíduos+Reciclágem'!$B$4=yes,'Passo5-TratResíduos+Reciclágem'!$B$4=no),IF($B7=yes,'5-6 Other int use'!AA8, IF($B7=no,"-", IF($B7=que,que, pres))),_SeF4)</f>
        <v>Ver Passo5 F4</v>
      </c>
      <c r="L9" s="273"/>
      <c r="M9" s="468"/>
    </row>
    <row r="10" spans="1:14">
      <c r="A10" s="662" t="s">
        <v>1069</v>
      </c>
      <c r="B10" s="425"/>
      <c r="C10" s="424">
        <f>'Passo1-Dados do país'!$B$6</f>
        <v>0</v>
      </c>
      <c r="D10" s="688" t="s">
        <v>887</v>
      </c>
      <c r="E10" s="461"/>
      <c r="F10" s="409" t="str">
        <f>IF(OR('Passo5-TratResíduos+Reciclágem'!$B$4=yes,'Passo5-TratResíduos+Reciclágem'!$B$4=no),IF($B7=yes,'5-6 Other int use'!V11, IF($B7=no,"-", IF($B7=que,que, pres))),_SeF4)</f>
        <v>Ver Passo5 F4</v>
      </c>
      <c r="G10" s="409" t="str">
        <f>IF(OR('Passo5-TratResíduos+Reciclágem'!$B$4=yes,'Passo5-TratResíduos+Reciclágem'!$B$4=no),IF($B7=yes,'5-6 Other int use'!W11, IF($B7=no,"-", IF($B7=que,que, pres))),_SeF4)</f>
        <v>Ver Passo5 F4</v>
      </c>
      <c r="H10" s="409" t="str">
        <f>IF(OR('Passo5-TratResíduos+Reciclágem'!$B$4=yes,'Passo5-TratResíduos+Reciclágem'!$B$4=no),IF($B7=yes,'5-6 Other int use'!X11, IF($B7=no,"-", IF($B7=que,que, pres))),_SeF4)</f>
        <v>Ver Passo5 F4</v>
      </c>
      <c r="I10" s="409" t="str">
        <f>IF(OR('Passo5-TratResíduos+Reciclágem'!$B$4=yes,'Passo5-TratResíduos+Reciclágem'!$B$4=no),IF($B7=yes,'5-6 Other int use'!Y11, IF($B7=no,"-", IF($B7=que,que, pres))),_SeF4)</f>
        <v>Ver Passo5 F4</v>
      </c>
      <c r="J10" s="409" t="str">
        <f>IF(OR('Passo5-TratResíduos+Reciclágem'!$B$4=yes,'Passo5-TratResíduos+Reciclágem'!$B$4=no),IF($B7=yes,'5-6 Other int use'!Z11, IF($B7=no,"-", IF($B7=que,que, pres))),_SeF4)</f>
        <v>Ver Passo5 F4</v>
      </c>
      <c r="K10" s="409" t="str">
        <f>IF(OR('Passo5-TratResíduos+Reciclágem'!$B$4=yes,'Passo5-TratResíduos+Reciclágem'!$B$4=no),IF($B7=yes,'5-6 Other int use'!AA11, IF($B7=no,"-", IF($B7=que,que, pres))),_SeF4)</f>
        <v>Ver Passo5 F4</v>
      </c>
      <c r="L10" s="273"/>
      <c r="M10" s="468"/>
    </row>
    <row r="11" spans="1:14">
      <c r="A11" s="662"/>
      <c r="B11" s="425"/>
      <c r="C11" s="501">
        <f>'Passo1-Dados do país'!C23</f>
        <v>0.82919079065322876</v>
      </c>
      <c r="D11" s="687" t="s">
        <v>888</v>
      </c>
      <c r="E11" s="463"/>
      <c r="F11" s="500"/>
      <c r="G11" s="500"/>
      <c r="H11" s="409"/>
      <c r="I11" s="409"/>
      <c r="J11" s="409"/>
      <c r="K11" s="409"/>
      <c r="L11" s="273"/>
      <c r="M11" s="468"/>
      <c r="N11" s="323"/>
    </row>
    <row r="12" spans="1:14">
      <c r="A12" s="662"/>
      <c r="B12" s="273"/>
      <c r="C12" s="354"/>
      <c r="D12" s="687"/>
      <c r="E12" s="463"/>
      <c r="F12" s="354"/>
      <c r="G12" s="354"/>
      <c r="H12" s="502"/>
      <c r="I12" s="264"/>
      <c r="J12" s="415"/>
      <c r="K12" s="264"/>
      <c r="L12" s="273"/>
      <c r="M12" s="468"/>
      <c r="N12" s="323"/>
    </row>
    <row r="13" spans="1:14" s="323" customFormat="1" ht="13.5" thickBot="1">
      <c r="A13" s="703" t="s">
        <v>873</v>
      </c>
      <c r="B13" s="413" t="str">
        <f>IF(OR(AND(B14&lt;&gt;no,B14&lt;&gt;yes,B14&lt;&gt;que),AND(B15&lt;&gt;no,B15&lt;&gt;yes,B15&lt;&gt;que),AND(B16&lt;&gt;no,B16&lt;&gt;yes,B16&lt;&gt;que)),pres,IF(OR($B14=yes,$B15=yes,$B16=yes),yes,IF(AND($B14=no,$B15=no,$B16=no),no,IF(OR($B14=que,$B15=que,$B16=que),que,pres))))</f>
        <v>Presente?</v>
      </c>
      <c r="C13" s="414">
        <f>SUM(C14:C16)</f>
        <v>0</v>
      </c>
      <c r="D13" s="688"/>
      <c r="E13" s="465" t="str">
        <f>IF(OR(AND(B14&lt;&gt;no,B14&lt;&gt;yes,B14&lt;&gt;que),AND(B15&lt;&gt;no,B15&lt;&gt;yes,B15&lt;&gt;que),AND(B16&lt;&gt;no,B16&lt;&gt;yes,B16&lt;&gt;que)),pres,IF(OR($B14=yes,$B15=yes,$B16=yes),'5-5 Cons prod'!K12,IF(AND($B14=no,$B15=no,$B16=no),"-",IF(OR($B14=que,$B15=que,$B16=que),que,pres))))</f>
        <v>Presente?</v>
      </c>
      <c r="F13" s="408" t="str">
        <f>IF($E13=pres,pres,IF(OR('Passo5-TratResíduos+Reciclágem'!$B$4=yes,'Passo5-TratResíduos+Reciclágem'!$B$4=no),IF(OR($B14=yes,$B15=yes,$B16=yes,),SUM('5-5 Cons prod'!V13:V15), IF(AND($B14=no,$B15=no,$B16=no),"-", IF(OR($B14=que,$B15=que,$B16=que),que, pres))),_SeF4))</f>
        <v>Presente?</v>
      </c>
      <c r="G13" s="408" t="str">
        <f>IF($E13=pres,pres,IF(OR('Passo5-TratResíduos+Reciclágem'!$B$4=yes,'Passo5-TratResíduos+Reciclágem'!$B$4=no),IF(OR($B14=yes,$B15=yes,$B16=yes,),SUM('5-5 Cons prod'!W13:W15), IF(AND($B14=no,$B15=no,$B16=no),"-", IF(OR($B14=que,$B15=que,$B16=que),que, pres))),_SeF4))</f>
        <v>Presente?</v>
      </c>
      <c r="H13" s="408" t="str">
        <f>IF($E13=pres,pres,IF(OR('Passo5-TratResíduos+Reciclágem'!$B$4=yes,'Passo5-TratResíduos+Reciclágem'!$B$4=no),IF(OR($B14=yes,$B15=yes,$B16=yes,),SUM('5-5 Cons prod'!X13:X15), IF(AND($B14=no,$B15=no,$B16=no),"-", IF(OR($B14=que,$B15=que,$B16=que),que, pres))),_SeF4))</f>
        <v>Presente?</v>
      </c>
      <c r="I13" s="408" t="str">
        <f>IF($E13=pres,pres,IF(OR('Passo5-TratResíduos+Reciclágem'!$B$4=yes,'Passo5-TratResíduos+Reciclágem'!$B$4=no),IF(OR($B14=yes,$B15=yes,$B16=yes,),SUM('5-5 Cons prod'!Y13:Y15), IF(AND($B14=no,$B15=no,$B16=no),"-", IF(OR($B14=que,$B15=que,$B16=que),que, pres))),_SeF4))</f>
        <v>Presente?</v>
      </c>
      <c r="J13" s="408" t="str">
        <f>IF($E13=pres,pres,IF(OR('Passo5-TratResíduos+Reciclágem'!$B$4=yes,'Passo5-TratResíduos+Reciclágem'!$B$4=no),IF(OR($B14=yes,$B15=yes,$B16=yes,),SUM('5-5 Cons prod'!Z13:Z15), IF(AND($B14=no,$B15=no,$B16=no),"-", IF(OR($B14=que,$B15=que,$B16=que),que, pres))),_SeF4))</f>
        <v>Presente?</v>
      </c>
      <c r="K13" s="408" t="str">
        <f>IF($E13=pres,pres,IF(OR('Passo5-TratResíduos+Reciclágem'!$B$4=yes,'Passo5-TratResíduos+Reciclágem'!$B$4=no),IF(OR($B14=yes,$B15=yes,$B16=yes,),SUM('5-5 Cons prod'!AA13:AA15), IF(AND($B14=no,$B15=no,$B16=no),"-", IF(OR($B14=que,$B15=que,$B16=que),que, pres))),_SeF4))</f>
        <v>Presente?</v>
      </c>
      <c r="L13" s="273" t="s">
        <v>91</v>
      </c>
      <c r="M13" s="468"/>
      <c r="N13" s="340" t="str">
        <f>INDEX('Range-thresholds'!$G$6:$G$72,MATCH(A13,'Range-thresholds'!$A$6:$A$72,0))</f>
        <v/>
      </c>
    </row>
    <row r="14" spans="1:14">
      <c r="A14" s="663" t="s">
        <v>874</v>
      </c>
      <c r="B14" s="384"/>
      <c r="C14" s="378"/>
      <c r="D14" s="687" t="s">
        <v>889</v>
      </c>
      <c r="E14" s="462" t="str">
        <f>IF(OR($B14=yes,$B14=yes),'5-5 Cons prod'!K13, IF(OR($B14=no,$B14=no),"-", IF($B14=que,que, pres)))</f>
        <v>Presente?</v>
      </c>
      <c r="F14" s="279"/>
      <c r="G14" s="279"/>
      <c r="H14" s="279"/>
      <c r="I14" s="279"/>
      <c r="J14" s="279"/>
      <c r="K14" s="279"/>
      <c r="L14" s="273"/>
      <c r="M14" s="468"/>
    </row>
    <row r="15" spans="1:14" ht="25.5">
      <c r="A15" s="663" t="s">
        <v>1024</v>
      </c>
      <c r="B15" s="379"/>
      <c r="C15" s="380"/>
      <c r="D15" s="687" t="s">
        <v>889</v>
      </c>
      <c r="E15" s="461" t="str">
        <f>IF(OR($B15=yes,$B15=yes),'5-5 Cons prod'!K14+'5-5 Cons prod'!K16, IF(OR($B15=no,$B15=no),"-", IF($B15=que,que, pres)))</f>
        <v>Presente?</v>
      </c>
      <c r="F15" s="279"/>
      <c r="G15" s="279"/>
      <c r="H15" s="279"/>
      <c r="I15" s="279"/>
      <c r="J15" s="279"/>
      <c r="K15" s="279"/>
      <c r="L15" s="273"/>
      <c r="M15" s="468"/>
    </row>
    <row r="16" spans="1:14" ht="39" thickBot="1">
      <c r="A16" s="663" t="s">
        <v>1025</v>
      </c>
      <c r="B16" s="382"/>
      <c r="C16" s="402"/>
      <c r="D16" s="687" t="s">
        <v>889</v>
      </c>
      <c r="E16" s="462" t="str">
        <f>IF(OR($B16=yes,$B16=yes),'5-5 Cons prod'!K15, IF(OR($B16=no,$B16=no),"-", IF($B16=que,que, pres)))</f>
        <v>Presente?</v>
      </c>
      <c r="F16" s="279"/>
      <c r="G16" s="279"/>
      <c r="H16" s="279"/>
      <c r="I16" s="279"/>
      <c r="J16" s="279"/>
      <c r="K16" s="279"/>
      <c r="L16" s="273" t="s">
        <v>91</v>
      </c>
      <c r="M16" s="468"/>
    </row>
    <row r="17" spans="1:14" ht="13.5" thickBot="1">
      <c r="A17" s="662"/>
      <c r="B17" s="419"/>
      <c r="C17" s="420"/>
      <c r="D17" s="688"/>
      <c r="E17" s="461"/>
      <c r="F17" s="279"/>
      <c r="G17" s="279"/>
      <c r="H17" s="279"/>
      <c r="I17" s="279"/>
      <c r="J17" s="279"/>
      <c r="K17" s="279"/>
      <c r="L17" s="273"/>
      <c r="M17" s="468"/>
    </row>
    <row r="18" spans="1:14" ht="13.5" thickBot="1">
      <c r="A18" s="663" t="s">
        <v>838</v>
      </c>
      <c r="B18" s="438"/>
      <c r="C18" s="424">
        <f>'Passo1-Dados do país'!$B$6</f>
        <v>0</v>
      </c>
      <c r="D18" s="688" t="s">
        <v>887</v>
      </c>
      <c r="E18" s="465" t="str">
        <f>IF(OR($B18=yes,$B18=yes),'5-5 Cons prod'!K20, IF(OR($B18=no,$B18=no),"-", IF($B18=que,que, pres)))</f>
        <v>Presente?</v>
      </c>
      <c r="F18" s="409" t="str">
        <f>IF(OR('Passo5-TratResíduos+Reciclágem'!$B$4=yes,'Passo5-TratResíduos+Reciclágem'!$B$4=no),IF($B18=yes,SUM('5-5 Cons prod'!V21:V23), IF($B18=no,"-", IF($B18=que,que, pres))),_SeF4)</f>
        <v>Ver Passo5 F4</v>
      </c>
      <c r="G18" s="409" t="str">
        <f>IF(OR('Passo5-TratResíduos+Reciclágem'!$B$4=yes,'Passo5-TratResíduos+Reciclágem'!$B$4=yes,'Passo5-TratResíduos+Reciclágem'!$B$4=no,'Passo5-TratResíduos+Reciclágem'!$B$4=no),IF($B18=yes,SUM('5-5 Cons prod'!W21:W23), IF($B18=no,"-", IF($B18=que,que, pres))),_SeF4)</f>
        <v>Ver Passo5 F4</v>
      </c>
      <c r="H18" s="409" t="str">
        <f>IF(OR('Passo5-TratResíduos+Reciclágem'!$B$4=yes,'Passo5-TratResíduos+Reciclágem'!$B$4=yes,'Passo5-TratResíduos+Reciclágem'!$B$4=no,'Passo5-TratResíduos+Reciclágem'!$B$4=no),IF($B18=yes,SUM('5-5 Cons prod'!X21:X23), IF($B18=no,"-", IF($B18=que,que, pres))),_SeF4)</f>
        <v>Ver Passo5 F4</v>
      </c>
      <c r="I18" s="409" t="str">
        <f>IF(OR('Passo5-TratResíduos+Reciclágem'!$B$4=yes,'Passo5-TratResíduos+Reciclágem'!$B$4=yes,'Passo5-TratResíduos+Reciclágem'!$B$4=no,'Passo5-TratResíduos+Reciclágem'!$B$4=no),IF($B18=yes,SUM('5-5 Cons prod'!Y21:Y23), IF($B18=no,"-", IF($B18=que,que, pres))),_SeF4)</f>
        <v>Ver Passo5 F4</v>
      </c>
      <c r="J18" s="409" t="str">
        <f>IF(OR('Passo5-TratResíduos+Reciclágem'!$B$4=yes,'Passo5-TratResíduos+Reciclágem'!$B$4=yes,'Passo5-TratResíduos+Reciclágem'!$B$4=no,'Passo5-TratResíduos+Reciclágem'!$B$4=no),IF($B18=yes,SUM('5-5 Cons prod'!Z21:Z23), IF($B18=no,"-", IF($B18=que,que, pres))),_SeF4)</f>
        <v>Ver Passo5 F4</v>
      </c>
      <c r="K18" s="409" t="str">
        <f>IF(OR('Passo5-TratResíduos+Reciclágem'!$B$4=yes,'Passo5-TratResíduos+Reciclágem'!$B$4=yes,'Passo5-TratResíduos+Reciclágem'!$B$4=no,'Passo5-TratResíduos+Reciclágem'!$B$4=no),IF($B18=yes,SUM('5-5 Cons prod'!AA21:AA23), IF($B18=no,"-", IF($B18=que,que, pres))),_SeF4)</f>
        <v>Ver Passo5 F4</v>
      </c>
      <c r="L18" s="273" t="s">
        <v>116</v>
      </c>
      <c r="M18" s="468"/>
      <c r="N18" s="340" t="str">
        <f>INDEX('Range-thresholds'!$G$6:$G$72,MATCH(A18,'Range-thresholds'!$A$6:$A$72,0))</f>
        <v/>
      </c>
    </row>
    <row r="19" spans="1:14">
      <c r="A19" s="663"/>
      <c r="B19" s="274"/>
      <c r="C19" s="503">
        <f>'Passo1-Dados do país'!$D$23</f>
        <v>100</v>
      </c>
      <c r="D19" s="687" t="s">
        <v>892</v>
      </c>
      <c r="E19" s="464"/>
      <c r="F19" s="409"/>
      <c r="G19" s="409"/>
      <c r="H19" s="409"/>
      <c r="I19" s="409"/>
      <c r="J19" s="409"/>
      <c r="K19" s="409"/>
      <c r="L19" s="273"/>
      <c r="M19" s="468"/>
    </row>
    <row r="20" spans="1:14">
      <c r="A20" s="662"/>
      <c r="B20" s="415"/>
      <c r="C20" s="376"/>
      <c r="D20" s="688"/>
      <c r="E20" s="461"/>
      <c r="F20" s="279"/>
      <c r="G20" s="279"/>
      <c r="H20" s="279"/>
      <c r="I20" s="279"/>
      <c r="J20" s="279"/>
      <c r="K20" s="279"/>
      <c r="L20" s="273"/>
      <c r="M20" s="468"/>
    </row>
    <row r="21" spans="1:14" ht="13.5" thickBot="1">
      <c r="A21" s="703" t="s">
        <v>875</v>
      </c>
      <c r="B21" s="413" t="str">
        <f>IF(OR(AND(B22&lt;&gt;no,B22&lt;&gt;yes,B22&lt;&gt;que),AND(B23&lt;&gt;no,B23&lt;&gt;yes,B23&lt;&gt;que),AND(B24&lt;&gt;no,B24&lt;&gt;yes,B24&lt;&gt;que)),pres,IF(OR($B22=yes,$B23=yes,$B24=yes),yes,IF(AND($B22=no,$B23=no,$B24=no),no,IF(OR($B22=que,$B23=que,$B24=que),que,pres))))</f>
        <v>Presente?</v>
      </c>
      <c r="C21" s="421">
        <f>SUM(C22:C24)</f>
        <v>0</v>
      </c>
      <c r="D21" s="687" t="s">
        <v>889</v>
      </c>
      <c r="E21" s="465" t="str">
        <f>IF(OR(AND(B22&lt;&gt;no,B22&lt;&gt;yes,B22&lt;&gt;que),AND(B23&lt;&gt;no,B23&lt;&gt;yes,B23&lt;&gt;que),AND(B24&lt;&gt;no,B24&lt;&gt;yes,B24&lt;&gt;que)),pres,IF(OR($B22=yes,$B23=yes,$B24=yes),'5-5 Cons prod'!K27,IF(AND($B22=no,$B23=no,$B24=no),"-",IF(OR($B22=que,$B23=que,$B24=que),que,pres))))</f>
        <v>Presente?</v>
      </c>
      <c r="F21" s="408" t="str">
        <f>IF($E21=pres,pres,IF(OR('Passo5-TratResíduos+Reciclágem'!$B$4=yes,'Passo5-TratResíduos+Reciclágem'!$B$4=no),IF(OR($B22=yes,$B23=yes,$B24=yes,),SUM('5-5 Cons prod'!V28:V30), IF(AND($B22=no,$B23=no,$B24=no),"-", IF(OR($B22=que,$B23=que,$B24=que),que, pres))),_SeF4))</f>
        <v>Presente?</v>
      </c>
      <c r="G21" s="408" t="str">
        <f>IF($E21=pres,pres,IF(OR('Passo5-TratResíduos+Reciclágem'!$B$4=yes,'Passo5-TratResíduos+Reciclágem'!$B$4=no),IF(OR($B22=yes,$B23=yes,$B24=yes,),SUM('5-5 Cons prod'!W28:W30), IF(AND($B22=no,$B23=no,$B24=no),"-", IF(OR($B22=que,$B23=que,$B24=que),que, pres))),_SeF4))</f>
        <v>Presente?</v>
      </c>
      <c r="H21" s="408" t="str">
        <f>IF($E21=pres,pres,IF(OR('Passo5-TratResíduos+Reciclágem'!$B$4=yes,'Passo5-TratResíduos+Reciclágem'!$B$4=no),IF(OR($B22=yes,$B23=yes,$B24=yes,),SUM('5-5 Cons prod'!X28:X30), IF(AND($B22=no,$B23=no,$B24=no),"-", IF(OR($B22=que,$B23=que,$B24=que),que, pres))),_SeF4))</f>
        <v>Presente?</v>
      </c>
      <c r="I21" s="408" t="str">
        <f>IF($E21=pres,pres,IF(OR('Passo5-TratResíduos+Reciclágem'!$B$4=yes,'Passo5-TratResíduos+Reciclágem'!$B$4=no),IF(OR($B22=yes,$B23=yes,$B24=yes,),SUM('5-5 Cons prod'!Y28:Y30), IF(AND($B22=no,$B23=no,$B24=no),"-", IF(OR($B22=que,$B23=que,$B24=que),que, pres))),_SeF4))</f>
        <v>Presente?</v>
      </c>
      <c r="J21" s="408" t="str">
        <f>IF($E21=pres,pres,IF(OR('Passo5-TratResíduos+Reciclágem'!$B$4=yes,'Passo5-TratResíduos+Reciclágem'!$B$4=no),IF(OR($B22=yes,$B23=yes,$B24=yes,),SUM('5-5 Cons prod'!Z28:Z30), IF(AND($B22=no,$B23=no,$B24=no),"-", IF(OR($B22=que,$B23=que,$B24=que),que, pres))),_SeF4))</f>
        <v>Presente?</v>
      </c>
      <c r="K21" s="408" t="str">
        <f>IF($E21=pres,pres,IF(OR('Passo5-TratResíduos+Reciclágem'!$B$4=yes,'Passo5-TratResíduos+Reciclágem'!$B$4=no),IF(OR($B22=yes,$B23=yes,$B24=yes,),SUM('5-5 Cons prod'!AA28:AA30), IF(AND($B22=no,$B23=no,$B24=no),"-", IF(OR($B22=que,$B23=que,$B24=que),que, pres))),_SeF4))</f>
        <v>Presente?</v>
      </c>
      <c r="L21" s="273" t="s">
        <v>121</v>
      </c>
      <c r="M21" s="468"/>
      <c r="N21" s="340" t="str">
        <f>INDEX('Range-thresholds'!$G$6:$G$72,MATCH(A21,'Range-thresholds'!$A$6:$A$72,0))</f>
        <v/>
      </c>
    </row>
    <row r="22" spans="1:14">
      <c r="A22" s="663" t="s">
        <v>876</v>
      </c>
      <c r="B22" s="384"/>
      <c r="C22" s="378"/>
      <c r="D22" s="687" t="s">
        <v>889</v>
      </c>
      <c r="E22" s="461" t="str">
        <f>IF(OR($B22=yes,$B22=yes),'5-5 Cons prod'!K28, IF(OR($B22=no,$B22=no),"-", IF($B22=que,que, pres)))</f>
        <v>Presente?</v>
      </c>
      <c r="F22" s="279"/>
      <c r="G22" s="279"/>
      <c r="H22" s="279"/>
      <c r="I22" s="279"/>
      <c r="J22" s="279"/>
      <c r="K22" s="279"/>
      <c r="L22" s="273"/>
      <c r="M22" s="468"/>
    </row>
    <row r="23" spans="1:14" ht="25.5">
      <c r="A23" s="663" t="s">
        <v>877</v>
      </c>
      <c r="B23" s="379"/>
      <c r="C23" s="380"/>
      <c r="D23" s="687" t="s">
        <v>889</v>
      </c>
      <c r="E23" s="462" t="str">
        <f>IF(OR($B23=yes,$B23=yes),'5-5 Cons prod'!K29, IF(OR($B23=no,$B23=no),"-", IF($B23=que,que, pres)))</f>
        <v>Presente?</v>
      </c>
      <c r="F23" s="279"/>
      <c r="G23" s="279"/>
      <c r="H23" s="279"/>
      <c r="I23" s="279"/>
      <c r="J23" s="279"/>
      <c r="K23" s="279"/>
      <c r="L23" s="273"/>
      <c r="M23" s="468"/>
    </row>
    <row r="24" spans="1:14" ht="13.5" thickBot="1">
      <c r="A24" s="663" t="s">
        <v>878</v>
      </c>
      <c r="B24" s="382"/>
      <c r="C24" s="402"/>
      <c r="D24" s="687" t="s">
        <v>889</v>
      </c>
      <c r="E24" s="461" t="str">
        <f>IF(OR($B24=yes,$B24=yes),SUM('5-5 Cons prod'!K30:K33), IF(OR($B24=no,$B24=no),"-", IF($B24=que,que, pres)))</f>
        <v>Presente?</v>
      </c>
      <c r="F24" s="279"/>
      <c r="G24" s="279"/>
      <c r="H24" s="279"/>
      <c r="I24" s="279"/>
      <c r="J24" s="279"/>
      <c r="K24" s="279"/>
      <c r="L24" s="273"/>
      <c r="M24" s="468"/>
    </row>
    <row r="25" spans="1:14">
      <c r="A25" s="662"/>
      <c r="B25" s="415"/>
      <c r="C25" s="376"/>
      <c r="D25" s="688"/>
      <c r="E25" s="461"/>
      <c r="F25" s="279"/>
      <c r="G25" s="279"/>
      <c r="H25" s="279"/>
      <c r="I25" s="279"/>
      <c r="J25" s="279"/>
      <c r="K25" s="279"/>
      <c r="L25" s="273"/>
      <c r="M25" s="468"/>
    </row>
    <row r="26" spans="1:14" ht="13.5" thickBot="1">
      <c r="A26" s="703" t="s">
        <v>840</v>
      </c>
      <c r="B26" s="413" t="str">
        <f>IF(OR(AND(B27&lt;&gt;no,B27&lt;&gt;yes,B27&lt;&gt;que),AND(B28&lt;&gt;no,B28&lt;&gt;yes,B28&lt;&gt;que),AND(B29&lt;&gt;no,B29&lt;&gt;yes,B29&lt;&gt;que)),pres,IF(OR($B27=yes,$B28=yes,$B29=yes),yes,IF(AND($B27=no,$B28=no,$B29=no),no,IF(OR($B27=que,$B28=que,$B29=que),que,pres))))</f>
        <v>Presente?</v>
      </c>
      <c r="C26" s="414">
        <f>SUM(C27:C29)</f>
        <v>0</v>
      </c>
      <c r="D26" s="704" t="s">
        <v>890</v>
      </c>
      <c r="E26" s="465" t="str">
        <f>IF(OR(AND(B27&lt;&gt;no,B27&lt;&gt;yes,B27&lt;&gt;que),AND(B28&lt;&gt;no,B28&lt;&gt;yes,B28&lt;&gt;que),AND(B29&lt;&gt;no,B29&lt;&gt;yes,B29&lt;&gt;que)),pres,IF(OR($B27=yes,$B28=yes,$B29=yes),'5-5 Cons prod'!K42,IF(AND($B27=no,$B28=no,$B29=no),"-",IF(OR($B27=que,$B28=que,$B29=que),que,pres))))</f>
        <v>Presente?</v>
      </c>
      <c r="F26" s="408" t="str">
        <f>IF($E26=pres,pres,IF(OR('Passo5-TratResíduos+Reciclágem'!$B$4=yes,'Passo5-TratResíduos+Reciclágem'!$B$4=no),IF(OR($B27=yes,$B28=yes,$B29=yes,),SUM('5-5 Cons prod'!V43:V45), IF(AND($B27=no,$B28=no,$B29=no),"-", IF(OR($B27=que,$B28=que,$B29=que),que, pres))),_SeF4))</f>
        <v>Presente?</v>
      </c>
      <c r="G26" s="408" t="str">
        <f>IF($E26=pres,pres,IF(OR('Passo5-TratResíduos+Reciclágem'!$B$4=yes,'Passo5-TratResíduos+Reciclágem'!$B$4=no),IF(OR($B27=yes,$B28=yes,$B29=yes,),SUM('5-5 Cons prod'!W43:W45), IF(AND($B27=no,$B28=no,$B29=no),"-", IF(OR($B27=que,$B28=que,$B29=que),que, pres))),_SeF4))</f>
        <v>Presente?</v>
      </c>
      <c r="H26" s="408" t="str">
        <f>IF($E26=pres,pres,IF(OR('Passo5-TratResíduos+Reciclágem'!$B$4=yes,'Passo5-TratResíduos+Reciclágem'!$B$4=no),IF(OR($B27=yes,$B28=yes,$B29=yes,),SUM('5-5 Cons prod'!X43:X45), IF(AND($B27=no,$B28=no,$B29=no),"-", IF(OR($B27=que,$B28=que,$B29=que),que, pres))),_SeF4))</f>
        <v>Presente?</v>
      </c>
      <c r="I26" s="408" t="str">
        <f>IF($E26=pres,pres,IF(OR('Passo5-TratResíduos+Reciclágem'!$B$4=yes,'Passo5-TratResíduos+Reciclágem'!$B$4=no),IF(OR($B27=yes,$B28=yes,$B29=yes,),SUM('5-5 Cons prod'!Y43:Y45), IF(AND($B27=no,$B28=no,$B29=no),"-", IF(OR($B27=que,$B28=que,$B29=que),que, pres))),_SeF4))</f>
        <v>Presente?</v>
      </c>
      <c r="J26" s="408" t="str">
        <f>IF($E26=pres,pres,IF(OR('Passo5-TratResíduos+Reciclágem'!$B$4=yes,'Passo5-TratResíduos+Reciclágem'!$B$4=no),IF(OR($B27=yes,$B28=yes,$B29=yes,),SUM('5-5 Cons prod'!Z43:Z45), IF(AND($B27=no,$B28=no,$B29=no),"-", IF(OR($B27=que,$B28=que,$B29=que),que, pres))),_SeF4))</f>
        <v>Presente?</v>
      </c>
      <c r="K26" s="408" t="str">
        <f>IF($E26=pres,pres,IF(OR('Passo5-TratResíduos+Reciclágem'!$B$4=yes,'Passo5-TratResíduos+Reciclágem'!$B$4=no),IF(OR($B27=yes,$B28=yes,$B29=yes,),SUM('5-5 Cons prod'!AA43:AA45), IF(AND($B27=no,$B28=no,$B29=no),"-", IF(OR($B27=que,$B28=que,$B29=que),que, pres))),_SeF4))</f>
        <v>Presente?</v>
      </c>
      <c r="L26" s="273" t="s">
        <v>137</v>
      </c>
      <c r="M26" s="468"/>
      <c r="N26" s="340" t="str">
        <f>INDEX('Range-thresholds'!$G$6:$G$72,MATCH(A26,'Range-thresholds'!$A$6:$A$72,0))</f>
        <v/>
      </c>
    </row>
    <row r="27" spans="1:14" ht="38.25">
      <c r="A27" s="663" t="s">
        <v>879</v>
      </c>
      <c r="B27" s="384"/>
      <c r="C27" s="378"/>
      <c r="D27" s="687" t="s">
        <v>891</v>
      </c>
      <c r="E27" s="461" t="str">
        <f>IF(OR($B27=yes,$B27=yes),'5-5 Cons prod'!K43, IF(OR($B27=no,$B27=no),"-", IF($B27=que,que, pres)))</f>
        <v>Presente?</v>
      </c>
      <c r="F27" s="279"/>
      <c r="G27" s="279"/>
      <c r="H27" s="279"/>
      <c r="I27" s="279"/>
      <c r="J27" s="279"/>
      <c r="K27" s="279"/>
      <c r="L27" s="273"/>
      <c r="M27" s="468"/>
    </row>
    <row r="28" spans="1:14" ht="25.5">
      <c r="A28" s="663" t="s">
        <v>880</v>
      </c>
      <c r="B28" s="379"/>
      <c r="C28" s="380"/>
      <c r="D28" s="687" t="s">
        <v>891</v>
      </c>
      <c r="E28" s="461" t="str">
        <f>IF(OR($B28=yes,$B28=yes),SUM('5-5 Cons prod'!K44:K46), IF(OR($B28=no,$B28=no),"-", IF($B28=que,que, pres)))</f>
        <v>Presente?</v>
      </c>
      <c r="F28" s="279"/>
      <c r="G28" s="279"/>
      <c r="H28" s="279"/>
      <c r="I28" s="279"/>
      <c r="J28" s="279"/>
      <c r="K28" s="279"/>
      <c r="L28" s="273"/>
      <c r="M28" s="468"/>
    </row>
    <row r="29" spans="1:14" ht="39" thickBot="1">
      <c r="A29" s="663" t="s">
        <v>881</v>
      </c>
      <c r="B29" s="382"/>
      <c r="C29" s="402"/>
      <c r="D29" s="687" t="s">
        <v>891</v>
      </c>
      <c r="E29" s="461" t="str">
        <f>IF(OR($B29=yes,$B29=yes),SUM('5-5 Cons prod'!K47), IF(OR($B29=no,$B29=no),"-", IF($B29=que,que, pres)))</f>
        <v>Presente?</v>
      </c>
      <c r="F29" s="279"/>
      <c r="G29" s="279"/>
      <c r="H29" s="279"/>
      <c r="I29" s="279"/>
      <c r="J29" s="279"/>
      <c r="K29" s="279"/>
      <c r="L29" s="273"/>
      <c r="M29" s="468"/>
    </row>
    <row r="30" spans="1:14" ht="13.5" thickBot="1">
      <c r="A30" s="662"/>
      <c r="B30" s="403"/>
      <c r="C30" s="422"/>
      <c r="D30" s="705"/>
      <c r="E30" s="461"/>
      <c r="F30" s="279"/>
      <c r="G30" s="279"/>
      <c r="H30" s="279"/>
      <c r="I30" s="279"/>
      <c r="J30" s="279"/>
      <c r="K30" s="279"/>
      <c r="L30" s="273"/>
      <c r="M30" s="468"/>
    </row>
    <row r="31" spans="1:14" ht="26.25" thickBot="1">
      <c r="A31" s="663" t="s">
        <v>882</v>
      </c>
      <c r="B31" s="439"/>
      <c r="C31" s="424">
        <f>'Passo1-Dados do país'!$B$6</f>
        <v>0</v>
      </c>
      <c r="D31" s="688" t="s">
        <v>887</v>
      </c>
      <c r="E31" s="465" t="str">
        <f>IF(OR($B31=yes,$B31=yes),'5-5 Cons prod'!K51, IF(OR($B31=no,$B31=no),"-", IF($B31=que,que, pres)))</f>
        <v>Presente?</v>
      </c>
      <c r="F31" s="409" t="str">
        <f>IF(OR('Passo5-TratResíduos+Reciclágem'!$B$4=yes,'Passo5-TratResíduos+Reciclágem'!$B$4=no),IF($B31=yes,SUM('5-5 Cons prod'!V52:V53), IF($B31=no,"-", IF($B31=que,que, pres))),_SeF4)</f>
        <v>Ver Passo5 F4</v>
      </c>
      <c r="G31" s="409" t="str">
        <f>IF(OR('Passo5-TratResíduos+Reciclágem'!$B$4=yes,'Passo5-TratResíduos+Reciclágem'!$B$4=no),IF($B31=yes,SUM('5-5 Cons prod'!W52:W53), IF($B31=no,"-", IF($B31=que,que, pres))),_SeF4)</f>
        <v>Ver Passo5 F4</v>
      </c>
      <c r="H31" s="409" t="str">
        <f>IF(OR('Passo5-TratResíduos+Reciclágem'!$B$4=yes,'Passo5-TratResíduos+Reciclágem'!$B$4=no),IF($B31=yes,SUM('5-5 Cons prod'!X52:X53), IF($B31=no,"-", IF($B31=que,que, pres))),_SeF4)</f>
        <v>Ver Passo5 F4</v>
      </c>
      <c r="I31" s="409" t="str">
        <f>IF(OR('Passo5-TratResíduos+Reciclágem'!$B$4=yes,'Passo5-TratResíduos+Reciclágem'!$B$4=no),IF($B31=yes,SUM('5-5 Cons prod'!Y52:Y53), IF($B31=no,"-", IF($B31=que,que, pres))),_SeF4)</f>
        <v>Ver Passo5 F4</v>
      </c>
      <c r="J31" s="409" t="str">
        <f>IF(OR('Passo5-TratResíduos+Reciclágem'!$B$4=yes,'Passo5-TratResíduos+Reciclágem'!$B$4=no),IF($B31=yes,SUM('5-5 Cons prod'!Z52:Z53), IF($B31=no,"-", IF($B31=que,que, pres))),_SeF4)</f>
        <v>Ver Passo5 F4</v>
      </c>
      <c r="K31" s="409" t="str">
        <f>IF(OR('Passo5-TratResíduos+Reciclágem'!$B$4=yes,'Passo5-TratResíduos+Reciclágem'!$B$4=no),IF($B31=yes,SUM('5-5 Cons prod'!AA52:AA53), IF($B31=no,"-", IF($B31=que,que, pres))),_SeF4)</f>
        <v>Ver Passo5 F4</v>
      </c>
      <c r="L31" s="273" t="s">
        <v>411</v>
      </c>
      <c r="M31" s="468"/>
      <c r="N31" s="340" t="str">
        <f>INDEX('Range-thresholds'!$G$6:$G$72,MATCH(A31,'Range-thresholds'!$A$6:$A$72,0))</f>
        <v/>
      </c>
    </row>
    <row r="32" spans="1:14">
      <c r="A32" s="663"/>
      <c r="B32" s="274"/>
      <c r="C32" s="503">
        <f>'Passo1-Dados do país'!$D$23</f>
        <v>100</v>
      </c>
      <c r="D32" s="687" t="s">
        <v>892</v>
      </c>
      <c r="E32" s="464"/>
      <c r="F32" s="409"/>
      <c r="G32" s="409"/>
      <c r="H32" s="409"/>
      <c r="I32" s="409"/>
      <c r="J32" s="409"/>
      <c r="K32" s="409"/>
      <c r="L32" s="273"/>
      <c r="M32" s="468"/>
    </row>
    <row r="33" spans="1:14" ht="13.5" thickBot="1">
      <c r="A33" s="662"/>
      <c r="B33" s="403"/>
      <c r="C33" s="422"/>
      <c r="D33" s="705"/>
      <c r="E33" s="461"/>
      <c r="F33" s="279"/>
      <c r="G33" s="279"/>
      <c r="H33" s="279"/>
      <c r="I33" s="279"/>
      <c r="J33" s="279"/>
      <c r="K33" s="279"/>
      <c r="L33" s="273"/>
      <c r="M33" s="468"/>
    </row>
    <row r="34" spans="1:14" ht="13.5" thickBot="1">
      <c r="A34" s="663" t="s">
        <v>883</v>
      </c>
      <c r="B34" s="406"/>
      <c r="C34" s="405"/>
      <c r="D34" s="687" t="s">
        <v>893</v>
      </c>
      <c r="E34" s="465" t="str">
        <f>IF(OR($B34=yes,$B34=yes),'5-5 Cons prod'!K60, IF(OR($B34=no,$B34=no),"-", IF($B34=que,que, pres)))</f>
        <v>Presente?</v>
      </c>
      <c r="F34" s="409" t="str">
        <f>IF(OR('Passo5-TratResíduos+Reciclágem'!$B$4=yes,'Passo5-TratResíduos+Reciclágem'!$B$4=no),IF($B34=yes,'5-5 Cons prod'!V60, IF($B34=no,"-", IF($B34=que,que, pres))),_SeF4)</f>
        <v>Ver Passo5 F4</v>
      </c>
      <c r="G34" s="409" t="str">
        <f>IF(OR('Passo5-TratResíduos+Reciclágem'!$B$4=yes,'Passo5-TratResíduos+Reciclágem'!$B$4=no),IF($B34=yes,'5-5 Cons prod'!W60, IF($B34=no,"-", IF($B34=que,que, pres))),_SeF4)</f>
        <v>Ver Passo5 F4</v>
      </c>
      <c r="H34" s="409" t="str">
        <f>IF(OR('Passo5-TratResíduos+Reciclágem'!$B$4=yes,'Passo5-TratResíduos+Reciclágem'!$B$4=no),IF($B34=yes,'5-5 Cons prod'!X60, IF($B34=no,"-", IF($B34=que,que, pres))),_SeF4)</f>
        <v>Ver Passo5 F4</v>
      </c>
      <c r="I34" s="409" t="str">
        <f>IF(OR('Passo5-TratResíduos+Reciclágem'!$B$4=yes,'Passo5-TratResíduos+Reciclágem'!$B$4=no),IF($B34=yes,'5-5 Cons prod'!Y60, IF($B34=no,"-", IF($B34=que,que, pres))),_SeF4)</f>
        <v>Ver Passo5 F4</v>
      </c>
      <c r="J34" s="409" t="str">
        <f>IF(OR('Passo5-TratResíduos+Reciclágem'!$B$4=yes,'Passo5-TratResíduos+Reciclágem'!$B$4=no),IF($B34=yes,'5-5 Cons prod'!Z60, IF($B34=no,"-", IF($B34=que,que, pres))),_SeF4)</f>
        <v>Ver Passo5 F4</v>
      </c>
      <c r="K34" s="409" t="str">
        <f>IF(OR('Passo5-TratResíduos+Reciclágem'!$B$4=yes,'Passo5-TratResíduos+Reciclágem'!$B$4=no),IF($B34=yes,'5-5 Cons prod'!AA60, IF($B34=no,"-", IF($B34=que,que, pres))),_SeF4)</f>
        <v>Ver Passo5 F4</v>
      </c>
      <c r="L34" s="273" t="s">
        <v>382</v>
      </c>
      <c r="M34" s="468"/>
      <c r="N34" s="340" t="str">
        <f>INDEX('Range-thresholds'!$G$6:$G$72,MATCH(A34,'Range-thresholds'!$A$6:$A$72,0))</f>
        <v/>
      </c>
    </row>
    <row r="35" spans="1:14" ht="13.5" thickBot="1">
      <c r="A35" s="662"/>
      <c r="B35" s="403"/>
      <c r="C35" s="422"/>
      <c r="D35" s="688"/>
      <c r="E35" s="461"/>
      <c r="F35" s="279"/>
      <c r="G35" s="279"/>
      <c r="H35" s="279"/>
      <c r="I35" s="279"/>
      <c r="J35" s="279"/>
      <c r="K35" s="279"/>
      <c r="L35" s="273"/>
      <c r="M35" s="468"/>
    </row>
    <row r="36" spans="1:14" ht="39" thickBot="1">
      <c r="A36" s="663" t="s">
        <v>884</v>
      </c>
      <c r="B36" s="406" t="s">
        <v>751</v>
      </c>
      <c r="C36" s="620"/>
      <c r="D36" s="706" t="s">
        <v>1026</v>
      </c>
      <c r="E36" s="465">
        <f>IF(OR($B36=yes,$B36=yes),'5-5 Cons prod'!K64, IF(OR($B36=no,$B36=no),"-", IF($B36=que,que, pres)))</f>
        <v>0</v>
      </c>
      <c r="F36" s="409" t="str">
        <f>IF(OR('Passo5-TratResíduos+Reciclágem'!$B$4=yes,'Passo5-TratResíduos+Reciclágem'!$B$4=no),IF($B36=yes,'5-5 Cons prod'!V64, IF($B36=no,"-", IF($B36=que,que, pres))),_SeF4)</f>
        <v>Ver Passo5 F4</v>
      </c>
      <c r="G36" s="409" t="str">
        <f>IF(OR('Passo5-TratResíduos+Reciclágem'!$B$4=yes,'Passo5-TratResíduos+Reciclágem'!$B$4=no),IF($B36=yes,'5-5 Cons prod'!W64, IF($B36=no,"-", IF($B36=que,que, pres))),_SeF4)</f>
        <v>Ver Passo5 F4</v>
      </c>
      <c r="H36" s="409" t="str">
        <f>IF(OR('Passo5-TratResíduos+Reciclágem'!$B$4=yes,'Passo5-TratResíduos+Reciclágem'!$B$4=no),IF($B36=yes,'5-5 Cons prod'!X64, IF($B36=no,"-", IF($B36=que,que, pres))),_SeF4)</f>
        <v>Ver Passo5 F4</v>
      </c>
      <c r="I36" s="409" t="str">
        <f>IF(OR('Passo5-TratResíduos+Reciclágem'!$B$4=yes,'Passo5-TratResíduos+Reciclágem'!$B$4=no),IF($B36=yes,'5-5 Cons prod'!Y64, IF($B36=no,"-", IF($B36=que,que, pres))),_SeF4)</f>
        <v>Ver Passo5 F4</v>
      </c>
      <c r="J36" s="409" t="str">
        <f>IF(OR('Passo5-TratResíduos+Reciclágem'!$B$4=yes,'Passo5-TratResíduos+Reciclágem'!$B$4=no),IF($B36=yes,'5-5 Cons prod'!Z64, IF($B36=no,"-", IF($B36=que,que, pres))),_SeF4)</f>
        <v>Ver Passo5 F4</v>
      </c>
      <c r="K36" s="409" t="str">
        <f>IF(OR('Passo5-TratResíduos+Reciclágem'!$B$4=yes,'Passo5-TratResíduos+Reciclágem'!$B$4=no),IF($B36=yes,'5-5 Cons prod'!AA64, IF($B36=no,"-", IF($B36=que,que, pres))),_SeF4)</f>
        <v>Ver Passo5 F4</v>
      </c>
      <c r="L36" s="273" t="s">
        <v>410</v>
      </c>
      <c r="M36" s="468"/>
      <c r="N36" s="340" t="str">
        <f>INDEX('Range-thresholds'!$G$6:$G$72,MATCH(A36,'Range-thresholds'!$A$6:$A$72,0))</f>
        <v>n</v>
      </c>
    </row>
    <row r="37" spans="1:14" ht="13.5" thickBot="1">
      <c r="A37" s="662"/>
      <c r="B37" s="403"/>
      <c r="C37" s="422"/>
      <c r="D37" s="688"/>
      <c r="E37" s="461"/>
      <c r="F37" s="279"/>
      <c r="G37" s="279"/>
      <c r="H37" s="279"/>
      <c r="I37" s="279"/>
      <c r="J37" s="279"/>
      <c r="K37" s="279"/>
      <c r="L37" s="273"/>
      <c r="M37" s="468"/>
    </row>
    <row r="38" spans="1:14" ht="26.25" thickBot="1">
      <c r="A38" s="663" t="s">
        <v>1094</v>
      </c>
      <c r="B38" s="406"/>
      <c r="C38" s="405"/>
      <c r="D38" s="687" t="s">
        <v>889</v>
      </c>
      <c r="E38" s="465" t="str">
        <f>IF(OR($B38=yes,$B38=yes),'5-6 Other int use'!K15, IF(OR($B38=no,$B38=no),"-", IF($B38=que,que, pres)))</f>
        <v>Presente?</v>
      </c>
      <c r="F38" s="409" t="str">
        <f>IF(OR('Passo5-TratResíduos+Reciclágem'!$B$4=yes,'Passo5-TratResíduos+Reciclágem'!$B$4=no),IF($B38=yes,'5-6 Other int use'!V15, IF($B38=no,"-", IF($B38=que,que, pres))),_SeF4)</f>
        <v>Ver Passo5 F4</v>
      </c>
      <c r="G38" s="409" t="str">
        <f>IF(OR('Passo5-TratResíduos+Reciclágem'!$B$4=yes,'Passo5-TratResíduos+Reciclágem'!$B$4=no),IF($B38=yes,'5-6 Other int use'!W15, IF($B38=no,"-", IF($B38=que,que, pres))),_SeF4)</f>
        <v>Ver Passo5 F4</v>
      </c>
      <c r="H38" s="409" t="str">
        <f>IF(OR('Passo5-TratResíduos+Reciclágem'!$B$4=yes,'Passo5-TratResíduos+Reciclágem'!$B$4=no),IF($B38=yes,'5-6 Other int use'!X15, IF($B38=no,"-", IF($B38=que,que, pres))),_SeF4)</f>
        <v>Ver Passo5 F4</v>
      </c>
      <c r="I38" s="409" t="str">
        <f>IF(OR('Passo5-TratResíduos+Reciclágem'!$B$4=yes,'Passo5-TratResíduos+Reciclágem'!$B$4=no),IF($B38=yes,'5-6 Other int use'!Y15, IF($B38=no,"-", IF($B38=que,que, pres))),_SeF4)</f>
        <v>Ver Passo5 F4</v>
      </c>
      <c r="J38" s="409" t="str">
        <f>IF(OR('Passo5-TratResíduos+Reciclágem'!$B$4=yes,'Passo5-TratResíduos+Reciclágem'!$B$4=no),IF($B38=yes,'5-6 Other int use'!Z15, IF($B38=no,"-", IF($B38=que,que, pres))),_SeF4)</f>
        <v>Ver Passo5 F4</v>
      </c>
      <c r="K38" s="409" t="str">
        <f>IF(OR('Passo5-TratResíduos+Reciclágem'!$B$4=yes,'Passo5-TratResíduos+Reciclágem'!$B$4=no),IF($B38=yes,'5-6 Other int use'!AA15, IF($B38=no,"-", IF($B38=que,que, pres))),_SeF4)</f>
        <v>Ver Passo5 F4</v>
      </c>
      <c r="L38" s="273" t="s">
        <v>235</v>
      </c>
      <c r="M38" s="468"/>
      <c r="N38" s="340" t="str">
        <f>INDEX('Range-thresholds'!$G$6:$G$72,MATCH(A38,'Range-thresholds'!$A$6:$A$72,0))</f>
        <v/>
      </c>
    </row>
    <row r="39" spans="1:14" ht="13.5" thickBot="1">
      <c r="A39" s="662"/>
      <c r="B39" s="403"/>
      <c r="C39" s="422"/>
      <c r="D39" s="688"/>
      <c r="E39" s="461"/>
      <c r="F39" s="279"/>
      <c r="G39" s="279"/>
      <c r="H39" s="279"/>
      <c r="I39" s="279"/>
      <c r="J39" s="279"/>
      <c r="K39" s="279"/>
      <c r="L39" s="273"/>
      <c r="M39" s="468"/>
    </row>
    <row r="40" spans="1:14" ht="26.25" thickBot="1">
      <c r="A40" s="663" t="s">
        <v>885</v>
      </c>
      <c r="B40" s="438"/>
      <c r="C40" s="424">
        <f>'Passo1-Dados do país'!$B$6</f>
        <v>0</v>
      </c>
      <c r="D40" s="688" t="s">
        <v>887</v>
      </c>
      <c r="E40" s="465" t="str">
        <f>IF(OR($B40=yes,$B40=yes),'5-6 Other int use'!K24, IF(OR($B40=no,$B40=no),"-", IF($B40=que,que, pres)))</f>
        <v>Presente?</v>
      </c>
      <c r="F40" s="409" t="str">
        <f>IF(OR('Passo5-TratResíduos+Reciclágem'!$B$4=yes,'Passo5-TratResíduos+Reciclágem'!$B$4=no),IF($B40=yes,'5-6 Other int use'!V24, IF($B40=no,"-", IF($B40=que,que, pres))),_SeF4)</f>
        <v>Ver Passo5 F4</v>
      </c>
      <c r="G40" s="409" t="str">
        <f>IF(OR('Passo5-TratResíduos+Reciclágem'!$B$4=yes,'Passo5-TratResíduos+Reciclágem'!$B$4=no),IF($B40=yes,'5-6 Other int use'!W24, IF($B40=no,"-", IF($B40=que,que, pres))),_SeF4)</f>
        <v>Ver Passo5 F4</v>
      </c>
      <c r="H40" s="409" t="str">
        <f>IF(OR('Passo5-TratResíduos+Reciclágem'!$B$4=yes,'Passo5-TratResíduos+Reciclágem'!$B$4=no),IF($B40=yes,'5-6 Other int use'!X24, IF($B40=no,"-", IF($B40=que,que, pres))),_SeF4)</f>
        <v>Ver Passo5 F4</v>
      </c>
      <c r="I40" s="409" t="str">
        <f>IF(OR('Passo5-TratResíduos+Reciclágem'!$B$4=yes,'Passo5-TratResíduos+Reciclágem'!$B$4=no),IF($B40=yes,'5-6 Other int use'!Y24, IF($B40=no,"-", IF($B40=que,que, pres))),_SeF4)</f>
        <v>Ver Passo5 F4</v>
      </c>
      <c r="J40" s="409" t="str">
        <f>IF(OR('Passo5-TratResíduos+Reciclágem'!$B$4=yes,'Passo5-TratResíduos+Reciclágem'!$B$4=no),IF($B40=yes,'5-6 Other int use'!Z24, IF($B40=no,"-", IF($B40=que,que, pres))),_SeF4)</f>
        <v>Ver Passo5 F4</v>
      </c>
      <c r="K40" s="409" t="str">
        <f>IF(OR('Passo5-TratResíduos+Reciclágem'!$B$4=yes,'Passo5-TratResíduos+Reciclágem'!$B$4=no),IF($B40=yes,'5-6 Other int use'!AA24, IF($B40=no,"-", IF($B40=que,que, pres))),_SeF4)</f>
        <v>Ver Passo5 F4</v>
      </c>
      <c r="L40" s="273" t="s">
        <v>235</v>
      </c>
      <c r="M40" s="468"/>
      <c r="N40" s="340" t="str">
        <f>INDEX('Range-thresholds'!$G$6:$G$72,MATCH(A40,'Range-thresholds'!$A$6:$A$72,0))</f>
        <v/>
      </c>
    </row>
    <row r="41" spans="1:14">
      <c r="A41" s="663"/>
      <c r="B41" s="274"/>
      <c r="C41" s="503">
        <f>'Passo1-Dados do país'!$D$23</f>
        <v>100</v>
      </c>
      <c r="D41" s="687" t="s">
        <v>892</v>
      </c>
      <c r="E41" s="464"/>
      <c r="F41" s="409"/>
      <c r="G41" s="409"/>
      <c r="H41" s="409"/>
      <c r="I41" s="409"/>
      <c r="J41" s="409"/>
      <c r="K41" s="409"/>
      <c r="L41" s="273"/>
      <c r="M41" s="468"/>
    </row>
    <row r="42" spans="1:14" ht="13.5" thickBot="1">
      <c r="A42" s="663"/>
      <c r="B42" s="504"/>
      <c r="C42" s="503"/>
      <c r="D42" s="687"/>
      <c r="E42" s="464"/>
      <c r="F42" s="409"/>
      <c r="G42" s="409"/>
      <c r="H42" s="409"/>
      <c r="I42" s="409"/>
      <c r="J42" s="409"/>
      <c r="K42" s="409"/>
      <c r="L42" s="273"/>
      <c r="M42" s="468"/>
    </row>
    <row r="43" spans="1:14" ht="13.5" thickBot="1">
      <c r="A43" s="663" t="s">
        <v>886</v>
      </c>
      <c r="B43" s="438"/>
      <c r="C43" s="424">
        <f>'Passo1-Dados do país'!$B$6</f>
        <v>0</v>
      </c>
      <c r="D43" s="688" t="s">
        <v>887</v>
      </c>
      <c r="E43" s="465" t="str">
        <f>IF(OR($B43=yes,$B43=yes),'5-6 Other int use'!K37, IF(OR($B43=no,$B43=no),"-", IF($B43=que,que, pres)))</f>
        <v>Presente?</v>
      </c>
      <c r="F43" s="409" t="str">
        <f>IF(OR('Passo5-TratResíduos+Reciclágem'!$B$4=yes,'Passo5-TratResíduos+Reciclágem'!$B$4=no),IF($B43=yes,'5-6 Other int use'!V37, IF($B43=no,"-", IF($B43=que,que, pres))),_SeF4)</f>
        <v>Ver Passo5 F4</v>
      </c>
      <c r="G43" s="409" t="str">
        <f>IF(OR('Passo5-TratResíduos+Reciclágem'!$B$4=yes,'Passo5-TratResíduos+Reciclágem'!$B$4=no),IF($B43=yes,'5-6 Other int use'!W37, IF($B43=no,"-", IF($B43=que,que, pres))),_SeF4)</f>
        <v>Ver Passo5 F4</v>
      </c>
      <c r="H43" s="409" t="str">
        <f>IF(OR('Passo5-TratResíduos+Reciclágem'!$B$4=yes,'Passo5-TratResíduos+Reciclágem'!$B$4=no),IF($B43=yes,'5-6 Other int use'!X37, IF($B43=no,"-", IF($B43=que,que, pres))),_SeF4)</f>
        <v>Ver Passo5 F4</v>
      </c>
      <c r="I43" s="409" t="str">
        <f>IF(OR('Passo5-TratResíduos+Reciclágem'!$B$4=yes,'Passo5-TratResíduos+Reciclágem'!$B$4=no),IF($B43=yes,'5-6 Other int use'!Y37, IF($B43=no,"-", IF($B43=que,que, pres))),_SeF4)</f>
        <v>Ver Passo5 F4</v>
      </c>
      <c r="J43" s="409" t="str">
        <f>IF(OR('Passo5-TratResíduos+Reciclágem'!$B$4=yes,'Passo5-TratResíduos+Reciclágem'!$B$4=no),IF($B43=yes,'5-6 Other int use'!Z37, IF($B43=no,"-", IF($B43=que,que, pres))),_SeF4)</f>
        <v>Ver Passo5 F4</v>
      </c>
      <c r="K43" s="409" t="str">
        <f>IF(OR('Passo5-TratResíduos+Reciclágem'!$B$4=yes,'Passo5-TratResíduos+Reciclágem'!$B$4=no),IF($B43=yes,'5-6 Other int use'!AA37, IF($B43=no,"-", IF($B43=que,que, pres))),_SeF4)</f>
        <v>Ver Passo5 F4</v>
      </c>
      <c r="L43" s="273" t="s">
        <v>239</v>
      </c>
      <c r="M43" s="468"/>
      <c r="N43" s="340" t="str">
        <f>INDEX('Range-thresholds'!$G$6:$G$72,MATCH(A43,'Range-thresholds'!$A$6:$A$72,0))</f>
        <v/>
      </c>
    </row>
    <row r="44" spans="1:14">
      <c r="A44" s="663"/>
      <c r="B44" s="274"/>
      <c r="C44" s="503">
        <f>'Passo1-Dados do país'!$D$23</f>
        <v>100</v>
      </c>
      <c r="D44" s="687" t="s">
        <v>892</v>
      </c>
      <c r="E44" s="464"/>
      <c r="F44" s="409"/>
      <c r="G44" s="409"/>
      <c r="H44" s="409"/>
      <c r="I44" s="409"/>
      <c r="J44" s="409"/>
      <c r="K44" s="409"/>
      <c r="L44" s="273"/>
      <c r="M44" s="468"/>
    </row>
    <row r="45" spans="1:14" ht="13.5" thickBot="1">
      <c r="A45" s="663"/>
      <c r="B45" s="504"/>
      <c r="C45" s="503"/>
      <c r="D45" s="687"/>
      <c r="E45" s="464"/>
      <c r="F45" s="409"/>
      <c r="G45" s="409"/>
      <c r="H45" s="409"/>
      <c r="I45" s="409"/>
      <c r="J45" s="409"/>
      <c r="K45" s="409"/>
      <c r="L45" s="273"/>
      <c r="M45" s="468"/>
    </row>
    <row r="46" spans="1:14" ht="26.25" thickBot="1">
      <c r="A46" s="663" t="s">
        <v>1093</v>
      </c>
      <c r="B46" s="438"/>
      <c r="C46" s="424">
        <f>'Passo1-Dados do país'!$B$6</f>
        <v>0</v>
      </c>
      <c r="D46" s="688" t="s">
        <v>887</v>
      </c>
      <c r="E46" s="465" t="str">
        <f>IF(OR($B46=yes,$B46=yes),'5-6 Other int use'!K38, IF(OR($B46=no,$B46=no),"-", IF($B46=que,que, pres)))</f>
        <v>Presente?</v>
      </c>
      <c r="F46" s="409" t="str">
        <f>IF(OR('Passo5-TratResíduos+Reciclágem'!$B$4=yes,'Passo5-TratResíduos+Reciclágem'!$B$4=no),IF($B46=yes,'5-6 Other int use'!V38, IF($B46=no,"-", IF($B46=que,que, pres))),_SeF4)</f>
        <v>Ver Passo5 F4</v>
      </c>
      <c r="G46" s="409" t="str">
        <f>IF(OR('Passo5-TratResíduos+Reciclágem'!$B$4=yes,'Passo5-TratResíduos+Reciclágem'!$B$4=no),IF($B46=yes,'5-6 Other int use'!W38, IF($B46=no,"-", IF($B46=que,que, pres))),_SeF4)</f>
        <v>Ver Passo5 F4</v>
      </c>
      <c r="H46" s="409" t="str">
        <f>IF(OR('Passo5-TratResíduos+Reciclágem'!$B$4=yes,'Passo5-TratResíduos+Reciclágem'!$B$4=no),IF($B46=yes,'5-6 Other int use'!X38, IF($B46=no,"-", IF($B46=que,que, pres))),_SeF4)</f>
        <v>Ver Passo5 F4</v>
      </c>
      <c r="I46" s="409" t="str">
        <f>IF(OR('Passo5-TratResíduos+Reciclágem'!$B$4=yes,'Passo5-TratResíduos+Reciclágem'!$B$4=no),IF($B46=yes,'5-6 Other int use'!Y38, IF($B46=no,"-", IF($B46=que,que, pres))),_SeF4)</f>
        <v>Ver Passo5 F4</v>
      </c>
      <c r="J46" s="409" t="str">
        <f>IF(OR('Passo5-TratResíduos+Reciclágem'!$B$4=yes,'Passo5-TratResíduos+Reciclágem'!$B$4=no),IF($B46=yes,'5-6 Other int use'!Z38, IF($B46=no,"-", IF($B46=que,que, pres))),_SeF4)</f>
        <v>Ver Passo5 F4</v>
      </c>
      <c r="K46" s="409" t="str">
        <f>IF(OR('Passo5-TratResíduos+Reciclágem'!$B$4=yes,'Passo5-TratResíduos+Reciclágem'!$B$4=no),IF($B46=yes,'5-6 Other int use'!AA38, IF($B46=no,"-", IF($B46=que,que, pres))),_SeF4)</f>
        <v>Ver Passo5 F4</v>
      </c>
      <c r="L46" s="367" t="s">
        <v>383</v>
      </c>
      <c r="M46" s="468"/>
      <c r="N46" s="340" t="str">
        <f>INDEX('Range-thresholds'!$G$6:$G$72,MATCH(A46,'Range-thresholds'!$A$6:$A$72,0))</f>
        <v/>
      </c>
    </row>
    <row r="47" spans="1:14">
      <c r="A47" s="663"/>
      <c r="B47" s="274"/>
      <c r="C47" s="503">
        <f>'Passo1-Dados do país'!$D$23</f>
        <v>100</v>
      </c>
      <c r="D47" s="687" t="s">
        <v>892</v>
      </c>
      <c r="E47" s="464"/>
      <c r="F47" s="409"/>
      <c r="G47" s="409"/>
      <c r="H47" s="409"/>
      <c r="I47" s="409"/>
      <c r="J47" s="409"/>
      <c r="K47" s="409"/>
      <c r="L47" s="273"/>
      <c r="M47" s="468"/>
    </row>
    <row r="50" spans="1:1">
      <c r="A50" s="623" t="s">
        <v>748</v>
      </c>
    </row>
    <row r="51" spans="1:1">
      <c r="A51" s="623"/>
    </row>
  </sheetData>
  <mergeCells count="2">
    <mergeCell ref="F3:K3"/>
    <mergeCell ref="A2:L2"/>
  </mergeCells>
  <conditionalFormatting sqref="E7 E13 E18 E21 E26 E31 E34 E36 E38 E40 E43 E46">
    <cfRule type="expression" dxfId="6" priority="7" stopIfTrue="1">
      <formula>AND(B7="y",N7="n")</formula>
    </cfRule>
  </conditionalFormatting>
  <conditionalFormatting sqref="A2">
    <cfRule type="expression" dxfId="5" priority="6" stopIfTrue="1">
      <formula>$A$2&lt;&gt;""</formula>
    </cfRule>
  </conditionalFormatting>
  <dataValidations count="3">
    <dataValidation type="decimal" allowBlank="1" showInputMessage="1" showErrorMessage="1" errorTitle="Input error" error="Use digits and decimal mark only." promptTitle="Input cell" prompt="Use digits and decimal mark only." sqref="C14:C16 C22:C24 C27:C29 C34 C36 C38">
      <formula1>-9.99999999999999E+22</formula1>
      <formula2>9.99999999999999E+22</formula2>
    </dataValidation>
    <dataValidation type="list" allowBlank="1" showDropDown="1" showInputMessage="1" showErrorMessage="1" errorTitle="Input error" error="Enter only y, n or ? (or translation of these)" sqref="B17 B30 B32:B33 B35 B37 B39 B41:B42 B44:B45">
      <formula1>yn?</formula1>
    </dataValidation>
    <dataValidation type="list" allowBlank="1" showInputMessage="1" showErrorMessage="1" errorTitle="Input error" error="Enter only y, n or ? (or translation of these)" sqref="B7 B13:B16 B18 B21:B24 B26:B29 B31 B34 B36 B38 B40 B43 B46">
      <formula1>yn?</formula1>
    </dataValidation>
  </dataValidations>
  <pageMargins left="0.39370078740157483" right="0.39370078740157483" top="0.74803149606299213" bottom="0.74803149606299213" header="0.31496062992125984" footer="0.31496062992125984"/>
  <pageSetup paperSize="9" scale="60" orientation="landscape" r:id="rId1"/>
  <headerFooter>
    <oddFooter>&amp;L&amp;APrinted &amp;D</oddFooter>
  </headerFooter>
  <extLst>
    <ext xmlns:x14="http://schemas.microsoft.com/office/spreadsheetml/2009/9/main" uri="{78C0D931-6437-407d-A8EE-F0AAD7539E65}">
      <x14:conditionalFormattings>
        <x14:conditionalFormatting xmlns:xm="http://schemas.microsoft.com/office/excel/2006/main">
          <x14:cfRule type="expression" priority="1" id="{93A2D4A2-7FB4-4F36-8536-C9BBE7D0CD0D}">
            <xm:f>'Insert IL2 results'!#REF!&lt;&gt;""</xm:f>
            <x14:dxf>
              <font>
                <color rgb="FFFF0000"/>
              </font>
            </x14:dxf>
          </x14:cfRule>
          <xm:sqref>A50</xm:sqref>
        </x14:conditionalFormatting>
      </x14:conditionalFormatting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101"/>
  <sheetViews>
    <sheetView topLeftCell="D1" workbookViewId="0">
      <selection activeCell="N11" sqref="N11"/>
    </sheetView>
  </sheetViews>
  <sheetFormatPr defaultRowHeight="12.75"/>
  <cols>
    <col min="1" max="1" width="3.42578125" customWidth="1"/>
    <col min="2" max="2" width="5.140625" customWidth="1"/>
    <col min="3" max="3" width="34" customWidth="1"/>
    <col min="4" max="4" width="8.42578125" customWidth="1"/>
    <col min="5" max="5" width="10.28515625" customWidth="1"/>
    <col min="7" max="7" width="10.140625" customWidth="1"/>
    <col min="8" max="8" width="11.5703125" customWidth="1"/>
    <col min="9" max="9" width="16.85546875" style="242" customWidth="1"/>
    <col min="10" max="10" width="14.5703125" customWidth="1"/>
    <col min="11" max="11" width="10.28515625" bestFit="1" customWidth="1"/>
    <col min="13" max="13" width="33.42578125" style="13" customWidth="1"/>
    <col min="14" max="14" width="9.140625" style="242"/>
    <col min="21" max="21" width="16.5703125" customWidth="1"/>
    <col min="27" max="27" width="17" customWidth="1"/>
    <col min="28" max="28" width="63.5703125" customWidth="1"/>
  </cols>
  <sheetData>
    <row r="1" spans="1:30" ht="18">
      <c r="A1" s="1" t="s">
        <v>34</v>
      </c>
      <c r="I1" s="232"/>
      <c r="N1" s="232"/>
      <c r="V1" s="22"/>
      <c r="W1" s="3"/>
      <c r="X1" s="3"/>
      <c r="Y1" s="3"/>
      <c r="Z1" s="3"/>
      <c r="AA1" s="3"/>
    </row>
    <row r="2" spans="1:30" ht="15">
      <c r="A2" s="54" t="s">
        <v>322</v>
      </c>
      <c r="I2" s="232"/>
      <c r="L2" s="55"/>
      <c r="M2" s="55"/>
      <c r="N2" s="232"/>
    </row>
    <row r="3" spans="1:30" s="181" customFormat="1">
      <c r="D3" s="182"/>
      <c r="E3" s="182"/>
      <c r="F3" s="182"/>
      <c r="G3" s="182"/>
      <c r="H3" s="182"/>
      <c r="I3" s="260"/>
      <c r="J3" s="182"/>
      <c r="K3" s="182"/>
      <c r="L3" s="30"/>
      <c r="M3" s="30"/>
      <c r="N3" s="260"/>
      <c r="O3" s="182"/>
      <c r="P3" s="184" t="s">
        <v>55</v>
      </c>
      <c r="Q3" s="184"/>
      <c r="R3" s="184"/>
      <c r="S3" s="184"/>
      <c r="T3" s="184"/>
      <c r="U3" s="184"/>
      <c r="V3" s="185" t="s">
        <v>54</v>
      </c>
      <c r="W3" s="186"/>
      <c r="X3" s="186"/>
      <c r="Y3" s="186"/>
      <c r="Z3" s="186"/>
      <c r="AA3" s="186"/>
      <c r="AB3" s="184"/>
    </row>
    <row r="4" spans="1:30" s="187" customFormat="1" ht="38.25">
      <c r="A4" s="187" t="s">
        <v>52</v>
      </c>
      <c r="B4" s="187" t="s">
        <v>50</v>
      </c>
      <c r="C4" s="136" t="s">
        <v>59</v>
      </c>
      <c r="D4" s="112" t="s">
        <v>159</v>
      </c>
      <c r="E4" s="136" t="s">
        <v>49</v>
      </c>
      <c r="F4" s="139" t="s">
        <v>35</v>
      </c>
      <c r="G4" s="112" t="s">
        <v>37</v>
      </c>
      <c r="H4" s="139" t="s">
        <v>35</v>
      </c>
      <c r="I4" s="247" t="s">
        <v>51</v>
      </c>
      <c r="J4" s="187" t="s">
        <v>35</v>
      </c>
      <c r="K4" s="84" t="s">
        <v>61</v>
      </c>
      <c r="L4" s="139" t="s">
        <v>35</v>
      </c>
      <c r="M4" s="126" t="s">
        <v>57</v>
      </c>
      <c r="N4" s="247" t="s">
        <v>94</v>
      </c>
      <c r="O4" s="139" t="s">
        <v>35</v>
      </c>
      <c r="P4" s="111" t="s">
        <v>38</v>
      </c>
      <c r="Q4" s="111" t="s">
        <v>39</v>
      </c>
      <c r="R4" s="111" t="s">
        <v>40</v>
      </c>
      <c r="S4" s="111" t="s">
        <v>41</v>
      </c>
      <c r="T4" s="112" t="s">
        <v>42</v>
      </c>
      <c r="U4" s="112" t="s">
        <v>53</v>
      </c>
      <c r="V4" s="56" t="s">
        <v>38</v>
      </c>
      <c r="W4" s="56" t="s">
        <v>39</v>
      </c>
      <c r="X4" s="56" t="s">
        <v>40</v>
      </c>
      <c r="Y4" s="57" t="s">
        <v>41</v>
      </c>
      <c r="Z4" s="57" t="s">
        <v>42</v>
      </c>
      <c r="AA4" s="57" t="s">
        <v>237</v>
      </c>
      <c r="AB4" s="111" t="s">
        <v>89</v>
      </c>
    </row>
    <row r="5" spans="1:30" s="55" customFormat="1" ht="25.5">
      <c r="A5" s="55" t="s">
        <v>220</v>
      </c>
      <c r="C5" s="136" t="s">
        <v>223</v>
      </c>
      <c r="D5" s="120"/>
      <c r="F5" s="104"/>
      <c r="G5" s="119"/>
      <c r="H5" s="104"/>
      <c r="I5" s="248"/>
      <c r="K5" s="121"/>
      <c r="L5" s="104"/>
      <c r="M5" s="175"/>
      <c r="N5" s="248"/>
      <c r="O5" s="104"/>
      <c r="P5" s="119"/>
      <c r="Q5" s="119"/>
      <c r="R5" s="119"/>
      <c r="S5" s="119"/>
      <c r="T5" s="119"/>
      <c r="U5" s="119"/>
      <c r="V5" s="122"/>
      <c r="W5" s="122"/>
      <c r="X5" s="122"/>
      <c r="Y5" s="122"/>
      <c r="Z5" s="122"/>
      <c r="AA5" s="122"/>
      <c r="AB5" s="119"/>
    </row>
    <row r="6" spans="1:30">
      <c r="B6" t="s">
        <v>221</v>
      </c>
      <c r="C6" s="12" t="s">
        <v>362</v>
      </c>
      <c r="D6" s="111"/>
      <c r="G6" s="76"/>
      <c r="I6" s="249"/>
      <c r="K6" s="114"/>
      <c r="L6" s="3"/>
      <c r="M6" s="14"/>
      <c r="N6" s="249"/>
      <c r="O6" s="3"/>
      <c r="P6" s="76"/>
      <c r="Q6" s="76"/>
      <c r="R6" s="76"/>
      <c r="S6" s="76"/>
      <c r="T6" s="76"/>
      <c r="U6" s="76"/>
      <c r="V6" s="114">
        <f t="shared" ref="V6:AA6" si="0">SUM(V7:V11)</f>
        <v>0</v>
      </c>
      <c r="W6" s="114">
        <f t="shared" si="0"/>
        <v>0</v>
      </c>
      <c r="X6" s="114">
        <f t="shared" si="0"/>
        <v>0</v>
      </c>
      <c r="Y6" s="114">
        <f t="shared" si="0"/>
        <v>0</v>
      </c>
      <c r="Z6" s="114">
        <f t="shared" si="0"/>
        <v>0</v>
      </c>
      <c r="AA6" s="114">
        <f t="shared" si="0"/>
        <v>0</v>
      </c>
      <c r="AB6" s="332"/>
    </row>
    <row r="7" spans="1:30" ht="38.25">
      <c r="C7" s="68" t="s">
        <v>225</v>
      </c>
      <c r="D7" s="111"/>
      <c r="E7" s="6" t="s">
        <v>224</v>
      </c>
      <c r="F7" s="3" t="s">
        <v>120</v>
      </c>
      <c r="G7" s="276">
        <v>0.2</v>
      </c>
      <c r="H7" s="3" t="s">
        <v>120</v>
      </c>
      <c r="I7" s="250">
        <f>'Passo1-Dados do país'!B6</f>
        <v>0</v>
      </c>
      <c r="J7" s="3" t="s">
        <v>119</v>
      </c>
      <c r="K7" s="170">
        <f>(G7*I7/1000)*'Passo6-Produtos-Substâncias Hg'!C11/Countrydata!$D$57</f>
        <v>0</v>
      </c>
      <c r="L7" s="3" t="s">
        <v>36</v>
      </c>
      <c r="M7" s="39" t="s">
        <v>232</v>
      </c>
      <c r="N7" s="250">
        <f>K7</f>
        <v>0</v>
      </c>
      <c r="O7" s="3" t="s">
        <v>36</v>
      </c>
      <c r="P7" s="131">
        <v>0.02</v>
      </c>
      <c r="Q7" s="131">
        <v>0.14000000000000001</v>
      </c>
      <c r="R7" s="131"/>
      <c r="S7" s="131"/>
      <c r="T7" s="131">
        <v>0.12</v>
      </c>
      <c r="U7" s="131">
        <v>0.12</v>
      </c>
      <c r="V7" s="116">
        <f t="shared" ref="V7:AA8" si="1">$N7*P7</f>
        <v>0</v>
      </c>
      <c r="W7" s="116">
        <f t="shared" si="1"/>
        <v>0</v>
      </c>
      <c r="X7" s="116">
        <f t="shared" si="1"/>
        <v>0</v>
      </c>
      <c r="Y7" s="116">
        <f t="shared" si="1"/>
        <v>0</v>
      </c>
      <c r="Z7" s="116">
        <f t="shared" si="1"/>
        <v>0</v>
      </c>
      <c r="AA7" s="116">
        <f t="shared" si="1"/>
        <v>0</v>
      </c>
      <c r="AB7" s="76"/>
    </row>
    <row r="8" spans="1:30" ht="38.25">
      <c r="C8" s="68" t="s">
        <v>227</v>
      </c>
      <c r="D8" s="111"/>
      <c r="E8" s="6"/>
      <c r="F8" s="3"/>
      <c r="G8" s="76"/>
      <c r="H8" s="3"/>
      <c r="I8" s="250"/>
      <c r="J8" s="3"/>
      <c r="K8" s="169"/>
      <c r="L8" s="3"/>
      <c r="M8" s="39" t="s">
        <v>233</v>
      </c>
      <c r="N8" s="250">
        <f>0.6*N7</f>
        <v>0</v>
      </c>
      <c r="O8" s="3" t="s">
        <v>36</v>
      </c>
      <c r="P8" s="131"/>
      <c r="Q8" s="131">
        <v>0.02</v>
      </c>
      <c r="R8" s="131"/>
      <c r="S8" s="131"/>
      <c r="T8" s="131"/>
      <c r="U8" s="131"/>
      <c r="V8" s="116">
        <f t="shared" si="1"/>
        <v>0</v>
      </c>
      <c r="W8" s="116">
        <f t="shared" si="1"/>
        <v>0</v>
      </c>
      <c r="X8" s="116">
        <f t="shared" si="1"/>
        <v>0</v>
      </c>
      <c r="Y8" s="116">
        <f t="shared" si="1"/>
        <v>0</v>
      </c>
      <c r="Z8" s="116">
        <f t="shared" si="1"/>
        <v>0</v>
      </c>
      <c r="AA8" s="116">
        <f t="shared" si="1"/>
        <v>0</v>
      </c>
      <c r="AB8" s="76"/>
    </row>
    <row r="9" spans="1:30" ht="25.5">
      <c r="C9" s="68" t="s">
        <v>226</v>
      </c>
      <c r="D9" s="111"/>
      <c r="E9" s="6"/>
      <c r="F9" s="3"/>
      <c r="G9" s="76"/>
      <c r="H9" s="3"/>
      <c r="I9" s="250"/>
      <c r="J9" s="3"/>
      <c r="K9" s="169"/>
      <c r="L9" s="3"/>
      <c r="M9" s="39" t="s">
        <v>234</v>
      </c>
      <c r="N9" s="250"/>
      <c r="O9" s="3"/>
      <c r="P9" s="168"/>
      <c r="Q9" s="168"/>
      <c r="R9" s="168"/>
      <c r="S9" s="168"/>
      <c r="T9" s="168"/>
      <c r="U9" s="168"/>
      <c r="V9" s="116"/>
      <c r="W9" s="116"/>
      <c r="X9" s="116"/>
      <c r="Y9" s="116"/>
      <c r="Z9" s="116"/>
      <c r="AA9" s="116"/>
      <c r="AB9" s="76"/>
    </row>
    <row r="10" spans="1:30" ht="38.25">
      <c r="C10" s="12"/>
      <c r="D10" s="111"/>
      <c r="E10" s="6"/>
      <c r="F10" s="3"/>
      <c r="G10" s="76"/>
      <c r="H10" s="3"/>
      <c r="I10" s="250"/>
      <c r="J10" s="3"/>
      <c r="K10" s="169"/>
      <c r="L10" s="3"/>
      <c r="M10" s="38" t="s">
        <v>230</v>
      </c>
      <c r="N10" s="250"/>
      <c r="O10" s="3" t="s">
        <v>36</v>
      </c>
      <c r="P10" s="131"/>
      <c r="Q10" s="131">
        <v>0.02</v>
      </c>
      <c r="R10" s="131"/>
      <c r="S10" s="131">
        <v>0.06</v>
      </c>
      <c r="T10" s="131">
        <v>0.26</v>
      </c>
      <c r="U10" s="131">
        <v>0.26</v>
      </c>
      <c r="V10" s="116">
        <f t="shared" ref="V10:AA11" si="2">$N10*P10</f>
        <v>0</v>
      </c>
      <c r="W10" s="116">
        <f t="shared" si="2"/>
        <v>0</v>
      </c>
      <c r="X10" s="116">
        <f t="shared" si="2"/>
        <v>0</v>
      </c>
      <c r="Y10" s="116">
        <f t="shared" si="2"/>
        <v>0</v>
      </c>
      <c r="Z10" s="116">
        <f t="shared" si="2"/>
        <v>0</v>
      </c>
      <c r="AA10" s="116">
        <f t="shared" si="2"/>
        <v>0</v>
      </c>
      <c r="AB10" s="76"/>
    </row>
    <row r="11" spans="1:30" ht="25.5">
      <c r="C11" s="12"/>
      <c r="D11" s="111"/>
      <c r="E11" s="6"/>
      <c r="F11" s="3"/>
      <c r="G11" s="76"/>
      <c r="H11" s="3"/>
      <c r="I11" s="250"/>
      <c r="J11" s="3"/>
      <c r="K11" s="169"/>
      <c r="L11" s="3"/>
      <c r="M11" s="38" t="s">
        <v>231</v>
      </c>
      <c r="N11" s="250">
        <f>N8</f>
        <v>0</v>
      </c>
      <c r="O11" s="3" t="s">
        <v>36</v>
      </c>
      <c r="P11" s="131"/>
      <c r="Q11" s="131">
        <v>0.3</v>
      </c>
      <c r="R11" s="131">
        <v>0.08</v>
      </c>
      <c r="S11" s="131">
        <v>0.06</v>
      </c>
      <c r="T11" s="131">
        <v>0.08</v>
      </c>
      <c r="U11" s="131">
        <v>0.08</v>
      </c>
      <c r="V11" s="116">
        <f t="shared" si="2"/>
        <v>0</v>
      </c>
      <c r="W11" s="116">
        <f t="shared" si="2"/>
        <v>0</v>
      </c>
      <c r="X11" s="116">
        <f t="shared" si="2"/>
        <v>0</v>
      </c>
      <c r="Y11" s="116">
        <f t="shared" si="2"/>
        <v>0</v>
      </c>
      <c r="Z11" s="116">
        <f t="shared" si="2"/>
        <v>0</v>
      </c>
      <c r="AA11" s="116">
        <f t="shared" si="2"/>
        <v>0</v>
      </c>
      <c r="AB11" s="76"/>
    </row>
    <row r="12" spans="1:30" s="55" customFormat="1">
      <c r="C12" s="162"/>
      <c r="D12" s="76"/>
      <c r="E12" s="106"/>
      <c r="F12" s="104"/>
      <c r="G12" s="76"/>
      <c r="H12" s="104"/>
      <c r="I12" s="250"/>
      <c r="K12" s="115"/>
      <c r="L12" s="104"/>
      <c r="M12" s="163"/>
      <c r="N12" s="250"/>
      <c r="O12" s="104"/>
      <c r="P12" s="168"/>
      <c r="Q12" s="168"/>
      <c r="R12" s="168"/>
      <c r="S12" s="168"/>
      <c r="T12" s="168"/>
      <c r="U12" s="171"/>
      <c r="V12" s="116"/>
      <c r="W12" s="116"/>
      <c r="X12" s="116"/>
      <c r="Y12" s="116"/>
      <c r="Z12" s="116"/>
      <c r="AA12" s="116"/>
      <c r="AB12" s="76"/>
    </row>
    <row r="13" spans="1:30" ht="25.5">
      <c r="B13" s="3" t="s">
        <v>235</v>
      </c>
      <c r="C13" s="26" t="s">
        <v>236</v>
      </c>
      <c r="D13" s="111"/>
      <c r="E13" s="3"/>
      <c r="F13" s="3"/>
      <c r="G13" s="76"/>
      <c r="H13" s="3"/>
      <c r="I13" s="250"/>
      <c r="K13" s="114"/>
      <c r="L13" s="3"/>
      <c r="M13" s="33"/>
      <c r="N13" s="250"/>
      <c r="O13" s="3"/>
      <c r="P13" s="76"/>
      <c r="Q13" s="76"/>
      <c r="R13" s="76"/>
      <c r="S13" s="76"/>
      <c r="T13" s="76"/>
      <c r="U13" s="76"/>
      <c r="V13" s="114">
        <f t="shared" ref="V13:AA13" si="3">SUM(V14+V15+V24)</f>
        <v>0</v>
      </c>
      <c r="W13" s="114">
        <f t="shared" si="3"/>
        <v>0</v>
      </c>
      <c r="X13" s="114">
        <f t="shared" si="3"/>
        <v>0</v>
      </c>
      <c r="Y13" s="114">
        <f t="shared" si="3"/>
        <v>0</v>
      </c>
      <c r="Z13" s="114">
        <f t="shared" si="3"/>
        <v>0</v>
      </c>
      <c r="AA13" s="114">
        <f t="shared" si="3"/>
        <v>0</v>
      </c>
      <c r="AB13" s="76"/>
      <c r="AC13" s="25"/>
      <c r="AD13" s="3"/>
    </row>
    <row r="14" spans="1:30">
      <c r="B14" s="3"/>
      <c r="C14" s="26" t="s">
        <v>398</v>
      </c>
      <c r="D14" s="111"/>
      <c r="E14" s="3"/>
      <c r="F14" s="3"/>
      <c r="G14" s="76">
        <v>1</v>
      </c>
      <c r="H14" s="36"/>
      <c r="I14" s="250">
        <f>'Passo4-Uso Industrial de Hg'!C14</f>
        <v>0</v>
      </c>
      <c r="J14" s="8" t="s">
        <v>400</v>
      </c>
      <c r="K14" s="169">
        <f>I14*G14</f>
        <v>0</v>
      </c>
      <c r="L14" s="3"/>
      <c r="M14" s="33"/>
      <c r="N14" s="250">
        <f>K14</f>
        <v>0</v>
      </c>
      <c r="O14" s="3" t="s">
        <v>36</v>
      </c>
      <c r="P14" s="295">
        <v>0.01</v>
      </c>
      <c r="Q14" s="295">
        <v>5.0000000000000001E-3</v>
      </c>
      <c r="R14" s="295">
        <v>0.1</v>
      </c>
      <c r="S14" s="295"/>
      <c r="T14" s="295">
        <v>0.1</v>
      </c>
      <c r="U14" s="295">
        <v>0.01</v>
      </c>
      <c r="V14" s="116">
        <f t="shared" ref="V14:AA14" si="4">$N14*P14</f>
        <v>0</v>
      </c>
      <c r="W14" s="116">
        <f t="shared" si="4"/>
        <v>0</v>
      </c>
      <c r="X14" s="116">
        <f t="shared" si="4"/>
        <v>0</v>
      </c>
      <c r="Y14" s="116">
        <f t="shared" si="4"/>
        <v>0</v>
      </c>
      <c r="Z14" s="116">
        <f t="shared" si="4"/>
        <v>0</v>
      </c>
      <c r="AA14" s="116">
        <f t="shared" si="4"/>
        <v>0</v>
      </c>
      <c r="AB14" s="76"/>
      <c r="AC14" s="25"/>
      <c r="AD14" s="3"/>
    </row>
    <row r="15" spans="1:30">
      <c r="B15" s="3"/>
      <c r="C15" s="69" t="s">
        <v>261</v>
      </c>
      <c r="D15" s="111"/>
      <c r="E15" s="36" t="s">
        <v>406</v>
      </c>
      <c r="F15" s="3" t="s">
        <v>112</v>
      </c>
      <c r="G15" s="76">
        <v>80</v>
      </c>
      <c r="H15" s="3" t="s">
        <v>112</v>
      </c>
      <c r="I15" s="250">
        <f>'Passo6-Produtos-Substâncias Hg'!C38</f>
        <v>0</v>
      </c>
      <c r="J15" t="s">
        <v>281</v>
      </c>
      <c r="K15" s="115">
        <f>G15*I15/1000</f>
        <v>0</v>
      </c>
      <c r="L15" s="3" t="s">
        <v>36</v>
      </c>
      <c r="M15" s="16" t="s">
        <v>102</v>
      </c>
      <c r="N15" s="250"/>
      <c r="O15" s="3"/>
      <c r="P15" s="295"/>
      <c r="Q15" s="295"/>
      <c r="R15" s="295"/>
      <c r="S15" s="295"/>
      <c r="T15" s="295"/>
      <c r="U15" s="282"/>
      <c r="V15" s="309">
        <f t="shared" ref="V15:AA15" si="5">SUM(V16:V18)</f>
        <v>0</v>
      </c>
      <c r="W15" s="309">
        <f t="shared" si="5"/>
        <v>0</v>
      </c>
      <c r="X15" s="309">
        <f t="shared" si="5"/>
        <v>0</v>
      </c>
      <c r="Y15" s="309">
        <f t="shared" si="5"/>
        <v>0</v>
      </c>
      <c r="Z15" s="309">
        <f t="shared" si="5"/>
        <v>0</v>
      </c>
      <c r="AA15" s="309">
        <f t="shared" si="5"/>
        <v>0</v>
      </c>
      <c r="AB15" s="76"/>
      <c r="AC15" s="25"/>
      <c r="AD15" s="3"/>
    </row>
    <row r="16" spans="1:30" ht="25.5">
      <c r="B16" s="3"/>
      <c r="C16" s="69"/>
      <c r="D16" s="111"/>
      <c r="E16" s="3"/>
      <c r="F16" s="3"/>
      <c r="G16" s="76"/>
      <c r="H16" s="3"/>
      <c r="I16" s="250"/>
      <c r="K16" s="115"/>
      <c r="L16" s="3"/>
      <c r="M16" s="15" t="s">
        <v>99</v>
      </c>
      <c r="N16" s="250">
        <f>IF(OR('Passo5-TratResíduos+Reciclágem'!$B$4=yes,'Passo5-TratResíduos+Reciclágem'!$B$4=yes),K15,0)</f>
        <v>0</v>
      </c>
      <c r="O16" s="3" t="s">
        <v>36</v>
      </c>
      <c r="P16" s="295">
        <v>0.1</v>
      </c>
      <c r="Q16" s="295">
        <v>0.3</v>
      </c>
      <c r="R16" s="295"/>
      <c r="S16" s="295"/>
      <c r="T16" s="295">
        <v>0.6</v>
      </c>
      <c r="U16" s="295"/>
      <c r="V16" s="116">
        <f t="shared" ref="V16:AA18" si="6">$N16*P16</f>
        <v>0</v>
      </c>
      <c r="W16" s="116">
        <f t="shared" si="6"/>
        <v>0</v>
      </c>
      <c r="X16" s="116">
        <f t="shared" si="6"/>
        <v>0</v>
      </c>
      <c r="Y16" s="116">
        <f t="shared" si="6"/>
        <v>0</v>
      </c>
      <c r="Z16" s="116">
        <f t="shared" si="6"/>
        <v>0</v>
      </c>
      <c r="AA16" s="116">
        <f t="shared" si="6"/>
        <v>0</v>
      </c>
      <c r="AB16" s="76"/>
      <c r="AC16" s="25"/>
      <c r="AD16" s="3"/>
    </row>
    <row r="17" spans="2:30" ht="25.5">
      <c r="B17" s="3"/>
      <c r="C17" s="69"/>
      <c r="D17" s="111"/>
      <c r="E17" s="3"/>
      <c r="F17" s="3"/>
      <c r="G17" s="76"/>
      <c r="H17" s="3"/>
      <c r="I17" s="250"/>
      <c r="K17" s="115"/>
      <c r="L17" s="3"/>
      <c r="M17" s="15" t="s">
        <v>114</v>
      </c>
      <c r="N17" s="250">
        <f>IF(OR('Passo5-TratResíduos+Reciclágem'!$B$4=no,'Passo5-TratResíduos+Reciclágem'!$B$4=no),K15,0)</f>
        <v>0</v>
      </c>
      <c r="O17" s="3" t="s">
        <v>36</v>
      </c>
      <c r="P17" s="295">
        <v>0.2</v>
      </c>
      <c r="Q17" s="295">
        <v>0.3</v>
      </c>
      <c r="R17" s="295">
        <v>0.2</v>
      </c>
      <c r="S17" s="295"/>
      <c r="T17" s="295">
        <v>0.3</v>
      </c>
      <c r="U17" s="295"/>
      <c r="V17" s="116">
        <f t="shared" si="6"/>
        <v>0</v>
      </c>
      <c r="W17" s="116">
        <f t="shared" si="6"/>
        <v>0</v>
      </c>
      <c r="X17" s="116">
        <f t="shared" si="6"/>
        <v>0</v>
      </c>
      <c r="Y17" s="116">
        <f t="shared" si="6"/>
        <v>0</v>
      </c>
      <c r="Z17" s="116">
        <f t="shared" si="6"/>
        <v>0</v>
      </c>
      <c r="AA17" s="116">
        <f t="shared" si="6"/>
        <v>0</v>
      </c>
      <c r="AB17" s="76"/>
      <c r="AC17" s="25"/>
      <c r="AD17" s="3"/>
    </row>
    <row r="18" spans="2:30" ht="25.5">
      <c r="B18" s="3"/>
      <c r="C18" s="69"/>
      <c r="D18" s="111"/>
      <c r="E18" s="3"/>
      <c r="F18" s="3"/>
      <c r="G18" s="76"/>
      <c r="H18" s="3"/>
      <c r="I18" s="250"/>
      <c r="K18" s="115"/>
      <c r="L18" s="3"/>
      <c r="M18" s="15" t="s">
        <v>100</v>
      </c>
      <c r="N18" s="250"/>
      <c r="O18" s="3" t="s">
        <v>36</v>
      </c>
      <c r="P18" s="295">
        <v>0.1</v>
      </c>
      <c r="Q18" s="295">
        <v>0.3</v>
      </c>
      <c r="R18" s="295"/>
      <c r="S18" s="295"/>
      <c r="T18" s="295">
        <v>0.3</v>
      </c>
      <c r="U18" s="295">
        <v>0.3</v>
      </c>
      <c r="V18" s="116">
        <f t="shared" si="6"/>
        <v>0</v>
      </c>
      <c r="W18" s="116">
        <f t="shared" si="6"/>
        <v>0</v>
      </c>
      <c r="X18" s="116">
        <f t="shared" si="6"/>
        <v>0</v>
      </c>
      <c r="Y18" s="116">
        <f t="shared" si="6"/>
        <v>0</v>
      </c>
      <c r="Z18" s="116">
        <f t="shared" si="6"/>
        <v>0</v>
      </c>
      <c r="AA18" s="116">
        <f t="shared" si="6"/>
        <v>0</v>
      </c>
      <c r="AB18" s="76"/>
      <c r="AC18" s="25"/>
      <c r="AD18" s="3"/>
    </row>
    <row r="19" spans="2:30">
      <c r="B19" s="3"/>
      <c r="C19" s="69"/>
      <c r="D19" s="111"/>
      <c r="E19" s="3"/>
      <c r="F19" s="3"/>
      <c r="G19" s="76"/>
      <c r="H19" s="3"/>
      <c r="I19" s="250"/>
      <c r="K19" s="115"/>
      <c r="L19" s="3"/>
      <c r="M19" s="33"/>
      <c r="N19" s="250"/>
      <c r="O19" s="3"/>
      <c r="P19" s="295"/>
      <c r="Q19" s="295"/>
      <c r="R19" s="295"/>
      <c r="S19" s="295"/>
      <c r="T19" s="295"/>
      <c r="U19" s="282"/>
      <c r="V19" s="309"/>
      <c r="W19" s="309"/>
      <c r="X19" s="309"/>
      <c r="Y19" s="309"/>
      <c r="Z19" s="309"/>
      <c r="AA19" s="309"/>
      <c r="AB19" s="76"/>
      <c r="AC19" s="25"/>
      <c r="AD19" s="3"/>
    </row>
    <row r="20" spans="2:30">
      <c r="B20" s="3"/>
      <c r="C20" s="69"/>
      <c r="D20" s="111"/>
      <c r="E20" s="3"/>
      <c r="F20" s="3"/>
      <c r="G20" s="76"/>
      <c r="H20" s="3"/>
      <c r="I20" s="250"/>
      <c r="K20" s="115"/>
      <c r="L20" s="3"/>
      <c r="M20" s="33"/>
      <c r="N20" s="250"/>
      <c r="O20" s="3"/>
      <c r="P20" s="295"/>
      <c r="Q20" s="295"/>
      <c r="R20" s="295"/>
      <c r="S20" s="295"/>
      <c r="T20" s="295"/>
      <c r="U20" s="282"/>
      <c r="V20" s="309"/>
      <c r="W20" s="309"/>
      <c r="X20" s="309"/>
      <c r="Y20" s="309"/>
      <c r="Z20" s="309"/>
      <c r="AA20" s="309"/>
      <c r="AB20" s="76"/>
      <c r="AC20" s="25"/>
      <c r="AD20" s="3"/>
    </row>
    <row r="21" spans="2:30">
      <c r="B21" s="3"/>
      <c r="C21" s="69"/>
      <c r="D21" s="111"/>
      <c r="E21" s="3"/>
      <c r="F21" s="3"/>
      <c r="G21" s="76"/>
      <c r="H21" s="3"/>
      <c r="I21" s="250"/>
      <c r="K21" s="115"/>
      <c r="L21" s="3"/>
      <c r="M21" s="33"/>
      <c r="N21" s="250"/>
      <c r="O21" s="3"/>
      <c r="P21" s="295"/>
      <c r="Q21" s="295"/>
      <c r="R21" s="295"/>
      <c r="S21" s="295"/>
      <c r="T21" s="295"/>
      <c r="U21" s="282"/>
      <c r="V21" s="309"/>
      <c r="W21" s="309"/>
      <c r="X21" s="309"/>
      <c r="Y21" s="309"/>
      <c r="Z21" s="309"/>
      <c r="AA21" s="309"/>
      <c r="AB21" s="76"/>
      <c r="AC21" s="25"/>
      <c r="AD21" s="3"/>
    </row>
    <row r="22" spans="2:30">
      <c r="B22" s="3"/>
      <c r="C22" s="69"/>
      <c r="D22" s="111"/>
      <c r="E22" s="3"/>
      <c r="F22" s="3"/>
      <c r="G22" s="76"/>
      <c r="H22" s="3"/>
      <c r="I22" s="250"/>
      <c r="K22" s="115"/>
      <c r="L22" s="3"/>
      <c r="M22" s="33"/>
      <c r="N22" s="250"/>
      <c r="O22" s="3"/>
      <c r="P22" s="295"/>
      <c r="Q22" s="295"/>
      <c r="R22" s="295"/>
      <c r="S22" s="295"/>
      <c r="T22" s="295"/>
      <c r="U22" s="282"/>
      <c r="V22" s="309"/>
      <c r="W22" s="309"/>
      <c r="X22" s="309"/>
      <c r="Y22" s="309"/>
      <c r="Z22" s="309"/>
      <c r="AA22" s="309"/>
      <c r="AB22" s="76"/>
      <c r="AC22" s="25"/>
      <c r="AD22" s="3"/>
    </row>
    <row r="23" spans="2:30">
      <c r="B23" s="3"/>
      <c r="C23" s="69"/>
      <c r="D23" s="111"/>
      <c r="E23" s="3"/>
      <c r="F23" s="3"/>
      <c r="G23" s="76"/>
      <c r="H23" s="3"/>
      <c r="I23" s="250"/>
      <c r="K23" s="115"/>
      <c r="L23" s="3"/>
      <c r="M23" s="33"/>
      <c r="N23" s="250"/>
      <c r="O23" s="3"/>
      <c r="P23" s="295"/>
      <c r="Q23" s="295"/>
      <c r="R23" s="295"/>
      <c r="S23" s="295"/>
      <c r="T23" s="295"/>
      <c r="U23" s="282"/>
      <c r="V23" s="309"/>
      <c r="W23" s="309"/>
      <c r="X23" s="309"/>
      <c r="Y23" s="309"/>
      <c r="Z23" s="309"/>
      <c r="AA23" s="309"/>
      <c r="AB23" s="76"/>
      <c r="AC23" s="25"/>
      <c r="AD23" s="3"/>
    </row>
    <row r="24" spans="2:30" ht="25.5">
      <c r="B24" s="3"/>
      <c r="C24" s="311" t="s">
        <v>436</v>
      </c>
      <c r="D24" s="312"/>
      <c r="E24" s="313" t="s">
        <v>435</v>
      </c>
      <c r="F24" s="313" t="s">
        <v>112</v>
      </c>
      <c r="G24" s="314">
        <v>5.0000000000000001E-3</v>
      </c>
      <c r="H24" s="313" t="s">
        <v>409</v>
      </c>
      <c r="I24" s="315">
        <f>'Passo6-Produtos-Substâncias Hg'!C40</f>
        <v>0</v>
      </c>
      <c r="J24" s="313" t="s">
        <v>119</v>
      </c>
      <c r="K24" s="517">
        <f>(I24*G24/1000)*'Passo6-Produtos-Substâncias Hg'!$C$41/100</f>
        <v>0</v>
      </c>
      <c r="L24" s="313" t="s">
        <v>36</v>
      </c>
      <c r="M24" s="16" t="s">
        <v>102</v>
      </c>
      <c r="N24" s="250"/>
      <c r="O24" s="3"/>
      <c r="P24" s="295"/>
      <c r="Q24" s="295"/>
      <c r="R24" s="295"/>
      <c r="S24" s="295"/>
      <c r="T24" s="295"/>
      <c r="U24" s="282"/>
      <c r="V24" s="309">
        <f t="shared" ref="V24:AA24" si="7">SUM(V25:V27)</f>
        <v>0</v>
      </c>
      <c r="W24" s="309">
        <f t="shared" si="7"/>
        <v>0</v>
      </c>
      <c r="X24" s="309">
        <f t="shared" si="7"/>
        <v>0</v>
      </c>
      <c r="Y24" s="309">
        <f t="shared" si="7"/>
        <v>0</v>
      </c>
      <c r="Z24" s="309">
        <f t="shared" si="7"/>
        <v>0</v>
      </c>
      <c r="AA24" s="309">
        <f t="shared" si="7"/>
        <v>0</v>
      </c>
      <c r="AB24" s="76"/>
      <c r="AC24" s="25"/>
      <c r="AD24" s="3"/>
    </row>
    <row r="25" spans="2:30" ht="25.5">
      <c r="B25" s="3"/>
      <c r="C25" s="69" t="s">
        <v>262</v>
      </c>
      <c r="D25" s="111"/>
      <c r="E25" s="3" t="s">
        <v>43</v>
      </c>
      <c r="F25" s="3" t="s">
        <v>112</v>
      </c>
      <c r="G25" s="76" t="s">
        <v>43</v>
      </c>
      <c r="H25" s="3" t="s">
        <v>112</v>
      </c>
      <c r="I25" s="250"/>
      <c r="J25" t="s">
        <v>281</v>
      </c>
      <c r="K25" s="115" t="e">
        <f t="shared" ref="K25:K32" si="8">G25*I25/1000</f>
        <v>#VALUE!</v>
      </c>
      <c r="L25" s="3" t="s">
        <v>36</v>
      </c>
      <c r="M25" s="15" t="s">
        <v>99</v>
      </c>
      <c r="N25" s="250">
        <f>IF(OR('Passo5-TratResíduos+Reciclágem'!$B$4=yes,'Passo5-TratResíduos+Reciclágem'!$B$4=yes),K24,0)</f>
        <v>0</v>
      </c>
      <c r="O25" s="3" t="s">
        <v>36</v>
      </c>
      <c r="P25" s="295">
        <v>0.1</v>
      </c>
      <c r="Q25" s="295">
        <v>0.3</v>
      </c>
      <c r="R25" s="295"/>
      <c r="S25" s="295"/>
      <c r="T25" s="295">
        <v>0.6</v>
      </c>
      <c r="U25" s="295"/>
      <c r="V25" s="116">
        <f t="shared" ref="V25:V32" si="9">$N25*P25</f>
        <v>0</v>
      </c>
      <c r="W25" s="116">
        <f t="shared" ref="W25:W32" si="10">$N25*Q25</f>
        <v>0</v>
      </c>
      <c r="X25" s="116">
        <f t="shared" ref="X25:X32" si="11">$N25*R25</f>
        <v>0</v>
      </c>
      <c r="Y25" s="116">
        <f t="shared" ref="Y25:Y32" si="12">$N25*S25</f>
        <v>0</v>
      </c>
      <c r="Z25" s="116">
        <f t="shared" ref="Z25:Z32" si="13">$N25*T25</f>
        <v>0</v>
      </c>
      <c r="AA25" s="116">
        <f t="shared" ref="AA25:AA32" si="14">$N25*U25</f>
        <v>0</v>
      </c>
      <c r="AB25" s="76"/>
      <c r="AC25" s="25"/>
      <c r="AD25" s="3"/>
    </row>
    <row r="26" spans="2:30" ht="25.5">
      <c r="B26" s="3"/>
      <c r="C26" s="69" t="s">
        <v>263</v>
      </c>
      <c r="D26" s="111"/>
      <c r="E26" s="3" t="s">
        <v>43</v>
      </c>
      <c r="F26" s="3" t="s">
        <v>112</v>
      </c>
      <c r="G26" s="76" t="s">
        <v>43</v>
      </c>
      <c r="H26" s="3" t="s">
        <v>112</v>
      </c>
      <c r="I26" s="250"/>
      <c r="J26" t="s">
        <v>281</v>
      </c>
      <c r="K26" s="115" t="e">
        <f t="shared" si="8"/>
        <v>#VALUE!</v>
      </c>
      <c r="L26" s="3" t="s">
        <v>36</v>
      </c>
      <c r="M26" s="15" t="s">
        <v>114</v>
      </c>
      <c r="N26" s="250">
        <f>IF(OR('Passo5-TratResíduos+Reciclágem'!$B$4=no,'Passo5-TratResíduos+Reciclágem'!$B$4=no),K24,0)</f>
        <v>0</v>
      </c>
      <c r="O26" s="3" t="s">
        <v>36</v>
      </c>
      <c r="P26" s="295">
        <v>0.2</v>
      </c>
      <c r="Q26" s="295">
        <v>0.3</v>
      </c>
      <c r="R26" s="295">
        <v>0.2</v>
      </c>
      <c r="S26" s="295"/>
      <c r="T26" s="295">
        <v>0.3</v>
      </c>
      <c r="U26" s="295"/>
      <c r="V26" s="116">
        <f t="shared" si="9"/>
        <v>0</v>
      </c>
      <c r="W26" s="116">
        <f t="shared" si="10"/>
        <v>0</v>
      </c>
      <c r="X26" s="116">
        <f t="shared" si="11"/>
        <v>0</v>
      </c>
      <c r="Y26" s="116">
        <f t="shared" si="12"/>
        <v>0</v>
      </c>
      <c r="Z26" s="116">
        <f t="shared" si="13"/>
        <v>0</v>
      </c>
      <c r="AA26" s="116">
        <f t="shared" si="14"/>
        <v>0</v>
      </c>
      <c r="AB26" s="76"/>
      <c r="AC26" s="25"/>
      <c r="AD26" s="3"/>
    </row>
    <row r="27" spans="2:30" ht="25.5">
      <c r="B27" s="3"/>
      <c r="C27" s="69" t="s">
        <v>264</v>
      </c>
      <c r="D27" s="111"/>
      <c r="E27" s="3" t="s">
        <v>43</v>
      </c>
      <c r="F27" s="3" t="s">
        <v>112</v>
      </c>
      <c r="G27" s="76" t="s">
        <v>43</v>
      </c>
      <c r="H27" s="3" t="s">
        <v>112</v>
      </c>
      <c r="I27" s="250"/>
      <c r="J27" t="s">
        <v>281</v>
      </c>
      <c r="K27" s="115" t="e">
        <f t="shared" si="8"/>
        <v>#VALUE!</v>
      </c>
      <c r="L27" s="3" t="s">
        <v>36</v>
      </c>
      <c r="M27" s="15" t="s">
        <v>100</v>
      </c>
      <c r="N27" s="250"/>
      <c r="O27" s="3" t="s">
        <v>36</v>
      </c>
      <c r="P27" s="295">
        <v>0.1</v>
      </c>
      <c r="Q27" s="295">
        <v>0.3</v>
      </c>
      <c r="R27" s="295"/>
      <c r="S27" s="295"/>
      <c r="T27" s="295">
        <v>0.3</v>
      </c>
      <c r="U27" s="295">
        <v>0.3</v>
      </c>
      <c r="V27" s="116">
        <f t="shared" si="9"/>
        <v>0</v>
      </c>
      <c r="W27" s="116">
        <f t="shared" si="10"/>
        <v>0</v>
      </c>
      <c r="X27" s="116">
        <f t="shared" si="11"/>
        <v>0</v>
      </c>
      <c r="Y27" s="116">
        <f t="shared" si="12"/>
        <v>0</v>
      </c>
      <c r="Z27" s="116">
        <f t="shared" si="13"/>
        <v>0</v>
      </c>
      <c r="AA27" s="116">
        <f t="shared" si="14"/>
        <v>0</v>
      </c>
      <c r="AB27" s="76"/>
      <c r="AC27" s="25"/>
      <c r="AD27" s="3"/>
    </row>
    <row r="28" spans="2:30" ht="25.5">
      <c r="B28" s="3"/>
      <c r="C28" s="69" t="s">
        <v>265</v>
      </c>
      <c r="D28" s="111"/>
      <c r="E28" s="3" t="s">
        <v>43</v>
      </c>
      <c r="F28" s="3" t="s">
        <v>112</v>
      </c>
      <c r="G28" s="76" t="s">
        <v>43</v>
      </c>
      <c r="H28" s="3" t="s">
        <v>112</v>
      </c>
      <c r="I28" s="250"/>
      <c r="J28" t="s">
        <v>281</v>
      </c>
      <c r="K28" s="115" t="e">
        <f t="shared" si="8"/>
        <v>#VALUE!</v>
      </c>
      <c r="L28" s="3" t="s">
        <v>36</v>
      </c>
      <c r="M28" s="33"/>
      <c r="N28" s="250"/>
      <c r="O28" s="3" t="s">
        <v>36</v>
      </c>
      <c r="P28" s="76"/>
      <c r="Q28" s="76"/>
      <c r="R28" s="76"/>
      <c r="S28" s="180"/>
      <c r="T28" s="76"/>
      <c r="U28" s="76"/>
      <c r="V28" s="116">
        <f t="shared" si="9"/>
        <v>0</v>
      </c>
      <c r="W28" s="116">
        <f t="shared" si="10"/>
        <v>0</v>
      </c>
      <c r="X28" s="116">
        <f t="shared" si="11"/>
        <v>0</v>
      </c>
      <c r="Y28" s="116">
        <f t="shared" si="12"/>
        <v>0</v>
      </c>
      <c r="Z28" s="116">
        <f t="shared" si="13"/>
        <v>0</v>
      </c>
      <c r="AA28" s="116">
        <f t="shared" si="14"/>
        <v>0</v>
      </c>
      <c r="AB28" s="76"/>
      <c r="AC28" s="25"/>
      <c r="AD28" s="3"/>
    </row>
    <row r="29" spans="2:30">
      <c r="B29" s="3"/>
      <c r="C29" s="69" t="s">
        <v>266</v>
      </c>
      <c r="D29" s="111"/>
      <c r="E29" s="3" t="s">
        <v>43</v>
      </c>
      <c r="F29" s="3" t="s">
        <v>112</v>
      </c>
      <c r="G29" s="76" t="s">
        <v>43</v>
      </c>
      <c r="H29" s="3" t="s">
        <v>112</v>
      </c>
      <c r="I29" s="250"/>
      <c r="J29" t="s">
        <v>281</v>
      </c>
      <c r="K29" s="115" t="e">
        <f t="shared" si="8"/>
        <v>#VALUE!</v>
      </c>
      <c r="L29" s="3" t="s">
        <v>36</v>
      </c>
      <c r="M29" s="33"/>
      <c r="N29" s="250"/>
      <c r="O29" s="3" t="s">
        <v>36</v>
      </c>
      <c r="P29" s="76"/>
      <c r="Q29" s="76"/>
      <c r="R29" s="76"/>
      <c r="S29" s="180"/>
      <c r="T29" s="76"/>
      <c r="U29" s="76"/>
      <c r="V29" s="116">
        <f t="shared" si="9"/>
        <v>0</v>
      </c>
      <c r="W29" s="116">
        <f t="shared" si="10"/>
        <v>0</v>
      </c>
      <c r="X29" s="116">
        <f t="shared" si="11"/>
        <v>0</v>
      </c>
      <c r="Y29" s="116">
        <f t="shared" si="12"/>
        <v>0</v>
      </c>
      <c r="Z29" s="116">
        <f t="shared" si="13"/>
        <v>0</v>
      </c>
      <c r="AA29" s="116">
        <f t="shared" si="14"/>
        <v>0</v>
      </c>
      <c r="AB29" s="76"/>
      <c r="AC29" s="25"/>
      <c r="AD29" s="3"/>
    </row>
    <row r="30" spans="2:30">
      <c r="B30" s="3"/>
      <c r="C30" s="69" t="s">
        <v>267</v>
      </c>
      <c r="D30" s="111"/>
      <c r="E30" s="3" t="s">
        <v>43</v>
      </c>
      <c r="F30" s="3" t="s">
        <v>112</v>
      </c>
      <c r="G30" s="76" t="s">
        <v>43</v>
      </c>
      <c r="H30" s="3" t="s">
        <v>112</v>
      </c>
      <c r="I30" s="250"/>
      <c r="J30" t="s">
        <v>281</v>
      </c>
      <c r="K30" s="115" t="e">
        <f t="shared" si="8"/>
        <v>#VALUE!</v>
      </c>
      <c r="L30" s="3" t="s">
        <v>36</v>
      </c>
      <c r="M30" s="33"/>
      <c r="N30" s="250"/>
      <c r="O30" s="3" t="s">
        <v>36</v>
      </c>
      <c r="P30" s="76"/>
      <c r="Q30" s="76"/>
      <c r="R30" s="76"/>
      <c r="S30" s="180"/>
      <c r="T30" s="76"/>
      <c r="U30" s="76"/>
      <c r="V30" s="116">
        <f t="shared" si="9"/>
        <v>0</v>
      </c>
      <c r="W30" s="116">
        <f t="shared" si="10"/>
        <v>0</v>
      </c>
      <c r="X30" s="116">
        <f t="shared" si="11"/>
        <v>0</v>
      </c>
      <c r="Y30" s="116">
        <f t="shared" si="12"/>
        <v>0</v>
      </c>
      <c r="Z30" s="116">
        <f t="shared" si="13"/>
        <v>0</v>
      </c>
      <c r="AA30" s="116">
        <f t="shared" si="14"/>
        <v>0</v>
      </c>
      <c r="AB30" s="76"/>
      <c r="AC30" s="25"/>
      <c r="AD30" s="3"/>
    </row>
    <row r="31" spans="2:30">
      <c r="B31" s="3"/>
      <c r="C31" s="69" t="s">
        <v>268</v>
      </c>
      <c r="D31" s="111"/>
      <c r="E31" s="3" t="s">
        <v>43</v>
      </c>
      <c r="F31" s="3" t="s">
        <v>112</v>
      </c>
      <c r="G31" s="76" t="s">
        <v>43</v>
      </c>
      <c r="H31" s="3" t="s">
        <v>112</v>
      </c>
      <c r="I31" s="250"/>
      <c r="J31" t="s">
        <v>281</v>
      </c>
      <c r="K31" s="115" t="e">
        <f t="shared" si="8"/>
        <v>#VALUE!</v>
      </c>
      <c r="L31" s="3" t="s">
        <v>36</v>
      </c>
      <c r="M31" s="33"/>
      <c r="N31" s="250"/>
      <c r="O31" s="3" t="s">
        <v>36</v>
      </c>
      <c r="P31" s="76"/>
      <c r="Q31" s="76"/>
      <c r="R31" s="76"/>
      <c r="S31" s="180"/>
      <c r="T31" s="76"/>
      <c r="U31" s="76"/>
      <c r="V31" s="116">
        <f t="shared" si="9"/>
        <v>0</v>
      </c>
      <c r="W31" s="116">
        <f t="shared" si="10"/>
        <v>0</v>
      </c>
      <c r="X31" s="116">
        <f t="shared" si="11"/>
        <v>0</v>
      </c>
      <c r="Y31" s="116">
        <f t="shared" si="12"/>
        <v>0</v>
      </c>
      <c r="Z31" s="116">
        <f t="shared" si="13"/>
        <v>0</v>
      </c>
      <c r="AA31" s="116">
        <f t="shared" si="14"/>
        <v>0</v>
      </c>
      <c r="AB31" s="76"/>
      <c r="AC31" s="25"/>
      <c r="AD31" s="3"/>
    </row>
    <row r="32" spans="2:30">
      <c r="B32" s="3"/>
      <c r="C32" s="69" t="s">
        <v>269</v>
      </c>
      <c r="D32" s="111"/>
      <c r="E32" s="3" t="s">
        <v>43</v>
      </c>
      <c r="F32" s="3" t="s">
        <v>112</v>
      </c>
      <c r="G32" s="76" t="s">
        <v>43</v>
      </c>
      <c r="H32" s="3" t="s">
        <v>112</v>
      </c>
      <c r="I32" s="250"/>
      <c r="J32" t="s">
        <v>281</v>
      </c>
      <c r="K32" s="115" t="e">
        <f t="shared" si="8"/>
        <v>#VALUE!</v>
      </c>
      <c r="L32" s="3" t="s">
        <v>36</v>
      </c>
      <c r="M32" s="33"/>
      <c r="N32" s="250"/>
      <c r="O32" s="3" t="s">
        <v>36</v>
      </c>
      <c r="P32" s="76"/>
      <c r="Q32" s="76"/>
      <c r="R32" s="76"/>
      <c r="S32" s="180"/>
      <c r="T32" s="76"/>
      <c r="U32" s="76"/>
      <c r="V32" s="116">
        <f t="shared" si="9"/>
        <v>0</v>
      </c>
      <c r="W32" s="116">
        <f t="shared" si="10"/>
        <v>0</v>
      </c>
      <c r="X32" s="116">
        <f t="shared" si="11"/>
        <v>0</v>
      </c>
      <c r="Y32" s="116">
        <f t="shared" si="12"/>
        <v>0</v>
      </c>
      <c r="Z32" s="116">
        <f t="shared" si="13"/>
        <v>0</v>
      </c>
      <c r="AA32" s="116">
        <f t="shared" si="14"/>
        <v>0</v>
      </c>
      <c r="AB32" s="76"/>
      <c r="AC32" s="25"/>
      <c r="AD32" s="3"/>
    </row>
    <row r="33" spans="1:30">
      <c r="B33" s="3"/>
      <c r="C33" s="26"/>
      <c r="D33" s="111"/>
      <c r="E33" s="3"/>
      <c r="F33" s="3"/>
      <c r="G33" s="76"/>
      <c r="H33" s="3"/>
      <c r="I33" s="250"/>
      <c r="K33" s="115"/>
      <c r="L33" s="3"/>
      <c r="M33" s="33"/>
      <c r="N33" s="250"/>
      <c r="O33" s="3"/>
      <c r="P33" s="76"/>
      <c r="Q33" s="76"/>
      <c r="R33" s="76"/>
      <c r="S33" s="76"/>
      <c r="T33" s="76"/>
      <c r="U33" s="76"/>
      <c r="V33" s="114"/>
      <c r="W33" s="114"/>
      <c r="X33" s="114"/>
      <c r="Y33" s="114"/>
      <c r="Z33" s="114"/>
      <c r="AA33" s="114"/>
      <c r="AB33" s="76"/>
      <c r="AC33" s="25"/>
      <c r="AD33" s="3"/>
    </row>
    <row r="34" spans="1:30" s="55" customFormat="1">
      <c r="B34" s="104"/>
      <c r="C34" s="137"/>
      <c r="D34" s="111"/>
      <c r="E34" s="104"/>
      <c r="G34" s="76"/>
      <c r="I34" s="249"/>
      <c r="K34" s="58"/>
      <c r="L34" s="104"/>
      <c r="M34" s="175"/>
      <c r="N34" s="250"/>
      <c r="O34" s="104"/>
      <c r="P34" s="171"/>
      <c r="Q34" s="171"/>
      <c r="R34" s="171"/>
      <c r="S34" s="171"/>
      <c r="T34" s="171"/>
      <c r="U34" s="171"/>
      <c r="V34" s="114"/>
      <c r="W34" s="114"/>
      <c r="X34" s="114"/>
      <c r="Y34" s="114"/>
      <c r="Z34" s="114"/>
      <c r="AA34" s="114"/>
      <c r="AB34" s="76"/>
    </row>
    <row r="35" spans="1:30" ht="25.5">
      <c r="B35" s="3" t="s">
        <v>239</v>
      </c>
      <c r="C35" s="26" t="s">
        <v>238</v>
      </c>
      <c r="D35" s="111"/>
      <c r="E35" s="3"/>
      <c r="F35" s="3"/>
      <c r="G35" s="76"/>
      <c r="H35" s="3"/>
      <c r="I35" s="250"/>
      <c r="K35" s="114"/>
      <c r="L35" s="3"/>
      <c r="M35" s="33"/>
      <c r="N35" s="250"/>
      <c r="O35" s="3"/>
      <c r="P35" s="76"/>
      <c r="Q35" s="76"/>
      <c r="R35" s="76"/>
      <c r="S35" s="76"/>
      <c r="T35" s="76"/>
      <c r="U35" s="76"/>
      <c r="V35" s="114">
        <f t="shared" ref="V35:AA35" si="15">SUM(V39:V49)</f>
        <v>0</v>
      </c>
      <c r="W35" s="114">
        <f t="shared" si="15"/>
        <v>0</v>
      </c>
      <c r="X35" s="114">
        <f t="shared" si="15"/>
        <v>0</v>
      </c>
      <c r="Y35" s="114">
        <f>SUM(Y39:Y49)</f>
        <v>0</v>
      </c>
      <c r="Z35" s="114">
        <f t="shared" si="15"/>
        <v>0</v>
      </c>
      <c r="AA35" s="114">
        <f t="shared" si="15"/>
        <v>0</v>
      </c>
      <c r="AB35" s="76"/>
      <c r="AC35" s="25"/>
      <c r="AD35" s="3"/>
    </row>
    <row r="36" spans="1:30">
      <c r="B36" s="3"/>
      <c r="C36" s="26"/>
      <c r="D36" s="111"/>
      <c r="E36" s="3"/>
      <c r="F36" s="3"/>
      <c r="G36" s="76"/>
      <c r="H36" s="3"/>
      <c r="I36" s="250"/>
      <c r="K36" s="114"/>
      <c r="L36" s="3"/>
      <c r="M36" s="33"/>
      <c r="N36" s="250"/>
      <c r="O36" s="3"/>
      <c r="P36" s="76"/>
      <c r="Q36" s="76"/>
      <c r="R36" s="76"/>
      <c r="S36" s="76"/>
      <c r="T36" s="76"/>
      <c r="U36" s="76"/>
      <c r="V36" s="114"/>
      <c r="W36" s="114"/>
      <c r="X36" s="114"/>
      <c r="Y36" s="114"/>
      <c r="Z36" s="114"/>
      <c r="AA36" s="114"/>
      <c r="AB36" s="76"/>
      <c r="AC36" s="25"/>
      <c r="AD36" s="3"/>
    </row>
    <row r="37" spans="1:30" ht="25.5">
      <c r="A37" s="316"/>
      <c r="B37" s="317"/>
      <c r="C37" s="318" t="s">
        <v>408</v>
      </c>
      <c r="D37" s="319"/>
      <c r="E37" s="317"/>
      <c r="F37" s="317"/>
      <c r="G37" s="320">
        <v>0.01</v>
      </c>
      <c r="H37" s="317"/>
      <c r="I37" s="321">
        <f>'Passo6-Produtos-Substâncias Hg'!C40</f>
        <v>0</v>
      </c>
      <c r="J37" s="3" t="s">
        <v>119</v>
      </c>
      <c r="K37" s="341">
        <f>(I37*G37/1000)*'Passo6-Produtos-Substâncias Hg'!$C$44/100</f>
        <v>0</v>
      </c>
      <c r="L37" s="317"/>
      <c r="M37" s="322"/>
      <c r="N37" s="321">
        <f>K37</f>
        <v>0</v>
      </c>
      <c r="O37" s="317" t="s">
        <v>36</v>
      </c>
      <c r="P37" s="76"/>
      <c r="Q37" s="76">
        <v>0.33</v>
      </c>
      <c r="R37" s="76"/>
      <c r="S37" s="76"/>
      <c r="T37" s="76">
        <v>0.33</v>
      </c>
      <c r="U37" s="76">
        <v>0.34</v>
      </c>
      <c r="V37" s="309">
        <f t="shared" ref="V37:AA39" si="16">$N37*P37</f>
        <v>0</v>
      </c>
      <c r="W37" s="309">
        <f t="shared" si="16"/>
        <v>0</v>
      </c>
      <c r="X37" s="309">
        <f t="shared" si="16"/>
        <v>0</v>
      </c>
      <c r="Y37" s="309">
        <f t="shared" si="16"/>
        <v>0</v>
      </c>
      <c r="Z37" s="309">
        <f t="shared" si="16"/>
        <v>0</v>
      </c>
      <c r="AA37" s="309">
        <f t="shared" si="16"/>
        <v>0</v>
      </c>
      <c r="AB37" s="76"/>
      <c r="AC37" s="25"/>
      <c r="AD37" s="3"/>
    </row>
    <row r="38" spans="1:30" ht="25.5">
      <c r="A38" s="316"/>
      <c r="B38" s="317"/>
      <c r="C38" s="318" t="s">
        <v>407</v>
      </c>
      <c r="D38" s="319"/>
      <c r="E38" s="317"/>
      <c r="F38" s="317"/>
      <c r="G38" s="320">
        <v>0.04</v>
      </c>
      <c r="H38" s="317"/>
      <c r="I38" s="321">
        <f>'Passo6-Produtos-Substâncias Hg'!C40</f>
        <v>0</v>
      </c>
      <c r="J38" s="3" t="s">
        <v>119</v>
      </c>
      <c r="K38" s="341">
        <f>(I38*G38/1000)*'Passo6-Produtos-Substâncias Hg'!$C$47/100</f>
        <v>0</v>
      </c>
      <c r="L38" s="317"/>
      <c r="M38" s="322"/>
      <c r="N38" s="321">
        <f>K38</f>
        <v>0</v>
      </c>
      <c r="O38" s="317" t="s">
        <v>36</v>
      </c>
      <c r="P38" s="76"/>
      <c r="Q38" s="76">
        <v>0.33</v>
      </c>
      <c r="R38" s="76"/>
      <c r="S38" s="76"/>
      <c r="T38" s="76">
        <v>0.33</v>
      </c>
      <c r="U38" s="76">
        <v>0.34</v>
      </c>
      <c r="V38" s="309">
        <f t="shared" si="16"/>
        <v>0</v>
      </c>
      <c r="W38" s="309">
        <f t="shared" si="16"/>
        <v>0</v>
      </c>
      <c r="X38" s="309">
        <f t="shared" si="16"/>
        <v>0</v>
      </c>
      <c r="Y38" s="309">
        <f t="shared" si="16"/>
        <v>0</v>
      </c>
      <c r="Z38" s="309">
        <f t="shared" si="16"/>
        <v>0</v>
      </c>
      <c r="AA38" s="309">
        <f t="shared" si="16"/>
        <v>0</v>
      </c>
      <c r="AB38" s="76"/>
      <c r="AC38" s="25"/>
      <c r="AD38" s="3"/>
    </row>
    <row r="39" spans="1:30">
      <c r="C39" s="68" t="s">
        <v>270</v>
      </c>
      <c r="D39" s="111"/>
      <c r="E39" s="3" t="s">
        <v>43</v>
      </c>
      <c r="F39" s="3" t="s">
        <v>112</v>
      </c>
      <c r="G39" s="76" t="s">
        <v>43</v>
      </c>
      <c r="H39" s="3" t="s">
        <v>112</v>
      </c>
      <c r="I39" s="250"/>
      <c r="J39" t="s">
        <v>281</v>
      </c>
      <c r="K39" s="115" t="e">
        <f>G39*I39/1000</f>
        <v>#VALUE!</v>
      </c>
      <c r="L39" s="3" t="s">
        <v>36</v>
      </c>
      <c r="M39" s="33"/>
      <c r="N39" s="250"/>
      <c r="O39" s="3" t="s">
        <v>36</v>
      </c>
      <c r="P39" s="76"/>
      <c r="Q39" s="76"/>
      <c r="R39" s="76"/>
      <c r="S39" s="180"/>
      <c r="T39" s="76"/>
      <c r="U39" s="76"/>
      <c r="V39" s="116">
        <f t="shared" si="16"/>
        <v>0</v>
      </c>
      <c r="W39" s="116">
        <f t="shared" si="16"/>
        <v>0</v>
      </c>
      <c r="X39" s="116">
        <f t="shared" si="16"/>
        <v>0</v>
      </c>
      <c r="Y39" s="116">
        <f t="shared" si="16"/>
        <v>0</v>
      </c>
      <c r="Z39" s="116">
        <f t="shared" si="16"/>
        <v>0</v>
      </c>
      <c r="AA39" s="116">
        <f t="shared" si="16"/>
        <v>0</v>
      </c>
      <c r="AB39" s="76"/>
    </row>
    <row r="40" spans="1:30">
      <c r="C40" s="68" t="s">
        <v>271</v>
      </c>
      <c r="D40" s="76"/>
      <c r="E40" s="3" t="s">
        <v>43</v>
      </c>
      <c r="F40" s="3" t="s">
        <v>112</v>
      </c>
      <c r="G40" s="76" t="s">
        <v>43</v>
      </c>
      <c r="H40" s="3" t="s">
        <v>112</v>
      </c>
      <c r="I40" s="250"/>
      <c r="J40" t="s">
        <v>281</v>
      </c>
      <c r="K40" s="115" t="e">
        <f t="shared" ref="K40:K49" si="17">G40*I40/1000</f>
        <v>#VALUE!</v>
      </c>
      <c r="L40" s="3" t="s">
        <v>36</v>
      </c>
      <c r="M40" s="33"/>
      <c r="N40" s="250"/>
      <c r="O40" s="3" t="s">
        <v>36</v>
      </c>
      <c r="P40" s="76"/>
      <c r="Q40" s="76"/>
      <c r="R40" s="76"/>
      <c r="S40" s="180"/>
      <c r="T40" s="76"/>
      <c r="U40" s="76"/>
      <c r="V40" s="116">
        <f t="shared" ref="V40:V49" si="18">$N40*P40</f>
        <v>0</v>
      </c>
      <c r="W40" s="116">
        <f t="shared" ref="W40:W49" si="19">$N40*Q40</f>
        <v>0</v>
      </c>
      <c r="X40" s="116">
        <f t="shared" ref="X40:X49" si="20">$N40*R40</f>
        <v>0</v>
      </c>
      <c r="Y40" s="116">
        <f t="shared" ref="Y40:Y49" si="21">$N40*S40</f>
        <v>0</v>
      </c>
      <c r="Z40" s="116">
        <f t="shared" ref="Z40:Z49" si="22">$N40*T40</f>
        <v>0</v>
      </c>
      <c r="AA40" s="116">
        <f t="shared" ref="AA40:AA49" si="23">$N40*U40</f>
        <v>0</v>
      </c>
      <c r="AB40" s="76"/>
    </row>
    <row r="41" spans="1:30">
      <c r="C41" s="68" t="s">
        <v>272</v>
      </c>
      <c r="D41" s="76"/>
      <c r="E41" s="3" t="s">
        <v>43</v>
      </c>
      <c r="F41" s="3" t="s">
        <v>112</v>
      </c>
      <c r="G41" s="76" t="s">
        <v>43</v>
      </c>
      <c r="H41" s="3" t="s">
        <v>112</v>
      </c>
      <c r="I41" s="250"/>
      <c r="J41" t="s">
        <v>281</v>
      </c>
      <c r="K41" s="115" t="e">
        <f t="shared" si="17"/>
        <v>#VALUE!</v>
      </c>
      <c r="L41" s="3" t="s">
        <v>36</v>
      </c>
      <c r="M41" s="33"/>
      <c r="N41" s="250"/>
      <c r="O41" s="3" t="s">
        <v>36</v>
      </c>
      <c r="P41" s="76"/>
      <c r="Q41" s="76"/>
      <c r="R41" s="76"/>
      <c r="S41" s="180"/>
      <c r="T41" s="76"/>
      <c r="U41" s="76"/>
      <c r="V41" s="116">
        <f t="shared" si="18"/>
        <v>0</v>
      </c>
      <c r="W41" s="116">
        <f t="shared" si="19"/>
        <v>0</v>
      </c>
      <c r="X41" s="116">
        <f t="shared" si="20"/>
        <v>0</v>
      </c>
      <c r="Y41" s="116">
        <f t="shared" si="21"/>
        <v>0</v>
      </c>
      <c r="Z41" s="116">
        <f t="shared" si="22"/>
        <v>0</v>
      </c>
      <c r="AA41" s="116">
        <f t="shared" si="23"/>
        <v>0</v>
      </c>
      <c r="AB41" s="76"/>
    </row>
    <row r="42" spans="1:30">
      <c r="C42" s="68" t="s">
        <v>273</v>
      </c>
      <c r="D42" s="76"/>
      <c r="E42" s="3" t="s">
        <v>43</v>
      </c>
      <c r="F42" s="3" t="s">
        <v>112</v>
      </c>
      <c r="G42" s="76" t="s">
        <v>43</v>
      </c>
      <c r="H42" s="3" t="s">
        <v>112</v>
      </c>
      <c r="I42" s="250"/>
      <c r="J42" t="s">
        <v>281</v>
      </c>
      <c r="K42" s="115" t="e">
        <f t="shared" si="17"/>
        <v>#VALUE!</v>
      </c>
      <c r="L42" s="3" t="s">
        <v>36</v>
      </c>
      <c r="M42" s="33"/>
      <c r="N42" s="250"/>
      <c r="O42" s="3" t="s">
        <v>36</v>
      </c>
      <c r="P42" s="76"/>
      <c r="Q42" s="76"/>
      <c r="R42" s="76"/>
      <c r="S42" s="180"/>
      <c r="T42" s="76"/>
      <c r="U42" s="76"/>
      <c r="V42" s="116">
        <f t="shared" si="18"/>
        <v>0</v>
      </c>
      <c r="W42" s="116">
        <f t="shared" si="19"/>
        <v>0</v>
      </c>
      <c r="X42" s="116">
        <f t="shared" si="20"/>
        <v>0</v>
      </c>
      <c r="Y42" s="116">
        <f t="shared" si="21"/>
        <v>0</v>
      </c>
      <c r="Z42" s="116">
        <f t="shared" si="22"/>
        <v>0</v>
      </c>
      <c r="AA42" s="116">
        <f t="shared" si="23"/>
        <v>0</v>
      </c>
      <c r="AB42" s="76"/>
    </row>
    <row r="43" spans="1:30">
      <c r="C43" s="68" t="s">
        <v>274</v>
      </c>
      <c r="D43" s="76"/>
      <c r="E43" s="3" t="s">
        <v>43</v>
      </c>
      <c r="F43" s="3" t="s">
        <v>112</v>
      </c>
      <c r="G43" s="76" t="s">
        <v>43</v>
      </c>
      <c r="H43" s="3" t="s">
        <v>112</v>
      </c>
      <c r="I43" s="250"/>
      <c r="J43" t="s">
        <v>281</v>
      </c>
      <c r="K43" s="115" t="e">
        <f t="shared" si="17"/>
        <v>#VALUE!</v>
      </c>
      <c r="L43" s="3" t="s">
        <v>36</v>
      </c>
      <c r="M43" s="33"/>
      <c r="N43" s="250"/>
      <c r="O43" s="3" t="s">
        <v>36</v>
      </c>
      <c r="P43" s="76"/>
      <c r="Q43" s="76"/>
      <c r="R43" s="76"/>
      <c r="S43" s="180"/>
      <c r="T43" s="76"/>
      <c r="U43" s="76"/>
      <c r="V43" s="116">
        <f t="shared" si="18"/>
        <v>0</v>
      </c>
      <c r="W43" s="116">
        <f t="shared" si="19"/>
        <v>0</v>
      </c>
      <c r="X43" s="116">
        <f t="shared" si="20"/>
        <v>0</v>
      </c>
      <c r="Y43" s="116">
        <f t="shared" si="21"/>
        <v>0</v>
      </c>
      <c r="Z43" s="116">
        <f t="shared" si="22"/>
        <v>0</v>
      </c>
      <c r="AA43" s="116">
        <f t="shared" si="23"/>
        <v>0</v>
      </c>
      <c r="AB43" s="76"/>
    </row>
    <row r="44" spans="1:30">
      <c r="C44" s="68" t="s">
        <v>275</v>
      </c>
      <c r="D44" s="76"/>
      <c r="E44" s="3" t="s">
        <v>43</v>
      </c>
      <c r="F44" s="3" t="s">
        <v>112</v>
      </c>
      <c r="G44" s="76" t="s">
        <v>43</v>
      </c>
      <c r="H44" s="3" t="s">
        <v>112</v>
      </c>
      <c r="I44" s="250"/>
      <c r="J44" t="s">
        <v>281</v>
      </c>
      <c r="K44" s="115" t="e">
        <f t="shared" si="17"/>
        <v>#VALUE!</v>
      </c>
      <c r="L44" s="3" t="s">
        <v>36</v>
      </c>
      <c r="M44" s="33"/>
      <c r="N44" s="250"/>
      <c r="O44" s="3" t="s">
        <v>36</v>
      </c>
      <c r="P44" s="76"/>
      <c r="Q44" s="76"/>
      <c r="R44" s="76"/>
      <c r="S44" s="180"/>
      <c r="T44" s="76"/>
      <c r="U44" s="76"/>
      <c r="V44" s="116">
        <f t="shared" si="18"/>
        <v>0</v>
      </c>
      <c r="W44" s="116">
        <f t="shared" si="19"/>
        <v>0</v>
      </c>
      <c r="X44" s="116">
        <f t="shared" si="20"/>
        <v>0</v>
      </c>
      <c r="Y44" s="116">
        <f t="shared" si="21"/>
        <v>0</v>
      </c>
      <c r="Z44" s="116">
        <f t="shared" si="22"/>
        <v>0</v>
      </c>
      <c r="AA44" s="116">
        <f t="shared" si="23"/>
        <v>0</v>
      </c>
      <c r="AB44" s="76"/>
    </row>
    <row r="45" spans="1:30">
      <c r="C45" s="68" t="s">
        <v>276</v>
      </c>
      <c r="D45" s="111"/>
      <c r="E45" s="3" t="s">
        <v>43</v>
      </c>
      <c r="F45" s="3" t="s">
        <v>112</v>
      </c>
      <c r="G45" s="76" t="s">
        <v>43</v>
      </c>
      <c r="H45" s="3" t="s">
        <v>112</v>
      </c>
      <c r="I45" s="250"/>
      <c r="J45" t="s">
        <v>281</v>
      </c>
      <c r="K45" s="115" t="e">
        <f t="shared" si="17"/>
        <v>#VALUE!</v>
      </c>
      <c r="L45" s="3" t="s">
        <v>36</v>
      </c>
      <c r="M45" s="33"/>
      <c r="N45" s="250"/>
      <c r="O45" s="3" t="s">
        <v>36</v>
      </c>
      <c r="P45" s="76"/>
      <c r="Q45" s="76"/>
      <c r="R45" s="76"/>
      <c r="S45" s="180"/>
      <c r="T45" s="76"/>
      <c r="U45" s="76"/>
      <c r="V45" s="116">
        <f t="shared" si="18"/>
        <v>0</v>
      </c>
      <c r="W45" s="116">
        <f t="shared" si="19"/>
        <v>0</v>
      </c>
      <c r="X45" s="116">
        <f t="shared" si="20"/>
        <v>0</v>
      </c>
      <c r="Y45" s="116">
        <f t="shared" si="21"/>
        <v>0</v>
      </c>
      <c r="Z45" s="116">
        <f t="shared" si="22"/>
        <v>0</v>
      </c>
      <c r="AA45" s="116">
        <f t="shared" si="23"/>
        <v>0</v>
      </c>
      <c r="AB45" s="76"/>
    </row>
    <row r="46" spans="1:30">
      <c r="C46" s="68" t="s">
        <v>277</v>
      </c>
      <c r="D46" s="111"/>
      <c r="E46" s="3" t="s">
        <v>43</v>
      </c>
      <c r="F46" s="3" t="s">
        <v>112</v>
      </c>
      <c r="G46" s="76" t="s">
        <v>43</v>
      </c>
      <c r="H46" s="3" t="s">
        <v>112</v>
      </c>
      <c r="I46" s="250"/>
      <c r="J46" t="s">
        <v>281</v>
      </c>
      <c r="K46" s="115" t="e">
        <f t="shared" si="17"/>
        <v>#VALUE!</v>
      </c>
      <c r="L46" s="3" t="s">
        <v>36</v>
      </c>
      <c r="M46" s="33"/>
      <c r="N46" s="250"/>
      <c r="O46" s="3" t="s">
        <v>36</v>
      </c>
      <c r="P46" s="76"/>
      <c r="Q46" s="76"/>
      <c r="R46" s="76"/>
      <c r="S46" s="180"/>
      <c r="T46" s="76"/>
      <c r="U46" s="76"/>
      <c r="V46" s="116">
        <f t="shared" si="18"/>
        <v>0</v>
      </c>
      <c r="W46" s="116">
        <f t="shared" si="19"/>
        <v>0</v>
      </c>
      <c r="X46" s="116">
        <f t="shared" si="20"/>
        <v>0</v>
      </c>
      <c r="Y46" s="116">
        <f t="shared" si="21"/>
        <v>0</v>
      </c>
      <c r="Z46" s="116">
        <f t="shared" si="22"/>
        <v>0</v>
      </c>
      <c r="AA46" s="116">
        <f t="shared" si="23"/>
        <v>0</v>
      </c>
      <c r="AB46" s="76"/>
    </row>
    <row r="47" spans="1:30">
      <c r="C47" s="68" t="s">
        <v>278</v>
      </c>
      <c r="D47" s="76"/>
      <c r="E47" s="3" t="s">
        <v>43</v>
      </c>
      <c r="F47" s="3" t="s">
        <v>112</v>
      </c>
      <c r="G47" s="76" t="s">
        <v>43</v>
      </c>
      <c r="H47" s="3" t="s">
        <v>112</v>
      </c>
      <c r="I47" s="250"/>
      <c r="J47" t="s">
        <v>281</v>
      </c>
      <c r="K47" s="115" t="e">
        <f t="shared" si="17"/>
        <v>#VALUE!</v>
      </c>
      <c r="L47" s="3" t="s">
        <v>36</v>
      </c>
      <c r="M47" s="33"/>
      <c r="N47" s="250"/>
      <c r="O47" s="3" t="s">
        <v>36</v>
      </c>
      <c r="P47" s="76"/>
      <c r="Q47" s="76"/>
      <c r="R47" s="76"/>
      <c r="S47" s="180"/>
      <c r="T47" s="76"/>
      <c r="U47" s="76"/>
      <c r="V47" s="116">
        <f t="shared" si="18"/>
        <v>0</v>
      </c>
      <c r="W47" s="116">
        <f t="shared" si="19"/>
        <v>0</v>
      </c>
      <c r="X47" s="116">
        <f t="shared" si="20"/>
        <v>0</v>
      </c>
      <c r="Y47" s="116">
        <f t="shared" si="21"/>
        <v>0</v>
      </c>
      <c r="Z47" s="116">
        <f t="shared" si="22"/>
        <v>0</v>
      </c>
      <c r="AA47" s="116">
        <f t="shared" si="23"/>
        <v>0</v>
      </c>
      <c r="AB47" s="76"/>
    </row>
    <row r="48" spans="1:30" ht="25.5">
      <c r="C48" s="68" t="s">
        <v>279</v>
      </c>
      <c r="D48" s="76"/>
      <c r="E48" s="3" t="s">
        <v>43</v>
      </c>
      <c r="F48" s="3" t="s">
        <v>112</v>
      </c>
      <c r="G48" s="76" t="s">
        <v>43</v>
      </c>
      <c r="H48" s="3" t="s">
        <v>112</v>
      </c>
      <c r="I48" s="250"/>
      <c r="J48" t="s">
        <v>281</v>
      </c>
      <c r="K48" s="115" t="e">
        <f t="shared" si="17"/>
        <v>#VALUE!</v>
      </c>
      <c r="L48" s="3" t="s">
        <v>36</v>
      </c>
      <c r="M48" s="33"/>
      <c r="N48" s="250"/>
      <c r="O48" s="3" t="s">
        <v>36</v>
      </c>
      <c r="P48" s="76"/>
      <c r="Q48" s="76"/>
      <c r="R48" s="76"/>
      <c r="S48" s="180"/>
      <c r="T48" s="76"/>
      <c r="U48" s="76"/>
      <c r="V48" s="116">
        <f t="shared" si="18"/>
        <v>0</v>
      </c>
      <c r="W48" s="116">
        <f t="shared" si="19"/>
        <v>0</v>
      </c>
      <c r="X48" s="116">
        <f t="shared" si="20"/>
        <v>0</v>
      </c>
      <c r="Y48" s="116">
        <f t="shared" si="21"/>
        <v>0</v>
      </c>
      <c r="Z48" s="116">
        <f t="shared" si="22"/>
        <v>0</v>
      </c>
      <c r="AA48" s="116">
        <f t="shared" si="23"/>
        <v>0</v>
      </c>
      <c r="AB48" s="76"/>
    </row>
    <row r="49" spans="2:30" ht="25.5">
      <c r="C49" s="68" t="s">
        <v>280</v>
      </c>
      <c r="D49" s="76"/>
      <c r="E49" s="3" t="s">
        <v>43</v>
      </c>
      <c r="F49" s="3" t="s">
        <v>112</v>
      </c>
      <c r="G49" s="76" t="s">
        <v>43</v>
      </c>
      <c r="H49" s="3" t="s">
        <v>112</v>
      </c>
      <c r="I49" s="250"/>
      <c r="J49" t="s">
        <v>281</v>
      </c>
      <c r="K49" s="115" t="e">
        <f t="shared" si="17"/>
        <v>#VALUE!</v>
      </c>
      <c r="L49" s="3" t="s">
        <v>36</v>
      </c>
      <c r="M49" s="33"/>
      <c r="N49" s="250"/>
      <c r="O49" s="3" t="s">
        <v>36</v>
      </c>
      <c r="P49" s="76"/>
      <c r="Q49" s="76"/>
      <c r="R49" s="76"/>
      <c r="S49" s="180"/>
      <c r="T49" s="76"/>
      <c r="U49" s="76"/>
      <c r="V49" s="116">
        <f t="shared" si="18"/>
        <v>0</v>
      </c>
      <c r="W49" s="116">
        <f t="shared" si="19"/>
        <v>0</v>
      </c>
      <c r="X49" s="116">
        <f t="shared" si="20"/>
        <v>0</v>
      </c>
      <c r="Y49" s="116">
        <f t="shared" si="21"/>
        <v>0</v>
      </c>
      <c r="Z49" s="116">
        <f t="shared" si="22"/>
        <v>0</v>
      </c>
      <c r="AA49" s="116">
        <f t="shared" si="23"/>
        <v>0</v>
      </c>
      <c r="AB49" s="76"/>
    </row>
    <row r="50" spans="2:30" s="55" customFormat="1">
      <c r="B50" s="104"/>
      <c r="C50" s="176"/>
      <c r="D50" s="111"/>
      <c r="E50" s="104"/>
      <c r="F50" s="104"/>
      <c r="G50" s="76"/>
      <c r="H50" s="104"/>
      <c r="I50" s="250"/>
      <c r="J50" s="104"/>
      <c r="K50" s="169"/>
      <c r="L50" s="104"/>
      <c r="M50" s="165"/>
      <c r="N50" s="250"/>
      <c r="O50" s="104"/>
      <c r="P50" s="168"/>
      <c r="Q50" s="168"/>
      <c r="R50" s="168"/>
      <c r="S50" s="168"/>
      <c r="T50" s="168"/>
      <c r="U50" s="171"/>
      <c r="V50" s="116"/>
      <c r="W50" s="116"/>
      <c r="X50" s="116"/>
      <c r="Y50" s="116"/>
      <c r="Z50" s="116"/>
      <c r="AA50" s="116"/>
      <c r="AB50" s="76"/>
    </row>
    <row r="51" spans="2:30" ht="28.5">
      <c r="B51" s="3" t="s">
        <v>242</v>
      </c>
      <c r="C51" s="71" t="s">
        <v>240</v>
      </c>
      <c r="D51" s="111"/>
      <c r="E51" s="3" t="s">
        <v>43</v>
      </c>
      <c r="F51" s="3" t="s">
        <v>43</v>
      </c>
      <c r="G51" s="76" t="s">
        <v>43</v>
      </c>
      <c r="H51" s="3" t="s">
        <v>43</v>
      </c>
      <c r="I51" s="250"/>
      <c r="J51" t="s">
        <v>43</v>
      </c>
      <c r="K51" s="170" t="s">
        <v>43</v>
      </c>
      <c r="L51" s="3" t="s">
        <v>36</v>
      </c>
      <c r="M51" s="33"/>
      <c r="N51" s="250"/>
      <c r="O51" s="3" t="s">
        <v>36</v>
      </c>
      <c r="P51" s="76"/>
      <c r="Q51" s="76"/>
      <c r="R51" s="76"/>
      <c r="S51" s="76"/>
      <c r="T51" s="76"/>
      <c r="U51" s="76"/>
      <c r="V51" s="114">
        <f t="shared" ref="V51:AA51" si="24">$N51*P51</f>
        <v>0</v>
      </c>
      <c r="W51" s="114">
        <f t="shared" si="24"/>
        <v>0</v>
      </c>
      <c r="X51" s="114">
        <f t="shared" si="24"/>
        <v>0</v>
      </c>
      <c r="Y51" s="114">
        <f t="shared" si="24"/>
        <v>0</v>
      </c>
      <c r="Z51" s="114">
        <f t="shared" si="24"/>
        <v>0</v>
      </c>
      <c r="AA51" s="114">
        <f t="shared" si="24"/>
        <v>0</v>
      </c>
      <c r="AB51" s="76"/>
      <c r="AC51" s="25"/>
      <c r="AD51" s="3"/>
    </row>
    <row r="52" spans="2:30" s="55" customFormat="1" ht="14.25">
      <c r="B52" s="104"/>
      <c r="C52" s="177"/>
      <c r="D52" s="111"/>
      <c r="E52" s="104"/>
      <c r="F52" s="104"/>
      <c r="G52" s="76"/>
      <c r="H52" s="104"/>
      <c r="I52" s="250"/>
      <c r="K52" s="115"/>
      <c r="L52" s="104"/>
      <c r="M52" s="138"/>
      <c r="N52" s="250"/>
      <c r="O52" s="104"/>
      <c r="P52" s="76"/>
      <c r="Q52" s="76"/>
      <c r="R52" s="76"/>
      <c r="S52" s="76"/>
      <c r="T52" s="76"/>
      <c r="U52" s="76"/>
      <c r="V52" s="114"/>
      <c r="W52" s="114"/>
      <c r="X52" s="114"/>
      <c r="Y52" s="114"/>
      <c r="Z52" s="114"/>
      <c r="AA52" s="114"/>
      <c r="AB52" s="76"/>
      <c r="AC52" s="178"/>
      <c r="AD52" s="104"/>
    </row>
    <row r="53" spans="2:30" ht="42.75">
      <c r="B53" s="3" t="s">
        <v>243</v>
      </c>
      <c r="C53" s="72" t="s">
        <v>241</v>
      </c>
      <c r="D53" s="111"/>
      <c r="E53" s="3"/>
      <c r="F53" s="3"/>
      <c r="G53" s="76"/>
      <c r="H53" s="3"/>
      <c r="I53" s="250"/>
      <c r="K53" s="114"/>
      <c r="L53" s="3"/>
      <c r="M53" s="33"/>
      <c r="N53" s="250"/>
      <c r="O53" s="3"/>
      <c r="P53" s="76"/>
      <c r="Q53" s="76"/>
      <c r="R53" s="76"/>
      <c r="S53" s="76"/>
      <c r="T53" s="76"/>
      <c r="U53" s="76"/>
      <c r="V53" s="114">
        <f t="shared" ref="V53:AA53" si="25">SUM(V54:V70)</f>
        <v>0</v>
      </c>
      <c r="W53" s="114">
        <f t="shared" si="25"/>
        <v>0</v>
      </c>
      <c r="X53" s="114">
        <f t="shared" si="25"/>
        <v>0</v>
      </c>
      <c r="Y53" s="114">
        <f>SUM(Y54:Y70)</f>
        <v>0</v>
      </c>
      <c r="Z53" s="114">
        <f t="shared" si="25"/>
        <v>0</v>
      </c>
      <c r="AA53" s="114">
        <f t="shared" si="25"/>
        <v>0</v>
      </c>
      <c r="AB53" s="76"/>
      <c r="AC53" s="25"/>
      <c r="AD53" s="3"/>
    </row>
    <row r="54" spans="2:30" ht="28.5">
      <c r="B54" s="3"/>
      <c r="C54" s="73" t="s">
        <v>244</v>
      </c>
      <c r="D54" s="111"/>
      <c r="E54" s="3" t="s">
        <v>43</v>
      </c>
      <c r="F54" s="3" t="s">
        <v>43</v>
      </c>
      <c r="G54" s="76" t="s">
        <v>43</v>
      </c>
      <c r="H54" s="3" t="s">
        <v>43</v>
      </c>
      <c r="I54" s="250"/>
      <c r="J54" t="s">
        <v>43</v>
      </c>
      <c r="K54" s="115" t="s">
        <v>43</v>
      </c>
      <c r="L54" s="3" t="s">
        <v>36</v>
      </c>
      <c r="M54" s="33"/>
      <c r="N54" s="250"/>
      <c r="O54" s="3" t="s">
        <v>36</v>
      </c>
      <c r="P54" s="76"/>
      <c r="Q54" s="76"/>
      <c r="R54" s="76"/>
      <c r="S54" s="180"/>
      <c r="T54" s="76"/>
      <c r="U54" s="76"/>
      <c r="V54" s="116">
        <f t="shared" ref="V54:AA54" si="26">$N54*P54</f>
        <v>0</v>
      </c>
      <c r="W54" s="116">
        <f t="shared" si="26"/>
        <v>0</v>
      </c>
      <c r="X54" s="116">
        <f t="shared" si="26"/>
        <v>0</v>
      </c>
      <c r="Y54" s="116">
        <f t="shared" si="26"/>
        <v>0</v>
      </c>
      <c r="Z54" s="116">
        <f t="shared" si="26"/>
        <v>0</v>
      </c>
      <c r="AA54" s="116">
        <f t="shared" si="26"/>
        <v>0</v>
      </c>
      <c r="AB54" s="76"/>
    </row>
    <row r="55" spans="2:30" ht="14.25">
      <c r="B55" s="3"/>
      <c r="C55" s="73" t="s">
        <v>245</v>
      </c>
      <c r="D55" s="111"/>
      <c r="E55" s="3" t="s">
        <v>43</v>
      </c>
      <c r="F55" s="3" t="s">
        <v>43</v>
      </c>
      <c r="G55" s="76" t="s">
        <v>43</v>
      </c>
      <c r="H55" s="3" t="s">
        <v>43</v>
      </c>
      <c r="I55" s="250"/>
      <c r="J55" t="s">
        <v>43</v>
      </c>
      <c r="K55" s="115" t="s">
        <v>43</v>
      </c>
      <c r="L55" s="3" t="s">
        <v>36</v>
      </c>
      <c r="M55" s="33"/>
      <c r="N55" s="250"/>
      <c r="O55" s="3" t="s">
        <v>36</v>
      </c>
      <c r="P55" s="76"/>
      <c r="Q55" s="76"/>
      <c r="R55" s="76"/>
      <c r="S55" s="180"/>
      <c r="T55" s="76"/>
      <c r="U55" s="76"/>
      <c r="V55" s="116">
        <f t="shared" ref="V55:V69" si="27">$N55*P55</f>
        <v>0</v>
      </c>
      <c r="W55" s="116">
        <f t="shared" ref="W55:W69" si="28">$N55*Q55</f>
        <v>0</v>
      </c>
      <c r="X55" s="116">
        <f t="shared" ref="X55:Y69" si="29">$N55*R55</f>
        <v>0</v>
      </c>
      <c r="Y55" s="116">
        <f t="shared" si="29"/>
        <v>0</v>
      </c>
      <c r="Z55" s="116">
        <f t="shared" ref="Z55:Z69" si="30">$N55*T55</f>
        <v>0</v>
      </c>
      <c r="AA55" s="116">
        <f t="shared" ref="AA55:AA69" si="31">$N55*U55</f>
        <v>0</v>
      </c>
      <c r="AB55" s="76"/>
    </row>
    <row r="56" spans="2:30" ht="14.25">
      <c r="B56" s="3"/>
      <c r="C56" s="73" t="s">
        <v>246</v>
      </c>
      <c r="D56" s="111"/>
      <c r="E56" s="3" t="s">
        <v>43</v>
      </c>
      <c r="F56" s="3" t="s">
        <v>43</v>
      </c>
      <c r="G56" s="76" t="s">
        <v>43</v>
      </c>
      <c r="H56" s="3" t="s">
        <v>43</v>
      </c>
      <c r="I56" s="250"/>
      <c r="J56" t="s">
        <v>43</v>
      </c>
      <c r="K56" s="115" t="s">
        <v>43</v>
      </c>
      <c r="L56" s="3" t="s">
        <v>36</v>
      </c>
      <c r="M56" s="33"/>
      <c r="N56" s="250"/>
      <c r="O56" s="3" t="s">
        <v>36</v>
      </c>
      <c r="P56" s="76"/>
      <c r="Q56" s="76"/>
      <c r="R56" s="76"/>
      <c r="S56" s="180"/>
      <c r="T56" s="76"/>
      <c r="U56" s="76"/>
      <c r="V56" s="116">
        <f t="shared" si="27"/>
        <v>0</v>
      </c>
      <c r="W56" s="116">
        <f t="shared" si="28"/>
        <v>0</v>
      </c>
      <c r="X56" s="116">
        <f t="shared" si="29"/>
        <v>0</v>
      </c>
      <c r="Y56" s="116">
        <f t="shared" si="29"/>
        <v>0</v>
      </c>
      <c r="Z56" s="116">
        <f t="shared" si="30"/>
        <v>0</v>
      </c>
      <c r="AA56" s="116">
        <f t="shared" si="31"/>
        <v>0</v>
      </c>
      <c r="AB56" s="76"/>
    </row>
    <row r="57" spans="2:30" ht="14.25">
      <c r="B57" s="3"/>
      <c r="C57" s="73" t="s">
        <v>247</v>
      </c>
      <c r="D57" s="111"/>
      <c r="E57" s="3" t="s">
        <v>43</v>
      </c>
      <c r="F57" s="3" t="s">
        <v>43</v>
      </c>
      <c r="G57" s="76" t="s">
        <v>43</v>
      </c>
      <c r="H57" s="3" t="s">
        <v>43</v>
      </c>
      <c r="I57" s="250"/>
      <c r="J57" t="s">
        <v>43</v>
      </c>
      <c r="K57" s="115" t="s">
        <v>43</v>
      </c>
      <c r="L57" s="3" t="s">
        <v>36</v>
      </c>
      <c r="M57" s="33"/>
      <c r="N57" s="250"/>
      <c r="O57" s="3" t="s">
        <v>36</v>
      </c>
      <c r="P57" s="76"/>
      <c r="Q57" s="76"/>
      <c r="R57" s="76"/>
      <c r="S57" s="180"/>
      <c r="T57" s="76"/>
      <c r="U57" s="76"/>
      <c r="V57" s="116">
        <f t="shared" si="27"/>
        <v>0</v>
      </c>
      <c r="W57" s="116">
        <f t="shared" si="28"/>
        <v>0</v>
      </c>
      <c r="X57" s="116">
        <f t="shared" si="29"/>
        <v>0</v>
      </c>
      <c r="Y57" s="116">
        <f t="shared" si="29"/>
        <v>0</v>
      </c>
      <c r="Z57" s="116">
        <f t="shared" si="30"/>
        <v>0</v>
      </c>
      <c r="AA57" s="116">
        <f t="shared" si="31"/>
        <v>0</v>
      </c>
      <c r="AB57" s="76"/>
    </row>
    <row r="58" spans="2:30" ht="14.25">
      <c r="B58" s="3"/>
      <c r="C58" s="73" t="s">
        <v>248</v>
      </c>
      <c r="D58" s="111"/>
      <c r="E58" s="3" t="s">
        <v>43</v>
      </c>
      <c r="F58" s="3" t="s">
        <v>43</v>
      </c>
      <c r="G58" s="76" t="s">
        <v>43</v>
      </c>
      <c r="H58" s="3" t="s">
        <v>43</v>
      </c>
      <c r="I58" s="250"/>
      <c r="J58" t="s">
        <v>43</v>
      </c>
      <c r="K58" s="115" t="s">
        <v>43</v>
      </c>
      <c r="L58" s="3" t="s">
        <v>36</v>
      </c>
      <c r="M58" s="33"/>
      <c r="N58" s="250"/>
      <c r="O58" s="3" t="s">
        <v>36</v>
      </c>
      <c r="P58" s="76"/>
      <c r="Q58" s="76"/>
      <c r="R58" s="76"/>
      <c r="S58" s="180"/>
      <c r="T58" s="76"/>
      <c r="U58" s="76"/>
      <c r="V58" s="116">
        <f t="shared" si="27"/>
        <v>0</v>
      </c>
      <c r="W58" s="116">
        <f t="shared" si="28"/>
        <v>0</v>
      </c>
      <c r="X58" s="116">
        <f t="shared" si="29"/>
        <v>0</v>
      </c>
      <c r="Y58" s="116">
        <f t="shared" si="29"/>
        <v>0</v>
      </c>
      <c r="Z58" s="116">
        <f t="shared" si="30"/>
        <v>0</v>
      </c>
      <c r="AA58" s="116">
        <f t="shared" si="31"/>
        <v>0</v>
      </c>
      <c r="AB58" s="76"/>
    </row>
    <row r="59" spans="2:30" ht="28.5">
      <c r="B59" s="3"/>
      <c r="C59" s="73" t="s">
        <v>249</v>
      </c>
      <c r="D59" s="111"/>
      <c r="E59" s="3" t="s">
        <v>43</v>
      </c>
      <c r="F59" s="3" t="s">
        <v>43</v>
      </c>
      <c r="G59" s="76" t="s">
        <v>43</v>
      </c>
      <c r="H59" s="3" t="s">
        <v>43</v>
      </c>
      <c r="I59" s="250"/>
      <c r="J59" t="s">
        <v>43</v>
      </c>
      <c r="K59" s="115" t="s">
        <v>43</v>
      </c>
      <c r="L59" s="3" t="s">
        <v>36</v>
      </c>
      <c r="M59" s="33"/>
      <c r="N59" s="250"/>
      <c r="O59" s="3" t="s">
        <v>36</v>
      </c>
      <c r="P59" s="76"/>
      <c r="Q59" s="76"/>
      <c r="R59" s="76"/>
      <c r="S59" s="180"/>
      <c r="T59" s="76"/>
      <c r="U59" s="76"/>
      <c r="V59" s="116">
        <f t="shared" si="27"/>
        <v>0</v>
      </c>
      <c r="W59" s="116">
        <f t="shared" si="28"/>
        <v>0</v>
      </c>
      <c r="X59" s="116">
        <f t="shared" si="29"/>
        <v>0</v>
      </c>
      <c r="Y59" s="116">
        <f t="shared" si="29"/>
        <v>0</v>
      </c>
      <c r="Z59" s="116">
        <f t="shared" si="30"/>
        <v>0</v>
      </c>
      <c r="AA59" s="116">
        <f t="shared" si="31"/>
        <v>0</v>
      </c>
      <c r="AB59" s="76"/>
    </row>
    <row r="60" spans="2:30" ht="28.5">
      <c r="B60" s="3"/>
      <c r="C60" s="73" t="s">
        <v>250</v>
      </c>
      <c r="D60" s="111"/>
      <c r="E60" s="3" t="s">
        <v>43</v>
      </c>
      <c r="F60" s="3" t="s">
        <v>43</v>
      </c>
      <c r="G60" s="76" t="s">
        <v>43</v>
      </c>
      <c r="H60" s="3" t="s">
        <v>43</v>
      </c>
      <c r="I60" s="250"/>
      <c r="J60" t="s">
        <v>43</v>
      </c>
      <c r="K60" s="115" t="s">
        <v>43</v>
      </c>
      <c r="L60" s="3" t="s">
        <v>36</v>
      </c>
      <c r="M60" s="33"/>
      <c r="N60" s="250"/>
      <c r="O60" s="3" t="s">
        <v>36</v>
      </c>
      <c r="P60" s="76"/>
      <c r="Q60" s="76"/>
      <c r="R60" s="76"/>
      <c r="S60" s="180"/>
      <c r="T60" s="76"/>
      <c r="U60" s="76"/>
      <c r="V60" s="116">
        <f t="shared" si="27"/>
        <v>0</v>
      </c>
      <c r="W60" s="116">
        <f t="shared" si="28"/>
        <v>0</v>
      </c>
      <c r="X60" s="116">
        <f t="shared" si="29"/>
        <v>0</v>
      </c>
      <c r="Y60" s="116">
        <f t="shared" si="29"/>
        <v>0</v>
      </c>
      <c r="Z60" s="116">
        <f t="shared" si="30"/>
        <v>0</v>
      </c>
      <c r="AA60" s="116">
        <f t="shared" si="31"/>
        <v>0</v>
      </c>
      <c r="AB60" s="76"/>
    </row>
    <row r="61" spans="2:30" ht="57">
      <c r="B61" s="3"/>
      <c r="C61" s="73" t="s">
        <v>251</v>
      </c>
      <c r="D61" s="111"/>
      <c r="E61" s="3" t="s">
        <v>43</v>
      </c>
      <c r="F61" s="3" t="s">
        <v>43</v>
      </c>
      <c r="G61" s="76" t="s">
        <v>43</v>
      </c>
      <c r="H61" s="3" t="s">
        <v>43</v>
      </c>
      <c r="I61" s="250"/>
      <c r="J61" t="s">
        <v>43</v>
      </c>
      <c r="K61" s="115" t="s">
        <v>43</v>
      </c>
      <c r="L61" s="3" t="s">
        <v>36</v>
      </c>
      <c r="M61" s="33"/>
      <c r="N61" s="250"/>
      <c r="O61" s="3" t="s">
        <v>36</v>
      </c>
      <c r="P61" s="76"/>
      <c r="Q61" s="76"/>
      <c r="R61" s="76"/>
      <c r="S61" s="180"/>
      <c r="T61" s="76"/>
      <c r="U61" s="76"/>
      <c r="V61" s="116">
        <f t="shared" si="27"/>
        <v>0</v>
      </c>
      <c r="W61" s="116">
        <f t="shared" si="28"/>
        <v>0</v>
      </c>
      <c r="X61" s="116">
        <f t="shared" si="29"/>
        <v>0</v>
      </c>
      <c r="Y61" s="116">
        <f t="shared" si="29"/>
        <v>0</v>
      </c>
      <c r="Z61" s="116">
        <f t="shared" si="30"/>
        <v>0</v>
      </c>
      <c r="AA61" s="116">
        <f t="shared" si="31"/>
        <v>0</v>
      </c>
      <c r="AB61" s="76"/>
    </row>
    <row r="62" spans="2:30" ht="14.25">
      <c r="B62" s="3"/>
      <c r="C62" s="73" t="s">
        <v>252</v>
      </c>
      <c r="D62" s="111"/>
      <c r="E62" s="3" t="s">
        <v>43</v>
      </c>
      <c r="F62" s="3" t="s">
        <v>43</v>
      </c>
      <c r="G62" s="76" t="s">
        <v>43</v>
      </c>
      <c r="H62" s="3" t="s">
        <v>43</v>
      </c>
      <c r="I62" s="250"/>
      <c r="J62" t="s">
        <v>43</v>
      </c>
      <c r="K62" s="115" t="s">
        <v>43</v>
      </c>
      <c r="L62" s="3" t="s">
        <v>36</v>
      </c>
      <c r="M62" s="33"/>
      <c r="N62" s="250"/>
      <c r="O62" s="3" t="s">
        <v>36</v>
      </c>
      <c r="P62" s="76"/>
      <c r="Q62" s="76"/>
      <c r="R62" s="76"/>
      <c r="S62" s="180"/>
      <c r="T62" s="76"/>
      <c r="U62" s="76"/>
      <c r="V62" s="116">
        <f t="shared" si="27"/>
        <v>0</v>
      </c>
      <c r="W62" s="116">
        <f t="shared" si="28"/>
        <v>0</v>
      </c>
      <c r="X62" s="116">
        <f t="shared" si="29"/>
        <v>0</v>
      </c>
      <c r="Y62" s="116">
        <f t="shared" si="29"/>
        <v>0</v>
      </c>
      <c r="Z62" s="116">
        <f t="shared" si="30"/>
        <v>0</v>
      </c>
      <c r="AA62" s="116">
        <f t="shared" si="31"/>
        <v>0</v>
      </c>
      <c r="AB62" s="76"/>
    </row>
    <row r="63" spans="2:30" ht="14.25">
      <c r="B63" s="3"/>
      <c r="C63" s="73" t="s">
        <v>253</v>
      </c>
      <c r="D63" s="111"/>
      <c r="E63" s="3" t="s">
        <v>43</v>
      </c>
      <c r="F63" s="3" t="s">
        <v>43</v>
      </c>
      <c r="G63" s="76" t="s">
        <v>43</v>
      </c>
      <c r="H63" s="3" t="s">
        <v>43</v>
      </c>
      <c r="I63" s="250"/>
      <c r="J63" t="s">
        <v>43</v>
      </c>
      <c r="K63" s="115" t="s">
        <v>43</v>
      </c>
      <c r="L63" s="3" t="s">
        <v>36</v>
      </c>
      <c r="M63" s="33"/>
      <c r="N63" s="250"/>
      <c r="O63" s="3" t="s">
        <v>36</v>
      </c>
      <c r="P63" s="76"/>
      <c r="Q63" s="76"/>
      <c r="R63" s="76"/>
      <c r="S63" s="180"/>
      <c r="T63" s="76"/>
      <c r="U63" s="76"/>
      <c r="V63" s="116">
        <f t="shared" si="27"/>
        <v>0</v>
      </c>
      <c r="W63" s="116">
        <f t="shared" si="28"/>
        <v>0</v>
      </c>
      <c r="X63" s="116">
        <f t="shared" si="29"/>
        <v>0</v>
      </c>
      <c r="Y63" s="116">
        <f t="shared" si="29"/>
        <v>0</v>
      </c>
      <c r="Z63" s="116">
        <f t="shared" si="30"/>
        <v>0</v>
      </c>
      <c r="AA63" s="116">
        <f t="shared" si="31"/>
        <v>0</v>
      </c>
      <c r="AB63" s="76"/>
    </row>
    <row r="64" spans="2:30" ht="14.25">
      <c r="B64" s="3"/>
      <c r="C64" s="73" t="s">
        <v>254</v>
      </c>
      <c r="D64" s="111"/>
      <c r="E64" s="3" t="s">
        <v>43</v>
      </c>
      <c r="F64" s="3" t="s">
        <v>43</v>
      </c>
      <c r="G64" s="76" t="s">
        <v>43</v>
      </c>
      <c r="H64" s="3" t="s">
        <v>43</v>
      </c>
      <c r="I64" s="250"/>
      <c r="J64" t="s">
        <v>43</v>
      </c>
      <c r="K64" s="115" t="s">
        <v>43</v>
      </c>
      <c r="L64" s="3" t="s">
        <v>36</v>
      </c>
      <c r="M64" s="33"/>
      <c r="N64" s="250"/>
      <c r="O64" s="3" t="s">
        <v>36</v>
      </c>
      <c r="P64" s="76"/>
      <c r="Q64" s="76"/>
      <c r="R64" s="76"/>
      <c r="S64" s="180"/>
      <c r="T64" s="76"/>
      <c r="U64" s="76"/>
      <c r="V64" s="116">
        <f t="shared" si="27"/>
        <v>0</v>
      </c>
      <c r="W64" s="116">
        <f t="shared" si="28"/>
        <v>0</v>
      </c>
      <c r="X64" s="116">
        <f t="shared" si="29"/>
        <v>0</v>
      </c>
      <c r="Y64" s="116">
        <f t="shared" si="29"/>
        <v>0</v>
      </c>
      <c r="Z64" s="116">
        <f t="shared" si="30"/>
        <v>0</v>
      </c>
      <c r="AA64" s="116">
        <f t="shared" si="31"/>
        <v>0</v>
      </c>
      <c r="AB64" s="76"/>
    </row>
    <row r="65" spans="2:28" ht="28.5">
      <c r="B65" s="3"/>
      <c r="C65" s="73" t="s">
        <v>255</v>
      </c>
      <c r="D65" s="111"/>
      <c r="E65" s="3" t="s">
        <v>43</v>
      </c>
      <c r="F65" s="3" t="s">
        <v>43</v>
      </c>
      <c r="G65" s="76" t="s">
        <v>43</v>
      </c>
      <c r="H65" s="3" t="s">
        <v>43</v>
      </c>
      <c r="I65" s="250"/>
      <c r="J65" t="s">
        <v>43</v>
      </c>
      <c r="K65" s="115" t="s">
        <v>43</v>
      </c>
      <c r="L65" s="3" t="s">
        <v>36</v>
      </c>
      <c r="M65" s="33"/>
      <c r="N65" s="250"/>
      <c r="O65" s="3" t="s">
        <v>36</v>
      </c>
      <c r="P65" s="76"/>
      <c r="Q65" s="76"/>
      <c r="R65" s="76"/>
      <c r="S65" s="180"/>
      <c r="T65" s="76"/>
      <c r="U65" s="76"/>
      <c r="V65" s="116">
        <f t="shared" si="27"/>
        <v>0</v>
      </c>
      <c r="W65" s="116">
        <f t="shared" si="28"/>
        <v>0</v>
      </c>
      <c r="X65" s="116">
        <f t="shared" si="29"/>
        <v>0</v>
      </c>
      <c r="Y65" s="116">
        <f t="shared" si="29"/>
        <v>0</v>
      </c>
      <c r="Z65" s="116">
        <f t="shared" si="30"/>
        <v>0</v>
      </c>
      <c r="AA65" s="116">
        <f t="shared" si="31"/>
        <v>0</v>
      </c>
      <c r="AB65" s="76"/>
    </row>
    <row r="66" spans="2:28" ht="14.25">
      <c r="B66" s="3"/>
      <c r="C66" s="73" t="s">
        <v>256</v>
      </c>
      <c r="D66" s="111"/>
      <c r="E66" s="3" t="s">
        <v>43</v>
      </c>
      <c r="F66" s="3" t="s">
        <v>43</v>
      </c>
      <c r="G66" s="76" t="s">
        <v>43</v>
      </c>
      <c r="H66" s="3" t="s">
        <v>43</v>
      </c>
      <c r="I66" s="250"/>
      <c r="J66" t="s">
        <v>43</v>
      </c>
      <c r="K66" s="115" t="s">
        <v>43</v>
      </c>
      <c r="L66" s="3" t="s">
        <v>36</v>
      </c>
      <c r="M66" s="33"/>
      <c r="N66" s="250"/>
      <c r="O66" s="3" t="s">
        <v>36</v>
      </c>
      <c r="P66" s="76"/>
      <c r="Q66" s="76"/>
      <c r="R66" s="76"/>
      <c r="S66" s="180"/>
      <c r="T66" s="76"/>
      <c r="U66" s="76"/>
      <c r="V66" s="116">
        <f t="shared" si="27"/>
        <v>0</v>
      </c>
      <c r="W66" s="116">
        <f t="shared" si="28"/>
        <v>0</v>
      </c>
      <c r="X66" s="116">
        <f t="shared" si="29"/>
        <v>0</v>
      </c>
      <c r="Y66" s="116">
        <f t="shared" si="29"/>
        <v>0</v>
      </c>
      <c r="Z66" s="116">
        <f t="shared" si="30"/>
        <v>0</v>
      </c>
      <c r="AA66" s="116">
        <f t="shared" si="31"/>
        <v>0</v>
      </c>
      <c r="AB66" s="76"/>
    </row>
    <row r="67" spans="2:28" ht="28.5">
      <c r="B67" s="3"/>
      <c r="C67" s="73" t="s">
        <v>257</v>
      </c>
      <c r="D67" s="111"/>
      <c r="E67" s="3" t="s">
        <v>43</v>
      </c>
      <c r="F67" s="3" t="s">
        <v>43</v>
      </c>
      <c r="G67" s="76" t="s">
        <v>43</v>
      </c>
      <c r="H67" s="3" t="s">
        <v>43</v>
      </c>
      <c r="I67" s="250"/>
      <c r="J67" t="s">
        <v>43</v>
      </c>
      <c r="K67" s="115" t="s">
        <v>43</v>
      </c>
      <c r="L67" s="3" t="s">
        <v>36</v>
      </c>
      <c r="M67" s="33"/>
      <c r="N67" s="250"/>
      <c r="O67" s="3" t="s">
        <v>36</v>
      </c>
      <c r="P67" s="76"/>
      <c r="Q67" s="76"/>
      <c r="R67" s="76"/>
      <c r="S67" s="180"/>
      <c r="T67" s="76"/>
      <c r="U67" s="76"/>
      <c r="V67" s="116">
        <f t="shared" si="27"/>
        <v>0</v>
      </c>
      <c r="W67" s="116">
        <f t="shared" si="28"/>
        <v>0</v>
      </c>
      <c r="X67" s="116">
        <f t="shared" si="29"/>
        <v>0</v>
      </c>
      <c r="Y67" s="116">
        <f t="shared" si="29"/>
        <v>0</v>
      </c>
      <c r="Z67" s="116">
        <f t="shared" si="30"/>
        <v>0</v>
      </c>
      <c r="AA67" s="116">
        <f t="shared" si="31"/>
        <v>0</v>
      </c>
      <c r="AB67" s="76"/>
    </row>
    <row r="68" spans="2:28" ht="14.25">
      <c r="B68" s="3"/>
      <c r="C68" s="73" t="s">
        <v>258</v>
      </c>
      <c r="D68" s="111"/>
      <c r="E68" s="3" t="s">
        <v>43</v>
      </c>
      <c r="F68" s="3" t="s">
        <v>43</v>
      </c>
      <c r="G68" s="76" t="s">
        <v>43</v>
      </c>
      <c r="H68" s="3" t="s">
        <v>43</v>
      </c>
      <c r="I68" s="250"/>
      <c r="J68" t="s">
        <v>43</v>
      </c>
      <c r="K68" s="115" t="s">
        <v>43</v>
      </c>
      <c r="L68" s="3" t="s">
        <v>36</v>
      </c>
      <c r="M68" s="33"/>
      <c r="N68" s="250"/>
      <c r="O68" s="3" t="s">
        <v>36</v>
      </c>
      <c r="P68" s="76"/>
      <c r="Q68" s="76"/>
      <c r="R68" s="76"/>
      <c r="S68" s="180"/>
      <c r="T68" s="76"/>
      <c r="U68" s="76"/>
      <c r="V68" s="116">
        <f t="shared" si="27"/>
        <v>0</v>
      </c>
      <c r="W68" s="116">
        <f t="shared" si="28"/>
        <v>0</v>
      </c>
      <c r="X68" s="116">
        <f t="shared" si="29"/>
        <v>0</v>
      </c>
      <c r="Y68" s="116">
        <f t="shared" si="29"/>
        <v>0</v>
      </c>
      <c r="Z68" s="116">
        <f t="shared" si="30"/>
        <v>0</v>
      </c>
      <c r="AA68" s="116">
        <f t="shared" si="31"/>
        <v>0</v>
      </c>
      <c r="AB68" s="76"/>
    </row>
    <row r="69" spans="2:28" ht="14.25">
      <c r="B69" s="3"/>
      <c r="C69" s="73" t="s">
        <v>259</v>
      </c>
      <c r="D69" s="111"/>
      <c r="E69" s="3" t="s">
        <v>43</v>
      </c>
      <c r="F69" s="3" t="s">
        <v>43</v>
      </c>
      <c r="G69" s="76" t="s">
        <v>43</v>
      </c>
      <c r="H69" s="3" t="s">
        <v>43</v>
      </c>
      <c r="I69" s="250"/>
      <c r="J69" t="s">
        <v>43</v>
      </c>
      <c r="K69" s="115" t="s">
        <v>43</v>
      </c>
      <c r="L69" s="3" t="s">
        <v>36</v>
      </c>
      <c r="M69" s="33"/>
      <c r="N69" s="250"/>
      <c r="O69" s="3" t="s">
        <v>36</v>
      </c>
      <c r="P69" s="76"/>
      <c r="Q69" s="76"/>
      <c r="R69" s="76"/>
      <c r="S69" s="180"/>
      <c r="T69" s="76"/>
      <c r="U69" s="76"/>
      <c r="V69" s="116">
        <f t="shared" si="27"/>
        <v>0</v>
      </c>
      <c r="W69" s="116">
        <f t="shared" si="28"/>
        <v>0</v>
      </c>
      <c r="X69" s="116">
        <f t="shared" si="29"/>
        <v>0</v>
      </c>
      <c r="Y69" s="116">
        <f t="shared" si="29"/>
        <v>0</v>
      </c>
      <c r="Z69" s="116">
        <f t="shared" si="30"/>
        <v>0</v>
      </c>
      <c r="AA69" s="116">
        <f t="shared" si="31"/>
        <v>0</v>
      </c>
      <c r="AB69" s="76"/>
    </row>
    <row r="70" spans="2:28">
      <c r="B70" s="3"/>
      <c r="C70" s="26" t="s">
        <v>260</v>
      </c>
      <c r="D70" s="111"/>
      <c r="E70" s="3" t="s">
        <v>43</v>
      </c>
      <c r="F70" s="3" t="s">
        <v>43</v>
      </c>
      <c r="G70" s="76" t="s">
        <v>43</v>
      </c>
      <c r="H70" s="3" t="s">
        <v>43</v>
      </c>
      <c r="I70" s="250"/>
      <c r="J70" t="s">
        <v>43</v>
      </c>
      <c r="K70" s="115" t="s">
        <v>43</v>
      </c>
      <c r="L70" s="3" t="s">
        <v>36</v>
      </c>
      <c r="M70" s="33"/>
      <c r="N70" s="250"/>
      <c r="O70" s="3" t="s">
        <v>36</v>
      </c>
      <c r="P70" s="76"/>
      <c r="Q70" s="76"/>
      <c r="R70" s="76"/>
      <c r="S70" s="180"/>
      <c r="T70" s="76"/>
      <c r="U70" s="76"/>
      <c r="V70" s="116">
        <f t="shared" ref="V70:AA70" si="32">$N70*P70</f>
        <v>0</v>
      </c>
      <c r="W70" s="116">
        <f t="shared" si="32"/>
        <v>0</v>
      </c>
      <c r="X70" s="116">
        <f t="shared" si="32"/>
        <v>0</v>
      </c>
      <c r="Y70" s="116">
        <f t="shared" si="32"/>
        <v>0</v>
      </c>
      <c r="Z70" s="116">
        <f t="shared" si="32"/>
        <v>0</v>
      </c>
      <c r="AA70" s="116">
        <f t="shared" si="32"/>
        <v>0</v>
      </c>
      <c r="AB70" s="76"/>
    </row>
    <row r="71" spans="2:28">
      <c r="B71" s="3"/>
      <c r="C71" s="70"/>
      <c r="D71" s="111"/>
      <c r="E71" s="41"/>
      <c r="F71" s="3"/>
      <c r="G71" s="76"/>
      <c r="H71" s="3"/>
      <c r="I71" s="250"/>
      <c r="K71" s="115"/>
      <c r="L71" s="3"/>
      <c r="M71" s="16"/>
      <c r="N71" s="250"/>
      <c r="O71" s="17"/>
      <c r="P71" s="168"/>
      <c r="Q71" s="168"/>
      <c r="R71" s="168"/>
      <c r="S71" s="168"/>
      <c r="T71" s="168"/>
      <c r="U71" s="168"/>
      <c r="V71" s="116"/>
      <c r="W71" s="116"/>
      <c r="X71" s="116"/>
      <c r="Y71" s="116"/>
      <c r="Z71" s="116"/>
      <c r="AA71" s="116"/>
      <c r="AB71" s="76"/>
    </row>
    <row r="72" spans="2:28" s="55" customFormat="1">
      <c r="B72" s="104"/>
      <c r="C72" s="179"/>
      <c r="D72" s="111"/>
      <c r="E72" s="104"/>
      <c r="F72" s="104"/>
      <c r="G72" s="76"/>
      <c r="H72" s="104"/>
      <c r="I72" s="250"/>
      <c r="K72" s="115"/>
      <c r="L72" s="104"/>
      <c r="M72" s="165"/>
      <c r="N72" s="249"/>
      <c r="O72" s="104"/>
      <c r="P72" s="131"/>
      <c r="Q72" s="131"/>
      <c r="R72" s="131"/>
      <c r="S72" s="131"/>
      <c r="T72" s="131"/>
      <c r="U72" s="131"/>
      <c r="V72" s="116"/>
      <c r="W72" s="116"/>
      <c r="X72" s="116"/>
      <c r="Y72" s="116"/>
      <c r="Z72" s="116"/>
      <c r="AA72" s="116"/>
      <c r="AB72" s="76"/>
    </row>
    <row r="73" spans="2:28" s="3" customFormat="1">
      <c r="C73" s="40"/>
      <c r="D73" s="7"/>
      <c r="I73" s="251"/>
      <c r="K73" s="21"/>
      <c r="M73" s="59"/>
      <c r="N73" s="241"/>
      <c r="P73" s="60"/>
      <c r="Q73" s="60"/>
      <c r="R73" s="60"/>
      <c r="S73" s="60"/>
      <c r="T73" s="60"/>
      <c r="U73" s="60"/>
      <c r="V73" s="22"/>
      <c r="W73" s="22"/>
      <c r="X73" s="22"/>
      <c r="Y73" s="22"/>
      <c r="Z73" s="22"/>
      <c r="AA73" s="22"/>
    </row>
    <row r="74" spans="2:28" s="3" customFormat="1">
      <c r="C74" s="7" t="s">
        <v>56</v>
      </c>
      <c r="D74" s="36" t="s">
        <v>228</v>
      </c>
      <c r="I74" s="251"/>
      <c r="K74" s="21"/>
      <c r="M74" s="59"/>
      <c r="N74" s="241"/>
      <c r="P74" s="60"/>
      <c r="Q74" s="60"/>
      <c r="R74" s="60"/>
      <c r="S74" s="60"/>
      <c r="T74" s="60"/>
      <c r="U74" s="60"/>
      <c r="V74" s="22"/>
      <c r="W74" s="22"/>
      <c r="X74" s="22"/>
      <c r="Y74" s="22"/>
      <c r="Z74" s="22"/>
      <c r="AA74" s="22"/>
    </row>
    <row r="75" spans="2:28" s="3" customFormat="1">
      <c r="C75" s="40"/>
      <c r="D75" s="36" t="s">
        <v>229</v>
      </c>
      <c r="I75" s="251"/>
      <c r="K75" s="21"/>
      <c r="M75" s="59"/>
      <c r="N75" s="241"/>
      <c r="P75" s="60"/>
      <c r="Q75" s="60"/>
      <c r="R75" s="60"/>
      <c r="S75" s="60"/>
      <c r="T75" s="60"/>
      <c r="U75" s="60"/>
      <c r="V75" s="22"/>
      <c r="W75" s="22"/>
      <c r="X75" s="22"/>
      <c r="Y75" s="22"/>
      <c r="Z75" s="22"/>
      <c r="AA75" s="22"/>
    </row>
    <row r="76" spans="2:28" s="3" customFormat="1">
      <c r="C76" s="40"/>
      <c r="D76" s="36" t="s">
        <v>363</v>
      </c>
      <c r="I76" s="251"/>
      <c r="K76" s="21"/>
      <c r="M76" s="59"/>
      <c r="N76" s="241"/>
      <c r="P76" s="60"/>
      <c r="Q76" s="60"/>
      <c r="R76" s="60"/>
      <c r="S76" s="60"/>
      <c r="T76" s="60"/>
      <c r="U76" s="60"/>
      <c r="V76" s="22"/>
      <c r="W76" s="22"/>
      <c r="X76" s="22"/>
      <c r="Y76" s="22"/>
      <c r="Z76" s="22"/>
      <c r="AA76" s="22"/>
    </row>
    <row r="77" spans="2:28" s="3" customFormat="1">
      <c r="C77" s="40"/>
      <c r="D77" s="7"/>
      <c r="I77" s="251"/>
      <c r="K77" s="21"/>
      <c r="M77" s="59"/>
      <c r="N77" s="241"/>
      <c r="P77" s="60"/>
      <c r="Q77" s="60"/>
      <c r="R77" s="60"/>
      <c r="S77" s="60"/>
      <c r="T77" s="60"/>
      <c r="U77" s="60"/>
      <c r="V77" s="22"/>
      <c r="W77" s="22"/>
      <c r="X77" s="22"/>
      <c r="Y77" s="22"/>
      <c r="Z77" s="22"/>
      <c r="AA77" s="22"/>
    </row>
    <row r="78" spans="2:28" s="3" customFormat="1">
      <c r="C78" s="61"/>
      <c r="D78" s="7"/>
      <c r="I78" s="251"/>
      <c r="K78" s="21"/>
      <c r="M78" s="59"/>
      <c r="N78" s="241"/>
      <c r="P78" s="60"/>
      <c r="Q78" s="60"/>
      <c r="R78" s="60"/>
      <c r="S78" s="60"/>
      <c r="T78" s="60"/>
      <c r="U78" s="60"/>
      <c r="V78" s="22"/>
      <c r="W78" s="22"/>
      <c r="X78" s="22"/>
      <c r="Y78" s="22"/>
      <c r="Z78" s="22"/>
      <c r="AA78" s="22"/>
    </row>
    <row r="79" spans="2:28" s="3" customFormat="1">
      <c r="C79" s="61"/>
      <c r="E79" s="11"/>
      <c r="I79" s="251"/>
      <c r="K79" s="21"/>
      <c r="M79" s="62"/>
      <c r="N79" s="241"/>
      <c r="P79" s="60"/>
      <c r="Q79" s="60"/>
      <c r="R79" s="60"/>
      <c r="S79" s="60"/>
      <c r="T79" s="60"/>
      <c r="U79" s="60"/>
      <c r="V79" s="22"/>
      <c r="W79" s="22"/>
      <c r="X79" s="22"/>
      <c r="Y79" s="22"/>
      <c r="Z79" s="22"/>
      <c r="AA79" s="22"/>
    </row>
    <row r="80" spans="2:28" s="3" customFormat="1">
      <c r="C80" s="61"/>
      <c r="E80" s="11"/>
      <c r="I80" s="251"/>
      <c r="K80" s="21"/>
      <c r="M80" s="62"/>
      <c r="N80" s="241"/>
      <c r="P80" s="60"/>
      <c r="Q80" s="60"/>
      <c r="R80" s="60"/>
      <c r="S80" s="60"/>
      <c r="T80" s="60"/>
      <c r="U80" s="60"/>
      <c r="V80" s="22"/>
      <c r="W80" s="22"/>
      <c r="X80" s="22"/>
      <c r="Y80" s="22"/>
      <c r="Z80" s="22"/>
      <c r="AA80" s="22"/>
    </row>
    <row r="81" spans="3:27" s="3" customFormat="1">
      <c r="C81" s="61"/>
      <c r="E81" s="11"/>
      <c r="I81" s="251"/>
      <c r="K81" s="21"/>
      <c r="M81" s="62"/>
      <c r="N81" s="241"/>
      <c r="P81" s="60"/>
      <c r="Q81" s="60"/>
      <c r="R81" s="60"/>
      <c r="S81" s="60"/>
      <c r="T81" s="60"/>
      <c r="U81" s="60"/>
      <c r="V81" s="22"/>
      <c r="W81" s="22"/>
      <c r="X81" s="22"/>
      <c r="Y81" s="22"/>
      <c r="Z81" s="22"/>
      <c r="AA81" s="22"/>
    </row>
    <row r="82" spans="3:27" s="3" customFormat="1">
      <c r="C82" s="61"/>
      <c r="E82" s="11"/>
      <c r="I82" s="251"/>
      <c r="K82" s="21"/>
      <c r="M82" s="63"/>
      <c r="N82" s="241"/>
      <c r="P82" s="23"/>
      <c r="Q82" s="23"/>
      <c r="R82" s="24"/>
      <c r="S82" s="24"/>
      <c r="T82" s="23"/>
      <c r="V82" s="22"/>
      <c r="W82" s="22"/>
      <c r="X82" s="22"/>
      <c r="Y82" s="22"/>
      <c r="Z82" s="22"/>
      <c r="AA82" s="22"/>
    </row>
    <row r="83" spans="3:27" s="3" customFormat="1">
      <c r="C83" s="61"/>
      <c r="I83" s="241"/>
      <c r="M83" s="63"/>
      <c r="N83" s="241"/>
    </row>
    <row r="84" spans="3:27" s="3" customFormat="1">
      <c r="C84" s="61"/>
      <c r="D84" s="7"/>
      <c r="I84" s="241"/>
      <c r="M84" s="64"/>
      <c r="N84" s="241"/>
      <c r="V84" s="25"/>
      <c r="W84" s="25"/>
      <c r="X84" s="25"/>
      <c r="Y84" s="25"/>
      <c r="Z84" s="25"/>
      <c r="AA84" s="25"/>
    </row>
    <row r="85" spans="3:27" s="3" customFormat="1">
      <c r="C85" s="61"/>
      <c r="D85" s="7"/>
      <c r="I85" s="251"/>
      <c r="K85" s="21"/>
      <c r="M85" s="64"/>
      <c r="N85" s="251"/>
      <c r="P85" s="60"/>
      <c r="Q85" s="60"/>
      <c r="R85" s="60"/>
      <c r="S85" s="60"/>
      <c r="T85" s="60"/>
      <c r="U85" s="60"/>
      <c r="V85" s="22"/>
      <c r="W85" s="22"/>
      <c r="X85" s="22"/>
      <c r="Y85" s="22"/>
      <c r="Z85" s="22"/>
      <c r="AA85" s="22"/>
    </row>
    <row r="86" spans="3:27">
      <c r="C86" s="42"/>
    </row>
    <row r="87" spans="3:27">
      <c r="C87" s="42"/>
    </row>
    <row r="88" spans="3:27">
      <c r="C88" s="42"/>
    </row>
    <row r="91" spans="3:27">
      <c r="H91">
        <f>35000000/500000000</f>
        <v>7.0000000000000007E-2</v>
      </c>
    </row>
    <row r="101" spans="7:7">
      <c r="G101" s="310"/>
    </row>
  </sheetData>
  <sheetProtection sheet="1" objects="1" scenarios="1"/>
  <phoneticPr fontId="2" type="noConversion"/>
  <pageMargins left="0.39370078740157483" right="0.39370078740157483" top="0.74803149606299213" bottom="0.74803149606299213" header="0.31496062992125984" footer="0.31496062992125984"/>
  <pageSetup paperSize="9" orientation="landscape" r:id="rId1"/>
  <headerFooter>
    <oddFooter>&amp;L&amp;APrinted &amp;D</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37"/>
  <sheetViews>
    <sheetView workbookViewId="0">
      <selection activeCell="I15" sqref="I15"/>
    </sheetView>
  </sheetViews>
  <sheetFormatPr defaultRowHeight="12.75"/>
  <cols>
    <col min="1" max="1" width="26" customWidth="1"/>
    <col min="2" max="2" width="14" customWidth="1"/>
    <col min="3" max="3" width="9.140625" style="8"/>
    <col min="4" max="5" width="11.140625" customWidth="1"/>
    <col min="6" max="6" width="10.140625" customWidth="1"/>
    <col min="7" max="7" width="9.140625" style="3"/>
    <col min="8" max="8" width="14.5703125" customWidth="1"/>
    <col min="9" max="9" width="22.140625" style="507" customWidth="1"/>
    <col min="10" max="10" width="18.42578125" customWidth="1"/>
  </cols>
  <sheetData>
    <row r="1" spans="1:11">
      <c r="A1" s="306" t="s">
        <v>699</v>
      </c>
      <c r="B1" s="8"/>
    </row>
    <row r="2" spans="1:11">
      <c r="A2" s="5" t="s">
        <v>460</v>
      </c>
      <c r="B2" s="8"/>
    </row>
    <row r="3" spans="1:11">
      <c r="A3" s="5" t="s">
        <v>461</v>
      </c>
      <c r="B3" s="8"/>
    </row>
    <row r="4" spans="1:11">
      <c r="A4" s="5" t="s">
        <v>462</v>
      </c>
      <c r="B4" s="8"/>
    </row>
    <row r="6" spans="1:11">
      <c r="D6" s="3"/>
      <c r="E6" s="3"/>
      <c r="F6" s="3"/>
    </row>
    <row r="7" spans="1:11" ht="89.25">
      <c r="A7" s="125" t="s">
        <v>463</v>
      </c>
      <c r="B7" s="126" t="s">
        <v>581</v>
      </c>
      <c r="C7" s="126" t="s">
        <v>594</v>
      </c>
      <c r="D7" s="126" t="s">
        <v>680</v>
      </c>
      <c r="E7" s="126" t="s">
        <v>681</v>
      </c>
      <c r="F7" s="126" t="s">
        <v>682</v>
      </c>
      <c r="G7" s="66" t="s">
        <v>683</v>
      </c>
      <c r="K7" s="514"/>
    </row>
    <row r="8" spans="1:11" s="536" customFormat="1">
      <c r="A8" s="525" t="s">
        <v>692</v>
      </c>
      <c r="B8" s="526">
        <v>0</v>
      </c>
      <c r="C8" s="527">
        <v>100</v>
      </c>
      <c r="D8" s="528">
        <v>0.82919079065322876</v>
      </c>
      <c r="E8" s="528"/>
      <c r="F8" s="529"/>
      <c r="G8" s="3"/>
      <c r="H8" s="537"/>
    </row>
    <row r="9" spans="1:11" s="536" customFormat="1">
      <c r="A9" s="525" t="s">
        <v>464</v>
      </c>
      <c r="B9" s="530">
        <v>24485600</v>
      </c>
      <c r="C9" s="527">
        <v>15.5</v>
      </c>
      <c r="D9" s="528">
        <f t="shared" ref="D9:D16" si="0">IF(E9&lt;$B$211,$B$211,E9)</f>
        <v>2.8528733178973198E-2</v>
      </c>
      <c r="E9" s="528">
        <v>2.8528733178973198E-2</v>
      </c>
      <c r="F9" s="529">
        <v>2001</v>
      </c>
      <c r="G9" s="3" t="s">
        <v>592</v>
      </c>
      <c r="H9" s="537"/>
    </row>
    <row r="10" spans="1:11">
      <c r="A10" s="531" t="s">
        <v>595</v>
      </c>
      <c r="B10" s="530">
        <v>3194417</v>
      </c>
      <c r="C10" s="527">
        <v>100</v>
      </c>
      <c r="D10" s="528">
        <f t="shared" si="0"/>
        <v>0.44522741436958313</v>
      </c>
      <c r="E10" s="528">
        <v>0.44522741436958313</v>
      </c>
      <c r="F10" s="529">
        <v>1998</v>
      </c>
      <c r="K10" s="48"/>
    </row>
    <row r="11" spans="1:11" ht="15">
      <c r="A11" s="525" t="s">
        <v>465</v>
      </c>
      <c r="B11" s="508">
        <v>35978000</v>
      </c>
      <c r="C11" s="527">
        <v>99.3</v>
      </c>
      <c r="D11" s="528">
        <f t="shared" si="0"/>
        <v>0.3055395781993866</v>
      </c>
      <c r="E11" s="528">
        <v>0.3055395781993866</v>
      </c>
      <c r="F11" s="529">
        <v>2002</v>
      </c>
      <c r="G11" s="3" t="s">
        <v>592</v>
      </c>
      <c r="K11" s="48"/>
    </row>
    <row r="12" spans="1:11" ht="15">
      <c r="A12" s="525" t="s">
        <v>596</v>
      </c>
      <c r="B12" s="508">
        <v>84549</v>
      </c>
      <c r="C12" s="527">
        <v>99.8</v>
      </c>
      <c r="D12" s="528">
        <f t="shared" si="0"/>
        <v>0.66666668653488159</v>
      </c>
      <c r="E12" s="528">
        <v>0.66666668653488159</v>
      </c>
      <c r="F12" s="529">
        <v>2003</v>
      </c>
      <c r="K12" s="48"/>
    </row>
    <row r="13" spans="1:11" ht="15">
      <c r="A13" s="531" t="s">
        <v>466</v>
      </c>
      <c r="B13" s="508">
        <v>10609000</v>
      </c>
      <c r="C13" s="527">
        <v>26.2</v>
      </c>
      <c r="D13" s="528">
        <f t="shared" si="0"/>
        <v>1.6919938474893571E-2</v>
      </c>
      <c r="E13" s="528">
        <v>1.7471826868131757E-4</v>
      </c>
      <c r="F13" s="529">
        <v>1997</v>
      </c>
      <c r="G13" s="3" t="s">
        <v>592</v>
      </c>
      <c r="K13" s="538"/>
    </row>
    <row r="14" spans="1:11" ht="15">
      <c r="A14" s="525" t="s">
        <v>597</v>
      </c>
      <c r="B14" s="508">
        <v>90801</v>
      </c>
      <c r="C14" s="527">
        <v>99.8</v>
      </c>
      <c r="D14" s="528">
        <f t="shared" si="0"/>
        <v>0.18840579688549042</v>
      </c>
      <c r="E14" s="528">
        <v>0.18840579688549042</v>
      </c>
      <c r="F14" s="529">
        <v>1997</v>
      </c>
      <c r="I14" s="509"/>
    </row>
    <row r="15" spans="1:11" ht="15">
      <c r="A15" s="525" t="s">
        <v>467</v>
      </c>
      <c r="B15" s="508">
        <v>40518951</v>
      </c>
      <c r="C15" s="527">
        <v>97.2</v>
      </c>
      <c r="D15" s="528">
        <f t="shared" si="0"/>
        <v>0.79938042163848877</v>
      </c>
      <c r="E15" s="528">
        <v>0.79938042163848877</v>
      </c>
      <c r="F15" s="529">
        <v>1998</v>
      </c>
      <c r="G15" s="36" t="s">
        <v>592</v>
      </c>
      <c r="I15" s="509"/>
    </row>
    <row r="16" spans="1:11" ht="15">
      <c r="A16" s="525" t="s">
        <v>468</v>
      </c>
      <c r="B16" s="508">
        <v>3256066</v>
      </c>
      <c r="C16" s="527">
        <v>99.8</v>
      </c>
      <c r="D16" s="528">
        <f t="shared" si="0"/>
        <v>0.26200586557388306</v>
      </c>
      <c r="E16" s="528">
        <v>0.26200586557388306</v>
      </c>
      <c r="F16" s="529">
        <v>2003</v>
      </c>
      <c r="I16" s="509"/>
    </row>
    <row r="17" spans="1:9" ht="15">
      <c r="A17" s="525" t="s">
        <v>598</v>
      </c>
      <c r="B17" s="508">
        <v>22299775</v>
      </c>
      <c r="C17" s="527">
        <v>99.8</v>
      </c>
      <c r="D17" s="528">
        <f>IF(E17&lt;$B$209,$B$209,E17)</f>
        <v>1.1004546880722046</v>
      </c>
      <c r="E17" s="528">
        <v>1.1004546880722046</v>
      </c>
      <c r="F17" s="529">
        <v>2001</v>
      </c>
      <c r="G17" s="36" t="s">
        <v>582</v>
      </c>
      <c r="I17" s="509"/>
    </row>
    <row r="18" spans="1:9" ht="15">
      <c r="A18" s="525" t="s">
        <v>469</v>
      </c>
      <c r="B18" s="508">
        <v>8387742</v>
      </c>
      <c r="C18" s="527">
        <v>100</v>
      </c>
      <c r="D18" s="528">
        <v>0.49741253256797791</v>
      </c>
      <c r="E18" s="528">
        <v>0.49741253256797791</v>
      </c>
      <c r="F18" s="529">
        <v>2003</v>
      </c>
      <c r="G18" s="36" t="s">
        <v>582</v>
      </c>
      <c r="I18" s="509"/>
    </row>
    <row r="19" spans="1:9" ht="15">
      <c r="A19" s="525" t="s">
        <v>599</v>
      </c>
      <c r="B19" s="508">
        <v>9054300</v>
      </c>
      <c r="C19" s="527">
        <v>100</v>
      </c>
      <c r="D19" s="528">
        <f t="shared" ref="D19:D24" si="1">IF(E19&lt;$B$211,$B$211,E19)</f>
        <v>0.271445631980896</v>
      </c>
      <c r="E19" s="528">
        <v>0.271445631980896</v>
      </c>
      <c r="F19" s="529">
        <v>2003</v>
      </c>
      <c r="I19" s="509"/>
    </row>
    <row r="20" spans="1:9" ht="15">
      <c r="A20" s="525" t="s">
        <v>600</v>
      </c>
      <c r="B20" s="508">
        <v>353658</v>
      </c>
      <c r="C20" s="527">
        <v>100</v>
      </c>
      <c r="D20" s="528">
        <f t="shared" si="1"/>
        <v>7.0945948362350464E-2</v>
      </c>
      <c r="E20" s="528">
        <v>7.0945948362350464E-2</v>
      </c>
      <c r="F20" s="529">
        <v>1998</v>
      </c>
      <c r="I20" s="509"/>
    </row>
    <row r="21" spans="1:9" ht="15">
      <c r="A21" s="525" t="s">
        <v>470</v>
      </c>
      <c r="B21" s="508">
        <v>1234571</v>
      </c>
      <c r="C21" s="527">
        <v>99.4</v>
      </c>
      <c r="D21" s="528">
        <f t="shared" si="1"/>
        <v>0.46278753876686096</v>
      </c>
      <c r="E21" s="528">
        <v>0.46278753876686096</v>
      </c>
      <c r="F21" s="529">
        <v>2004</v>
      </c>
      <c r="G21" s="36" t="s">
        <v>592</v>
      </c>
      <c r="I21" s="509"/>
    </row>
    <row r="22" spans="1:9" ht="15">
      <c r="A22" s="525" t="s">
        <v>471</v>
      </c>
      <c r="B22" s="508">
        <v>148620000</v>
      </c>
      <c r="C22" s="527">
        <v>41</v>
      </c>
      <c r="D22" s="528">
        <f t="shared" si="1"/>
        <v>1.69513039290905E-2</v>
      </c>
      <c r="E22" s="528">
        <v>1.69513039290905E-2</v>
      </c>
      <c r="F22" s="529">
        <v>2004</v>
      </c>
      <c r="G22" s="36" t="s">
        <v>592</v>
      </c>
      <c r="I22" s="509"/>
    </row>
    <row r="23" spans="1:9" ht="15">
      <c r="A23" s="525" t="s">
        <v>601</v>
      </c>
      <c r="B23" s="508">
        <v>276302</v>
      </c>
      <c r="C23" s="527">
        <v>100</v>
      </c>
      <c r="D23" s="528">
        <f t="shared" si="1"/>
        <v>0.23595505952835083</v>
      </c>
      <c r="E23" s="528">
        <v>0.23595505952835083</v>
      </c>
      <c r="F23" s="529">
        <v>1999</v>
      </c>
      <c r="I23" s="509"/>
    </row>
    <row r="24" spans="1:9" ht="15">
      <c r="A24" s="525" t="s">
        <v>602</v>
      </c>
      <c r="B24" s="508">
        <v>9480686</v>
      </c>
      <c r="C24" s="527">
        <v>78.3</v>
      </c>
      <c r="D24" s="528">
        <f t="shared" si="1"/>
        <v>0.43607881665229797</v>
      </c>
      <c r="E24" s="528">
        <v>0.43607881665229797</v>
      </c>
      <c r="F24" s="529">
        <v>2003</v>
      </c>
      <c r="I24" s="509"/>
    </row>
    <row r="25" spans="1:9" ht="15">
      <c r="A25" s="525" t="s">
        <v>472</v>
      </c>
      <c r="B25" s="508">
        <v>10879155</v>
      </c>
      <c r="C25" s="527">
        <v>100</v>
      </c>
      <c r="D25" s="528">
        <v>0.80827504396438599</v>
      </c>
      <c r="E25" s="528">
        <v>0.80827504396438599</v>
      </c>
      <c r="F25" s="529">
        <v>2002</v>
      </c>
      <c r="G25" s="36" t="s">
        <v>582</v>
      </c>
      <c r="I25" s="509"/>
    </row>
    <row r="26" spans="1:9" ht="15">
      <c r="A26" s="525" t="s">
        <v>603</v>
      </c>
      <c r="B26" s="508">
        <v>312698</v>
      </c>
      <c r="C26" s="527">
        <v>85</v>
      </c>
      <c r="D26" s="528">
        <f t="shared" ref="D26:D38" si="2">IF(E26&lt;$B$211,$B$211,E26)</f>
        <v>0.13333334028720856</v>
      </c>
      <c r="E26" s="528">
        <v>0.13333334028720856</v>
      </c>
      <c r="F26" s="529">
        <v>2000</v>
      </c>
      <c r="I26" s="509"/>
    </row>
    <row r="27" spans="1:9" ht="15">
      <c r="A27" s="525" t="s">
        <v>473</v>
      </c>
      <c r="B27" s="508">
        <v>8778648</v>
      </c>
      <c r="C27" s="527">
        <v>24.8</v>
      </c>
      <c r="D27" s="528">
        <f t="shared" si="2"/>
        <v>1.6919938474893571E-2</v>
      </c>
      <c r="E27" s="528">
        <v>1.7346054082736373E-3</v>
      </c>
      <c r="F27" s="529">
        <v>2004</v>
      </c>
      <c r="G27" s="3" t="s">
        <v>592</v>
      </c>
      <c r="I27" s="509"/>
    </row>
    <row r="28" spans="1:9" ht="15">
      <c r="A28" s="525" t="s">
        <v>604</v>
      </c>
      <c r="B28" s="508">
        <v>695823</v>
      </c>
      <c r="C28" s="527">
        <v>72</v>
      </c>
      <c r="D28" s="528">
        <f t="shared" si="2"/>
        <v>2.4946236982941628E-2</v>
      </c>
      <c r="E28" s="528">
        <v>2.4946236982941628E-2</v>
      </c>
      <c r="F28" s="529">
        <v>2004</v>
      </c>
      <c r="I28" s="509"/>
    </row>
    <row r="29" spans="1:9" ht="15">
      <c r="A29" s="525" t="s">
        <v>474</v>
      </c>
      <c r="B29" s="508">
        <v>10426154</v>
      </c>
      <c r="C29" s="527">
        <v>77.5</v>
      </c>
      <c r="D29" s="528">
        <f t="shared" si="2"/>
        <v>0.70710998773574829</v>
      </c>
      <c r="E29" s="528">
        <v>0.70710998773574829</v>
      </c>
      <c r="F29" s="529">
        <v>2001</v>
      </c>
      <c r="G29" s="3" t="s">
        <v>592</v>
      </c>
      <c r="I29" s="509"/>
    </row>
    <row r="30" spans="1:9" ht="15">
      <c r="A30" s="525" t="s">
        <v>605</v>
      </c>
      <c r="B30" s="508">
        <v>3843126</v>
      </c>
      <c r="C30" s="527">
        <v>98.5</v>
      </c>
      <c r="D30" s="528">
        <f t="shared" si="2"/>
        <v>0.16582551598548889</v>
      </c>
      <c r="E30" s="528">
        <v>0.16582551598548889</v>
      </c>
      <c r="F30" s="529">
        <v>2003</v>
      </c>
      <c r="I30" s="509"/>
    </row>
    <row r="31" spans="1:9" ht="15">
      <c r="A31" s="525" t="s">
        <v>475</v>
      </c>
      <c r="B31" s="508">
        <v>1822859</v>
      </c>
      <c r="C31" s="527">
        <v>45.4</v>
      </c>
      <c r="D31" s="528">
        <f t="shared" si="2"/>
        <v>2.1169915795326233E-2</v>
      </c>
      <c r="E31" s="528">
        <v>2.1169915795326233E-2</v>
      </c>
      <c r="F31" s="529">
        <v>2004</v>
      </c>
      <c r="G31" s="3" t="s">
        <v>592</v>
      </c>
      <c r="I31" s="509"/>
    </row>
    <row r="32" spans="1:9" ht="15">
      <c r="A32" s="525" t="s">
        <v>476</v>
      </c>
      <c r="B32" s="508">
        <v>193252604</v>
      </c>
      <c r="C32" s="527">
        <v>98.3</v>
      </c>
      <c r="D32" s="528">
        <f t="shared" si="2"/>
        <v>1.1085705757141113</v>
      </c>
      <c r="E32" s="528">
        <v>1.1085705757141113</v>
      </c>
      <c r="F32" s="529">
        <v>2000</v>
      </c>
      <c r="G32" s="3" t="s">
        <v>592</v>
      </c>
      <c r="I32" s="509"/>
    </row>
    <row r="33" spans="1:9" ht="15">
      <c r="A33" s="531" t="s">
        <v>477</v>
      </c>
      <c r="B33" s="508">
        <v>406200</v>
      </c>
      <c r="C33" s="527">
        <v>99.7</v>
      </c>
      <c r="D33" s="528">
        <f t="shared" si="2"/>
        <v>0.14371258020401001</v>
      </c>
      <c r="E33" s="528">
        <v>0.14371258020401001</v>
      </c>
      <c r="F33" s="529">
        <v>2000</v>
      </c>
      <c r="G33" s="3" t="s">
        <v>592</v>
      </c>
      <c r="I33" s="509"/>
    </row>
    <row r="34" spans="1:9" ht="15">
      <c r="A34" s="525" t="s">
        <v>606</v>
      </c>
      <c r="B34" s="508">
        <v>7534289</v>
      </c>
      <c r="C34" s="527">
        <v>99</v>
      </c>
      <c r="D34" s="528">
        <f t="shared" si="2"/>
        <v>0.81993162631988525</v>
      </c>
      <c r="E34" s="528">
        <v>0.81993162631988525</v>
      </c>
      <c r="F34" s="529">
        <v>2003</v>
      </c>
      <c r="G34" s="36"/>
      <c r="I34" s="509"/>
    </row>
    <row r="35" spans="1:9" ht="15">
      <c r="A35" s="525" t="s">
        <v>478</v>
      </c>
      <c r="B35" s="508">
        <v>15730977</v>
      </c>
      <c r="C35" s="527">
        <v>14.6</v>
      </c>
      <c r="D35" s="528">
        <f t="shared" si="2"/>
        <v>1.6919938474893571E-2</v>
      </c>
      <c r="E35" s="528">
        <v>4.3306206353008747E-3</v>
      </c>
      <c r="F35" s="529">
        <v>2004</v>
      </c>
      <c r="G35" s="36" t="s">
        <v>592</v>
      </c>
      <c r="I35" s="509"/>
    </row>
    <row r="36" spans="1:9" ht="15">
      <c r="A36" s="525" t="s">
        <v>607</v>
      </c>
      <c r="B36" s="508">
        <v>14302779</v>
      </c>
      <c r="C36" s="527">
        <v>3.9</v>
      </c>
      <c r="D36" s="528">
        <f t="shared" si="2"/>
        <v>1.6919938474893571E-2</v>
      </c>
      <c r="E36" s="528">
        <v>1.9807582721114159E-3</v>
      </c>
      <c r="F36" s="529">
        <v>2004</v>
      </c>
      <c r="I36" s="509"/>
    </row>
    <row r="37" spans="1:9" ht="15">
      <c r="A37" s="525" t="s">
        <v>479</v>
      </c>
      <c r="B37" s="508">
        <v>19406100</v>
      </c>
      <c r="C37" s="527">
        <v>24</v>
      </c>
      <c r="D37" s="528">
        <f t="shared" si="2"/>
        <v>1.6919938474893571E-2</v>
      </c>
      <c r="E37" s="528">
        <v>1.5897162258625031E-2</v>
      </c>
      <c r="F37" s="529">
        <v>2000</v>
      </c>
      <c r="G37" s="3" t="s">
        <v>592</v>
      </c>
      <c r="I37" s="509"/>
    </row>
    <row r="38" spans="1:9" ht="15">
      <c r="A38" s="525" t="s">
        <v>480</v>
      </c>
      <c r="B38" s="508">
        <v>34126181</v>
      </c>
      <c r="C38" s="527">
        <v>48.7</v>
      </c>
      <c r="D38" s="528">
        <f t="shared" si="2"/>
        <v>1.6919938474893571E-2</v>
      </c>
      <c r="E38" s="528">
        <v>9.020618163049221E-3</v>
      </c>
      <c r="F38" s="529">
        <v>2004</v>
      </c>
      <c r="G38" s="3" t="s">
        <v>592</v>
      </c>
      <c r="I38" s="509"/>
    </row>
    <row r="39" spans="1:9" ht="15">
      <c r="A39" s="525" t="s">
        <v>608</v>
      </c>
      <c r="B39" s="508">
        <v>517831</v>
      </c>
      <c r="C39" s="527">
        <v>97.3</v>
      </c>
      <c r="D39" s="528">
        <v>0.58680844306945801</v>
      </c>
      <c r="E39" s="528">
        <v>0.58680844306945801</v>
      </c>
      <c r="F39" s="529">
        <v>2003</v>
      </c>
      <c r="G39" s="36" t="s">
        <v>582</v>
      </c>
      <c r="I39" s="509"/>
    </row>
    <row r="40" spans="1:9" ht="15">
      <c r="A40" s="525" t="s">
        <v>609</v>
      </c>
      <c r="B40" s="508">
        <v>517831</v>
      </c>
      <c r="C40" s="527">
        <v>67</v>
      </c>
      <c r="D40" s="528">
        <f>IF(E40&lt;$B$211,$B$211,E40)</f>
        <v>2.3255813866853714E-2</v>
      </c>
      <c r="E40" s="528">
        <v>2.3255813866853714E-2</v>
      </c>
      <c r="F40" s="529">
        <v>2004</v>
      </c>
      <c r="I40" s="509"/>
    </row>
    <row r="41" spans="1:9" ht="15">
      <c r="A41" s="531" t="s">
        <v>610</v>
      </c>
      <c r="B41" s="508">
        <v>3151072</v>
      </c>
      <c r="C41" s="527">
        <v>6</v>
      </c>
      <c r="D41" s="528">
        <f>IF(E41&lt;$B$211,$B$211,E41)</f>
        <v>1.6919938474893571E-2</v>
      </c>
      <c r="E41" s="528">
        <v>3.3231084235012531E-3</v>
      </c>
      <c r="F41" s="529">
        <v>2004</v>
      </c>
      <c r="I41" s="509"/>
    </row>
    <row r="42" spans="1:9" ht="15">
      <c r="A42" s="531" t="s">
        <v>611</v>
      </c>
      <c r="B42" s="508">
        <v>8322124</v>
      </c>
      <c r="C42" s="527">
        <v>3.5</v>
      </c>
      <c r="D42" s="528">
        <f>IF(E42&lt;$B$211,$B$211,E42)</f>
        <v>1.6919938474893571E-2</v>
      </c>
      <c r="E42" s="528">
        <v>1.6941495705395937E-3</v>
      </c>
      <c r="F42" s="529">
        <v>2004</v>
      </c>
      <c r="I42" s="509"/>
    </row>
    <row r="43" spans="1:9" ht="15">
      <c r="A43" s="525" t="s">
        <v>481</v>
      </c>
      <c r="B43" s="508">
        <v>17094275</v>
      </c>
      <c r="C43" s="527">
        <v>98.5</v>
      </c>
      <c r="D43" s="528">
        <v>0.42705300450325012</v>
      </c>
      <c r="E43" s="528">
        <v>0.42705300450325012</v>
      </c>
      <c r="F43" s="529">
        <v>2003</v>
      </c>
      <c r="G43" s="36" t="s">
        <v>593</v>
      </c>
      <c r="I43" s="509"/>
    </row>
    <row r="44" spans="1:9" ht="15">
      <c r="A44" s="525" t="s">
        <v>482</v>
      </c>
      <c r="B44" s="508">
        <v>1339724852</v>
      </c>
      <c r="C44" s="527">
        <v>99.4</v>
      </c>
      <c r="D44" s="528">
        <f t="shared" ref="D44:D53" si="3">IF(E44&lt;$B$211,$B$211,E44)</f>
        <v>0.10561773180961609</v>
      </c>
      <c r="E44" s="528">
        <v>0.10561773180961609</v>
      </c>
      <c r="F44" s="529">
        <v>2001</v>
      </c>
      <c r="G44" s="3" t="s">
        <v>592</v>
      </c>
    </row>
    <row r="45" spans="1:9" ht="15">
      <c r="A45" s="525" t="s">
        <v>685</v>
      </c>
      <c r="B45" s="508">
        <v>23113901</v>
      </c>
      <c r="C45" s="527">
        <v>99</v>
      </c>
      <c r="D45" s="528">
        <f t="shared" si="3"/>
        <v>0.40781129896640778</v>
      </c>
      <c r="E45" s="528">
        <f>($E$44+$E$94)/2</f>
        <v>0.40781129896640778</v>
      </c>
      <c r="F45" s="535"/>
    </row>
    <row r="46" spans="1:9" ht="15">
      <c r="A46" s="525" t="s">
        <v>483</v>
      </c>
      <c r="B46" s="508">
        <v>45508205</v>
      </c>
      <c r="C46" s="527">
        <v>93.6</v>
      </c>
      <c r="D46" s="528">
        <f t="shared" si="3"/>
        <v>0.78001654148101807</v>
      </c>
      <c r="E46" s="528">
        <v>0.78001654148101807</v>
      </c>
      <c r="F46" s="529">
        <v>2002</v>
      </c>
      <c r="G46" s="36" t="s">
        <v>592</v>
      </c>
    </row>
    <row r="47" spans="1:9" ht="15">
      <c r="A47" s="525" t="s">
        <v>612</v>
      </c>
      <c r="B47" s="532">
        <v>575660</v>
      </c>
      <c r="C47" s="527">
        <v>44.8</v>
      </c>
      <c r="D47" s="528">
        <f t="shared" si="3"/>
        <v>3.6708861589431763E-2</v>
      </c>
      <c r="E47" s="528">
        <v>3.6708861589431763E-2</v>
      </c>
      <c r="F47" s="529">
        <v>2004</v>
      </c>
    </row>
    <row r="48" spans="1:9" ht="15">
      <c r="A48" s="525" t="s">
        <v>614</v>
      </c>
      <c r="B48" s="508">
        <v>23200</v>
      </c>
      <c r="C48" s="527">
        <v>99</v>
      </c>
      <c r="D48" s="528">
        <f t="shared" si="3"/>
        <v>0.55555558204650879</v>
      </c>
      <c r="E48" s="528">
        <v>0.55555558204650879</v>
      </c>
      <c r="F48" s="529">
        <v>2001</v>
      </c>
    </row>
    <row r="49" spans="1:11" ht="15">
      <c r="A49" s="525" t="s">
        <v>484</v>
      </c>
      <c r="B49" s="508">
        <v>4562087</v>
      </c>
      <c r="C49" s="527">
        <v>99.3</v>
      </c>
      <c r="D49" s="528">
        <f t="shared" si="3"/>
        <v>0.48485618829727173</v>
      </c>
      <c r="E49" s="528">
        <v>0.48485618829727173</v>
      </c>
      <c r="F49" s="529">
        <v>2000</v>
      </c>
      <c r="G49" s="3" t="s">
        <v>592</v>
      </c>
    </row>
    <row r="50" spans="1:11" ht="15">
      <c r="A50" s="531" t="s">
        <v>485</v>
      </c>
      <c r="B50" s="508">
        <v>20807216</v>
      </c>
      <c r="C50" s="527">
        <v>47.3</v>
      </c>
      <c r="D50" s="528">
        <f t="shared" si="3"/>
        <v>2.0062733441591263E-2</v>
      </c>
      <c r="E50" s="528">
        <v>2.0062733441591263E-2</v>
      </c>
      <c r="F50" s="529">
        <v>2004</v>
      </c>
      <c r="G50" s="3" t="s">
        <v>592</v>
      </c>
    </row>
    <row r="51" spans="1:11" ht="15">
      <c r="A51" s="525" t="s">
        <v>615</v>
      </c>
      <c r="B51" s="508">
        <v>4425747</v>
      </c>
      <c r="C51" s="527">
        <v>99</v>
      </c>
      <c r="D51" s="528">
        <f t="shared" si="3"/>
        <v>0.69670277833938599</v>
      </c>
      <c r="E51" s="528">
        <v>0.69670277833938599</v>
      </c>
      <c r="F51" s="529">
        <v>2003</v>
      </c>
      <c r="G51" s="36"/>
      <c r="J51" s="510"/>
      <c r="K51" s="509"/>
    </row>
    <row r="52" spans="1:11" ht="15">
      <c r="A52" s="525" t="s">
        <v>486</v>
      </c>
      <c r="B52" s="508">
        <v>11241894</v>
      </c>
      <c r="C52" s="527">
        <v>97</v>
      </c>
      <c r="D52" s="528">
        <f t="shared" si="3"/>
        <v>0.87312573194503784</v>
      </c>
      <c r="E52" s="528">
        <v>0.87312573194503784</v>
      </c>
      <c r="F52" s="529">
        <v>2002</v>
      </c>
      <c r="G52" s="36" t="s">
        <v>592</v>
      </c>
      <c r="J52" s="510"/>
      <c r="K52" s="511"/>
    </row>
    <row r="53" spans="1:11" ht="15">
      <c r="A53" s="525" t="s">
        <v>616</v>
      </c>
      <c r="B53" s="508">
        <v>803791</v>
      </c>
      <c r="C53" s="527">
        <v>99.5</v>
      </c>
      <c r="D53" s="528">
        <f t="shared" si="3"/>
        <v>0.81658291816711426</v>
      </c>
      <c r="E53" s="528">
        <v>0.81658291816711426</v>
      </c>
      <c r="F53" s="529">
        <v>2002</v>
      </c>
      <c r="J53" s="510"/>
      <c r="K53" s="511"/>
    </row>
    <row r="54" spans="1:11" ht="15">
      <c r="A54" s="525" t="s">
        <v>617</v>
      </c>
      <c r="B54" s="508">
        <v>10517247</v>
      </c>
      <c r="C54" s="527">
        <v>99</v>
      </c>
      <c r="D54" s="528">
        <v>0.65816724300384521</v>
      </c>
      <c r="E54" s="528">
        <v>0.65816724300384521</v>
      </c>
      <c r="F54" s="529">
        <v>2003</v>
      </c>
      <c r="G54" s="36" t="s">
        <v>582</v>
      </c>
      <c r="J54" s="510"/>
      <c r="K54" s="511"/>
    </row>
    <row r="55" spans="1:11" ht="15">
      <c r="A55" s="531" t="s">
        <v>487</v>
      </c>
      <c r="B55" s="508">
        <v>24052231</v>
      </c>
      <c r="C55" s="527">
        <v>26</v>
      </c>
      <c r="D55" s="528">
        <f>IF(E55&lt;$B$211,$B$211,E55)</f>
        <v>0.36688140034675598</v>
      </c>
      <c r="E55" s="528">
        <v>0.36688140034675598</v>
      </c>
      <c r="F55" s="529">
        <v>2003</v>
      </c>
      <c r="G55" s="36" t="s">
        <v>592</v>
      </c>
      <c r="J55" s="510"/>
      <c r="K55" s="509"/>
    </row>
    <row r="56" spans="1:11" ht="15">
      <c r="A56" s="531" t="s">
        <v>488</v>
      </c>
      <c r="B56" s="508">
        <v>36671512</v>
      </c>
      <c r="C56" s="527">
        <v>11.1</v>
      </c>
      <c r="D56" s="528">
        <f>IF(E56&lt;$B$211,$B$211,E56)</f>
        <v>1.6919938474893571E-2</v>
      </c>
      <c r="E56" s="528">
        <v>2.9218809213489294E-3</v>
      </c>
      <c r="F56" s="529">
        <v>2004</v>
      </c>
      <c r="G56" s="36" t="s">
        <v>592</v>
      </c>
      <c r="J56" s="510"/>
      <c r="K56" s="511"/>
    </row>
    <row r="57" spans="1:11">
      <c r="A57" s="525" t="s">
        <v>489</v>
      </c>
      <c r="B57" s="530">
        <v>5545039</v>
      </c>
      <c r="C57" s="527">
        <v>100</v>
      </c>
      <c r="D57" s="528">
        <v>0.82919079065322876</v>
      </c>
      <c r="E57" s="528">
        <v>0.82919079065322876</v>
      </c>
      <c r="F57" s="529">
        <v>2002</v>
      </c>
      <c r="G57" s="36" t="s">
        <v>582</v>
      </c>
      <c r="J57" s="510"/>
      <c r="K57" s="509"/>
    </row>
    <row r="58" spans="1:11">
      <c r="A58" s="531" t="s">
        <v>618</v>
      </c>
      <c r="B58" s="530">
        <v>818159</v>
      </c>
      <c r="C58" s="527">
        <v>62.2</v>
      </c>
      <c r="D58" s="528">
        <f t="shared" ref="D58:D68" si="4">IF(E58&lt;$B$211,$B$211,E58)</f>
        <v>1.6919938474893571E-2</v>
      </c>
      <c r="E58" s="528">
        <v>1.4044944196939468E-2</v>
      </c>
      <c r="F58" s="529">
        <v>2004</v>
      </c>
      <c r="G58" s="36"/>
      <c r="J58" s="510"/>
      <c r="K58" s="511"/>
    </row>
    <row r="59" spans="1:11">
      <c r="A59" s="531" t="s">
        <v>619</v>
      </c>
      <c r="B59" s="530">
        <v>72030</v>
      </c>
      <c r="C59" s="527">
        <v>87.7</v>
      </c>
      <c r="D59" s="528">
        <f t="shared" si="4"/>
        <v>5.2631579339504242E-2</v>
      </c>
      <c r="E59" s="528">
        <v>5.2631579339504242E-2</v>
      </c>
      <c r="F59" s="529">
        <v>1997</v>
      </c>
      <c r="G59" s="36"/>
      <c r="J59" s="510"/>
      <c r="K59" s="509"/>
    </row>
    <row r="60" spans="1:11" ht="15">
      <c r="A60" s="525" t="s">
        <v>490</v>
      </c>
      <c r="B60" s="508">
        <v>9884371</v>
      </c>
      <c r="C60" s="527">
        <v>95.9</v>
      </c>
      <c r="D60" s="528">
        <f t="shared" si="4"/>
        <v>0.83802229166030884</v>
      </c>
      <c r="E60" s="528">
        <v>0.83802229166030884</v>
      </c>
      <c r="F60" s="529">
        <v>2000</v>
      </c>
      <c r="G60" s="36" t="s">
        <v>592</v>
      </c>
      <c r="J60" s="510"/>
      <c r="K60" s="511"/>
    </row>
    <row r="61" spans="1:11" ht="15">
      <c r="A61" s="525" t="s">
        <v>491</v>
      </c>
      <c r="B61" s="508">
        <v>15004674</v>
      </c>
      <c r="C61" s="527">
        <v>92.2</v>
      </c>
      <c r="D61" s="528">
        <f t="shared" si="4"/>
        <v>0.16602253913879395</v>
      </c>
      <c r="E61" s="528">
        <v>0.16602253913879395</v>
      </c>
      <c r="F61" s="529">
        <v>2000</v>
      </c>
      <c r="G61" s="36" t="s">
        <v>592</v>
      </c>
      <c r="J61" s="510"/>
      <c r="K61" s="511"/>
    </row>
    <row r="62" spans="1:11" ht="15">
      <c r="A62" s="525" t="s">
        <v>492</v>
      </c>
      <c r="B62" s="508">
        <v>78684622</v>
      </c>
      <c r="C62" s="527">
        <v>99.6</v>
      </c>
      <c r="D62" s="528">
        <f t="shared" si="4"/>
        <v>0.13512739539146423</v>
      </c>
      <c r="E62" s="528">
        <v>0.13512739539146423</v>
      </c>
      <c r="F62" s="529">
        <v>2004</v>
      </c>
      <c r="G62" s="36" t="s">
        <v>592</v>
      </c>
      <c r="J62" s="510"/>
      <c r="K62" s="511"/>
    </row>
    <row r="63" spans="1:11" ht="15">
      <c r="A63" s="525" t="s">
        <v>493</v>
      </c>
      <c r="B63" s="508">
        <v>6183002</v>
      </c>
      <c r="C63" s="527">
        <v>86.4</v>
      </c>
      <c r="D63" s="528">
        <f t="shared" si="4"/>
        <v>0.54014027118682861</v>
      </c>
      <c r="E63" s="528">
        <v>0.54014027118682861</v>
      </c>
      <c r="F63" s="529">
        <v>2002</v>
      </c>
      <c r="G63" s="36" t="s">
        <v>592</v>
      </c>
      <c r="J63" s="510"/>
      <c r="K63" s="509"/>
    </row>
    <row r="64" spans="1:11" ht="15">
      <c r="A64" s="531" t="s">
        <v>687</v>
      </c>
      <c r="B64" s="508">
        <v>1014999</v>
      </c>
      <c r="C64" s="527">
        <f>C72</f>
        <v>34.299999999999997</v>
      </c>
      <c r="D64" s="528">
        <f t="shared" si="4"/>
        <v>2.958579920232296E-2</v>
      </c>
      <c r="E64" s="528">
        <v>2.958579920232296E-2</v>
      </c>
      <c r="F64" s="529">
        <v>2004</v>
      </c>
      <c r="J64" s="510"/>
      <c r="K64" s="509"/>
    </row>
    <row r="65" spans="1:11" ht="15">
      <c r="A65" s="531" t="s">
        <v>494</v>
      </c>
      <c r="B65" s="508">
        <v>3164500</v>
      </c>
      <c r="C65" s="527">
        <v>32</v>
      </c>
      <c r="D65" s="528">
        <f t="shared" si="4"/>
        <v>1.6919938474893571E-2</v>
      </c>
      <c r="E65" s="528">
        <v>3.7235280033200979E-3</v>
      </c>
      <c r="F65" s="529">
        <v>2004</v>
      </c>
      <c r="G65" s="3" t="s">
        <v>592</v>
      </c>
      <c r="J65" s="510"/>
      <c r="K65" s="511"/>
    </row>
    <row r="66" spans="1:11" ht="15">
      <c r="A66" s="525" t="s">
        <v>620</v>
      </c>
      <c r="B66" s="508">
        <v>1340160</v>
      </c>
      <c r="C66" s="527">
        <v>99</v>
      </c>
      <c r="D66" s="528">
        <f t="shared" si="4"/>
        <v>1.2779809236526489</v>
      </c>
      <c r="E66" s="528">
        <v>1.2779809236526489</v>
      </c>
      <c r="F66" s="529">
        <v>2000</v>
      </c>
      <c r="G66" s="36" t="s">
        <v>582</v>
      </c>
      <c r="J66" s="510"/>
      <c r="K66" s="511"/>
    </row>
    <row r="67" spans="1:11" ht="15">
      <c r="A67" s="525" t="s">
        <v>690</v>
      </c>
      <c r="B67" s="521">
        <v>73750932</v>
      </c>
      <c r="C67" s="527">
        <v>41</v>
      </c>
      <c r="D67" s="528">
        <f t="shared" si="4"/>
        <v>1.6919938474893571E-2</v>
      </c>
      <c r="E67" s="528">
        <f>($E$65+$E$168)/2</f>
        <v>2.8280098340474069E-3</v>
      </c>
      <c r="F67" s="529"/>
      <c r="G67" s="36"/>
      <c r="J67" s="510"/>
      <c r="K67" s="509"/>
    </row>
    <row r="68" spans="1:11" ht="15">
      <c r="A68" s="525" t="s">
        <v>495</v>
      </c>
      <c r="B68" s="508">
        <v>857000</v>
      </c>
      <c r="C68" s="527">
        <v>87</v>
      </c>
      <c r="D68" s="528">
        <f t="shared" si="4"/>
        <v>3.9751552045345306E-2</v>
      </c>
      <c r="E68" s="528">
        <v>3.9751552045345306E-2</v>
      </c>
      <c r="F68" s="529">
        <v>1999</v>
      </c>
      <c r="J68" s="510"/>
      <c r="K68" s="509"/>
    </row>
    <row r="69" spans="1:11" ht="15">
      <c r="A69" s="525" t="s">
        <v>496</v>
      </c>
      <c r="B69" s="508">
        <v>5375276</v>
      </c>
      <c r="C69" s="527">
        <v>100</v>
      </c>
      <c r="D69" s="528">
        <v>1.2842024564743042</v>
      </c>
      <c r="E69" s="528">
        <v>1.2842024564743042</v>
      </c>
      <c r="F69" s="529">
        <v>2002</v>
      </c>
      <c r="G69" s="36" t="s">
        <v>582</v>
      </c>
    </row>
    <row r="70" spans="1:11" ht="15">
      <c r="A70" s="525" t="s">
        <v>497</v>
      </c>
      <c r="B70" s="508">
        <v>62967680</v>
      </c>
      <c r="C70" s="527">
        <v>100</v>
      </c>
      <c r="D70" s="528">
        <v>0.67683756351470947</v>
      </c>
      <c r="E70" s="528">
        <v>0.67683756351470947</v>
      </c>
      <c r="F70" s="529">
        <v>2004</v>
      </c>
      <c r="G70" s="36" t="s">
        <v>582</v>
      </c>
    </row>
    <row r="71" spans="1:11" ht="15">
      <c r="A71" s="531" t="s">
        <v>498</v>
      </c>
      <c r="B71" s="508">
        <v>1312500</v>
      </c>
      <c r="C71" s="527">
        <v>36.700000000000003</v>
      </c>
      <c r="D71" s="528">
        <f>IF(E71&lt;$B$211,$B$211,E71)</f>
        <v>4.8852700740098953E-2</v>
      </c>
      <c r="E71" s="528">
        <v>4.8852700740098953E-2</v>
      </c>
      <c r="F71" s="529">
        <v>2004</v>
      </c>
      <c r="G71" s="36" t="s">
        <v>592</v>
      </c>
    </row>
    <row r="72" spans="1:11" ht="15">
      <c r="A72" s="531" t="s">
        <v>621</v>
      </c>
      <c r="B72" s="508">
        <v>1436000</v>
      </c>
      <c r="C72" s="527">
        <v>34.299999999999997</v>
      </c>
      <c r="D72" s="528">
        <f>IF(E72&lt;$B$211,$B$211,E72)</f>
        <v>3.0154278501868248E-2</v>
      </c>
      <c r="E72" s="528">
        <v>3.0154278501868248E-2</v>
      </c>
      <c r="F72" s="529">
        <v>2003</v>
      </c>
    </row>
    <row r="73" spans="1:11" ht="15">
      <c r="A73" s="525" t="s">
        <v>622</v>
      </c>
      <c r="B73" s="508">
        <v>4452800</v>
      </c>
      <c r="C73" s="527">
        <v>99.9</v>
      </c>
      <c r="D73" s="528">
        <f>IF(E73&lt;$B$211,$B$211,E73)</f>
        <v>0.28053063154220581</v>
      </c>
      <c r="E73" s="528">
        <v>0.28053063154220581</v>
      </c>
      <c r="F73" s="529">
        <v>2003</v>
      </c>
      <c r="G73" s="36"/>
    </row>
    <row r="74" spans="1:11" ht="15">
      <c r="A74" s="525" t="s">
        <v>499</v>
      </c>
      <c r="B74" s="508">
        <v>81757471</v>
      </c>
      <c r="C74" s="527">
        <v>100</v>
      </c>
      <c r="D74" s="528">
        <v>0.78336727619171143</v>
      </c>
      <c r="E74" s="528">
        <v>0.78336727619171143</v>
      </c>
      <c r="F74" s="529">
        <v>2003</v>
      </c>
      <c r="G74" s="36" t="s">
        <v>582</v>
      </c>
    </row>
    <row r="75" spans="1:11" ht="15">
      <c r="A75" s="525" t="s">
        <v>500</v>
      </c>
      <c r="B75" s="508">
        <v>24223431</v>
      </c>
      <c r="C75" s="527">
        <v>60.5</v>
      </c>
      <c r="D75" s="528">
        <f>IF(E75&lt;$B$211,$B$211,E75)</f>
        <v>1.8384244292974472E-2</v>
      </c>
      <c r="E75" s="528">
        <v>1.8384244292974472E-2</v>
      </c>
      <c r="F75" s="529">
        <v>2004</v>
      </c>
      <c r="G75" s="36" t="s">
        <v>592</v>
      </c>
    </row>
    <row r="76" spans="1:11" ht="15">
      <c r="A76" s="525" t="s">
        <v>501</v>
      </c>
      <c r="B76" s="508">
        <v>11315510</v>
      </c>
      <c r="C76" s="527">
        <v>100</v>
      </c>
      <c r="D76" s="528">
        <v>1.1321823596954346</v>
      </c>
      <c r="E76" s="528">
        <v>1.1321823596954346</v>
      </c>
      <c r="F76" s="529">
        <v>2001</v>
      </c>
      <c r="G76" s="36" t="s">
        <v>582</v>
      </c>
    </row>
    <row r="77" spans="1:11" ht="15">
      <c r="A77" s="531" t="s">
        <v>623</v>
      </c>
      <c r="B77" s="508">
        <v>109480</v>
      </c>
      <c r="C77" s="527">
        <v>99.5</v>
      </c>
      <c r="D77" s="528">
        <f t="shared" ref="D77:D83" si="5">IF(E77&lt;$B$211,$B$211,E77)</f>
        <v>8.5365854203701019E-2</v>
      </c>
      <c r="E77" s="528">
        <v>8.5365854203701019E-2</v>
      </c>
      <c r="F77" s="529">
        <v>1997</v>
      </c>
    </row>
    <row r="78" spans="1:11" ht="15">
      <c r="A78" s="525" t="s">
        <v>502</v>
      </c>
      <c r="B78" s="508">
        <v>14361666</v>
      </c>
      <c r="C78" s="527">
        <v>80.5</v>
      </c>
      <c r="D78" s="528">
        <f t="shared" si="5"/>
        <v>0.18397626280784607</v>
      </c>
      <c r="E78" s="528">
        <v>0.18397626280784607</v>
      </c>
      <c r="F78" s="529">
        <v>1999</v>
      </c>
      <c r="G78" s="3" t="s">
        <v>592</v>
      </c>
    </row>
    <row r="79" spans="1:11" ht="15">
      <c r="A79" s="525" t="s">
        <v>624</v>
      </c>
      <c r="B79" s="508">
        <v>10537234</v>
      </c>
      <c r="C79" s="527">
        <v>20.2</v>
      </c>
      <c r="D79" s="528">
        <f t="shared" si="5"/>
        <v>1.6919938474893571E-2</v>
      </c>
      <c r="E79" s="528">
        <v>6.9605568423867226E-3</v>
      </c>
      <c r="F79" s="529">
        <v>2004</v>
      </c>
    </row>
    <row r="80" spans="1:11" ht="15">
      <c r="A80" s="525" t="s">
        <v>625</v>
      </c>
      <c r="B80" s="508">
        <v>1558090</v>
      </c>
      <c r="C80" s="527">
        <v>53.5</v>
      </c>
      <c r="D80" s="528">
        <f t="shared" si="5"/>
        <v>1.6919938474893571E-2</v>
      </c>
      <c r="E80" s="528">
        <v>1.430429145693779E-2</v>
      </c>
      <c r="F80" s="529">
        <v>2004</v>
      </c>
    </row>
    <row r="81" spans="1:7" ht="15">
      <c r="A81" s="525" t="s">
        <v>626</v>
      </c>
      <c r="B81" s="508">
        <v>778100</v>
      </c>
      <c r="C81" s="527">
        <v>77.5</v>
      </c>
      <c r="D81" s="528">
        <f t="shared" si="5"/>
        <v>3.9525691419839859E-2</v>
      </c>
      <c r="E81" s="528">
        <v>3.9525691419839859E-2</v>
      </c>
      <c r="F81" s="529">
        <v>2000</v>
      </c>
    </row>
    <row r="82" spans="1:7" ht="15">
      <c r="A82" s="525" t="s">
        <v>503</v>
      </c>
      <c r="B82" s="508">
        <v>10085214</v>
      </c>
      <c r="C82" s="527">
        <v>38.5</v>
      </c>
      <c r="D82" s="528">
        <f t="shared" si="5"/>
        <v>1.6919938474893571E-2</v>
      </c>
      <c r="E82" s="528">
        <v>1.2055918574333191E-2</v>
      </c>
      <c r="F82" s="529">
        <v>1998</v>
      </c>
      <c r="G82" s="3" t="s">
        <v>592</v>
      </c>
    </row>
    <row r="83" spans="1:7" ht="15">
      <c r="A83" s="525" t="s">
        <v>504</v>
      </c>
      <c r="B83" s="508">
        <v>8045990</v>
      </c>
      <c r="C83" s="527">
        <v>70.3</v>
      </c>
      <c r="D83" s="528">
        <f t="shared" si="5"/>
        <v>0.21232770383358002</v>
      </c>
      <c r="E83" s="528">
        <v>0.21232770383358002</v>
      </c>
      <c r="F83" s="529">
        <v>2000</v>
      </c>
      <c r="G83" s="3" t="s">
        <v>592</v>
      </c>
    </row>
    <row r="84" spans="1:7" ht="15">
      <c r="A84" s="525" t="s">
        <v>627</v>
      </c>
      <c r="B84" s="508">
        <v>10000023</v>
      </c>
      <c r="C84" s="527">
        <v>99</v>
      </c>
      <c r="D84" s="528">
        <v>0.54307985305786133</v>
      </c>
      <c r="E84" s="528">
        <v>0.54307985305786133</v>
      </c>
      <c r="F84" s="529">
        <v>2003</v>
      </c>
      <c r="G84" s="36" t="s">
        <v>582</v>
      </c>
    </row>
    <row r="85" spans="1:7" ht="15">
      <c r="A85" s="525" t="s">
        <v>505</v>
      </c>
      <c r="B85" s="508">
        <v>318006</v>
      </c>
      <c r="C85" s="527">
        <v>100</v>
      </c>
      <c r="D85" s="528">
        <v>1.0035461187362671</v>
      </c>
      <c r="E85" s="528">
        <v>1.0035461187362671</v>
      </c>
      <c r="F85" s="529">
        <v>2000</v>
      </c>
      <c r="G85" s="36" t="s">
        <v>582</v>
      </c>
    </row>
    <row r="86" spans="1:7" ht="15">
      <c r="A86" s="525" t="s">
        <v>506</v>
      </c>
      <c r="B86" s="508">
        <v>1182105000</v>
      </c>
      <c r="C86" s="527">
        <v>75</v>
      </c>
      <c r="D86" s="528">
        <f>IF(E86&lt;$B$211,$B$211,E86)</f>
        <v>5.6809425354003906E-2</v>
      </c>
      <c r="E86" s="528">
        <v>5.6809425354003906E-2</v>
      </c>
      <c r="F86" s="529">
        <v>2004</v>
      </c>
      <c r="G86" s="36" t="s">
        <v>592</v>
      </c>
    </row>
    <row r="87" spans="1:7" ht="15">
      <c r="A87" s="525" t="s">
        <v>507</v>
      </c>
      <c r="B87" s="508">
        <v>237641326</v>
      </c>
      <c r="C87" s="527">
        <v>64.5</v>
      </c>
      <c r="D87" s="528">
        <f>IF(E87&lt;$B$211,$B$211,E87)</f>
        <v>3.1362134963274002E-2</v>
      </c>
      <c r="E87" s="528">
        <v>3.1362134963274002E-2</v>
      </c>
      <c r="F87" s="529">
        <v>2003</v>
      </c>
      <c r="G87" s="36" t="s">
        <v>592</v>
      </c>
    </row>
    <row r="88" spans="1:7" ht="15">
      <c r="A88" s="525" t="s">
        <v>508</v>
      </c>
      <c r="B88" s="508">
        <v>74339576</v>
      </c>
      <c r="C88" s="527">
        <v>98.4</v>
      </c>
      <c r="D88" s="528">
        <f>IF(E88&lt;$B$211,$B$211,E88)</f>
        <v>9.438449889421463E-2</v>
      </c>
      <c r="E88" s="528">
        <v>9.438449889421463E-2</v>
      </c>
      <c r="F88" s="529">
        <v>2004</v>
      </c>
      <c r="G88" s="36" t="s">
        <v>592</v>
      </c>
    </row>
    <row r="89" spans="1:7" ht="15">
      <c r="A89" s="531" t="s">
        <v>509</v>
      </c>
      <c r="B89" s="508">
        <v>32105000</v>
      </c>
      <c r="C89" s="527">
        <v>86</v>
      </c>
      <c r="D89" s="528">
        <f>IF(E89&lt;$B$211,$B$211,E89)</f>
        <v>0.44434559345245361</v>
      </c>
      <c r="E89" s="528">
        <v>0.44434559345245361</v>
      </c>
      <c r="F89" s="529">
        <v>2004</v>
      </c>
      <c r="G89" s="36" t="s">
        <v>592</v>
      </c>
    </row>
    <row r="90" spans="1:7" ht="15">
      <c r="A90" s="525" t="s">
        <v>510</v>
      </c>
      <c r="B90" s="508">
        <v>4470700</v>
      </c>
      <c r="C90" s="527">
        <v>100</v>
      </c>
      <c r="D90" s="528">
        <v>0.55938982963562012</v>
      </c>
      <c r="E90" s="528">
        <v>0.55938982963562012</v>
      </c>
      <c r="F90" s="529">
        <v>2004</v>
      </c>
      <c r="G90" s="36" t="s">
        <v>582</v>
      </c>
    </row>
    <row r="91" spans="1:7" ht="15">
      <c r="A91" s="525" t="s">
        <v>511</v>
      </c>
      <c r="B91" s="508">
        <v>7623561</v>
      </c>
      <c r="C91" s="527">
        <v>99.7</v>
      </c>
      <c r="D91" s="528">
        <v>1.1674180030822754</v>
      </c>
      <c r="E91" s="528">
        <v>1.1674180030822754</v>
      </c>
      <c r="F91" s="529">
        <v>2003</v>
      </c>
      <c r="G91" s="36" t="s">
        <v>593</v>
      </c>
    </row>
    <row r="92" spans="1:7" ht="15">
      <c r="A92" s="525" t="s">
        <v>512</v>
      </c>
      <c r="B92" s="508">
        <v>60483386</v>
      </c>
      <c r="C92" s="527">
        <v>100</v>
      </c>
      <c r="D92" s="528">
        <v>0.5754542350769043</v>
      </c>
      <c r="E92" s="528">
        <v>0.5754542350769043</v>
      </c>
      <c r="F92" s="529">
        <v>2004</v>
      </c>
      <c r="G92" s="36" t="s">
        <v>582</v>
      </c>
    </row>
    <row r="93" spans="1:7" ht="15">
      <c r="A93" s="525" t="s">
        <v>513</v>
      </c>
      <c r="B93" s="508">
        <v>2702314</v>
      </c>
      <c r="C93" s="527">
        <v>92</v>
      </c>
      <c r="D93" s="528">
        <f>IF(E93&lt;$B$211,$B$211,E93)</f>
        <v>7.9969823360443115E-2</v>
      </c>
      <c r="E93" s="528">
        <v>7.9969823360443115E-2</v>
      </c>
      <c r="F93" s="529">
        <v>2003</v>
      </c>
      <c r="G93" s="36" t="s">
        <v>592</v>
      </c>
    </row>
    <row r="94" spans="1:7" ht="15">
      <c r="A94" s="525" t="s">
        <v>628</v>
      </c>
      <c r="B94" s="508">
        <v>128070000</v>
      </c>
      <c r="C94" s="527">
        <v>100</v>
      </c>
      <c r="D94" s="528">
        <v>0.71000486612319946</v>
      </c>
      <c r="E94" s="528">
        <v>0.71000486612319946</v>
      </c>
      <c r="F94" s="529">
        <v>2002</v>
      </c>
      <c r="G94" s="36" t="s">
        <v>582</v>
      </c>
    </row>
    <row r="95" spans="1:7" ht="15">
      <c r="A95" s="525" t="s">
        <v>514</v>
      </c>
      <c r="B95" s="508">
        <v>6113000</v>
      </c>
      <c r="C95" s="527">
        <v>99.9</v>
      </c>
      <c r="D95" s="528">
        <f t="shared" ref="D95:D107" si="6">IF(E95&lt;$B$211,$B$211,E95)</f>
        <v>1.2949768304824829</v>
      </c>
      <c r="E95" s="528">
        <v>1.2949768304824829</v>
      </c>
      <c r="F95" s="529">
        <v>2004</v>
      </c>
      <c r="G95" s="36" t="s">
        <v>592</v>
      </c>
    </row>
    <row r="96" spans="1:7" ht="15">
      <c r="A96" s="525" t="s">
        <v>629</v>
      </c>
      <c r="B96" s="508">
        <v>16338700</v>
      </c>
      <c r="C96" s="527">
        <v>72.7</v>
      </c>
      <c r="D96" s="528">
        <f t="shared" si="6"/>
        <v>0.33791226148605347</v>
      </c>
      <c r="E96" s="528">
        <v>0.33791226148605347</v>
      </c>
      <c r="F96" s="529">
        <v>2003</v>
      </c>
    </row>
    <row r="97" spans="1:7" ht="15">
      <c r="A97" s="525" t="s">
        <v>515</v>
      </c>
      <c r="B97" s="508">
        <v>40400000</v>
      </c>
      <c r="C97" s="527">
        <v>16.100000000000001</v>
      </c>
      <c r="D97" s="528">
        <f t="shared" si="6"/>
        <v>4.1332509368658066E-2</v>
      </c>
      <c r="E97" s="528">
        <v>4.1332509368658066E-2</v>
      </c>
      <c r="F97" s="529">
        <v>2004</v>
      </c>
      <c r="G97" s="3" t="s">
        <v>592</v>
      </c>
    </row>
    <row r="98" spans="1:7" ht="15">
      <c r="A98" s="531" t="s">
        <v>688</v>
      </c>
      <c r="B98" s="508">
        <v>92533</v>
      </c>
      <c r="C98" s="527">
        <f>C119</f>
        <v>95</v>
      </c>
      <c r="D98" s="528">
        <f t="shared" si="6"/>
        <v>4.9382716417312622E-2</v>
      </c>
      <c r="E98" s="528">
        <v>4.9382716417312622E-2</v>
      </c>
      <c r="F98" s="529">
        <v>1998</v>
      </c>
    </row>
    <row r="99" spans="1:7" ht="15">
      <c r="A99" s="525" t="s">
        <v>516</v>
      </c>
      <c r="B99" s="508">
        <v>2672926</v>
      </c>
      <c r="C99" s="527">
        <v>100</v>
      </c>
      <c r="D99" s="528">
        <f t="shared" si="6"/>
        <v>0.28601783514022827</v>
      </c>
      <c r="E99" s="528">
        <v>0.28601783514022827</v>
      </c>
      <c r="F99" s="529">
        <v>2001</v>
      </c>
      <c r="G99" s="36" t="s">
        <v>592</v>
      </c>
    </row>
    <row r="100" spans="1:7" ht="15">
      <c r="A100" s="525" t="s">
        <v>517</v>
      </c>
      <c r="B100" s="508">
        <v>5192806</v>
      </c>
      <c r="C100" s="527">
        <v>100</v>
      </c>
      <c r="D100" s="528">
        <f t="shared" si="6"/>
        <v>0.19307123124599457</v>
      </c>
      <c r="E100" s="528">
        <v>0.19307123124599457</v>
      </c>
      <c r="F100" s="529">
        <v>2003</v>
      </c>
    </row>
    <row r="101" spans="1:7" ht="15">
      <c r="A101" s="525" t="s">
        <v>518</v>
      </c>
      <c r="B101" s="508">
        <v>6256197</v>
      </c>
      <c r="C101" s="527">
        <v>55</v>
      </c>
      <c r="D101" s="528">
        <f t="shared" si="6"/>
        <v>4.0824826806783676E-2</v>
      </c>
      <c r="E101" s="528">
        <v>4.0824826806783676E-2</v>
      </c>
      <c r="F101" s="529">
        <v>1996</v>
      </c>
      <c r="G101" s="3" t="s">
        <v>592</v>
      </c>
    </row>
    <row r="102" spans="1:7" ht="15">
      <c r="A102" s="525" t="s">
        <v>630</v>
      </c>
      <c r="B102" s="508">
        <v>2239008</v>
      </c>
      <c r="C102" s="527">
        <v>98</v>
      </c>
      <c r="D102" s="528">
        <f t="shared" si="6"/>
        <v>0.55786734819412231</v>
      </c>
      <c r="E102" s="528">
        <v>0.55786734819412231</v>
      </c>
      <c r="F102" s="529">
        <v>2003</v>
      </c>
      <c r="G102" s="36"/>
    </row>
    <row r="103" spans="1:7" ht="15">
      <c r="A103" s="531" t="s">
        <v>519</v>
      </c>
      <c r="B103" s="508">
        <v>3755034</v>
      </c>
      <c r="C103" s="527">
        <v>99.9</v>
      </c>
      <c r="D103" s="528">
        <f t="shared" si="6"/>
        <v>1.2109131813049316</v>
      </c>
      <c r="E103" s="528">
        <v>1.2109131813049316</v>
      </c>
      <c r="F103" s="529">
        <v>2001</v>
      </c>
      <c r="G103" s="3" t="s">
        <v>592</v>
      </c>
    </row>
    <row r="104" spans="1:7" ht="15">
      <c r="A104" s="525" t="s">
        <v>520</v>
      </c>
      <c r="B104" s="508">
        <v>1891830</v>
      </c>
      <c r="C104" s="527">
        <v>16</v>
      </c>
      <c r="D104" s="528">
        <f t="shared" si="6"/>
        <v>1.6919938474893571E-2</v>
      </c>
      <c r="E104" s="528">
        <v>8.8790236040949821E-3</v>
      </c>
      <c r="F104" s="529">
        <v>2003</v>
      </c>
      <c r="G104" s="3" t="s">
        <v>592</v>
      </c>
    </row>
    <row r="105" spans="1:7" ht="15">
      <c r="A105" s="531" t="s">
        <v>631</v>
      </c>
      <c r="B105" s="508">
        <v>3476608</v>
      </c>
      <c r="C105" s="527">
        <v>1.9</v>
      </c>
      <c r="D105" s="528">
        <f t="shared" si="6"/>
        <v>1.6919938474893571E-2</v>
      </c>
      <c r="E105" s="528">
        <v>3.7281331606209278E-3</v>
      </c>
      <c r="F105" s="529">
        <v>2004</v>
      </c>
    </row>
    <row r="106" spans="1:7" ht="15">
      <c r="A106" s="531" t="s">
        <v>521</v>
      </c>
      <c r="B106" s="508">
        <v>5484426</v>
      </c>
      <c r="C106" s="527">
        <v>99.8</v>
      </c>
      <c r="D106" s="528">
        <f t="shared" si="6"/>
        <v>0.14031180739402771</v>
      </c>
      <c r="E106" s="528">
        <v>0.14031180739402771</v>
      </c>
      <c r="F106" s="529">
        <v>1997</v>
      </c>
      <c r="G106" s="3" t="s">
        <v>592</v>
      </c>
    </row>
    <row r="107" spans="1:7" ht="15">
      <c r="A107" s="525" t="s">
        <v>632</v>
      </c>
      <c r="B107" s="508">
        <v>3286820</v>
      </c>
      <c r="C107" s="527">
        <v>99</v>
      </c>
      <c r="D107" s="528">
        <f t="shared" si="6"/>
        <v>0.68873405456542969</v>
      </c>
      <c r="E107" s="528">
        <v>0.68873405456542969</v>
      </c>
      <c r="F107" s="529">
        <v>2003</v>
      </c>
      <c r="G107" s="36"/>
    </row>
    <row r="108" spans="1:7" ht="15">
      <c r="A108" s="525" t="s">
        <v>522</v>
      </c>
      <c r="B108" s="508">
        <v>506953</v>
      </c>
      <c r="C108" s="527">
        <v>100</v>
      </c>
      <c r="D108" s="528">
        <v>0.71302425861358643</v>
      </c>
      <c r="E108" s="528">
        <v>0.71302425861358643</v>
      </c>
      <c r="F108" s="529">
        <v>2003</v>
      </c>
      <c r="G108" s="36" t="s">
        <v>582</v>
      </c>
    </row>
    <row r="109" spans="1:7" ht="15">
      <c r="A109" s="525" t="s">
        <v>523</v>
      </c>
      <c r="B109" s="508">
        <v>20142015</v>
      </c>
      <c r="C109" s="527">
        <v>19</v>
      </c>
      <c r="D109" s="528">
        <f t="shared" ref="D109:D117" si="7">IF(E109&lt;$B$211,$B$211,E109)</f>
        <v>2.2903747856616974E-2</v>
      </c>
      <c r="E109" s="528">
        <v>2.2903747856616974E-2</v>
      </c>
      <c r="F109" s="529">
        <v>2004</v>
      </c>
      <c r="G109" s="36" t="s">
        <v>592</v>
      </c>
    </row>
    <row r="110" spans="1:7" ht="15">
      <c r="A110" s="525" t="s">
        <v>696</v>
      </c>
      <c r="B110" s="508">
        <v>14553011</v>
      </c>
      <c r="C110" s="527">
        <v>9</v>
      </c>
      <c r="D110" s="528">
        <f t="shared" si="7"/>
        <v>1.6919938474893571E-2</v>
      </c>
      <c r="E110" s="528">
        <f>$E$124</f>
        <v>8.2890205085277557E-3</v>
      </c>
      <c r="F110" s="526"/>
      <c r="G110" s="36" t="s">
        <v>592</v>
      </c>
    </row>
    <row r="111" spans="1:7" ht="15">
      <c r="A111" s="525" t="s">
        <v>524</v>
      </c>
      <c r="B111" s="508">
        <v>28250458</v>
      </c>
      <c r="C111" s="527">
        <v>99.4</v>
      </c>
      <c r="D111" s="528">
        <f t="shared" si="7"/>
        <v>9.3213342130184174E-2</v>
      </c>
      <c r="E111" s="528">
        <v>9.3213342130184174E-2</v>
      </c>
      <c r="F111" s="529">
        <v>2000</v>
      </c>
      <c r="G111" s="36" t="s">
        <v>592</v>
      </c>
    </row>
    <row r="112" spans="1:7" ht="15">
      <c r="A112" s="525" t="s">
        <v>633</v>
      </c>
      <c r="B112" s="508">
        <v>319738</v>
      </c>
      <c r="C112" s="527">
        <v>99.8</v>
      </c>
      <c r="D112" s="528">
        <f t="shared" si="7"/>
        <v>4.268292710185051E-2</v>
      </c>
      <c r="E112" s="528">
        <v>4.268292710185051E-2</v>
      </c>
      <c r="F112" s="529">
        <v>2004</v>
      </c>
    </row>
    <row r="113" spans="1:11" ht="15">
      <c r="A113" s="531" t="s">
        <v>634</v>
      </c>
      <c r="B113" s="508">
        <v>14517176</v>
      </c>
      <c r="C113" s="527">
        <v>16.600000000000001</v>
      </c>
      <c r="D113" s="528">
        <f t="shared" si="7"/>
        <v>1.6919938474893571E-2</v>
      </c>
      <c r="E113" s="528">
        <v>6.2644490972161293E-3</v>
      </c>
      <c r="F113" s="529">
        <v>2004</v>
      </c>
    </row>
    <row r="114" spans="1:11" ht="15">
      <c r="A114" s="525" t="s">
        <v>525</v>
      </c>
      <c r="B114" s="508">
        <v>415995</v>
      </c>
      <c r="C114" s="527">
        <v>100</v>
      </c>
      <c r="D114" s="528">
        <f t="shared" si="7"/>
        <v>0.42385786771774292</v>
      </c>
      <c r="E114" s="528">
        <v>0.42385786771774292</v>
      </c>
      <c r="F114" s="529">
        <v>2003</v>
      </c>
      <c r="G114" s="36"/>
      <c r="J114" s="510"/>
      <c r="K114" s="511"/>
    </row>
    <row r="115" spans="1:11" ht="15">
      <c r="A115" s="525" t="s">
        <v>635</v>
      </c>
      <c r="B115" s="508">
        <v>54305</v>
      </c>
      <c r="C115" s="527">
        <v>68.5</v>
      </c>
      <c r="D115" s="528">
        <f t="shared" si="7"/>
        <v>7.8431375324726105E-2</v>
      </c>
      <c r="E115" s="528">
        <v>7.8431375324726105E-2</v>
      </c>
      <c r="F115" s="529">
        <v>2000</v>
      </c>
      <c r="J115" s="510"/>
      <c r="K115" s="511"/>
    </row>
    <row r="116" spans="1:11" ht="15">
      <c r="A116" s="525" t="s">
        <v>636</v>
      </c>
      <c r="B116" s="508">
        <v>3340627</v>
      </c>
      <c r="C116" s="527">
        <v>19</v>
      </c>
      <c r="D116" s="528">
        <f t="shared" si="7"/>
        <v>2.1476510912179947E-2</v>
      </c>
      <c r="E116" s="528">
        <v>2.1476510912179947E-2</v>
      </c>
      <c r="F116" s="529">
        <v>2004</v>
      </c>
      <c r="J116" s="510"/>
      <c r="K116" s="511"/>
    </row>
    <row r="117" spans="1:11" ht="15">
      <c r="A117" s="525" t="s">
        <v>526</v>
      </c>
      <c r="B117" s="508">
        <v>1280924</v>
      </c>
      <c r="C117" s="527">
        <v>99.4</v>
      </c>
      <c r="D117" s="528">
        <f t="shared" si="7"/>
        <v>0.18896998465061188</v>
      </c>
      <c r="E117" s="528">
        <v>0.18896998465061188</v>
      </c>
      <c r="F117" s="529">
        <v>2004</v>
      </c>
      <c r="G117" s="3" t="s">
        <v>592</v>
      </c>
      <c r="J117" s="510"/>
      <c r="K117" s="509"/>
    </row>
    <row r="118" spans="1:11" ht="15">
      <c r="A118" s="525" t="s">
        <v>637</v>
      </c>
      <c r="B118" s="508">
        <v>112336538</v>
      </c>
      <c r="C118" s="527">
        <v>97</v>
      </c>
      <c r="D118" s="528">
        <v>0.79125267267227173</v>
      </c>
      <c r="E118" s="528">
        <v>0.79125267267227173</v>
      </c>
      <c r="F118" s="529">
        <v>2000</v>
      </c>
      <c r="G118" s="36" t="s">
        <v>582</v>
      </c>
      <c r="J118" s="510"/>
      <c r="K118" s="511"/>
    </row>
    <row r="119" spans="1:11" ht="15">
      <c r="A119" s="525" t="s">
        <v>638</v>
      </c>
      <c r="B119" s="508">
        <v>107839</v>
      </c>
      <c r="C119" s="527">
        <v>95</v>
      </c>
      <c r="D119" s="528">
        <f t="shared" ref="D119:D128" si="8">IF(E119&lt;$B$211,$B$211,E119)</f>
        <v>0.13084112107753754</v>
      </c>
      <c r="E119" s="528">
        <v>0.13084112107753754</v>
      </c>
      <c r="F119" s="529">
        <v>2000</v>
      </c>
      <c r="J119" s="510"/>
      <c r="K119" s="509"/>
    </row>
    <row r="120" spans="1:11" ht="15">
      <c r="A120" s="531" t="s">
        <v>527</v>
      </c>
      <c r="B120" s="508">
        <v>31109</v>
      </c>
      <c r="C120" s="527">
        <v>100</v>
      </c>
      <c r="D120" s="528">
        <f t="shared" si="8"/>
        <v>1.0625</v>
      </c>
      <c r="E120" s="528">
        <v>1.0625</v>
      </c>
      <c r="F120" s="529">
        <v>1995</v>
      </c>
      <c r="G120" s="36"/>
      <c r="J120" s="510"/>
      <c r="K120" s="509"/>
    </row>
    <row r="121" spans="1:11" ht="15">
      <c r="A121" s="525" t="s">
        <v>639</v>
      </c>
      <c r="B121" s="508">
        <v>2758269</v>
      </c>
      <c r="C121" s="527">
        <v>87.5</v>
      </c>
      <c r="D121" s="528">
        <f t="shared" si="8"/>
        <v>0.1316920667886734</v>
      </c>
      <c r="E121" s="528">
        <v>0.1316920667886734</v>
      </c>
      <c r="F121" s="529">
        <v>2002</v>
      </c>
      <c r="G121" s="3" t="s">
        <v>592</v>
      </c>
      <c r="J121" s="510"/>
      <c r="K121" s="511"/>
    </row>
    <row r="122" spans="1:11" ht="15">
      <c r="A122" s="525" t="s">
        <v>589</v>
      </c>
      <c r="B122" s="508">
        <v>633000</v>
      </c>
      <c r="C122" s="527">
        <v>100</v>
      </c>
      <c r="D122" s="528">
        <f t="shared" si="8"/>
        <v>0.35994303226470947</v>
      </c>
      <c r="E122" s="528">
        <v>0.35994303226470947</v>
      </c>
      <c r="F122" s="529">
        <v>2002</v>
      </c>
      <c r="J122" s="510"/>
      <c r="K122" s="511"/>
    </row>
    <row r="123" spans="1:11" ht="15">
      <c r="A123" s="525" t="s">
        <v>528</v>
      </c>
      <c r="B123" s="508">
        <v>31894000</v>
      </c>
      <c r="C123" s="527">
        <v>97</v>
      </c>
      <c r="D123" s="528">
        <f t="shared" si="8"/>
        <v>9.9504247307777405E-2</v>
      </c>
      <c r="E123" s="528">
        <v>9.9504247307777405E-2</v>
      </c>
      <c r="F123" s="529">
        <v>2004</v>
      </c>
      <c r="G123" s="3" t="s">
        <v>592</v>
      </c>
      <c r="J123" s="510"/>
      <c r="K123" s="511"/>
    </row>
    <row r="124" spans="1:11" ht="15">
      <c r="A124" s="525" t="s">
        <v>529</v>
      </c>
      <c r="B124" s="508">
        <v>21854387</v>
      </c>
      <c r="C124" s="527">
        <v>11.7</v>
      </c>
      <c r="D124" s="528">
        <f t="shared" si="8"/>
        <v>1.6919938474893571E-2</v>
      </c>
      <c r="E124" s="528">
        <v>8.2890205085277557E-3</v>
      </c>
      <c r="F124" s="529">
        <v>2004</v>
      </c>
      <c r="G124" s="3" t="s">
        <v>592</v>
      </c>
      <c r="J124" s="510"/>
      <c r="K124" s="509"/>
    </row>
    <row r="125" spans="1:11" ht="15">
      <c r="A125" s="531" t="s">
        <v>530</v>
      </c>
      <c r="B125" s="508">
        <v>59130000</v>
      </c>
      <c r="C125" s="527">
        <v>13</v>
      </c>
      <c r="D125" s="528">
        <f t="shared" si="8"/>
        <v>2.7863714843988419E-2</v>
      </c>
      <c r="E125" s="528">
        <v>2.7863714843988419E-2</v>
      </c>
      <c r="F125" s="529">
        <v>2004</v>
      </c>
      <c r="G125" s="3" t="s">
        <v>592</v>
      </c>
    </row>
    <row r="126" spans="1:11" ht="15">
      <c r="A126" s="525" t="s">
        <v>531</v>
      </c>
      <c r="B126" s="508">
        <v>2103761</v>
      </c>
      <c r="C126" s="527">
        <v>34</v>
      </c>
      <c r="D126" s="528">
        <f t="shared" si="8"/>
        <v>5.6190948933362961E-2</v>
      </c>
      <c r="E126" s="528">
        <v>5.6190948933362961E-2</v>
      </c>
      <c r="F126" s="529">
        <v>2004</v>
      </c>
      <c r="G126" s="3" t="s">
        <v>592</v>
      </c>
    </row>
    <row r="127" spans="1:11" ht="15">
      <c r="A127" s="531" t="s">
        <v>695</v>
      </c>
      <c r="B127" s="508">
        <v>10065</v>
      </c>
      <c r="C127" s="527">
        <v>100</v>
      </c>
      <c r="D127" s="528">
        <f t="shared" si="8"/>
        <v>0.13084112107753754</v>
      </c>
      <c r="E127" s="528">
        <f>$E$119</f>
        <v>0.13084112107753754</v>
      </c>
      <c r="F127" s="526"/>
    </row>
    <row r="128" spans="1:11" ht="15">
      <c r="A128" s="525" t="s">
        <v>532</v>
      </c>
      <c r="B128" s="508">
        <v>28043744</v>
      </c>
      <c r="C128" s="527">
        <v>43.6</v>
      </c>
      <c r="D128" s="528">
        <f t="shared" si="8"/>
        <v>1.6919938474893571E-2</v>
      </c>
      <c r="E128" s="528">
        <v>1.3955296017229557E-2</v>
      </c>
      <c r="F128" s="529">
        <v>2004</v>
      </c>
      <c r="G128" s="3" t="s">
        <v>592</v>
      </c>
    </row>
    <row r="129" spans="1:7" ht="15">
      <c r="A129" s="525" t="s">
        <v>533</v>
      </c>
      <c r="B129" s="508">
        <v>16615394</v>
      </c>
      <c r="C129" s="527">
        <v>100</v>
      </c>
      <c r="D129" s="528">
        <v>0.4804631769657135</v>
      </c>
      <c r="E129" s="528">
        <v>0.4804631769657135</v>
      </c>
      <c r="F129" s="529">
        <v>2003</v>
      </c>
      <c r="G129" s="36" t="s">
        <v>582</v>
      </c>
    </row>
    <row r="130" spans="1:7" ht="15">
      <c r="A130" s="525" t="s">
        <v>640</v>
      </c>
      <c r="B130" s="508">
        <v>4367800</v>
      </c>
      <c r="C130" s="527">
        <v>87</v>
      </c>
      <c r="D130" s="528">
        <v>0.67785060405731201</v>
      </c>
      <c r="E130" s="528">
        <v>0.67785060405731201</v>
      </c>
      <c r="F130" s="529">
        <v>2001</v>
      </c>
      <c r="G130" s="36" t="s">
        <v>582</v>
      </c>
    </row>
    <row r="131" spans="1:7" ht="15">
      <c r="A131" s="525" t="s">
        <v>534</v>
      </c>
      <c r="B131" s="508">
        <v>5815524</v>
      </c>
      <c r="C131" s="527">
        <v>72.099999999999994</v>
      </c>
      <c r="D131" s="528">
        <f>IF(E131&lt;$B$211,$B$211,E131)</f>
        <v>4.4456642121076584E-2</v>
      </c>
      <c r="E131" s="528">
        <v>4.4456642121076584E-2</v>
      </c>
      <c r="F131" s="529">
        <v>2003</v>
      </c>
      <c r="G131" s="36" t="s">
        <v>592</v>
      </c>
    </row>
    <row r="132" spans="1:7" ht="15">
      <c r="A132" s="525" t="s">
        <v>641</v>
      </c>
      <c r="B132" s="508">
        <v>15203822</v>
      </c>
      <c r="C132" s="527">
        <v>9.3000000000000007</v>
      </c>
      <c r="D132" s="528">
        <f>IF(E132&lt;$B$211,$B$211,E132)</f>
        <v>1.6919938474893571E-2</v>
      </c>
      <c r="E132" s="528">
        <v>1.2082158355042338E-3</v>
      </c>
      <c r="F132" s="529">
        <v>2004</v>
      </c>
    </row>
    <row r="133" spans="1:7" ht="15">
      <c r="A133" s="531" t="s">
        <v>535</v>
      </c>
      <c r="B133" s="508">
        <v>133767000</v>
      </c>
      <c r="C133" s="527">
        <v>50.6</v>
      </c>
      <c r="D133" s="528">
        <f>IF(E133&lt;$B$211,$B$211,E133)</f>
        <v>2.0014677196741104E-2</v>
      </c>
      <c r="E133" s="528">
        <v>2.0014677196741104E-2</v>
      </c>
      <c r="F133" s="529">
        <v>2003</v>
      </c>
      <c r="G133" s="3" t="s">
        <v>592</v>
      </c>
    </row>
    <row r="134" spans="1:7" ht="15">
      <c r="A134" s="525" t="s">
        <v>642</v>
      </c>
      <c r="B134" s="508">
        <v>1496</v>
      </c>
      <c r="C134" s="527">
        <v>97</v>
      </c>
      <c r="D134" s="528">
        <f>IF(E134&lt;$B$211,$B$211,E134)</f>
        <v>1</v>
      </c>
      <c r="E134" s="528">
        <v>1</v>
      </c>
      <c r="F134" s="529">
        <v>1996</v>
      </c>
    </row>
    <row r="135" spans="1:7" ht="15">
      <c r="A135" s="525" t="s">
        <v>536</v>
      </c>
      <c r="B135" s="508">
        <v>4889252</v>
      </c>
      <c r="C135" s="527">
        <v>100</v>
      </c>
      <c r="D135" s="528">
        <v>0.82351642847061157</v>
      </c>
      <c r="E135" s="528">
        <v>0.82351642847061157</v>
      </c>
      <c r="F135" s="529">
        <v>2003</v>
      </c>
      <c r="G135" s="36" t="s">
        <v>582</v>
      </c>
    </row>
    <row r="136" spans="1:7" ht="15">
      <c r="A136" s="525" t="s">
        <v>537</v>
      </c>
      <c r="B136" s="508">
        <v>2773479</v>
      </c>
      <c r="C136" s="527">
        <v>98</v>
      </c>
      <c r="D136" s="528">
        <f t="shared" ref="D136:D143" si="9">IF(E136&lt;$B$211,$B$211,E136)</f>
        <v>0.1853492259979248</v>
      </c>
      <c r="E136" s="528">
        <v>0.1853492259979248</v>
      </c>
      <c r="F136" s="529">
        <v>2004</v>
      </c>
      <c r="G136" s="36" t="s">
        <v>592</v>
      </c>
    </row>
    <row r="137" spans="1:7" ht="15">
      <c r="A137" s="531" t="s">
        <v>538</v>
      </c>
      <c r="B137" s="508">
        <v>165150000</v>
      </c>
      <c r="C137" s="527">
        <v>62.4</v>
      </c>
      <c r="D137" s="528">
        <f t="shared" si="9"/>
        <v>4.9976162612438202E-2</v>
      </c>
      <c r="E137" s="528">
        <v>4.9976162612438202E-2</v>
      </c>
      <c r="F137" s="529">
        <v>2004</v>
      </c>
      <c r="G137" s="36" t="s">
        <v>592</v>
      </c>
    </row>
    <row r="138" spans="1:7" ht="15">
      <c r="A138" s="531" t="s">
        <v>643</v>
      </c>
      <c r="B138" s="508">
        <v>21388</v>
      </c>
      <c r="C138" s="527">
        <v>97</v>
      </c>
      <c r="D138" s="528">
        <f t="shared" si="9"/>
        <v>0.1111111119389534</v>
      </c>
      <c r="E138" s="528">
        <v>0.1111111119389534</v>
      </c>
      <c r="F138" s="529">
        <v>1998</v>
      </c>
    </row>
    <row r="139" spans="1:7" ht="15">
      <c r="A139" s="525" t="s">
        <v>539</v>
      </c>
      <c r="B139" s="508">
        <v>3504483</v>
      </c>
      <c r="C139" s="527">
        <v>88.1</v>
      </c>
      <c r="D139" s="528">
        <f t="shared" si="9"/>
        <v>0.75627118349075317</v>
      </c>
      <c r="E139" s="528">
        <v>0.75627118349075317</v>
      </c>
      <c r="F139" s="529">
        <v>2000</v>
      </c>
      <c r="G139" s="36" t="s">
        <v>592</v>
      </c>
    </row>
    <row r="140" spans="1:7" ht="15">
      <c r="A140" s="531" t="s">
        <v>644</v>
      </c>
      <c r="B140" s="508">
        <v>5461940</v>
      </c>
      <c r="C140" s="527">
        <v>11</v>
      </c>
      <c r="D140" s="528">
        <f t="shared" si="9"/>
        <v>1.6919938474893571E-2</v>
      </c>
      <c r="E140" s="528">
        <v>1.6872890293598175E-2</v>
      </c>
      <c r="F140" s="529">
        <v>2000</v>
      </c>
    </row>
    <row r="141" spans="1:7" ht="15">
      <c r="A141" s="525" t="s">
        <v>540</v>
      </c>
      <c r="B141" s="508">
        <v>6451120</v>
      </c>
      <c r="C141" s="527">
        <v>96.7</v>
      </c>
      <c r="D141" s="528">
        <f t="shared" si="9"/>
        <v>0.55435538291931152</v>
      </c>
      <c r="E141" s="528">
        <v>0.55435538291931152</v>
      </c>
      <c r="F141" s="529">
        <v>2002</v>
      </c>
      <c r="G141" s="3" t="s">
        <v>592</v>
      </c>
    </row>
    <row r="142" spans="1:7" ht="15">
      <c r="A142" s="525" t="s">
        <v>541</v>
      </c>
      <c r="B142" s="508">
        <v>29461933</v>
      </c>
      <c r="C142" s="527">
        <v>85.7</v>
      </c>
      <c r="D142" s="528">
        <f t="shared" si="9"/>
        <v>0.11000587791204453</v>
      </c>
      <c r="E142" s="528">
        <v>0.11000587791204453</v>
      </c>
      <c r="F142" s="529">
        <v>1999</v>
      </c>
      <c r="G142" s="36" t="s">
        <v>592</v>
      </c>
    </row>
    <row r="143" spans="1:7" ht="15">
      <c r="A143" s="525" t="s">
        <v>542</v>
      </c>
      <c r="B143" s="508">
        <v>94013200</v>
      </c>
      <c r="C143" s="527">
        <v>89.7</v>
      </c>
      <c r="D143" s="528">
        <f t="shared" si="9"/>
        <v>0.11311434209346771</v>
      </c>
      <c r="E143" s="528">
        <v>0.11311434209346771</v>
      </c>
      <c r="F143" s="529">
        <v>2000</v>
      </c>
      <c r="G143" s="36" t="s">
        <v>592</v>
      </c>
    </row>
    <row r="144" spans="1:7" ht="15">
      <c r="A144" s="525" t="s">
        <v>645</v>
      </c>
      <c r="B144" s="508">
        <v>38186860</v>
      </c>
      <c r="C144" s="527">
        <v>100</v>
      </c>
      <c r="D144" s="528">
        <v>0.29675796627998352</v>
      </c>
      <c r="E144" s="528">
        <v>0.29675796627998352</v>
      </c>
      <c r="F144" s="529">
        <v>2003</v>
      </c>
      <c r="G144" s="36" t="s">
        <v>582</v>
      </c>
    </row>
    <row r="145" spans="1:11" ht="15">
      <c r="A145" s="525" t="s">
        <v>543</v>
      </c>
      <c r="B145" s="508">
        <v>10637346</v>
      </c>
      <c r="C145" s="527">
        <v>100</v>
      </c>
      <c r="D145" s="528">
        <v>0.54765927791595459</v>
      </c>
      <c r="E145" s="528">
        <v>0.54765927791595459</v>
      </c>
      <c r="F145" s="529">
        <v>2003</v>
      </c>
      <c r="G145" s="36" t="s">
        <v>582</v>
      </c>
    </row>
    <row r="146" spans="1:11" ht="15">
      <c r="A146" s="525" t="s">
        <v>544</v>
      </c>
      <c r="B146" s="508">
        <v>1715010</v>
      </c>
      <c r="C146" s="527">
        <v>98.7</v>
      </c>
      <c r="D146" s="528">
        <f>IF(E146&lt;$B$211,$B$211,E146)</f>
        <v>0.37225043773651123</v>
      </c>
      <c r="E146" s="528">
        <v>0.37225043773651123</v>
      </c>
      <c r="F146" s="529">
        <v>2001</v>
      </c>
      <c r="G146" s="36" t="s">
        <v>592</v>
      </c>
    </row>
    <row r="147" spans="1:11" ht="15">
      <c r="A147" s="525" t="s">
        <v>646</v>
      </c>
      <c r="B147" s="508">
        <v>49879811</v>
      </c>
      <c r="C147" s="527">
        <v>100</v>
      </c>
      <c r="D147" s="528">
        <v>0.33612158894538879</v>
      </c>
      <c r="E147" s="528">
        <v>0.33612158894538879</v>
      </c>
      <c r="F147" s="529">
        <v>2003</v>
      </c>
      <c r="G147" s="36" t="s">
        <v>582</v>
      </c>
    </row>
    <row r="148" spans="1:11" ht="15">
      <c r="A148" s="525" t="s">
        <v>647</v>
      </c>
      <c r="B148" s="508">
        <v>3562045</v>
      </c>
      <c r="C148" s="527">
        <v>98.6</v>
      </c>
      <c r="D148" s="528">
        <f t="shared" ref="D148:D164" si="10">IF(E148&lt;$B$211,$B$211,E148)</f>
        <v>0.3288024365901947</v>
      </c>
      <c r="E148" s="528">
        <v>0.3288024365901947</v>
      </c>
      <c r="F148" s="529">
        <v>2003</v>
      </c>
    </row>
    <row r="149" spans="1:11" ht="15">
      <c r="A149" s="531" t="s">
        <v>613</v>
      </c>
      <c r="B149" s="508">
        <v>3751781</v>
      </c>
      <c r="C149" s="527">
        <v>37.1</v>
      </c>
      <c r="D149" s="528">
        <f t="shared" si="10"/>
        <v>1.6919938474893571E-2</v>
      </c>
      <c r="E149" s="528">
        <v>3.1430067028850317E-3</v>
      </c>
      <c r="F149" s="529">
        <v>2004</v>
      </c>
      <c r="G149" s="3" t="s">
        <v>592</v>
      </c>
    </row>
    <row r="150" spans="1:11" ht="15">
      <c r="A150" s="525" t="s">
        <v>545</v>
      </c>
      <c r="B150" s="508">
        <v>21431298</v>
      </c>
      <c r="C150" s="527">
        <v>99</v>
      </c>
      <c r="D150" s="528">
        <f t="shared" si="10"/>
        <v>0.22024714946746826</v>
      </c>
      <c r="E150" s="528">
        <v>0.22024714946746826</v>
      </c>
      <c r="F150" s="529">
        <v>2003</v>
      </c>
    </row>
    <row r="151" spans="1:11" ht="15">
      <c r="A151" s="525" t="s">
        <v>648</v>
      </c>
      <c r="B151" s="508">
        <v>142905208</v>
      </c>
      <c r="C151" s="527">
        <v>93</v>
      </c>
      <c r="D151" s="528">
        <f t="shared" si="10"/>
        <v>0.32093042135238647</v>
      </c>
      <c r="E151" s="528">
        <v>0.32093042135238647</v>
      </c>
      <c r="F151" s="529">
        <v>2003</v>
      </c>
      <c r="G151" s="36"/>
    </row>
    <row r="152" spans="1:11" ht="15">
      <c r="A152" s="525" t="s">
        <v>649</v>
      </c>
      <c r="B152" s="508">
        <v>10412820</v>
      </c>
      <c r="C152" s="527">
        <v>6</v>
      </c>
      <c r="D152" s="528">
        <f t="shared" si="10"/>
        <v>1.6919938474893571E-2</v>
      </c>
      <c r="E152" s="528">
        <v>2.4761231616139412E-3</v>
      </c>
      <c r="F152" s="529">
        <v>2004</v>
      </c>
      <c r="J152" s="510"/>
      <c r="K152" s="511"/>
    </row>
    <row r="153" spans="1:11" ht="15">
      <c r="A153" s="531" t="s">
        <v>546</v>
      </c>
      <c r="B153" s="508">
        <v>38958</v>
      </c>
      <c r="C153" s="527">
        <v>95</v>
      </c>
      <c r="D153" s="528">
        <f t="shared" si="10"/>
        <v>0.18604651093482971</v>
      </c>
      <c r="E153" s="528">
        <v>0.18604651093482971</v>
      </c>
      <c r="F153" s="529">
        <v>1997</v>
      </c>
      <c r="J153" s="510"/>
      <c r="K153" s="511"/>
    </row>
    <row r="154" spans="1:11" ht="15">
      <c r="A154" s="525" t="s">
        <v>547</v>
      </c>
      <c r="B154" s="508">
        <v>173720</v>
      </c>
      <c r="C154" s="527">
        <v>98</v>
      </c>
      <c r="D154" s="528">
        <f t="shared" si="10"/>
        <v>6.2068965286016464E-2</v>
      </c>
      <c r="E154" s="528">
        <v>6.2068965286016464E-2</v>
      </c>
      <c r="F154" s="529">
        <v>1999</v>
      </c>
      <c r="J154" s="510"/>
      <c r="K154" s="511"/>
    </row>
    <row r="155" spans="1:11" ht="15">
      <c r="A155" s="531" t="s">
        <v>650</v>
      </c>
      <c r="B155" s="508">
        <v>99086</v>
      </c>
      <c r="C155" s="527">
        <v>66.8</v>
      </c>
      <c r="D155" s="528">
        <f t="shared" si="10"/>
        <v>5.1724139600992203E-2</v>
      </c>
      <c r="E155" s="528">
        <v>5.1724139600992203E-2</v>
      </c>
      <c r="F155" s="529">
        <v>1997</v>
      </c>
      <c r="J155" s="510"/>
      <c r="K155" s="511"/>
    </row>
    <row r="156" spans="1:11" ht="15">
      <c r="A156" s="525" t="s">
        <v>548</v>
      </c>
      <c r="B156" s="508">
        <v>184032</v>
      </c>
      <c r="C156" s="527">
        <v>93</v>
      </c>
      <c r="D156" s="528">
        <f t="shared" si="10"/>
        <v>0.17543859779834747</v>
      </c>
      <c r="E156" s="528">
        <v>0.17543859779834747</v>
      </c>
      <c r="F156" s="529">
        <v>1999</v>
      </c>
      <c r="J156" s="510"/>
      <c r="K156" s="509"/>
    </row>
    <row r="157" spans="1:11" ht="15">
      <c r="A157" s="525" t="s">
        <v>651</v>
      </c>
      <c r="B157" s="508">
        <v>33163</v>
      </c>
      <c r="C157" s="527">
        <v>100</v>
      </c>
      <c r="D157" s="528">
        <f t="shared" si="10"/>
        <v>0.34782609343528748</v>
      </c>
      <c r="E157" s="528">
        <v>0.34782609343528748</v>
      </c>
      <c r="F157" s="529">
        <v>1990</v>
      </c>
      <c r="J157" s="510"/>
      <c r="K157" s="511"/>
    </row>
    <row r="158" spans="1:11" ht="15">
      <c r="A158" s="525" t="s">
        <v>652</v>
      </c>
      <c r="B158" s="508">
        <v>163800</v>
      </c>
      <c r="C158" s="527">
        <v>60</v>
      </c>
      <c r="D158" s="528">
        <f t="shared" si="10"/>
        <v>6.6666670143604279E-2</v>
      </c>
      <c r="E158" s="528">
        <v>6.6666670143604279E-2</v>
      </c>
      <c r="F158" s="529">
        <v>2004</v>
      </c>
    </row>
    <row r="159" spans="1:11" ht="15">
      <c r="A159" s="525" t="s">
        <v>549</v>
      </c>
      <c r="B159" s="508">
        <v>27563432</v>
      </c>
      <c r="C159" s="527">
        <v>99</v>
      </c>
      <c r="D159" s="528">
        <f t="shared" si="10"/>
        <v>0.16995063424110413</v>
      </c>
      <c r="E159" s="528">
        <v>0.16995063424110413</v>
      </c>
      <c r="F159" s="529">
        <v>2004</v>
      </c>
      <c r="G159" s="36" t="s">
        <v>592</v>
      </c>
    </row>
    <row r="160" spans="1:11" ht="15">
      <c r="A160" s="525" t="s">
        <v>550</v>
      </c>
      <c r="B160" s="508">
        <v>12509434</v>
      </c>
      <c r="C160" s="527">
        <v>42</v>
      </c>
      <c r="D160" s="528">
        <f t="shared" si="10"/>
        <v>1.6919938474893571E-2</v>
      </c>
      <c r="E160" s="528">
        <v>9.3819517642259598E-3</v>
      </c>
      <c r="F160" s="529">
        <v>2004</v>
      </c>
      <c r="G160" s="3" t="s">
        <v>592</v>
      </c>
    </row>
    <row r="161" spans="1:7" ht="15">
      <c r="A161" s="525" t="s">
        <v>653</v>
      </c>
      <c r="B161" s="508">
        <v>7291436</v>
      </c>
      <c r="C161" s="527">
        <v>100</v>
      </c>
      <c r="D161" s="528">
        <f t="shared" si="10"/>
        <v>0.35994303226470947</v>
      </c>
      <c r="E161" s="528">
        <v>0.35994303226470947</v>
      </c>
      <c r="F161" s="529">
        <v>2002</v>
      </c>
      <c r="G161" s="36"/>
    </row>
    <row r="162" spans="1:7" ht="15">
      <c r="A162" s="525" t="s">
        <v>654</v>
      </c>
      <c r="B162" s="508">
        <v>89770</v>
      </c>
      <c r="C162" s="527">
        <v>96</v>
      </c>
      <c r="D162" s="528">
        <f t="shared" si="10"/>
        <v>1.1749999523162842</v>
      </c>
      <c r="E162" s="528">
        <v>1.1749999523162842</v>
      </c>
      <c r="F162" s="529">
        <v>2004</v>
      </c>
    </row>
    <row r="163" spans="1:7" ht="15">
      <c r="A163" s="525" t="s">
        <v>655</v>
      </c>
      <c r="B163" s="508">
        <v>5746800</v>
      </c>
      <c r="C163" s="527">
        <v>12.1</v>
      </c>
      <c r="D163" s="528">
        <f t="shared" si="10"/>
        <v>1.6919938474893571E-2</v>
      </c>
      <c r="E163" s="528">
        <v>9.6749223303049803E-4</v>
      </c>
      <c r="F163" s="529">
        <v>2004</v>
      </c>
    </row>
    <row r="164" spans="1:7" ht="15">
      <c r="A164" s="525" t="s">
        <v>656</v>
      </c>
      <c r="B164" s="508">
        <v>5076700</v>
      </c>
      <c r="C164" s="527">
        <v>99.9</v>
      </c>
      <c r="D164" s="528">
        <f t="shared" si="10"/>
        <v>0.26479902863502502</v>
      </c>
      <c r="E164" s="528">
        <v>0.26479902863502502</v>
      </c>
      <c r="F164" s="529">
        <v>2001</v>
      </c>
      <c r="G164" s="36" t="s">
        <v>592</v>
      </c>
    </row>
    <row r="165" spans="1:7" ht="15">
      <c r="A165" s="525" t="s">
        <v>551</v>
      </c>
      <c r="B165" s="508">
        <v>5431024</v>
      </c>
      <c r="C165" s="527">
        <v>98</v>
      </c>
      <c r="D165" s="528">
        <v>0.43761569261550903</v>
      </c>
      <c r="E165" s="528">
        <v>0.43761569261550903</v>
      </c>
      <c r="F165" s="529">
        <v>2003</v>
      </c>
      <c r="G165" s="36" t="s">
        <v>582</v>
      </c>
    </row>
    <row r="166" spans="1:7" ht="15">
      <c r="A166" s="525" t="s">
        <v>552</v>
      </c>
      <c r="B166" s="508">
        <v>2049261</v>
      </c>
      <c r="C166" s="527">
        <v>99</v>
      </c>
      <c r="D166" s="528">
        <v>0.6037260890007019</v>
      </c>
      <c r="E166" s="528">
        <v>0.6037260890007019</v>
      </c>
      <c r="F166" s="529">
        <v>2002</v>
      </c>
      <c r="G166" s="36" t="s">
        <v>582</v>
      </c>
    </row>
    <row r="167" spans="1:7" ht="15">
      <c r="A167" s="525" t="s">
        <v>657</v>
      </c>
      <c r="B167" s="508">
        <v>530669</v>
      </c>
      <c r="C167" s="527">
        <v>15.7</v>
      </c>
      <c r="D167" s="528">
        <f>IF(E167&lt;$B$211,$B$211,E167)</f>
        <v>6.1320755630731583E-2</v>
      </c>
      <c r="E167" s="528">
        <v>6.1320755630731583E-2</v>
      </c>
      <c r="F167" s="529">
        <v>1999</v>
      </c>
    </row>
    <row r="168" spans="1:7" ht="15">
      <c r="A168" s="531" t="s">
        <v>658</v>
      </c>
      <c r="B168" s="508">
        <v>6799079</v>
      </c>
      <c r="C168" s="527">
        <v>30</v>
      </c>
      <c r="D168" s="528">
        <f>IF(E168&lt;$B$211,$B$211,E168)</f>
        <v>1.6919938474893571E-2</v>
      </c>
      <c r="E168" s="528">
        <v>1.9324916647747159E-3</v>
      </c>
      <c r="F168" s="529">
        <v>1997</v>
      </c>
    </row>
    <row r="169" spans="1:7" ht="15">
      <c r="A169" s="525" t="s">
        <v>553</v>
      </c>
      <c r="B169" s="508">
        <v>50034236</v>
      </c>
      <c r="C169" s="527">
        <v>75</v>
      </c>
      <c r="D169" s="528">
        <f>IF(E169&lt;$B$211,$B$211,E169)</f>
        <v>0.13259167969226837</v>
      </c>
      <c r="E169" s="528">
        <v>0.13259167969226837</v>
      </c>
      <c r="F169" s="529">
        <v>2004</v>
      </c>
      <c r="G169" s="36" t="s">
        <v>592</v>
      </c>
    </row>
    <row r="170" spans="1:7" ht="15">
      <c r="A170" s="525" t="s">
        <v>554</v>
      </c>
      <c r="B170" s="508">
        <v>46072831</v>
      </c>
      <c r="C170" s="527">
        <v>100</v>
      </c>
      <c r="D170" s="528">
        <v>0.48721382021903992</v>
      </c>
      <c r="E170" s="528">
        <v>0.48721382021903992</v>
      </c>
      <c r="F170" s="529">
        <v>2003</v>
      </c>
      <c r="G170" s="36" t="s">
        <v>582</v>
      </c>
    </row>
    <row r="171" spans="1:7" ht="15">
      <c r="A171" s="525" t="s">
        <v>555</v>
      </c>
      <c r="B171" s="508">
        <v>20653000</v>
      </c>
      <c r="C171" s="527">
        <v>76.599999999999994</v>
      </c>
      <c r="D171" s="528">
        <f>IF(E171&lt;$B$211,$B$211,E171)</f>
        <v>6.4783014357089996E-2</v>
      </c>
      <c r="E171" s="528">
        <v>6.4783014357089996E-2</v>
      </c>
      <c r="F171" s="529">
        <v>2004</v>
      </c>
      <c r="G171" s="36" t="s">
        <v>592</v>
      </c>
    </row>
    <row r="172" spans="1:7" ht="15">
      <c r="A172" s="531" t="s">
        <v>556</v>
      </c>
      <c r="B172" s="508">
        <v>38193000</v>
      </c>
      <c r="C172" s="527">
        <v>35.9</v>
      </c>
      <c r="D172" s="528">
        <f>IF(E172&lt;$B$211,$B$211,E172)</f>
        <v>3.1514868140220642E-2</v>
      </c>
      <c r="E172" s="528">
        <v>3.1514868140220642E-2</v>
      </c>
      <c r="F172" s="529">
        <v>2004</v>
      </c>
      <c r="G172" s="36" t="s">
        <v>592</v>
      </c>
    </row>
    <row r="173" spans="1:7" ht="15">
      <c r="A173" s="525" t="s">
        <v>659</v>
      </c>
      <c r="B173" s="508">
        <v>531170</v>
      </c>
      <c r="C173" s="527">
        <v>84</v>
      </c>
      <c r="D173" s="528">
        <f>IF(E173&lt;$B$211,$B$211,E173)</f>
        <v>1.6919938474893571E-2</v>
      </c>
      <c r="E173" s="528">
        <v>9.4117643311619759E-3</v>
      </c>
      <c r="F173" s="529">
        <v>2000</v>
      </c>
    </row>
    <row r="174" spans="1:7" ht="15">
      <c r="A174" s="525" t="s">
        <v>557</v>
      </c>
      <c r="B174" s="508">
        <v>1055506</v>
      </c>
      <c r="C174" s="527">
        <v>27</v>
      </c>
      <c r="D174" s="528">
        <f>IF(E174&lt;$B$211,$B$211,E174)</f>
        <v>2.9547553509473801E-2</v>
      </c>
      <c r="E174" s="528">
        <v>2.9547553509473801E-2</v>
      </c>
      <c r="F174" s="529">
        <v>2004</v>
      </c>
    </row>
    <row r="175" spans="1:7" ht="15">
      <c r="A175" s="525" t="s">
        <v>558</v>
      </c>
      <c r="B175" s="508">
        <v>9378126</v>
      </c>
      <c r="C175" s="527">
        <v>100</v>
      </c>
      <c r="D175" s="528">
        <v>0.81989401578903198</v>
      </c>
      <c r="E175" s="528">
        <v>0.81989401578903198</v>
      </c>
      <c r="F175" s="529">
        <v>2002</v>
      </c>
      <c r="G175" s="36" t="s">
        <v>582</v>
      </c>
    </row>
    <row r="176" spans="1:7" ht="15">
      <c r="A176" s="525" t="s">
        <v>559</v>
      </c>
      <c r="B176" s="508">
        <v>7826153</v>
      </c>
      <c r="C176" s="527">
        <v>100</v>
      </c>
      <c r="D176" s="528">
        <v>0.50188308954238892</v>
      </c>
      <c r="E176" s="528">
        <v>0.50188308954238892</v>
      </c>
      <c r="F176" s="529">
        <v>2003</v>
      </c>
      <c r="G176" s="36" t="s">
        <v>582</v>
      </c>
    </row>
    <row r="177" spans="1:7" ht="15">
      <c r="A177" s="531" t="s">
        <v>560</v>
      </c>
      <c r="B177" s="508">
        <v>20125000</v>
      </c>
      <c r="C177" s="527">
        <v>92.7</v>
      </c>
      <c r="D177" s="528">
        <f t="shared" ref="D177:D187" si="11">IF(E177&lt;$B$211,$B$211,E177)</f>
        <v>0.71935409307479858</v>
      </c>
      <c r="E177" s="528">
        <v>0.71935409307479858</v>
      </c>
      <c r="F177" s="529">
        <v>2001</v>
      </c>
      <c r="G177" s="36" t="s">
        <v>592</v>
      </c>
    </row>
    <row r="178" spans="1:7" ht="15">
      <c r="A178" s="531" t="s">
        <v>660</v>
      </c>
      <c r="B178" s="508">
        <v>6710161</v>
      </c>
      <c r="C178" s="527">
        <v>85</v>
      </c>
      <c r="D178" s="528">
        <f t="shared" si="11"/>
        <v>0.15132105350494385</v>
      </c>
      <c r="E178" s="528">
        <v>0.15132105350494385</v>
      </c>
      <c r="F178" s="529">
        <v>2003</v>
      </c>
    </row>
    <row r="179" spans="1:7" ht="15">
      <c r="A179" s="525" t="s">
        <v>693</v>
      </c>
      <c r="B179" s="521">
        <v>34443603</v>
      </c>
      <c r="C179" s="527">
        <v>12</v>
      </c>
      <c r="D179" s="528">
        <f t="shared" si="11"/>
        <v>4.1332509368658066E-2</v>
      </c>
      <c r="E179" s="528">
        <f>$E$97</f>
        <v>4.1332509368658066E-2</v>
      </c>
      <c r="F179" s="529"/>
      <c r="G179" s="36"/>
    </row>
    <row r="180" spans="1:7" ht="15">
      <c r="A180" s="525" t="s">
        <v>561</v>
      </c>
      <c r="B180" s="508">
        <v>67311917</v>
      </c>
      <c r="C180" s="527">
        <v>99.3</v>
      </c>
      <c r="D180" s="528">
        <f t="shared" si="11"/>
        <v>0.17167007923126221</v>
      </c>
      <c r="E180" s="528">
        <v>0.17167007923126221</v>
      </c>
      <c r="F180" s="529">
        <v>2000</v>
      </c>
      <c r="G180" s="3" t="s">
        <v>592</v>
      </c>
    </row>
    <row r="181" spans="1:7" ht="15">
      <c r="A181" s="525" t="s">
        <v>661</v>
      </c>
      <c r="B181" s="508">
        <v>2055004</v>
      </c>
      <c r="C181" s="527">
        <v>97.4</v>
      </c>
      <c r="D181" s="528">
        <f t="shared" si="11"/>
        <v>0.55282557010650635</v>
      </c>
      <c r="E181" s="528">
        <v>0.55282557010650635</v>
      </c>
      <c r="F181" s="529">
        <v>2001</v>
      </c>
    </row>
    <row r="182" spans="1:7" ht="15">
      <c r="A182" s="531" t="s">
        <v>562</v>
      </c>
      <c r="B182" s="508">
        <v>79221000</v>
      </c>
      <c r="C182" s="527">
        <v>17</v>
      </c>
      <c r="D182" s="528">
        <f t="shared" si="11"/>
        <v>1.6919938474893571E-2</v>
      </c>
      <c r="E182" s="528">
        <v>1.3158266665413976E-3</v>
      </c>
      <c r="F182" s="529">
        <v>2003</v>
      </c>
      <c r="G182" s="36" t="s">
        <v>592</v>
      </c>
    </row>
    <row r="183" spans="1:7" ht="15">
      <c r="A183" s="525" t="s">
        <v>562</v>
      </c>
      <c r="B183" s="508">
        <v>1066582</v>
      </c>
      <c r="C183" s="527">
        <v>22</v>
      </c>
      <c r="D183" s="528">
        <f t="shared" si="11"/>
        <v>5.4878048598766327E-2</v>
      </c>
      <c r="E183" s="528">
        <v>5.4878048598766327E-2</v>
      </c>
      <c r="F183" s="529">
        <v>2004</v>
      </c>
      <c r="G183" s="3" t="s">
        <v>592</v>
      </c>
    </row>
    <row r="184" spans="1:7" ht="15">
      <c r="A184" s="525" t="s">
        <v>563</v>
      </c>
      <c r="B184" s="508">
        <v>6191155</v>
      </c>
      <c r="C184" s="527">
        <v>20</v>
      </c>
      <c r="D184" s="528">
        <f t="shared" si="11"/>
        <v>1.6919938474893571E-2</v>
      </c>
      <c r="E184" s="528">
        <v>3.7871238309890032E-3</v>
      </c>
      <c r="F184" s="529">
        <v>2004</v>
      </c>
      <c r="G184" s="3" t="s">
        <v>592</v>
      </c>
    </row>
    <row r="185" spans="1:7" ht="15">
      <c r="A185" s="531" t="s">
        <v>564</v>
      </c>
      <c r="B185" s="508">
        <v>102371</v>
      </c>
      <c r="C185" s="527">
        <v>23</v>
      </c>
      <c r="D185" s="528">
        <f t="shared" si="11"/>
        <v>0.32352942228317261</v>
      </c>
      <c r="E185" s="528">
        <v>0.32352942228317261</v>
      </c>
      <c r="F185" s="529">
        <v>2001</v>
      </c>
    </row>
    <row r="186" spans="1:7" ht="15">
      <c r="A186" s="525" t="s">
        <v>565</v>
      </c>
      <c r="B186" s="508">
        <v>1317714</v>
      </c>
      <c r="C186" s="527">
        <v>99</v>
      </c>
      <c r="D186" s="528">
        <f t="shared" si="11"/>
        <v>8.3987444639205933E-2</v>
      </c>
      <c r="E186" s="528">
        <v>8.3987444639205933E-2</v>
      </c>
      <c r="F186" s="529">
        <v>1997</v>
      </c>
      <c r="G186" s="3" t="s">
        <v>592</v>
      </c>
    </row>
    <row r="187" spans="1:7" ht="15">
      <c r="A187" s="525" t="s">
        <v>566</v>
      </c>
      <c r="B187" s="508">
        <v>10549300</v>
      </c>
      <c r="C187" s="527">
        <v>99.5</v>
      </c>
      <c r="D187" s="528">
        <f t="shared" si="11"/>
        <v>0.24675455689430237</v>
      </c>
      <c r="E187" s="528">
        <v>0.24675455689430237</v>
      </c>
      <c r="F187" s="529">
        <v>2004</v>
      </c>
      <c r="G187" s="3" t="s">
        <v>592</v>
      </c>
    </row>
    <row r="188" spans="1:7" ht="15">
      <c r="A188" s="525" t="s">
        <v>662</v>
      </c>
      <c r="B188" s="508">
        <v>72698000</v>
      </c>
      <c r="C188" s="527">
        <v>99.9</v>
      </c>
      <c r="D188" s="528">
        <v>0.2411496639251709</v>
      </c>
      <c r="E188" s="528">
        <v>0.2411496639251709</v>
      </c>
      <c r="F188" s="529">
        <v>2003</v>
      </c>
      <c r="G188" s="36" t="s">
        <v>582</v>
      </c>
    </row>
    <row r="189" spans="1:7" ht="15">
      <c r="A189" s="531" t="s">
        <v>663</v>
      </c>
      <c r="B189" s="508">
        <v>5123940</v>
      </c>
      <c r="C189" s="527">
        <v>100</v>
      </c>
      <c r="D189" s="528">
        <f>IF(E189&lt;$B$211,$B$211,E189)</f>
        <v>0.18272840976715088</v>
      </c>
      <c r="E189" s="528">
        <v>0.18272840976715088</v>
      </c>
      <c r="F189" s="529">
        <v>2002</v>
      </c>
    </row>
    <row r="190" spans="1:7" ht="15">
      <c r="A190" s="531" t="s">
        <v>664</v>
      </c>
      <c r="B190" s="532">
        <v>9650</v>
      </c>
      <c r="C190" s="527">
        <v>92</v>
      </c>
      <c r="D190" s="528">
        <f>IF(E190&lt;$B$211,$B$211,E190)</f>
        <v>0.18181818723678589</v>
      </c>
      <c r="E190" s="528">
        <v>0.18181818723678589</v>
      </c>
      <c r="F190" s="529">
        <v>2002</v>
      </c>
    </row>
    <row r="191" spans="1:7" ht="15">
      <c r="A191" s="531" t="s">
        <v>567</v>
      </c>
      <c r="B191" s="508">
        <v>30661300</v>
      </c>
      <c r="C191" s="527">
        <v>9</v>
      </c>
      <c r="D191" s="528">
        <f>IF(E191&lt;$B$211,$B$211,E191)</f>
        <v>1.6919938474893571E-2</v>
      </c>
      <c r="E191" s="528">
        <v>1.3596015051007271E-2</v>
      </c>
      <c r="F191" s="529">
        <v>2004</v>
      </c>
      <c r="G191" s="3" t="s">
        <v>592</v>
      </c>
    </row>
    <row r="192" spans="1:7" ht="15">
      <c r="A192" s="525" t="s">
        <v>568</v>
      </c>
      <c r="B192" s="508">
        <v>45962947</v>
      </c>
      <c r="C192" s="527">
        <v>100</v>
      </c>
      <c r="D192" s="528">
        <f>IF(E192&lt;$B$211,$B$211,E192)</f>
        <v>0.39886239171028137</v>
      </c>
      <c r="E192" s="528">
        <v>0.39886239171028137</v>
      </c>
      <c r="F192" s="529">
        <v>2003</v>
      </c>
    </row>
    <row r="193" spans="1:7" ht="15">
      <c r="A193" s="531" t="s">
        <v>569</v>
      </c>
      <c r="B193" s="508">
        <v>4765000</v>
      </c>
      <c r="C193" s="527">
        <v>100</v>
      </c>
      <c r="D193" s="528">
        <f>IF(E193&lt;$B$211,$B$211,E193)</f>
        <v>0.33136504888534546</v>
      </c>
      <c r="E193" s="528">
        <v>0.33136504888534546</v>
      </c>
      <c r="F193" s="529">
        <v>2001</v>
      </c>
      <c r="G193" s="36"/>
    </row>
    <row r="194" spans="1:7" ht="15">
      <c r="A194" s="525" t="s">
        <v>570</v>
      </c>
      <c r="B194" s="508">
        <v>62261967</v>
      </c>
      <c r="C194" s="527">
        <v>100</v>
      </c>
      <c r="D194" s="528">
        <v>1.0108957290649414</v>
      </c>
      <c r="E194" s="528">
        <v>1.0108957290649414</v>
      </c>
      <c r="F194" s="529">
        <v>1997</v>
      </c>
      <c r="G194" s="36" t="s">
        <v>582</v>
      </c>
    </row>
    <row r="195" spans="1:7" ht="15">
      <c r="A195" s="531" t="s">
        <v>571</v>
      </c>
      <c r="B195" s="508">
        <v>41900000</v>
      </c>
      <c r="C195" s="527">
        <v>13.9</v>
      </c>
      <c r="D195" s="528">
        <f>IF(E195&lt;$B$211,$B$211,E195)</f>
        <v>1.6919938474893571E-2</v>
      </c>
      <c r="E195" s="528">
        <v>7.3602381162345409E-3</v>
      </c>
      <c r="F195" s="529">
        <v>2002</v>
      </c>
      <c r="G195" s="3" t="s">
        <v>592</v>
      </c>
    </row>
    <row r="196" spans="1:7" ht="15">
      <c r="A196" s="525" t="s">
        <v>572</v>
      </c>
      <c r="B196" s="508">
        <v>309050816</v>
      </c>
      <c r="C196" s="527">
        <v>100</v>
      </c>
      <c r="D196" s="528">
        <v>1.6268706321716309</v>
      </c>
      <c r="E196" s="528">
        <v>1.6268706321716309</v>
      </c>
      <c r="F196" s="529">
        <v>2000</v>
      </c>
      <c r="G196" s="36" t="s">
        <v>582</v>
      </c>
    </row>
    <row r="197" spans="1:7" ht="15">
      <c r="A197" s="525" t="s">
        <v>573</v>
      </c>
      <c r="B197" s="508">
        <v>3356584</v>
      </c>
      <c r="C197" s="527">
        <v>98.3</v>
      </c>
      <c r="D197" s="528">
        <f t="shared" ref="D197:D204" si="12">IF(E197&lt;$B$211,$B$211,E197)</f>
        <v>1.1607195138931274</v>
      </c>
      <c r="E197" s="528">
        <v>1.1607195138931274</v>
      </c>
      <c r="F197" s="529">
        <v>2002</v>
      </c>
      <c r="G197" s="36" t="s">
        <v>592</v>
      </c>
    </row>
    <row r="198" spans="1:7" ht="15">
      <c r="A198" s="531" t="s">
        <v>574</v>
      </c>
      <c r="B198" s="508">
        <v>25567663</v>
      </c>
      <c r="C198" s="527">
        <v>100</v>
      </c>
      <c r="D198" s="528">
        <f t="shared" si="12"/>
        <v>0.13819798827171326</v>
      </c>
      <c r="E198" s="528">
        <v>0.13819798827171326</v>
      </c>
      <c r="F198" s="529">
        <v>2003</v>
      </c>
    </row>
    <row r="199" spans="1:7" ht="15">
      <c r="A199" s="531" t="s">
        <v>698</v>
      </c>
      <c r="B199" s="508">
        <v>234023</v>
      </c>
      <c r="C199" s="527">
        <v>27</v>
      </c>
      <c r="D199" s="528">
        <f t="shared" si="12"/>
        <v>0.13084112107753754</v>
      </c>
      <c r="E199" s="528">
        <f>$E$119</f>
        <v>0.13084112107753754</v>
      </c>
      <c r="F199" s="526"/>
    </row>
    <row r="200" spans="1:7" ht="15">
      <c r="A200" s="525" t="s">
        <v>575</v>
      </c>
      <c r="B200" s="508">
        <v>28833845</v>
      </c>
      <c r="C200" s="527">
        <v>99</v>
      </c>
      <c r="D200" s="528">
        <f t="shared" si="12"/>
        <v>0.55268263816833496</v>
      </c>
      <c r="E200" s="528">
        <v>0.55268263816833496</v>
      </c>
      <c r="F200" s="529">
        <v>2001</v>
      </c>
      <c r="G200" s="3" t="s">
        <v>592</v>
      </c>
    </row>
    <row r="201" spans="1:7" ht="15">
      <c r="A201" s="525" t="s">
        <v>585</v>
      </c>
      <c r="B201" s="508">
        <v>86927697</v>
      </c>
      <c r="C201" s="527">
        <v>97.6</v>
      </c>
      <c r="D201" s="528">
        <f t="shared" si="12"/>
        <v>2.8360994532704353E-2</v>
      </c>
      <c r="E201" s="528">
        <f>($E$37+$E$101)/2</f>
        <v>2.8360994532704353E-2</v>
      </c>
      <c r="F201" s="526"/>
      <c r="G201" s="3" t="s">
        <v>592</v>
      </c>
    </row>
    <row r="202" spans="1:7" ht="15">
      <c r="A202" s="525" t="s">
        <v>576</v>
      </c>
      <c r="B202" s="508">
        <v>23154000</v>
      </c>
      <c r="C202" s="527">
        <v>39.6</v>
      </c>
      <c r="D202" s="528">
        <f t="shared" si="12"/>
        <v>4.0997441858053207E-2</v>
      </c>
      <c r="E202" s="528">
        <v>4.0997441858053207E-2</v>
      </c>
      <c r="F202" s="529">
        <v>2004</v>
      </c>
      <c r="G202" s="3" t="s">
        <v>592</v>
      </c>
    </row>
    <row r="203" spans="1:7" ht="15">
      <c r="A203" s="525" t="s">
        <v>577</v>
      </c>
      <c r="B203" s="508">
        <v>13046508</v>
      </c>
      <c r="C203" s="527">
        <v>18.8</v>
      </c>
      <c r="D203" s="528">
        <f t="shared" si="12"/>
        <v>4.4946905225515366E-2</v>
      </c>
      <c r="E203" s="528">
        <v>4.4946905225515366E-2</v>
      </c>
      <c r="F203" s="529">
        <v>2004</v>
      </c>
      <c r="G203" s="3" t="s">
        <v>592</v>
      </c>
    </row>
    <row r="204" spans="1:7" ht="15">
      <c r="A204" s="531" t="s">
        <v>578</v>
      </c>
      <c r="B204" s="533">
        <v>12260000</v>
      </c>
      <c r="C204" s="527">
        <v>41.5</v>
      </c>
      <c r="D204" s="528">
        <f t="shared" si="12"/>
        <v>2.3971542716026306E-2</v>
      </c>
      <c r="E204" s="528">
        <v>2.3971542716026306E-2</v>
      </c>
      <c r="F204" s="529">
        <v>2004</v>
      </c>
      <c r="G204" s="3" t="s">
        <v>592</v>
      </c>
    </row>
    <row r="205" spans="1:7">
      <c r="A205" s="526" t="s">
        <v>584</v>
      </c>
      <c r="B205" s="526"/>
      <c r="C205" s="529">
        <v>100</v>
      </c>
      <c r="D205" s="528">
        <f>B209</f>
        <v>0.73578588050954485</v>
      </c>
      <c r="E205" s="528"/>
      <c r="F205" s="529"/>
    </row>
    <row r="206" spans="1:7">
      <c r="A206" s="526" t="s">
        <v>583</v>
      </c>
      <c r="B206" s="526"/>
      <c r="C206" s="541">
        <f>B212</f>
        <v>68</v>
      </c>
      <c r="D206" s="534">
        <f>B210</f>
        <v>0.23139013240813858</v>
      </c>
      <c r="E206" s="528"/>
      <c r="F206" s="529"/>
    </row>
    <row r="207" spans="1:7">
      <c r="A207" s="277"/>
      <c r="B207" s="277"/>
      <c r="C207" s="499"/>
      <c r="D207" s="498"/>
      <c r="E207" s="498"/>
      <c r="F207" s="497"/>
    </row>
    <row r="208" spans="1:7">
      <c r="A208" s="513" t="s">
        <v>702</v>
      </c>
      <c r="B208" s="515"/>
      <c r="C208" s="499"/>
      <c r="D208" s="498"/>
      <c r="E208" s="498"/>
      <c r="F208" s="497"/>
    </row>
    <row r="209" spans="1:6" ht="25.5">
      <c r="A209" s="540" t="s">
        <v>586</v>
      </c>
      <c r="B209" s="506">
        <v>0.73578588050954485</v>
      </c>
      <c r="C209" s="499"/>
      <c r="D209" s="498"/>
      <c r="E209" s="498"/>
      <c r="F209" s="497"/>
    </row>
    <row r="210" spans="1:6" ht="25.5">
      <c r="A210" s="512" t="s">
        <v>591</v>
      </c>
      <c r="B210" s="506">
        <v>0.23139013240813858</v>
      </c>
      <c r="C210" s="499"/>
      <c r="D210" s="498"/>
      <c r="E210" s="498"/>
      <c r="F210" s="497"/>
    </row>
    <row r="211" spans="1:6">
      <c r="A211" s="512" t="s">
        <v>587</v>
      </c>
      <c r="B211" s="506">
        <v>1.6919938474893571E-2</v>
      </c>
      <c r="C211" s="499"/>
      <c r="D211" s="498"/>
      <c r="E211" s="498"/>
      <c r="F211" s="497"/>
    </row>
    <row r="212" spans="1:6" ht="25.5">
      <c r="A212" s="512" t="s">
        <v>691</v>
      </c>
      <c r="B212" s="539">
        <v>68</v>
      </c>
      <c r="C212" s="499"/>
      <c r="D212" s="498"/>
      <c r="E212" s="498"/>
      <c r="F212" s="497"/>
    </row>
    <row r="213" spans="1:6">
      <c r="A213" s="522"/>
      <c r="B213" s="36"/>
      <c r="D213" s="3"/>
      <c r="E213" s="3"/>
      <c r="F213" s="3"/>
    </row>
    <row r="214" spans="1:6">
      <c r="A214" s="522" t="s">
        <v>56</v>
      </c>
    </row>
    <row r="215" spans="1:6">
      <c r="A215" s="522" t="s">
        <v>665</v>
      </c>
      <c r="B215" s="36"/>
    </row>
    <row r="216" spans="1:6">
      <c r="A216" s="522" t="s">
        <v>579</v>
      </c>
      <c r="B216" s="36"/>
    </row>
    <row r="217" spans="1:6">
      <c r="A217" s="522" t="s">
        <v>590</v>
      </c>
      <c r="B217" s="36"/>
    </row>
    <row r="218" spans="1:6">
      <c r="A218" s="523" t="s">
        <v>666</v>
      </c>
    </row>
    <row r="219" spans="1:6">
      <c r="A219" s="522" t="s">
        <v>667</v>
      </c>
    </row>
    <row r="220" spans="1:6">
      <c r="A220" s="523" t="s">
        <v>668</v>
      </c>
    </row>
    <row r="221" spans="1:6">
      <c r="A221" s="522" t="s">
        <v>669</v>
      </c>
    </row>
    <row r="222" spans="1:6">
      <c r="A222" s="523" t="s">
        <v>670</v>
      </c>
    </row>
    <row r="223" spans="1:6">
      <c r="A223" s="522" t="s">
        <v>588</v>
      </c>
    </row>
    <row r="224" spans="1:6">
      <c r="A224" s="524" t="s">
        <v>671</v>
      </c>
    </row>
    <row r="225" spans="1:1">
      <c r="A225" s="523" t="s">
        <v>672</v>
      </c>
    </row>
    <row r="226" spans="1:1">
      <c r="A226" s="524" t="s">
        <v>673</v>
      </c>
    </row>
    <row r="227" spans="1:1">
      <c r="A227" s="523" t="s">
        <v>674</v>
      </c>
    </row>
    <row r="228" spans="1:1">
      <c r="A228" s="524" t="s">
        <v>675</v>
      </c>
    </row>
    <row r="229" spans="1:1">
      <c r="A229" s="524" t="s">
        <v>676</v>
      </c>
    </row>
    <row r="230" spans="1:1">
      <c r="A230" s="523" t="s">
        <v>677</v>
      </c>
    </row>
    <row r="231" spans="1:1">
      <c r="A231" s="524" t="s">
        <v>678</v>
      </c>
    </row>
    <row r="232" spans="1:1">
      <c r="A232" s="523" t="s">
        <v>679</v>
      </c>
    </row>
    <row r="233" spans="1:1">
      <c r="A233" s="520" t="s">
        <v>684</v>
      </c>
    </row>
    <row r="234" spans="1:1">
      <c r="A234" s="520" t="s">
        <v>686</v>
      </c>
    </row>
    <row r="235" spans="1:1">
      <c r="A235" s="520" t="s">
        <v>689</v>
      </c>
    </row>
    <row r="236" spans="1:1">
      <c r="A236" s="520" t="s">
        <v>694</v>
      </c>
    </row>
    <row r="237" spans="1:1">
      <c r="A237" s="520" t="s">
        <v>697</v>
      </c>
    </row>
  </sheetData>
  <sheetProtection sheet="1" objects="1" scenarios="1"/>
  <hyperlinks>
    <hyperlink ref="A227" r:id="rId1" location="!display=line&amp;ds=1459!g6f=6.12.15.n.g" display="http://datamarket.com/data/set/1459/household-electrification-rate-of-households - !display=line&amp;ds=1459!g6f=6.12.15.n.g"/>
    <hyperlink ref="A225" r:id="rId2"/>
    <hyperlink ref="A230" r:id="rId3"/>
    <hyperlink ref="A232" r:id="rId4"/>
    <hyperlink ref="A222" r:id="rId5"/>
    <hyperlink ref="A220" r:id="rId6"/>
    <hyperlink ref="A218" r:id="rId7"/>
  </hyperlinks>
  <pageMargins left="0.7" right="0.7" top="0.75" bottom="0.75" header="0.3" footer="0.3"/>
  <pageSetup paperSize="9" orientation="portrait" r:id="rId8"/>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0"/>
  <sheetViews>
    <sheetView workbookViewId="0">
      <selection activeCell="B5" sqref="B5"/>
    </sheetView>
  </sheetViews>
  <sheetFormatPr defaultRowHeight="12.75"/>
  <cols>
    <col min="1" max="1" width="39" style="340" customWidth="1"/>
    <col min="2" max="2" width="8.85546875" style="359" customWidth="1"/>
    <col min="3" max="3" width="11.7109375" style="340" customWidth="1"/>
    <col min="4" max="4" width="17.42578125" style="340" customWidth="1"/>
    <col min="5" max="5" width="12.5703125" style="340" customWidth="1"/>
    <col min="6" max="8" width="9.140625" style="340"/>
    <col min="9" max="9" width="11" style="340" customWidth="1"/>
    <col min="10" max="10" width="9.140625" style="340"/>
    <col min="11" max="11" width="16.140625" style="340" customWidth="1"/>
    <col min="12" max="12" width="12.140625" style="340" customWidth="1"/>
    <col min="13" max="13" width="9.140625" style="340"/>
    <col min="14" max="14" width="0" style="340" hidden="1" customWidth="1"/>
    <col min="15" max="16384" width="9.140625" style="340"/>
  </cols>
  <sheetData>
    <row r="1" spans="1:14" s="670" customFormat="1">
      <c r="A1" s="676" t="s">
        <v>894</v>
      </c>
      <c r="B1" s="677"/>
    </row>
    <row r="2" spans="1:14" ht="30" customHeight="1">
      <c r="A2" s="729" t="str">
        <f>IF(ISNA(MATCH("n",N5:N6,0)),"","The Estimated Hg input (or equivalent inserted IL2 results) marked in red colour is very high compared to previous observations. Data may be correct, but please confirm your activity rate data (or inserted IL2 data).")</f>
        <v>The Estimated Hg input (or equivalent inserted IL2 results) marked in red colour is very high compared to previous observations. Data may be correct, but please confirm your activity rate data (or inserted IL2 data).</v>
      </c>
      <c r="B2" s="730"/>
      <c r="C2" s="730"/>
      <c r="D2" s="730"/>
      <c r="E2" s="730"/>
      <c r="F2" s="730"/>
      <c r="G2" s="730"/>
      <c r="H2" s="730"/>
      <c r="I2" s="730"/>
      <c r="J2" s="730"/>
      <c r="K2" s="730"/>
      <c r="L2" s="731"/>
    </row>
    <row r="3" spans="1:14" s="360" customFormat="1" ht="38.25" customHeight="1">
      <c r="A3" s="662" t="s">
        <v>775</v>
      </c>
      <c r="B3" s="678" t="s">
        <v>776</v>
      </c>
      <c r="C3" s="681" t="s">
        <v>777</v>
      </c>
      <c r="D3" s="662"/>
      <c r="E3" s="680" t="s">
        <v>778</v>
      </c>
      <c r="F3" s="733" t="s">
        <v>779</v>
      </c>
      <c r="G3" s="728"/>
      <c r="H3" s="728"/>
      <c r="I3" s="728"/>
      <c r="J3" s="728"/>
      <c r="K3" s="728"/>
      <c r="L3" s="662"/>
    </row>
    <row r="4" spans="1:14" ht="39" thickBot="1">
      <c r="A4" s="267" t="s">
        <v>896</v>
      </c>
      <c r="B4" s="268" t="str">
        <f>quest</f>
        <v>S/N/?</v>
      </c>
      <c r="C4" s="708" t="s">
        <v>897</v>
      </c>
      <c r="D4" s="709" t="s">
        <v>782</v>
      </c>
      <c r="E4" s="709" t="s">
        <v>783</v>
      </c>
      <c r="F4" s="710" t="s">
        <v>784</v>
      </c>
      <c r="G4" s="710" t="s">
        <v>785</v>
      </c>
      <c r="H4" s="710" t="s">
        <v>786</v>
      </c>
      <c r="I4" s="709" t="s">
        <v>787</v>
      </c>
      <c r="J4" s="727" t="s">
        <v>1062</v>
      </c>
      <c r="K4" s="727" t="s">
        <v>1066</v>
      </c>
      <c r="L4" s="662" t="s">
        <v>1017</v>
      </c>
      <c r="M4" s="711" t="s">
        <v>788</v>
      </c>
    </row>
    <row r="5" spans="1:14">
      <c r="A5" s="271" t="s">
        <v>895</v>
      </c>
      <c r="B5" s="365" t="s">
        <v>751</v>
      </c>
      <c r="C5" s="378"/>
      <c r="D5" s="707" t="s">
        <v>898</v>
      </c>
      <c r="E5" s="465">
        <f>IF(OR($B5=yes,$B5=yes),'5-10 Cremat and cem'!K6, IF(OR($B5=no,$B5=no),"-", IF($B5=que,que, pres)))</f>
        <v>0</v>
      </c>
      <c r="F5" s="279">
        <f>IF(OR($B5=yes,$B5=yes),'5-10 Cremat and cem'!V6, IF(OR($B5=no,$B5=no),"-", IF($B5=que,que, pres)))</f>
        <v>0</v>
      </c>
      <c r="G5" s="279">
        <f>IF(OR($B5=yes,$B5=yes),'5-10 Cremat and cem'!W6, IF(OR($B5=no,$B5=no),"-", IF($B5=que,que, pres)))</f>
        <v>0</v>
      </c>
      <c r="H5" s="279">
        <f>IF(OR($B5=yes,$B5=yes),'5-10 Cremat and cem'!X6, IF(OR($B5=no,$B5=no),"-", IF($B5=que,que, pres)))</f>
        <v>0</v>
      </c>
      <c r="I5" s="279" t="str">
        <f>IF(OR($B5=yes,$B5=yes),'5-10 Cremat and cem'!Y6, IF(OR($B5=no,$B5=no),"-", IF($B5=que,que, pres)))</f>
        <v>-</v>
      </c>
      <c r="J5" s="279">
        <f>IF(OR($B5=yes,$B5=yes),'5-10 Cremat and cem'!Z6, IF(OR($B5=no,$B5=no),"-", IF($B5=que,que, pres)))</f>
        <v>0</v>
      </c>
      <c r="K5" s="279">
        <f>IF(OR($B5=yes,$B5=yes),'5-10 Cremat and cem'!AA6, IF(OR($B5=no,$B5=no),"-", IF($B5=que,que, pres)))</f>
        <v>0</v>
      </c>
      <c r="L5" s="273" t="s">
        <v>320</v>
      </c>
      <c r="M5" s="468"/>
      <c r="N5" s="340" t="str">
        <f>INDEX('Range-thresholds'!$G$6:$G$72,MATCH(A5,'Range-thresholds'!$A$6:$A$72,0))</f>
        <v>n</v>
      </c>
    </row>
    <row r="6" spans="1:14" ht="13.5" thickBot="1">
      <c r="A6" s="271" t="s">
        <v>1027</v>
      </c>
      <c r="B6" s="366"/>
      <c r="C6" s="402"/>
      <c r="D6" s="707" t="s">
        <v>899</v>
      </c>
      <c r="E6" s="465" t="str">
        <f>IF(OR($B6=yes,$B6=yes),'5-10 Cremat and cem'!K8, IF(OR($B6=no,$B6=no),"-", IF($B6=que,que, pres)))</f>
        <v>Presente?</v>
      </c>
      <c r="F6" s="279" t="str">
        <f>IF(OR($B6=yes,$B6=yes),'5-10 Cremat and cem'!V8, IF(OR($B6=no,$B6=no),"-", IF($B6=que,que, pres)))</f>
        <v>Presente?</v>
      </c>
      <c r="G6" s="279" t="str">
        <f>IF(OR($B6=yes,$B6=yes),'5-10 Cremat and cem'!W8, IF(OR($B6=no,$B6=no),"-", IF($B6=que,que, pres)))</f>
        <v>Presente?</v>
      </c>
      <c r="H6" s="279" t="str">
        <f>IF(OR($B6=yes,$B6=yes),'5-10 Cremat and cem'!X8, IF(OR($B6=no,$B6=no),"-", IF($B6=que,que, pres)))</f>
        <v>Presente?</v>
      </c>
      <c r="I6" s="279" t="str">
        <f>IF(OR($B6=yes,$B6=yes),'5-10 Cremat and cem'!Y8, IF(OR($B6=no,$B6=no),"-", IF($B6=que,que, pres)))</f>
        <v>Presente?</v>
      </c>
      <c r="J6" s="279" t="str">
        <f>IF(OR($B6=yes,$B6=yes),'5-10 Cremat and cem'!Z8, IF(OR($B6=no,$B6=no),"-", IF($B6=que,que, pres)))</f>
        <v>Presente?</v>
      </c>
      <c r="K6" s="279" t="str">
        <f>IF(OR($B6=yes,$B6=yes),'5-10 Cremat and cem'!AA8, IF(OR($B6=no,$B6=no),"-", IF($B6=que,que, pres)))</f>
        <v>Presente?</v>
      </c>
      <c r="L6" s="273" t="s">
        <v>321</v>
      </c>
      <c r="M6" s="468"/>
      <c r="N6" s="340" t="str">
        <f>INDEX('Range-thresholds'!$G$6:$G$72,MATCH(A6,'Range-thresholds'!$A$6:$A$72,0))</f>
        <v/>
      </c>
    </row>
    <row r="9" spans="1:14">
      <c r="A9" s="623" t="s">
        <v>748</v>
      </c>
    </row>
    <row r="10" spans="1:14">
      <c r="A10" s="623" t="s">
        <v>746</v>
      </c>
    </row>
  </sheetData>
  <mergeCells count="2">
    <mergeCell ref="F3:K3"/>
    <mergeCell ref="A2:L2"/>
  </mergeCells>
  <conditionalFormatting sqref="E5:E6">
    <cfRule type="expression" dxfId="3" priority="5" stopIfTrue="1">
      <formula>AND(B5="y",N5="n")</formula>
    </cfRule>
  </conditionalFormatting>
  <conditionalFormatting sqref="A2">
    <cfRule type="expression" dxfId="2" priority="4" stopIfTrue="1">
      <formula>$A$2&lt;&gt;""</formula>
    </cfRule>
  </conditionalFormatting>
  <dataValidations count="2">
    <dataValidation type="decimal" allowBlank="1" showInputMessage="1" showErrorMessage="1" errorTitle="Input error" error="Use digits and decimal mark only." promptTitle="Input cell" prompt="Use digits and decimal mark only." sqref="C5:C6">
      <formula1>-9.99999999999999E+22</formula1>
      <formula2>9.99999999999999E+22</formula2>
    </dataValidation>
    <dataValidation type="list" allowBlank="1" showInputMessage="1" showErrorMessage="1" errorTitle="Input error" error="Enter only y, n or ? (or translation of these)" sqref="B5:B6">
      <formula1>yn?</formula1>
    </dataValidation>
  </dataValidations>
  <pageMargins left="0.39370078740157483" right="0.39370078740157483" top="0.74803149606299213" bottom="0.74803149606299213" header="0.31496062992125984" footer="0.31496062992125984"/>
  <pageSetup paperSize="9" scale="85" orientation="landscape" r:id="rId1"/>
  <headerFooter>
    <oddFooter>&amp;L&amp;APrinted &amp;D</oddFooter>
  </headerFooter>
  <extLst>
    <ext xmlns:x14="http://schemas.microsoft.com/office/spreadsheetml/2009/9/main" uri="{78C0D931-6437-407d-A8EE-F0AAD7539E65}">
      <x14:conditionalFormattings>
        <x14:conditionalFormatting xmlns:xm="http://schemas.microsoft.com/office/excel/2006/main">
          <x14:cfRule type="expression" priority="1" id="{171663B9-D7F6-46C8-B10B-8985F1E572F4}">
            <xm:f>'Insert IL2 results'!#REF!&lt;&gt;""</xm:f>
            <x14:dxf>
              <font>
                <color rgb="FFFF0000"/>
              </font>
            </x14:dxf>
          </x14:cfRule>
          <xm:sqref>A9</xm:sqref>
        </x14:conditionalFormatting>
      </x14:conditionalFormatting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31"/>
  <sheetViews>
    <sheetView topLeftCell="A11" workbookViewId="0">
      <selection activeCell="A23" sqref="A23"/>
    </sheetView>
  </sheetViews>
  <sheetFormatPr defaultRowHeight="12.75"/>
  <cols>
    <col min="1" max="1" width="66.85546875" style="340" customWidth="1"/>
    <col min="2" max="2" width="8.85546875" style="359" customWidth="1"/>
    <col min="3" max="16384" width="9.140625" style="340"/>
  </cols>
  <sheetData>
    <row r="1" spans="1:4">
      <c r="A1" s="392" t="s">
        <v>1028</v>
      </c>
      <c r="B1" s="393"/>
      <c r="C1" s="369"/>
    </row>
    <row r="2" spans="1:4" s="360" customFormat="1" ht="38.25" customHeight="1">
      <c r="A2" s="694" t="s">
        <v>775</v>
      </c>
      <c r="B2" s="700" t="s">
        <v>776</v>
      </c>
      <c r="C2" s="435"/>
      <c r="D2" s="725" t="s">
        <v>788</v>
      </c>
    </row>
    <row r="3" spans="1:4" ht="13.5" thickBot="1">
      <c r="A3" s="267"/>
      <c r="B3" s="268" t="str">
        <f>quest</f>
        <v>S/N/?</v>
      </c>
      <c r="C3" s="434"/>
      <c r="D3" s="468"/>
    </row>
    <row r="4" spans="1:4">
      <c r="A4" s="712" t="s">
        <v>901</v>
      </c>
      <c r="B4" s="492"/>
      <c r="C4" s="434"/>
      <c r="D4" s="468"/>
    </row>
    <row r="5" spans="1:4">
      <c r="A5" s="712" t="s">
        <v>902</v>
      </c>
      <c r="B5" s="493"/>
      <c r="C5" s="434"/>
      <c r="D5" s="468"/>
    </row>
    <row r="6" spans="1:4">
      <c r="A6" s="712" t="s">
        <v>903</v>
      </c>
      <c r="B6" s="493"/>
      <c r="C6" s="434"/>
      <c r="D6" s="468"/>
    </row>
    <row r="7" spans="1:4">
      <c r="A7" s="712" t="s">
        <v>904</v>
      </c>
      <c r="B7" s="493"/>
      <c r="C7" s="434"/>
      <c r="D7" s="468"/>
    </row>
    <row r="8" spans="1:4">
      <c r="A8" s="712" t="s">
        <v>905</v>
      </c>
      <c r="B8" s="493"/>
      <c r="C8" s="434"/>
      <c r="D8" s="468"/>
    </row>
    <row r="9" spans="1:4">
      <c r="A9" s="712" t="s">
        <v>906</v>
      </c>
      <c r="B9" s="493"/>
      <c r="C9" s="434"/>
      <c r="D9" s="471"/>
    </row>
    <row r="10" spans="1:4" ht="25.5">
      <c r="A10" s="712" t="s">
        <v>1029</v>
      </c>
      <c r="B10" s="493"/>
      <c r="C10" s="434"/>
      <c r="D10" s="468"/>
    </row>
    <row r="11" spans="1:4">
      <c r="A11" s="712" t="s">
        <v>900</v>
      </c>
      <c r="B11" s="493"/>
      <c r="C11" s="434"/>
      <c r="D11" s="468"/>
    </row>
    <row r="12" spans="1:4">
      <c r="A12" s="712" t="s">
        <v>907</v>
      </c>
      <c r="B12" s="493"/>
      <c r="C12" s="434"/>
      <c r="D12" s="468"/>
    </row>
    <row r="13" spans="1:4">
      <c r="A13" s="712" t="s">
        <v>908</v>
      </c>
      <c r="B13" s="493"/>
      <c r="C13" s="434"/>
      <c r="D13" s="468"/>
    </row>
    <row r="14" spans="1:4">
      <c r="A14" s="712" t="s">
        <v>1091</v>
      </c>
      <c r="B14" s="493"/>
      <c r="C14" s="434"/>
      <c r="D14" s="468"/>
    </row>
    <row r="15" spans="1:4">
      <c r="A15" s="712" t="s">
        <v>909</v>
      </c>
      <c r="B15" s="493"/>
      <c r="C15" s="434"/>
      <c r="D15" s="468"/>
    </row>
    <row r="16" spans="1:4">
      <c r="A16" s="712" t="s">
        <v>910</v>
      </c>
      <c r="B16" s="493"/>
      <c r="C16" s="434"/>
      <c r="D16" s="468"/>
    </row>
    <row r="17" spans="1:4">
      <c r="A17" s="712" t="s">
        <v>911</v>
      </c>
      <c r="B17" s="493"/>
      <c r="C17" s="434"/>
      <c r="D17" s="468"/>
    </row>
    <row r="18" spans="1:4">
      <c r="A18" s="712" t="s">
        <v>912</v>
      </c>
      <c r="B18" s="493"/>
      <c r="C18" s="434"/>
      <c r="D18" s="468"/>
    </row>
    <row r="19" spans="1:4" ht="25.5">
      <c r="A19" s="712" t="s">
        <v>913</v>
      </c>
      <c r="B19" s="493"/>
      <c r="C19" s="434"/>
      <c r="D19" s="468"/>
    </row>
    <row r="20" spans="1:4" ht="25.5">
      <c r="A20" s="712" t="s">
        <v>1030</v>
      </c>
      <c r="B20" s="493"/>
      <c r="C20" s="434"/>
      <c r="D20" s="468"/>
    </row>
    <row r="21" spans="1:4">
      <c r="A21" s="712" t="s">
        <v>914</v>
      </c>
      <c r="B21" s="493"/>
      <c r="C21" s="434"/>
      <c r="D21" s="468"/>
    </row>
    <row r="22" spans="1:4" ht="25.5">
      <c r="A22" s="712" t="s">
        <v>1031</v>
      </c>
      <c r="B22" s="493"/>
      <c r="C22" s="434"/>
      <c r="D22" s="468"/>
    </row>
    <row r="23" spans="1:4">
      <c r="A23" s="712" t="s">
        <v>1092</v>
      </c>
      <c r="B23" s="493"/>
      <c r="C23" s="434"/>
      <c r="D23" s="468"/>
    </row>
    <row r="24" spans="1:4">
      <c r="A24" s="712" t="s">
        <v>915</v>
      </c>
      <c r="B24" s="493"/>
      <c r="C24" s="434"/>
      <c r="D24" s="468"/>
    </row>
    <row r="25" spans="1:4">
      <c r="A25" s="712" t="s">
        <v>916</v>
      </c>
      <c r="B25" s="493"/>
      <c r="C25" s="434"/>
      <c r="D25" s="468"/>
    </row>
    <row r="26" spans="1:4">
      <c r="A26" s="712" t="s">
        <v>917</v>
      </c>
      <c r="B26" s="493"/>
      <c r="C26" s="434"/>
      <c r="D26" s="468"/>
    </row>
    <row r="27" spans="1:4">
      <c r="A27" s="712" t="s">
        <v>918</v>
      </c>
      <c r="B27" s="493"/>
      <c r="C27" s="434"/>
      <c r="D27" s="468"/>
    </row>
    <row r="28" spans="1:4">
      <c r="A28" s="712" t="s">
        <v>919</v>
      </c>
      <c r="B28" s="493"/>
      <c r="C28" s="434"/>
      <c r="D28" s="468"/>
    </row>
    <row r="29" spans="1:4">
      <c r="A29" s="712" t="s">
        <v>920</v>
      </c>
      <c r="B29" s="493"/>
      <c r="C29" s="434"/>
      <c r="D29" s="468"/>
    </row>
    <row r="30" spans="1:4" ht="13.5" thickBot="1">
      <c r="A30" s="712" t="s">
        <v>921</v>
      </c>
      <c r="B30" s="494"/>
      <c r="C30" s="434"/>
      <c r="D30" s="468"/>
    </row>
    <row r="31" spans="1:4">
      <c r="A31" s="490"/>
      <c r="B31" s="491"/>
      <c r="C31" s="354"/>
    </row>
  </sheetData>
  <pageMargins left="0.39370078740157483" right="0.39370078740157483" top="0.74803149606299213" bottom="0.74803149606299213" header="0.31496062992125984" footer="0.31496062992125984"/>
  <pageSetup paperSize="9" orientation="portrait" r:id="rId1"/>
  <headerFooter>
    <oddFooter>&amp;L&amp;APrinted &amp;D</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90"/>
  <sheetViews>
    <sheetView zoomScale="90" zoomScaleNormal="90" workbookViewId="0">
      <selection activeCell="C12" sqref="C12"/>
    </sheetView>
  </sheetViews>
  <sheetFormatPr defaultRowHeight="12.75"/>
  <cols>
    <col min="1" max="1" width="46.85546875" style="340" customWidth="1"/>
    <col min="2" max="2" width="10.85546875" style="340" customWidth="1"/>
    <col min="3" max="3" width="12.42578125" style="340" customWidth="1"/>
    <col min="4" max="4" width="12.85546875" style="340" customWidth="1"/>
    <col min="5" max="5" width="11.7109375" style="340" customWidth="1"/>
    <col min="6" max="8" width="12.42578125" style="340" customWidth="1"/>
    <col min="9" max="9" width="16.140625" style="340" customWidth="1"/>
    <col min="10" max="10" width="102.140625" style="340" customWidth="1"/>
    <col min="11" max="11" width="5.28515625" style="340" customWidth="1"/>
    <col min="12" max="16384" width="9.140625" style="340"/>
  </cols>
  <sheetData>
    <row r="1" spans="1:14">
      <c r="A1" s="355" t="s">
        <v>1099</v>
      </c>
    </row>
    <row r="2" spans="1:14">
      <c r="A2" s="355"/>
    </row>
    <row r="3" spans="1:14">
      <c r="A3" s="355" t="s">
        <v>1101</v>
      </c>
    </row>
    <row r="4" spans="1:14">
      <c r="A4" s="355" t="s">
        <v>1102</v>
      </c>
    </row>
    <row r="5" spans="1:14">
      <c r="A5" s="355" t="s">
        <v>1103</v>
      </c>
    </row>
    <row r="6" spans="1:14">
      <c r="A6" s="547" t="s">
        <v>1104</v>
      </c>
    </row>
    <row r="7" spans="1:14">
      <c r="A7" s="547" t="s">
        <v>1100</v>
      </c>
    </row>
    <row r="8" spans="1:14" ht="13.5" thickBot="1">
      <c r="A8" s="547"/>
    </row>
    <row r="9" spans="1:14" s="360" customFormat="1" ht="13.5" thickBot="1">
      <c r="A9" s="551" t="s">
        <v>775</v>
      </c>
      <c r="B9" s="552"/>
      <c r="C9" s="627" t="s">
        <v>701</v>
      </c>
      <c r="D9" s="734" t="s">
        <v>700</v>
      </c>
      <c r="E9" s="735"/>
      <c r="F9" s="735"/>
      <c r="G9" s="735"/>
      <c r="H9" s="735"/>
      <c r="I9" s="736"/>
      <c r="J9" s="553"/>
      <c r="K9" s="737"/>
      <c r="L9" s="737"/>
      <c r="M9" s="737"/>
      <c r="N9" s="737"/>
    </row>
    <row r="10" spans="1:14" ht="39" thickBot="1">
      <c r="A10" s="554"/>
      <c r="B10" s="714" t="s">
        <v>923</v>
      </c>
      <c r="C10" s="715" t="s">
        <v>924</v>
      </c>
      <c r="D10" s="716" t="s">
        <v>784</v>
      </c>
      <c r="E10" s="716" t="s">
        <v>785</v>
      </c>
      <c r="F10" s="716" t="s">
        <v>786</v>
      </c>
      <c r="G10" s="715" t="s">
        <v>787</v>
      </c>
      <c r="H10" s="715" t="s">
        <v>1062</v>
      </c>
      <c r="I10" s="715" t="s">
        <v>1066</v>
      </c>
      <c r="J10" s="713" t="s">
        <v>1032</v>
      </c>
      <c r="K10" s="639" t="s">
        <v>922</v>
      </c>
      <c r="L10" s="625"/>
    </row>
    <row r="11" spans="1:14">
      <c r="A11" s="643" t="str">
        <f>'Passo2-Energia'!A4</f>
        <v>Consumo de energia</v>
      </c>
      <c r="B11" s="644"/>
      <c r="C11" s="644"/>
      <c r="D11" s="644"/>
      <c r="E11" s="644"/>
      <c r="F11" s="644"/>
      <c r="G11" s="644"/>
      <c r="H11" s="644"/>
      <c r="I11" s="644"/>
      <c r="J11" s="628"/>
      <c r="K11" s="634" t="str">
        <f>IF(SUM(C12:I19)+SUM(C21:I23)&lt;&gt;0,"IL2","")</f>
        <v/>
      </c>
    </row>
    <row r="12" spans="1:14">
      <c r="A12" s="548" t="str">
        <f>'Passo2-Energia'!A5</f>
        <v>Combustão de carvão em grandes termoelétricas</v>
      </c>
      <c r="B12" s="265" t="str">
        <f>'Passo2-Energia'!L5</f>
        <v>5.1.1</v>
      </c>
      <c r="C12" s="559"/>
      <c r="D12" s="559"/>
      <c r="E12" s="559"/>
      <c r="F12" s="559"/>
      <c r="G12" s="559"/>
      <c r="H12" s="559"/>
      <c r="I12" s="559"/>
      <c r="J12" s="629"/>
      <c r="K12" s="632"/>
    </row>
    <row r="13" spans="1:14">
      <c r="A13" s="548" t="str">
        <f>'Passo2-Energia'!A6</f>
        <v>Outros usos de carvão</v>
      </c>
      <c r="B13" s="265" t="str">
        <f>'Passo2-Energia'!L6</f>
        <v>5.1.2</v>
      </c>
      <c r="C13" s="559"/>
      <c r="D13" s="559"/>
      <c r="E13" s="559"/>
      <c r="F13" s="559"/>
      <c r="G13" s="559"/>
      <c r="H13" s="559"/>
      <c r="I13" s="559"/>
      <c r="J13" s="629"/>
      <c r="K13" s="632"/>
    </row>
    <row r="14" spans="1:14" ht="25.5">
      <c r="A14" s="548" t="str">
        <f>'Passo2-Energia'!A7</f>
        <v>Combustão/utilização de coque de petróleo e petróleo pesado</v>
      </c>
      <c r="B14" s="265" t="str">
        <f>'Passo2-Energia'!L7</f>
        <v>5.1.3</v>
      </c>
      <c r="C14" s="559"/>
      <c r="D14" s="559"/>
      <c r="E14" s="559"/>
      <c r="F14" s="559"/>
      <c r="G14" s="559"/>
      <c r="H14" s="559"/>
      <c r="I14" s="559"/>
      <c r="J14" s="629"/>
      <c r="K14" s="632"/>
    </row>
    <row r="15" spans="1:14" ht="15.75" customHeight="1">
      <c r="A15" s="548" t="str">
        <f>'Passo2-Energia'!A8</f>
        <v>Combustão/uso de diesel, gasóleo, petróleo, querosene, GLP e outros destilados leves ou médios</v>
      </c>
      <c r="B15" s="265" t="str">
        <f>'Passo2-Energia'!L8</f>
        <v>5.1.3</v>
      </c>
      <c r="C15" s="559"/>
      <c r="D15" s="559"/>
      <c r="E15" s="559"/>
      <c r="F15" s="559"/>
      <c r="G15" s="559"/>
      <c r="H15" s="559"/>
      <c r="I15" s="559"/>
      <c r="J15" s="629"/>
      <c r="K15" s="632"/>
    </row>
    <row r="16" spans="1:14" ht="15.75" customHeight="1">
      <c r="A16" s="548" t="str">
        <f>'Passo2-Energia'!A9</f>
        <v>Utilização de gás natural bruto ou limpo</v>
      </c>
      <c r="B16" s="265" t="str">
        <f>'Passo2-Energia'!L9</f>
        <v>5.1.4</v>
      </c>
      <c r="C16" s="559"/>
      <c r="D16" s="559"/>
      <c r="E16" s="559"/>
      <c r="F16" s="559"/>
      <c r="G16" s="559"/>
      <c r="H16" s="559"/>
      <c r="I16" s="559"/>
      <c r="J16" s="629"/>
      <c r="K16" s="632"/>
    </row>
    <row r="17" spans="1:11" ht="15.75" customHeight="1">
      <c r="A17" s="548" t="str">
        <f>'Passo2-Energia'!A10</f>
        <v>Uso de gás canalizado (qualidade para o consumidor)</v>
      </c>
      <c r="B17" s="265" t="str">
        <f>'Passo2-Energia'!L10</f>
        <v>5.1.4</v>
      </c>
      <c r="C17" s="559"/>
      <c r="D17" s="559"/>
      <c r="E17" s="559"/>
      <c r="F17" s="559"/>
      <c r="G17" s="559"/>
      <c r="H17" s="559"/>
      <c r="I17" s="559"/>
      <c r="J17" s="629"/>
      <c r="K17" s="632"/>
    </row>
    <row r="18" spans="1:11">
      <c r="A18" s="548" t="str">
        <f>'Passo2-Energia'!A11</f>
        <v>Produção de energia ou aquecimento com biomassa</v>
      </c>
      <c r="B18" s="265" t="str">
        <f>'Passo2-Energia'!L11</f>
        <v>5.1.6</v>
      </c>
      <c r="C18" s="559"/>
      <c r="D18" s="559"/>
      <c r="E18" s="559"/>
      <c r="F18" s="559"/>
      <c r="G18" s="559"/>
      <c r="H18" s="559"/>
      <c r="I18" s="559"/>
      <c r="J18" s="629"/>
      <c r="K18" s="632"/>
    </row>
    <row r="19" spans="1:11" ht="13.5" thickBot="1">
      <c r="A19" s="549" t="str">
        <f>'Passo2-Energia'!A12</f>
        <v>Combustão do carvão vegetal</v>
      </c>
      <c r="B19" s="550" t="str">
        <f>'Passo2-Energia'!L12</f>
        <v>5.1.6</v>
      </c>
      <c r="C19" s="559"/>
      <c r="D19" s="559"/>
      <c r="E19" s="559"/>
      <c r="F19" s="559"/>
      <c r="G19" s="559"/>
      <c r="H19" s="559"/>
      <c r="I19" s="559"/>
      <c r="J19" s="630"/>
      <c r="K19" s="632"/>
    </row>
    <row r="20" spans="1:11">
      <c r="A20" s="643" t="str">
        <f>'Passo2-Energia'!A14</f>
        <v>Produção de combustíveis</v>
      </c>
      <c r="B20" s="644"/>
      <c r="C20" s="644"/>
      <c r="D20" s="644"/>
      <c r="E20" s="644"/>
      <c r="F20" s="644"/>
      <c r="G20" s="644"/>
      <c r="H20" s="644"/>
      <c r="I20" s="644"/>
      <c r="J20" s="628"/>
      <c r="K20" s="632"/>
    </row>
    <row r="21" spans="1:11">
      <c r="A21" s="548" t="str">
        <f>'Passo2-Energia'!A15</f>
        <v>Extração de petróleo</v>
      </c>
      <c r="B21" s="265" t="str">
        <f>'Passo2-Energia'!L15</f>
        <v>5.1.3</v>
      </c>
      <c r="C21" s="559"/>
      <c r="D21" s="559"/>
      <c r="E21" s="559"/>
      <c r="F21" s="559"/>
      <c r="G21" s="559"/>
      <c r="H21" s="559"/>
      <c r="I21" s="559"/>
      <c r="J21" s="629"/>
      <c r="K21" s="632"/>
    </row>
    <row r="22" spans="1:11">
      <c r="A22" s="548" t="str">
        <f>'Passo2-Energia'!A16</f>
        <v>Refinamento de petróleo</v>
      </c>
      <c r="B22" s="265" t="str">
        <f>'Passo2-Energia'!L16</f>
        <v>5.1.3</v>
      </c>
      <c r="C22" s="559"/>
      <c r="D22" s="559"/>
      <c r="E22" s="559"/>
      <c r="F22" s="559"/>
      <c r="G22" s="559"/>
      <c r="H22" s="559"/>
      <c r="I22" s="559"/>
      <c r="J22" s="629"/>
      <c r="K22" s="632"/>
    </row>
    <row r="23" spans="1:11" ht="13.5" thickBot="1">
      <c r="A23" s="549" t="str">
        <f>'Passo2-Energia'!A17</f>
        <v>Extração e processamento de gás natural</v>
      </c>
      <c r="B23" s="550" t="str">
        <f>'Passo2-Energia'!L17</f>
        <v>5.1.4</v>
      </c>
      <c r="C23" s="559"/>
      <c r="D23" s="559"/>
      <c r="E23" s="559"/>
      <c r="F23" s="559"/>
      <c r="G23" s="559"/>
      <c r="H23" s="559"/>
      <c r="I23" s="559"/>
      <c r="J23" s="630"/>
      <c r="K23" s="632"/>
    </row>
    <row r="24" spans="1:11">
      <c r="A24" s="643" t="str">
        <f>'Passo3-Metais-MatPrima'!A5</f>
        <v>Produção de metais primários</v>
      </c>
      <c r="B24" s="644"/>
      <c r="C24" s="644"/>
      <c r="D24" s="644"/>
      <c r="E24" s="644"/>
      <c r="F24" s="644"/>
      <c r="G24" s="644"/>
      <c r="H24" s="644"/>
      <c r="I24" s="644"/>
      <c r="J24" s="628"/>
      <c r="K24" s="631" t="str">
        <f>IF(SUM(C25:I33)+SUM(C35:I36)&lt;&gt;0,"IL2","")</f>
        <v/>
      </c>
    </row>
    <row r="25" spans="1:11" ht="25.5">
      <c r="A25" s="548" t="str">
        <f>'Passo3-Metais-MatPrima'!A6</f>
        <v>Extração e processamento inicial de mercúrio (primário)</v>
      </c>
      <c r="B25" s="265" t="str">
        <f>'Passo3-Metais-MatPrima'!L6</f>
        <v>5.2.1</v>
      </c>
      <c r="C25" s="559"/>
      <c r="D25" s="559"/>
      <c r="E25" s="559"/>
      <c r="F25" s="559"/>
      <c r="G25" s="559"/>
      <c r="H25" s="559"/>
      <c r="I25" s="559"/>
      <c r="J25" s="629"/>
      <c r="K25" s="632"/>
    </row>
    <row r="26" spans="1:11">
      <c r="A26" s="548" t="str">
        <f>'Passo3-Metais-MatPrima'!A7</f>
        <v>Produção de zinco a partir de concentrados</v>
      </c>
      <c r="B26" s="265" t="str">
        <f>'Passo3-Metais-MatPrima'!L7</f>
        <v>5.2.3</v>
      </c>
      <c r="C26" s="559"/>
      <c r="D26" s="559"/>
      <c r="E26" s="559"/>
      <c r="F26" s="559"/>
      <c r="G26" s="559"/>
      <c r="H26" s="559"/>
      <c r="I26" s="559"/>
      <c r="J26" s="629"/>
      <c r="K26" s="632"/>
    </row>
    <row r="27" spans="1:11">
      <c r="A27" s="548" t="str">
        <f>'Passo3-Metais-MatPrima'!A8</f>
        <v>Produção de cobre a partir de concentrados</v>
      </c>
      <c r="B27" s="265" t="str">
        <f>'Passo3-Metais-MatPrima'!L8</f>
        <v>5.2.4</v>
      </c>
      <c r="C27" s="559"/>
      <c r="D27" s="559"/>
      <c r="E27" s="559"/>
      <c r="F27" s="559"/>
      <c r="G27" s="559"/>
      <c r="H27" s="559"/>
      <c r="I27" s="559"/>
      <c r="J27" s="629"/>
      <c r="K27" s="632"/>
    </row>
    <row r="28" spans="1:11">
      <c r="A28" s="548" t="str">
        <f>'Passo3-Metais-MatPrima'!A9</f>
        <v>Produção de chumbo a partir de concentrados</v>
      </c>
      <c r="B28" s="265" t="str">
        <f>'Passo3-Metais-MatPrima'!L9</f>
        <v>5.2.5</v>
      </c>
      <c r="C28" s="559"/>
      <c r="D28" s="559"/>
      <c r="E28" s="559"/>
      <c r="F28" s="559"/>
      <c r="G28" s="559"/>
      <c r="H28" s="559"/>
      <c r="I28" s="559"/>
      <c r="J28" s="629"/>
      <c r="K28" s="632"/>
    </row>
    <row r="29" spans="1:11" ht="25.5">
      <c r="A29" s="548" t="str">
        <f>'Passo3-Metais-MatPrima'!A10</f>
        <v>Extração de ouro por métodos sem amálgama de mercúrio</v>
      </c>
      <c r="B29" s="265" t="str">
        <f>'Passo3-Metais-MatPrima'!L10</f>
        <v>5.2.6</v>
      </c>
      <c r="C29" s="559"/>
      <c r="D29" s="559"/>
      <c r="E29" s="559"/>
      <c r="F29" s="559"/>
      <c r="G29" s="559"/>
      <c r="H29" s="559"/>
      <c r="I29" s="559"/>
      <c r="J29" s="629"/>
      <c r="K29" s="632"/>
    </row>
    <row r="30" spans="1:11" ht="16.5" customHeight="1">
      <c r="A30" s="548" t="str">
        <f>'Passo3-Metais-MatPrima'!A11</f>
        <v>Produção de alumina a partir da bauxita (produção de alumínio)</v>
      </c>
      <c r="B30" s="265" t="str">
        <f>'Passo3-Metais-MatPrima'!L11</f>
        <v>5.2.7</v>
      </c>
      <c r="C30" s="559"/>
      <c r="D30" s="559"/>
      <c r="E30" s="559"/>
      <c r="F30" s="559"/>
      <c r="G30" s="559"/>
      <c r="H30" s="559"/>
      <c r="I30" s="559"/>
      <c r="J30" s="629"/>
      <c r="K30" s="632"/>
    </row>
    <row r="31" spans="1:11" ht="21" customHeight="1">
      <c r="A31" s="548" t="str">
        <f>'Passo3-Metais-MatPrima'!A12</f>
        <v>Produção de metais ferrosos primários (produção de ferro gusa)</v>
      </c>
      <c r="B31" s="265" t="str">
        <f>'Passo3-Metais-MatPrima'!L12</f>
        <v>5.2.9</v>
      </c>
      <c r="C31" s="559"/>
      <c r="D31" s="559"/>
      <c r="E31" s="559"/>
      <c r="F31" s="559"/>
      <c r="G31" s="559"/>
      <c r="H31" s="559"/>
      <c r="I31" s="559"/>
      <c r="J31" s="629"/>
      <c r="K31" s="632"/>
    </row>
    <row r="32" spans="1:11" ht="25.5">
      <c r="A32" s="548" t="str">
        <f>'Passo3-Metais-MatPrima'!A13</f>
        <v>Extração de ouro com amálgama de mercúrio - sem o uso de retorta</v>
      </c>
      <c r="B32" s="265" t="str">
        <f>'Passo3-Metais-MatPrima'!L13</f>
        <v>5.2.2</v>
      </c>
      <c r="C32" s="559"/>
      <c r="D32" s="559"/>
      <c r="E32" s="559"/>
      <c r="F32" s="559"/>
      <c r="G32" s="559"/>
      <c r="H32" s="559"/>
      <c r="I32" s="559"/>
      <c r="J32" s="629"/>
      <c r="K32" s="632"/>
    </row>
    <row r="33" spans="1:11" ht="26.25" thickBot="1">
      <c r="A33" s="549" t="str">
        <f>'Passo3-Metais-MatPrima'!A14</f>
        <v>Extração de ouro com amálgama de mercúrio - com uso de retortas</v>
      </c>
      <c r="B33" s="550" t="str">
        <f>'Passo3-Metais-MatPrima'!L14</f>
        <v>5.2.2</v>
      </c>
      <c r="C33" s="559"/>
      <c r="D33" s="559"/>
      <c r="E33" s="559"/>
      <c r="F33" s="559"/>
      <c r="G33" s="559"/>
      <c r="H33" s="559"/>
      <c r="I33" s="559"/>
      <c r="J33" s="630"/>
      <c r="K33" s="632"/>
    </row>
    <row r="34" spans="1:11" ht="17.25" customHeight="1">
      <c r="A34" s="643" t="str">
        <f>'Passo3-Metais-MatPrima'!A15</f>
        <v>Produção de outros materiais</v>
      </c>
      <c r="B34" s="644"/>
      <c r="C34" s="644"/>
      <c r="D34" s="644"/>
      <c r="E34" s="644"/>
      <c r="F34" s="644"/>
      <c r="G34" s="644"/>
      <c r="H34" s="644"/>
      <c r="I34" s="644"/>
      <c r="J34" s="628"/>
      <c r="K34" s="632"/>
    </row>
    <row r="35" spans="1:11">
      <c r="A35" s="548" t="str">
        <f>'Passo3-Metais-MatPrima'!A16</f>
        <v>Produção de cimento</v>
      </c>
      <c r="B35" s="265" t="str">
        <f>'Passo3-Metais-MatPrima'!L16</f>
        <v>5.3.1</v>
      </c>
      <c r="C35" s="559"/>
      <c r="D35" s="559"/>
      <c r="E35" s="559"/>
      <c r="F35" s="559"/>
      <c r="G35" s="559"/>
      <c r="H35" s="559"/>
      <c r="I35" s="559"/>
      <c r="J35" s="629"/>
      <c r="K35" s="632"/>
    </row>
    <row r="36" spans="1:11" ht="13.5" thickBot="1">
      <c r="A36" s="549" t="str">
        <f>'Passo3-Metais-MatPrima'!A17</f>
        <v>Produção de papel e celulose</v>
      </c>
      <c r="B36" s="550" t="str">
        <f>'Passo3-Metais-MatPrima'!L17</f>
        <v>5.3.2</v>
      </c>
      <c r="C36" s="559"/>
      <c r="D36" s="559"/>
      <c r="E36" s="559"/>
      <c r="F36" s="559"/>
      <c r="G36" s="559"/>
      <c r="H36" s="559"/>
      <c r="I36" s="559"/>
      <c r="J36" s="630"/>
      <c r="K36" s="632"/>
    </row>
    <row r="37" spans="1:11">
      <c r="A37" s="643" t="str">
        <f>'Passo4-Uso Industrial de Hg'!A4</f>
        <v>Produção de produtos químicos</v>
      </c>
      <c r="B37" s="644"/>
      <c r="C37" s="644"/>
      <c r="D37" s="644"/>
      <c r="E37" s="644"/>
      <c r="F37" s="644"/>
      <c r="G37" s="644"/>
      <c r="H37" s="644"/>
      <c r="I37" s="644"/>
      <c r="J37" s="628"/>
      <c r="K37" s="631" t="str">
        <f>IF(SUM(C38:I40)+SUM(C42:I49)&lt;&gt;0,"IL2","")</f>
        <v/>
      </c>
    </row>
    <row r="38" spans="1:11">
      <c r="A38" s="548" t="str">
        <f>'Passo4-Uso Industrial de Hg'!A5</f>
        <v>Produção de cloro e álcalis com células de mercúrio</v>
      </c>
      <c r="B38" s="272" t="str">
        <f>'Passo4-Uso Industrial de Hg'!L5</f>
        <v>5.4.1</v>
      </c>
      <c r="C38" s="559"/>
      <c r="D38" s="559"/>
      <c r="E38" s="559"/>
      <c r="F38" s="559"/>
      <c r="G38" s="559"/>
      <c r="H38" s="559"/>
      <c r="I38" s="559"/>
      <c r="J38" s="629"/>
      <c r="K38" s="632"/>
    </row>
    <row r="39" spans="1:11">
      <c r="A39" s="548" t="str">
        <f>'Passo4-Uso Industrial de Hg'!A6</f>
        <v>Produção de VCM com catalisador de mercúrio</v>
      </c>
      <c r="B39" s="272" t="str">
        <f>'Passo4-Uso Industrial de Hg'!L6</f>
        <v>5.4.2</v>
      </c>
      <c r="C39" s="559"/>
      <c r="D39" s="559"/>
      <c r="E39" s="559"/>
      <c r="F39" s="559"/>
      <c r="G39" s="559"/>
      <c r="H39" s="559"/>
      <c r="I39" s="559"/>
      <c r="J39" s="629"/>
      <c r="K39" s="632"/>
    </row>
    <row r="40" spans="1:11" ht="13.5" thickBot="1">
      <c r="A40" s="549" t="str">
        <f>'Passo4-Uso Industrial de Hg'!A7</f>
        <v>Produção de acetaldeído com catalisador de mercúrio</v>
      </c>
      <c r="B40" s="555" t="str">
        <f>'Passo4-Uso Industrial de Hg'!L7</f>
        <v>5.4.3</v>
      </c>
      <c r="C40" s="559"/>
      <c r="D40" s="559"/>
      <c r="E40" s="559"/>
      <c r="F40" s="559"/>
      <c r="G40" s="559"/>
      <c r="H40" s="559"/>
      <c r="I40" s="559"/>
      <c r="J40" s="630"/>
      <c r="K40" s="632"/>
    </row>
    <row r="41" spans="1:11">
      <c r="A41" s="643" t="str">
        <f>'Passo4-Uso Industrial de Hg'!A9</f>
        <v>Produção de produtos com teor de mercúrio</v>
      </c>
      <c r="B41" s="644"/>
      <c r="C41" s="644"/>
      <c r="D41" s="644"/>
      <c r="E41" s="644"/>
      <c r="F41" s="644"/>
      <c r="G41" s="644"/>
      <c r="H41" s="644"/>
      <c r="I41" s="644"/>
      <c r="J41" s="628"/>
      <c r="K41" s="632"/>
    </row>
    <row r="42" spans="1:11" ht="25.5">
      <c r="A42" s="548" t="str">
        <f>'Passo4-Uso Industrial de Hg'!A10</f>
        <v>Termômetros Hg (medicina, ar, laboratório, industrial etc.)</v>
      </c>
      <c r="B42" s="279" t="str">
        <f>'Passo4-Uso Industrial de Hg'!L10</f>
        <v>5.5.1</v>
      </c>
      <c r="C42" s="559"/>
      <c r="D42" s="559"/>
      <c r="E42" s="559"/>
      <c r="F42" s="559"/>
      <c r="G42" s="559"/>
      <c r="H42" s="559"/>
      <c r="I42" s="559"/>
      <c r="J42" s="629"/>
      <c r="K42" s="632"/>
    </row>
    <row r="43" spans="1:11">
      <c r="A43" s="548" t="str">
        <f>'Passo4-Uso Industrial de Hg'!A11</f>
        <v>Interruptores e relés elétricos com mercúrio</v>
      </c>
      <c r="B43" s="279" t="str">
        <f>'Passo4-Uso Industrial de Hg'!L11</f>
        <v>5.5.2</v>
      </c>
      <c r="C43" s="559"/>
      <c r="D43" s="559"/>
      <c r="E43" s="559"/>
      <c r="F43" s="559"/>
      <c r="G43" s="559"/>
      <c r="H43" s="559"/>
      <c r="I43" s="559"/>
      <c r="J43" s="629"/>
      <c r="K43" s="632"/>
    </row>
    <row r="44" spans="1:11" ht="25.5">
      <c r="A44" s="548" t="str">
        <f>'Passo4-Uso Industrial de Hg'!A12</f>
        <v>Fontes de luz com mercúrio (fluorescentes, fluorescentes compactas e outros. Ver diretrizes)</v>
      </c>
      <c r="B44" s="279" t="str">
        <f>'Passo4-Uso Industrial de Hg'!L12</f>
        <v>5.5.3</v>
      </c>
      <c r="C44" s="559"/>
      <c r="D44" s="559"/>
      <c r="E44" s="559"/>
      <c r="F44" s="559"/>
      <c r="G44" s="559"/>
      <c r="H44" s="559"/>
      <c r="I44" s="559"/>
      <c r="J44" s="629"/>
      <c r="K44" s="632"/>
    </row>
    <row r="45" spans="1:11">
      <c r="A45" s="548" t="str">
        <f>'Passo4-Uso Industrial de Hg'!A13</f>
        <v>Baterias com mercúrio</v>
      </c>
      <c r="B45" s="279" t="str">
        <f>'Passo4-Uso Industrial de Hg'!L13</f>
        <v>5.5.4</v>
      </c>
      <c r="C45" s="559"/>
      <c r="D45" s="559"/>
      <c r="E45" s="559"/>
      <c r="F45" s="559"/>
      <c r="G45" s="559"/>
      <c r="H45" s="559"/>
      <c r="I45" s="559"/>
      <c r="J45" s="629"/>
      <c r="K45" s="632"/>
    </row>
    <row r="46" spans="1:11">
      <c r="A46" s="548" t="str">
        <f>'Passo4-Uso Industrial de Hg'!A14</f>
        <v xml:space="preserve">Manômetros e medidores com mercúrio </v>
      </c>
      <c r="B46" s="272" t="str">
        <f>'Passo4-Uso Industrial de Hg'!L14</f>
        <v>5.6.2</v>
      </c>
      <c r="C46" s="559"/>
      <c r="D46" s="559"/>
      <c r="E46" s="559"/>
      <c r="F46" s="559"/>
      <c r="G46" s="559"/>
      <c r="H46" s="559"/>
      <c r="I46" s="559"/>
      <c r="J46" s="629"/>
      <c r="K46" s="632"/>
    </row>
    <row r="47" spans="1:11">
      <c r="A47" s="548" t="str">
        <f>'Passo4-Uso Industrial de Hg'!A15</f>
        <v>Biocidas e pesticidas com mercúrio</v>
      </c>
      <c r="B47" s="272" t="str">
        <f>'Passo4-Uso Industrial de Hg'!L15</f>
        <v>5.5.5</v>
      </c>
      <c r="C47" s="559"/>
      <c r="D47" s="559"/>
      <c r="E47" s="559"/>
      <c r="F47" s="559"/>
      <c r="G47" s="559"/>
      <c r="H47" s="559"/>
      <c r="I47" s="559"/>
      <c r="J47" s="629"/>
      <c r="K47" s="632"/>
    </row>
    <row r="48" spans="1:11">
      <c r="A48" s="548" t="str">
        <f>'Passo4-Uso Industrial de Hg'!A16</f>
        <v xml:space="preserve">Tintas com mercúrio </v>
      </c>
      <c r="B48" s="272" t="str">
        <f>'Passo4-Uso Industrial de Hg'!L16</f>
        <v>5.5.6</v>
      </c>
      <c r="C48" s="559"/>
      <c r="D48" s="559"/>
      <c r="E48" s="559"/>
      <c r="F48" s="559"/>
      <c r="G48" s="559"/>
      <c r="H48" s="559"/>
      <c r="I48" s="559"/>
      <c r="J48" s="629"/>
      <c r="K48" s="632"/>
    </row>
    <row r="49" spans="1:11" ht="26.25" thickBot="1">
      <c r="A49" s="549" t="str">
        <f>'Passo4-Uso Industrial de Hg'!A17</f>
        <v xml:space="preserve">Cremes para clareamento de pele e sabonetes com substâncias químicas do mercúrio </v>
      </c>
      <c r="B49" s="555" t="str">
        <f>'Passo4-Uso Industrial de Hg'!L17</f>
        <v>5.5.7</v>
      </c>
      <c r="C49" s="559"/>
      <c r="D49" s="559"/>
      <c r="E49" s="559"/>
      <c r="F49" s="559"/>
      <c r="G49" s="559"/>
      <c r="H49" s="559"/>
      <c r="I49" s="559"/>
      <c r="J49" s="630"/>
      <c r="K49" s="633"/>
    </row>
    <row r="50" spans="1:11" ht="16.5" customHeight="1">
      <c r="A50" s="643" t="str">
        <f>'Passo6-Produtos-Substâncias Hg'!A6</f>
        <v>Utilização e destinação de produtos com teores de mercúrio</v>
      </c>
      <c r="B50" s="644"/>
      <c r="C50" s="644"/>
      <c r="D50" s="644"/>
      <c r="E50" s="644"/>
      <c r="F50" s="644"/>
      <c r="G50" s="644"/>
      <c r="H50" s="644"/>
      <c r="I50" s="644"/>
      <c r="J50" s="628"/>
      <c r="K50" s="632" t="str">
        <f>IF(SUM(C51:I62)&lt;&gt;0,"IL2","")</f>
        <v/>
      </c>
    </row>
    <row r="51" spans="1:11">
      <c r="A51" s="548" t="str">
        <f>'Passo6-Produtos-Substâncias Hg'!A7</f>
        <v>Amálgama dental</v>
      </c>
      <c r="B51" s="272" t="str">
        <f>'Passo6-Produtos-Substâncias Hg'!L7</f>
        <v>5.6.1</v>
      </c>
      <c r="C51" s="559"/>
      <c r="D51" s="559"/>
      <c r="E51" s="559"/>
      <c r="F51" s="559"/>
      <c r="G51" s="559"/>
      <c r="H51" s="559"/>
      <c r="I51" s="559"/>
      <c r="J51" s="629"/>
      <c r="K51" s="632"/>
    </row>
    <row r="52" spans="1:11">
      <c r="A52" s="548" t="str">
        <f>'Passo6-Produtos-Substâncias Hg'!A13</f>
        <v>Termômetros</v>
      </c>
      <c r="B52" s="272" t="str">
        <f>'Passo6-Produtos-Substâncias Hg'!L13</f>
        <v>5.5.1</v>
      </c>
      <c r="C52" s="559"/>
      <c r="D52" s="559"/>
      <c r="E52" s="559"/>
      <c r="F52" s="559"/>
      <c r="G52" s="559"/>
      <c r="H52" s="559"/>
      <c r="I52" s="559"/>
      <c r="J52" s="629"/>
      <c r="K52" s="632"/>
    </row>
    <row r="53" spans="1:11">
      <c r="A53" s="548" t="str">
        <f>'Passo6-Produtos-Substâncias Hg'!A18</f>
        <v>Interruptores e relés elétricos com mercúrio</v>
      </c>
      <c r="B53" s="272" t="str">
        <f>'Passo6-Produtos-Substâncias Hg'!L18</f>
        <v>5.5.2</v>
      </c>
      <c r="C53" s="559"/>
      <c r="D53" s="559"/>
      <c r="E53" s="559"/>
      <c r="F53" s="559"/>
      <c r="G53" s="559"/>
      <c r="H53" s="559"/>
      <c r="I53" s="559"/>
      <c r="J53" s="629"/>
      <c r="K53" s="632"/>
    </row>
    <row r="54" spans="1:11">
      <c r="A54" s="548" t="str">
        <f>'Passo6-Produtos-Substâncias Hg'!A21</f>
        <v>Fontes de luz com mercúrio</v>
      </c>
      <c r="B54" s="272" t="str">
        <f>'Passo6-Produtos-Substâncias Hg'!L21</f>
        <v>5.5.3</v>
      </c>
      <c r="C54" s="559"/>
      <c r="D54" s="559"/>
      <c r="E54" s="559"/>
      <c r="F54" s="559"/>
      <c r="G54" s="559"/>
      <c r="H54" s="559"/>
      <c r="I54" s="559"/>
      <c r="J54" s="629"/>
      <c r="K54" s="632"/>
    </row>
    <row r="55" spans="1:11">
      <c r="A55" s="556" t="str">
        <f>'Passo6-Produtos-Substâncias Hg'!A26</f>
        <v>Baterias com mercúrio</v>
      </c>
      <c r="B55" s="272" t="str">
        <f>'Passo6-Produtos-Substâncias Hg'!L26</f>
        <v>5.5.4</v>
      </c>
      <c r="C55" s="559"/>
      <c r="D55" s="559"/>
      <c r="E55" s="559"/>
      <c r="F55" s="559"/>
      <c r="G55" s="559"/>
      <c r="H55" s="559"/>
      <c r="I55" s="559"/>
      <c r="J55" s="629"/>
      <c r="K55" s="632"/>
    </row>
    <row r="56" spans="1:11" ht="25.5">
      <c r="A56" s="548" t="str">
        <f>'Passo6-Produtos-Substâncias Hg'!A31</f>
        <v>Poliuretano (PU, PUR) produzido com catalisador de mercúrio</v>
      </c>
      <c r="B56" s="272" t="str">
        <f>'Passo6-Produtos-Substâncias Hg'!L31</f>
        <v>5.5.5.</v>
      </c>
      <c r="C56" s="559"/>
      <c r="D56" s="559"/>
      <c r="E56" s="559"/>
      <c r="F56" s="559"/>
      <c r="G56" s="559"/>
      <c r="H56" s="559"/>
      <c r="I56" s="559"/>
      <c r="J56" s="629"/>
      <c r="K56" s="632"/>
    </row>
    <row r="57" spans="1:11">
      <c r="A57" s="548" t="str">
        <f>'Passo6-Produtos-Substâncias Hg'!A34</f>
        <v>Tintas com conservantes de mercúrio</v>
      </c>
      <c r="B57" s="272" t="str">
        <f>'Passo6-Produtos-Substâncias Hg'!L34</f>
        <v>5.5.7</v>
      </c>
      <c r="C57" s="559"/>
      <c r="D57" s="559"/>
      <c r="E57" s="559"/>
      <c r="F57" s="559"/>
      <c r="G57" s="559"/>
      <c r="H57" s="559"/>
      <c r="I57" s="559"/>
      <c r="J57" s="629"/>
      <c r="K57" s="632"/>
    </row>
    <row r="58" spans="1:11" ht="25.5">
      <c r="A58" s="548" t="str">
        <f>'Passo6-Produtos-Substâncias Hg'!A36</f>
        <v>Cremes para clareamento de pele e sabonetes com substâncias químicas do mercúrio</v>
      </c>
      <c r="B58" s="272" t="str">
        <f>'Passo6-Produtos-Substâncias Hg'!L36</f>
        <v>5.5.8</v>
      </c>
      <c r="C58" s="559"/>
      <c r="D58" s="559"/>
      <c r="E58" s="559"/>
      <c r="F58" s="559"/>
      <c r="G58" s="559"/>
      <c r="H58" s="559"/>
      <c r="I58" s="559"/>
      <c r="J58" s="629"/>
      <c r="K58" s="632"/>
    </row>
    <row r="59" spans="1:11" ht="29.25" customHeight="1">
      <c r="A59" s="548" t="str">
        <f>'Passo6-Produtos-Substâncias Hg'!A38</f>
        <v>Medidores de pressão arterial médicos (esfigmomanômetro com mercúrio)</v>
      </c>
      <c r="B59" s="272" t="str">
        <f>'Passo6-Produtos-Substâncias Hg'!L38</f>
        <v>5.6.2</v>
      </c>
      <c r="C59" s="559"/>
      <c r="D59" s="559"/>
      <c r="E59" s="559"/>
      <c r="F59" s="559"/>
      <c r="G59" s="559"/>
      <c r="H59" s="559"/>
      <c r="I59" s="559"/>
      <c r="J59" s="629"/>
      <c r="K59" s="632"/>
    </row>
    <row r="60" spans="1:11">
      <c r="A60" s="548" t="str">
        <f>'Passo6-Produtos-Substâncias Hg'!A40</f>
        <v>Outros manômetros e medidores com mercúrio</v>
      </c>
      <c r="B60" s="272" t="str">
        <f>'Passo6-Produtos-Substâncias Hg'!L40</f>
        <v>5.6.2</v>
      </c>
      <c r="C60" s="559"/>
      <c r="D60" s="559"/>
      <c r="E60" s="559"/>
      <c r="F60" s="559"/>
      <c r="G60" s="559"/>
      <c r="H60" s="559"/>
      <c r="I60" s="559"/>
      <c r="J60" s="629"/>
      <c r="K60" s="632"/>
    </row>
    <row r="61" spans="1:11">
      <c r="A61" s="548" t="str">
        <f>'Passo6-Produtos-Substâncias Hg'!A43</f>
        <v>Produtos químicos de laboratório</v>
      </c>
      <c r="B61" s="272" t="str">
        <f>'Passo6-Produtos-Substâncias Hg'!L43</f>
        <v>5.6.3</v>
      </c>
      <c r="C61" s="559"/>
      <c r="D61" s="559"/>
      <c r="E61" s="559"/>
      <c r="F61" s="559"/>
      <c r="G61" s="559"/>
      <c r="H61" s="559"/>
      <c r="I61" s="559"/>
      <c r="J61" s="629"/>
      <c r="K61" s="632"/>
    </row>
    <row r="62" spans="1:11" ht="26.25" thickBot="1">
      <c r="A62" s="549" t="str">
        <f>'Passo6-Produtos-Substâncias Hg'!A46</f>
        <v>Outros equipamentos laboratoriais e médicos com mercúrio</v>
      </c>
      <c r="B62" s="555" t="str">
        <f>'Passo6-Produtos-Substâncias Hg'!L46</f>
        <v>5.6.3, 5.6.5</v>
      </c>
      <c r="C62" s="559"/>
      <c r="D62" s="559"/>
      <c r="E62" s="559"/>
      <c r="F62" s="559"/>
      <c r="G62" s="559"/>
      <c r="H62" s="559"/>
      <c r="I62" s="559"/>
      <c r="J62" s="630"/>
      <c r="K62" s="632"/>
    </row>
    <row r="63" spans="1:11">
      <c r="A63" s="643" t="str">
        <f>'Passo5-TratResíduos+Reciclágem'!A8</f>
        <v>Produção de metais reciclados</v>
      </c>
      <c r="B63" s="644"/>
      <c r="C63" s="644"/>
      <c r="D63" s="644"/>
      <c r="E63" s="644"/>
      <c r="F63" s="644"/>
      <c r="G63" s="644"/>
      <c r="H63" s="644"/>
      <c r="I63" s="644"/>
      <c r="J63" s="628"/>
      <c r="K63" s="631" t="str">
        <f>IF(SUM(C64:I65)+SUM(C67:I71)+SUM(C73:I75)&lt;&gt;0,"IL2","")</f>
        <v/>
      </c>
    </row>
    <row r="64" spans="1:11" ht="25.5">
      <c r="A64" s="548" t="str">
        <f>'Passo5-TratResíduos+Reciclágem'!A9</f>
        <v>Produção de mercúrio reciclado ("produção secundária")</v>
      </c>
      <c r="B64" s="272" t="str">
        <f>'Passo5-TratResíduos+Reciclágem'!L9</f>
        <v>5.7.1</v>
      </c>
      <c r="C64" s="559"/>
      <c r="D64" s="559"/>
      <c r="E64" s="559"/>
      <c r="F64" s="559"/>
      <c r="G64" s="559"/>
      <c r="H64" s="559"/>
      <c r="I64" s="559"/>
      <c r="J64" s="629"/>
      <c r="K64" s="632"/>
    </row>
    <row r="65" spans="1:11" ht="13.5" thickBot="1">
      <c r="A65" s="549" t="str">
        <f>'Passo5-TratResíduos+Reciclágem'!A10</f>
        <v>Produção de metais ferrosos reciclados (ferro e aço)</v>
      </c>
      <c r="B65" s="555" t="str">
        <f>'Passo5-TratResíduos+Reciclágem'!L10</f>
        <v>5.7.2</v>
      </c>
      <c r="C65" s="559"/>
      <c r="D65" s="559"/>
      <c r="E65" s="559"/>
      <c r="F65" s="559"/>
      <c r="G65" s="559"/>
      <c r="H65" s="559"/>
      <c r="I65" s="559"/>
      <c r="J65" s="630"/>
      <c r="K65" s="632"/>
    </row>
    <row r="66" spans="1:11">
      <c r="A66" s="643" t="str">
        <f>'Passo5-TratResíduos+Reciclágem'!A12</f>
        <v>Incineração de resíduos</v>
      </c>
      <c r="B66" s="644"/>
      <c r="C66" s="644"/>
      <c r="D66" s="644"/>
      <c r="E66" s="644"/>
      <c r="F66" s="644"/>
      <c r="G66" s="644"/>
      <c r="H66" s="644"/>
      <c r="I66" s="644"/>
      <c r="J66" s="628"/>
      <c r="K66" s="632"/>
    </row>
    <row r="67" spans="1:11">
      <c r="A67" s="717" t="s">
        <v>1065</v>
      </c>
      <c r="B67" s="272" t="str">
        <f>'Passo5-TratResíduos+Reciclágem'!L13</f>
        <v>5.8.1</v>
      </c>
      <c r="C67" s="559"/>
      <c r="D67" s="559"/>
      <c r="E67" s="559"/>
      <c r="F67" s="559"/>
      <c r="G67" s="559"/>
      <c r="H67" s="559"/>
      <c r="I67" s="559"/>
      <c r="J67" s="629"/>
      <c r="K67" s="632"/>
    </row>
    <row r="68" spans="1:11">
      <c r="A68" s="717" t="s">
        <v>925</v>
      </c>
      <c r="B68" s="272" t="str">
        <f>'Passo5-TratResíduos+Reciclágem'!L14</f>
        <v>5.8.2</v>
      </c>
      <c r="C68" s="559"/>
      <c r="D68" s="559"/>
      <c r="E68" s="559"/>
      <c r="F68" s="559"/>
      <c r="G68" s="559"/>
      <c r="H68" s="559"/>
      <c r="I68" s="559"/>
      <c r="J68" s="629"/>
      <c r="K68" s="632"/>
    </row>
    <row r="69" spans="1:11">
      <c r="A69" s="717" t="s">
        <v>926</v>
      </c>
      <c r="B69" s="272" t="str">
        <f>'Passo5-TratResíduos+Reciclágem'!L15</f>
        <v>5.8.3</v>
      </c>
      <c r="C69" s="559"/>
      <c r="D69" s="559"/>
      <c r="E69" s="559"/>
      <c r="F69" s="559"/>
      <c r="G69" s="559"/>
      <c r="H69" s="559"/>
      <c r="I69" s="559"/>
      <c r="J69" s="629"/>
      <c r="K69" s="632"/>
    </row>
    <row r="70" spans="1:11" ht="25.5">
      <c r="A70" s="717" t="s">
        <v>927</v>
      </c>
      <c r="B70" s="272" t="str">
        <f>'Passo5-TratResíduos+Reciclágem'!L16</f>
        <v>5.8.4</v>
      </c>
      <c r="C70" s="559"/>
      <c r="D70" s="559"/>
      <c r="E70" s="559"/>
      <c r="F70" s="559"/>
      <c r="G70" s="559"/>
      <c r="H70" s="559"/>
      <c r="I70" s="559"/>
      <c r="J70" s="629"/>
      <c r="K70" s="632"/>
    </row>
    <row r="71" spans="1:11" ht="13.5" thickBot="1">
      <c r="A71" s="718" t="s">
        <v>1090</v>
      </c>
      <c r="B71" s="640" t="str">
        <f>'Passo5-TratResíduos+Reciclágem'!L17</f>
        <v>5.8.5</v>
      </c>
      <c r="C71" s="641"/>
      <c r="D71" s="641"/>
      <c r="E71" s="641"/>
      <c r="F71" s="641"/>
      <c r="G71" s="641"/>
      <c r="H71" s="641"/>
      <c r="I71" s="641"/>
      <c r="J71" s="642"/>
      <c r="K71" s="632"/>
    </row>
    <row r="72" spans="1:11">
      <c r="A72" s="643" t="str">
        <f>'Passo5-TratResíduos+Reciclágem'!A19</f>
        <v>Deposição de resíduos /aterros e tratamento de águas residuais</v>
      </c>
      <c r="B72" s="644"/>
      <c r="C72" s="644"/>
      <c r="D72" s="644"/>
      <c r="E72" s="644"/>
      <c r="F72" s="644"/>
      <c r="G72" s="644"/>
      <c r="H72" s="644"/>
      <c r="I72" s="644"/>
      <c r="J72" s="635"/>
      <c r="K72" s="632"/>
    </row>
    <row r="73" spans="1:11">
      <c r="A73" s="717" t="s">
        <v>928</v>
      </c>
      <c r="B73" s="272" t="str">
        <f>'Passo5-TratResíduos+Reciclágem'!L20</f>
        <v>5.9.1</v>
      </c>
      <c r="C73" s="559"/>
      <c r="D73" s="559"/>
      <c r="E73" s="559"/>
      <c r="F73" s="559"/>
      <c r="G73" s="559"/>
      <c r="H73" s="559"/>
      <c r="I73" s="559"/>
      <c r="J73" s="636"/>
      <c r="K73" s="632"/>
    </row>
    <row r="74" spans="1:11">
      <c r="A74" s="717" t="s">
        <v>1070</v>
      </c>
      <c r="B74" s="272" t="str">
        <f>'Passo5-TratResíduos+Reciclágem'!L21</f>
        <v>5.9.4</v>
      </c>
      <c r="C74" s="559"/>
      <c r="D74" s="559"/>
      <c r="E74" s="559"/>
      <c r="F74" s="559"/>
      <c r="G74" s="559"/>
      <c r="H74" s="559"/>
      <c r="I74" s="559"/>
      <c r="J74" s="636"/>
      <c r="K74" s="632"/>
    </row>
    <row r="75" spans="1:11" ht="13.5" thickBot="1">
      <c r="A75" s="719" t="s">
        <v>929</v>
      </c>
      <c r="B75" s="555" t="str">
        <f>'Passo5-TratResíduos+Reciclágem'!L23</f>
        <v>5.9.5</v>
      </c>
      <c r="C75" s="637"/>
      <c r="D75" s="637"/>
      <c r="E75" s="637"/>
      <c r="F75" s="637"/>
      <c r="G75" s="637"/>
      <c r="H75" s="637"/>
      <c r="I75" s="637"/>
      <c r="J75" s="638"/>
      <c r="K75" s="633"/>
    </row>
    <row r="76" spans="1:11">
      <c r="A76" s="643" t="str">
        <f>'Passo7-Crematórios-cemitérios'!A4</f>
        <v>Crematórios e cemitérios</v>
      </c>
      <c r="B76" s="645"/>
      <c r="C76" s="645"/>
      <c r="D76" s="645"/>
      <c r="E76" s="645"/>
      <c r="F76" s="645"/>
      <c r="G76" s="645"/>
      <c r="H76" s="645"/>
      <c r="I76" s="645"/>
      <c r="J76" s="635"/>
      <c r="K76" s="632" t="str">
        <f>IF(SUM(C77:I78)&lt;&gt;0,"IL2","")</f>
        <v/>
      </c>
    </row>
    <row r="77" spans="1:11">
      <c r="A77" s="548" t="str">
        <f>'Passo7-Crematórios-cemitérios'!A5</f>
        <v>Crematórios</v>
      </c>
      <c r="B77" s="272" t="str">
        <f>'Passo7-Crematórios-cemitérios'!L5</f>
        <v>5.10.1</v>
      </c>
      <c r="C77" s="559"/>
      <c r="D77" s="559"/>
      <c r="E77" s="559"/>
      <c r="F77" s="559"/>
      <c r="G77" s="559"/>
      <c r="H77" s="559"/>
      <c r="I77" s="559"/>
      <c r="J77" s="636"/>
      <c r="K77" s="632"/>
    </row>
    <row r="78" spans="1:11" ht="13.5" thickBot="1">
      <c r="A78" s="549" t="str">
        <f>'Passo7-Crematórios-cemitérios'!A6</f>
        <v>Cemitérios</v>
      </c>
      <c r="B78" s="555" t="str">
        <f>'Passo7-Crematórios-cemitérios'!L6</f>
        <v>5.10.2</v>
      </c>
      <c r="C78" s="637"/>
      <c r="D78" s="637"/>
      <c r="E78" s="637"/>
      <c r="F78" s="637"/>
      <c r="G78" s="637"/>
      <c r="H78" s="637"/>
      <c r="I78" s="637"/>
      <c r="J78" s="638"/>
      <c r="K78" s="633"/>
    </row>
    <row r="79" spans="1:11">
      <c r="A79" s="323"/>
      <c r="C79" s="3"/>
    </row>
    <row r="80" spans="1:11">
      <c r="A80" s="323"/>
    </row>
    <row r="81" spans="1:11">
      <c r="K81" s="477"/>
    </row>
    <row r="84" spans="1:11">
      <c r="A84" s="323"/>
    </row>
    <row r="85" spans="1:11">
      <c r="A85" s="323"/>
    </row>
    <row r="86" spans="1:11">
      <c r="A86" s="323"/>
      <c r="K86" s="477"/>
    </row>
    <row r="87" spans="1:11">
      <c r="A87" s="323"/>
    </row>
    <row r="88" spans="1:11">
      <c r="K88" s="477"/>
    </row>
    <row r="90" spans="1:11">
      <c r="K90" s="477"/>
    </row>
  </sheetData>
  <mergeCells count="2">
    <mergeCell ref="D9:I9"/>
    <mergeCell ref="K9:N9"/>
  </mergeCells>
  <dataValidations count="1">
    <dataValidation type="decimal" allowBlank="1" showInputMessage="1" showErrorMessage="1" errorTitle="Input error" error="Use digits and decimal mark only." promptTitle="Input cell" prompt="Use digits and decimal mark only." sqref="C12:I19 C21:I23 C25:I33 C35:I36 C38:I40 C42:I49 C51:I62 C64:I65 C67:I71 C73:I75 C77:I78">
      <formula1>-9.99999999999999E+22</formula1>
      <formula2>9.99999999999999E+22</formula2>
    </dataValidation>
  </dataValidations>
  <pageMargins left="0.39370078740157483" right="0.39370078740157483" top="0.74803149606299213" bottom="0.74803149606299213" header="0.31496062992125984" footer="0.31496062992125984"/>
  <pageSetup paperSize="9" scale="91" fitToHeight="2" orientation="landscape" r:id="rId1"/>
  <headerFooter>
    <oddFooter>&amp;L&amp;APrinted &amp;D</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2"/>
  <sheetViews>
    <sheetView workbookViewId="0">
      <selection activeCell="K4" sqref="K4"/>
    </sheetView>
  </sheetViews>
  <sheetFormatPr defaultRowHeight="12.75"/>
  <cols>
    <col min="1" max="1" width="50.140625" customWidth="1"/>
    <col min="2" max="3" width="15.7109375" customWidth="1"/>
    <col min="4" max="4" width="15.85546875" customWidth="1"/>
    <col min="5" max="5" width="19" customWidth="1"/>
    <col min="6" max="6" width="15.85546875" customWidth="1"/>
  </cols>
  <sheetData>
    <row r="1" spans="1:7" ht="60">
      <c r="A1" s="355" t="s">
        <v>429</v>
      </c>
      <c r="B1" s="12" t="s">
        <v>731</v>
      </c>
      <c r="C1" s="12" t="s">
        <v>735</v>
      </c>
      <c r="D1" s="612" t="s">
        <v>740</v>
      </c>
      <c r="E1" s="12" t="s">
        <v>732</v>
      </c>
    </row>
    <row r="2" spans="1:7" ht="26.25">
      <c r="A2" s="458" t="s">
        <v>323</v>
      </c>
      <c r="B2" s="12"/>
      <c r="C2" s="12" t="s">
        <v>736</v>
      </c>
      <c r="D2" s="614"/>
      <c r="E2" s="53" t="s">
        <v>733</v>
      </c>
    </row>
    <row r="3" spans="1:7" ht="15">
      <c r="A3" s="458"/>
      <c r="B3" s="12"/>
      <c r="C3" s="53">
        <v>10</v>
      </c>
      <c r="D3" s="614"/>
      <c r="E3" s="9"/>
    </row>
    <row r="4" spans="1:7" ht="51">
      <c r="A4" s="58"/>
      <c r="B4" s="12" t="s">
        <v>701</v>
      </c>
      <c r="C4" s="567" t="s">
        <v>739</v>
      </c>
      <c r="D4" s="12" t="s">
        <v>741</v>
      </c>
      <c r="E4" s="12" t="s">
        <v>734</v>
      </c>
      <c r="F4" s="93" t="s">
        <v>742</v>
      </c>
      <c r="G4" s="93" t="s">
        <v>743</v>
      </c>
    </row>
    <row r="5" spans="1:7">
      <c r="A5" s="394" t="str">
        <f>'Passo2-Energia'!A4</f>
        <v>Consumo de energia</v>
      </c>
      <c r="D5" s="613"/>
    </row>
    <row r="6" spans="1:7">
      <c r="A6" s="458" t="str">
        <f>'Passo2-Energia'!A5</f>
        <v>Combustão de carvão em grandes termoelétricas</v>
      </c>
      <c r="B6">
        <v>6.7227168213380929E-4</v>
      </c>
      <c r="C6">
        <f>$C$3</f>
        <v>10</v>
      </c>
      <c r="D6" s="611">
        <f t="shared" ref="D6:D33" si="0">IF(ISNUMBER(B6),B6*C6,"SKIP")</f>
        <v>6.7227168213380931E-3</v>
      </c>
      <c r="E6" s="615">
        <f>IF(ISNUMBER(D6),D6*'Passo1-Dados do país'!$B$6,"SKIP")</f>
        <v>0</v>
      </c>
      <c r="F6" s="619" t="str">
        <f>IF('Nível1-Resumo entradas Hg'!E5="","",'Nível1-Resumo entradas Hg'!E5)</f>
        <v>Presente?</v>
      </c>
      <c r="G6" t="str">
        <f>IF(ISNUMBER(F6),IF(F6&lt;E6,"y","n"),"")</f>
        <v/>
      </c>
    </row>
    <row r="7" spans="1:7">
      <c r="A7" s="458" t="str">
        <f>'Passo2-Energia'!A6</f>
        <v>Outros usos de carvão</v>
      </c>
      <c r="B7">
        <v>2.2364446616113013E-4</v>
      </c>
      <c r="C7" s="316">
        <v>20</v>
      </c>
      <c r="D7" s="611">
        <f t="shared" si="0"/>
        <v>4.4728893232226022E-3</v>
      </c>
      <c r="E7" s="615">
        <f>IF(ISNUMBER(D7),D7*'Passo1-Dados do país'!$B$6,"SKIP")</f>
        <v>0</v>
      </c>
      <c r="F7" s="619" t="str">
        <f>IF('Nível1-Resumo entradas Hg'!E6="","",'Nível1-Resumo entradas Hg'!E6)</f>
        <v>Presente?</v>
      </c>
      <c r="G7" t="str">
        <f t="shared" ref="G7:G70" si="1">IF(ISNUMBER(F7),IF(F7&lt;E7,"y","n"),"")</f>
        <v/>
      </c>
    </row>
    <row r="8" spans="1:7" ht="25.5">
      <c r="A8" s="458" t="str">
        <f>'Passo2-Energia'!A7</f>
        <v>Combustão/utilização de coque de petróleo e petróleo pesado</v>
      </c>
      <c r="B8">
        <v>1.0032298136645963E-4</v>
      </c>
      <c r="C8">
        <f t="shared" ref="C8:C70" si="2">$C$3</f>
        <v>10</v>
      </c>
      <c r="D8" s="611">
        <f t="shared" si="0"/>
        <v>1.0032298136645962E-3</v>
      </c>
      <c r="E8" s="615">
        <f>IF(ISNUMBER(D8),D8*'Passo1-Dados do país'!$B$6,"SKIP")</f>
        <v>0</v>
      </c>
      <c r="F8" s="619" t="str">
        <f>IF('Nível1-Resumo entradas Hg'!E7="","",'Nível1-Resumo entradas Hg'!E7)</f>
        <v>Presente?</v>
      </c>
      <c r="G8" t="str">
        <f t="shared" si="1"/>
        <v/>
      </c>
    </row>
    <row r="9" spans="1:7" ht="25.5">
      <c r="A9" s="458" t="str">
        <f>'Passo2-Energia'!A8</f>
        <v>Combustão/uso de diesel, gasóleo, petróleo, querosene, GLP e outros destilados leves ou médios</v>
      </c>
      <c r="B9">
        <v>1.6173158415841584E-5</v>
      </c>
      <c r="C9">
        <f t="shared" si="2"/>
        <v>10</v>
      </c>
      <c r="D9" s="611">
        <f t="shared" si="0"/>
        <v>1.6173158415841584E-4</v>
      </c>
      <c r="E9" s="615">
        <f>IF(ISNUMBER(D9),D9*'Passo1-Dados do país'!$B$6,"SKIP")</f>
        <v>0</v>
      </c>
      <c r="F9" s="619" t="str">
        <f>IF('Nível1-Resumo entradas Hg'!E8="","",'Nível1-Resumo entradas Hg'!E8)</f>
        <v>Presente?</v>
      </c>
      <c r="G9" t="str">
        <f t="shared" si="1"/>
        <v/>
      </c>
    </row>
    <row r="10" spans="1:7">
      <c r="A10" s="458" t="str">
        <f>'Passo2-Energia'!A9</f>
        <v>Utilização de gás natural bruto ou limpo</v>
      </c>
      <c r="B10">
        <v>3.7316770186335403E-5</v>
      </c>
      <c r="C10">
        <f t="shared" si="2"/>
        <v>10</v>
      </c>
      <c r="D10" s="611">
        <f t="shared" si="0"/>
        <v>3.7316770186335404E-4</v>
      </c>
      <c r="E10" s="615">
        <f>IF(ISNUMBER(D10),D10*'Passo1-Dados do país'!$B$6,"SKIP")</f>
        <v>0</v>
      </c>
      <c r="F10" s="619" t="str">
        <f>IF('Nível1-Resumo entradas Hg'!E9="","",'Nível1-Resumo entradas Hg'!E9)</f>
        <v>Presente?</v>
      </c>
      <c r="G10" t="str">
        <f t="shared" si="1"/>
        <v/>
      </c>
    </row>
    <row r="11" spans="1:7">
      <c r="A11" s="458" t="str">
        <f>'Passo2-Energia'!A10</f>
        <v>Uso de gás canalizado (qualidade para o consumidor)</v>
      </c>
      <c r="B11">
        <v>3.066424807808586E-6</v>
      </c>
      <c r="C11" s="316">
        <v>100</v>
      </c>
      <c r="D11" s="611">
        <f t="shared" si="0"/>
        <v>3.0664248078085858E-4</v>
      </c>
      <c r="E11" s="615">
        <f>IF(ISNUMBER(D11),D11*'Passo1-Dados do país'!$B$6,"SKIP")</f>
        <v>0</v>
      </c>
      <c r="F11" s="619" t="str">
        <f>IF('Nível1-Resumo entradas Hg'!E10="","",'Nível1-Resumo entradas Hg'!E10)</f>
        <v>Presente?</v>
      </c>
      <c r="G11" t="str">
        <f t="shared" si="1"/>
        <v/>
      </c>
    </row>
    <row r="12" spans="1:7">
      <c r="A12" s="458" t="str">
        <f>'Passo2-Energia'!A11</f>
        <v>Produção de energia ou aquecimento com biomassa</v>
      </c>
      <c r="B12">
        <v>2.1352177849016704E-5</v>
      </c>
      <c r="C12">
        <f t="shared" si="2"/>
        <v>10</v>
      </c>
      <c r="D12" s="611">
        <f t="shared" si="0"/>
        <v>2.1352177849016704E-4</v>
      </c>
      <c r="E12" s="615">
        <f>IF(ISNUMBER(D12),D12*'Passo1-Dados do país'!$B$6,"SKIP")</f>
        <v>0</v>
      </c>
      <c r="F12" s="619" t="str">
        <f>IF('Nível1-Resumo entradas Hg'!E11="","",'Nível1-Resumo entradas Hg'!E11)</f>
        <v>Presente?</v>
      </c>
      <c r="G12" t="str">
        <f t="shared" si="1"/>
        <v/>
      </c>
    </row>
    <row r="13" spans="1:7">
      <c r="A13" s="458" t="str">
        <f>'Passo2-Energia'!A12</f>
        <v>Combustão do carvão vegetal</v>
      </c>
      <c r="B13">
        <v>2.6555239118131514E-5</v>
      </c>
      <c r="C13">
        <f t="shared" si="2"/>
        <v>10</v>
      </c>
      <c r="D13" s="611">
        <f t="shared" si="0"/>
        <v>2.6555239118131516E-4</v>
      </c>
      <c r="E13" s="615">
        <f>IF(ISNUMBER(D13),D13*'Passo1-Dados do país'!$B$6,"SKIP")</f>
        <v>0</v>
      </c>
      <c r="F13" s="619" t="str">
        <f>IF('Nível1-Resumo entradas Hg'!E12="","",'Nível1-Resumo entradas Hg'!E12)</f>
        <v>Presente?</v>
      </c>
      <c r="G13" t="str">
        <f t="shared" si="1"/>
        <v/>
      </c>
    </row>
    <row r="14" spans="1:7">
      <c r="A14" s="394" t="str">
        <f>'Passo2-Energia'!A14</f>
        <v>Produção de combustíveis</v>
      </c>
      <c r="B14">
        <v>0</v>
      </c>
      <c r="C14">
        <f t="shared" si="2"/>
        <v>10</v>
      </c>
      <c r="D14" s="611">
        <f t="shared" si="0"/>
        <v>0</v>
      </c>
      <c r="E14" s="615">
        <f>IF(ISNUMBER(D14),D14*'Passo1-Dados do país'!$B$6,"SKIP")</f>
        <v>0</v>
      </c>
      <c r="F14" s="619" t="str">
        <f>IF('Nível1-Resumo entradas Hg'!E13="","",'Nível1-Resumo entradas Hg'!E13)</f>
        <v/>
      </c>
      <c r="G14" t="str">
        <f t="shared" si="1"/>
        <v/>
      </c>
    </row>
    <row r="15" spans="1:7">
      <c r="A15" s="458" t="str">
        <f>'Passo2-Energia'!A15</f>
        <v>Extração de petróleo</v>
      </c>
      <c r="B15">
        <v>5.112380952380952E-4</v>
      </c>
      <c r="C15">
        <f t="shared" si="2"/>
        <v>10</v>
      </c>
      <c r="D15" s="611">
        <f t="shared" si="0"/>
        <v>5.1123809523809516E-3</v>
      </c>
      <c r="E15" s="615">
        <f>IF(ISNUMBER(D15),D15*'Passo1-Dados do país'!$B$6,"SKIP")</f>
        <v>0</v>
      </c>
      <c r="F15" s="619" t="str">
        <f>IF('Nível1-Resumo entradas Hg'!E14="","",'Nível1-Resumo entradas Hg'!E14)</f>
        <v>Presente?</v>
      </c>
      <c r="G15" t="str">
        <f t="shared" si="1"/>
        <v/>
      </c>
    </row>
    <row r="16" spans="1:7">
      <c r="A16" s="458" t="str">
        <f>'Passo2-Energia'!A16</f>
        <v>Refinamento de petróleo</v>
      </c>
      <c r="B16">
        <v>1.7505590062111802E-4</v>
      </c>
      <c r="C16" s="316">
        <v>30</v>
      </c>
      <c r="D16" s="611">
        <f t="shared" si="0"/>
        <v>5.2516770186335406E-3</v>
      </c>
      <c r="E16" s="615">
        <f>IF(ISNUMBER(D16),D16*'Passo1-Dados do país'!$B$6,"SKIP")</f>
        <v>0</v>
      </c>
      <c r="F16" s="619" t="str">
        <f>IF('Nível1-Resumo entradas Hg'!E15="","",'Nível1-Resumo entradas Hg'!E15)</f>
        <v>Presente?</v>
      </c>
      <c r="G16" t="str">
        <f t="shared" si="1"/>
        <v/>
      </c>
    </row>
    <row r="17" spans="1:7">
      <c r="A17" s="458" t="str">
        <f>'Passo2-Energia'!A17</f>
        <v>Extração e processamento de gás natural</v>
      </c>
      <c r="B17">
        <v>2.0723809523809524E-4</v>
      </c>
      <c r="C17">
        <f t="shared" si="2"/>
        <v>10</v>
      </c>
      <c r="D17" s="611">
        <f t="shared" si="0"/>
        <v>2.0723809523809523E-3</v>
      </c>
      <c r="E17" s="615">
        <f>IF(ISNUMBER(D17),D17*'Passo1-Dados do país'!$B$6,"SKIP")</f>
        <v>0</v>
      </c>
      <c r="F17" s="619" t="str">
        <f>IF('Nível1-Resumo entradas Hg'!E16="","",'Nível1-Resumo entradas Hg'!E16)</f>
        <v>Presente?</v>
      </c>
      <c r="G17" t="str">
        <f t="shared" si="1"/>
        <v/>
      </c>
    </row>
    <row r="18" spans="1:7">
      <c r="A18" s="394" t="str">
        <f>'Passo3-Metais-MatPrima'!A5</f>
        <v>Produção de metais primários</v>
      </c>
      <c r="B18">
        <v>0</v>
      </c>
      <c r="C18">
        <f t="shared" si="2"/>
        <v>10</v>
      </c>
      <c r="D18" s="611">
        <f t="shared" si="0"/>
        <v>0</v>
      </c>
      <c r="E18" s="615">
        <f>IF(ISNUMBER(D18),D18*'Passo1-Dados do país'!$B$6,"SKIP")</f>
        <v>0</v>
      </c>
      <c r="F18" s="619" t="str">
        <f>IF('Nível1-Resumo entradas Hg'!E17="","",'Nível1-Resumo entradas Hg'!E17)</f>
        <v/>
      </c>
      <c r="G18" t="str">
        <f t="shared" si="1"/>
        <v/>
      </c>
    </row>
    <row r="19" spans="1:7" ht="30">
      <c r="A19" s="608" t="str">
        <f>'Passo3-Metais-MatPrima'!A6</f>
        <v>Extração e processamento inicial de mercúrio (primário)</v>
      </c>
      <c r="B19">
        <v>4.9587833629833274E-2</v>
      </c>
      <c r="C19">
        <f t="shared" si="2"/>
        <v>10</v>
      </c>
      <c r="D19" s="611">
        <f t="shared" si="0"/>
        <v>0.49587833629833272</v>
      </c>
      <c r="E19" s="615">
        <f>IF(ISNUMBER(D19),D19*'Passo1-Dados do país'!$B$6,"SKIP")</f>
        <v>0</v>
      </c>
      <c r="F19" s="619" t="str">
        <f>IF('Nível1-Resumo entradas Hg'!E18="","",'Nível1-Resumo entradas Hg'!E18)</f>
        <v>Presente?</v>
      </c>
      <c r="G19" t="str">
        <f t="shared" si="1"/>
        <v/>
      </c>
    </row>
    <row r="20" spans="1:7">
      <c r="A20" s="458" t="str">
        <f>'Passo3-Metais-MatPrima'!A7</f>
        <v>Produção de zinco a partir de concentrados</v>
      </c>
      <c r="B20">
        <v>4.7096817600753547E-4</v>
      </c>
      <c r="C20" s="316">
        <v>200</v>
      </c>
      <c r="D20" s="611">
        <f t="shared" si="0"/>
        <v>9.41936352015071E-2</v>
      </c>
      <c r="E20" s="615">
        <f>IF(ISNUMBER(D20),D20*'Passo1-Dados do país'!$B$6,"SKIP")</f>
        <v>0</v>
      </c>
      <c r="F20" s="619" t="str">
        <f>IF('Nível1-Resumo entradas Hg'!E19="","",'Nível1-Resumo entradas Hg'!E19)</f>
        <v>Presente?</v>
      </c>
      <c r="G20" t="str">
        <f t="shared" si="1"/>
        <v/>
      </c>
    </row>
    <row r="21" spans="1:7">
      <c r="A21" s="458" t="str">
        <f>'Passo3-Metais-MatPrima'!A8</f>
        <v>Produção de cobre a partir de concentrados</v>
      </c>
      <c r="B21">
        <v>1.1711757298861753E-2</v>
      </c>
      <c r="C21">
        <f t="shared" si="2"/>
        <v>10</v>
      </c>
      <c r="D21" s="611">
        <f t="shared" si="0"/>
        <v>0.11711757298861752</v>
      </c>
      <c r="E21" s="615">
        <f>IF(ISNUMBER(D21),D21*'Passo1-Dados do país'!$B$6,"SKIP")</f>
        <v>0</v>
      </c>
      <c r="F21" s="619" t="str">
        <f>IF('Nível1-Resumo entradas Hg'!E20="","",'Nível1-Resumo entradas Hg'!E20)</f>
        <v>Presente?</v>
      </c>
      <c r="G21" t="str">
        <f t="shared" si="1"/>
        <v/>
      </c>
    </row>
    <row r="22" spans="1:7">
      <c r="A22" s="458" t="str">
        <f>'Passo3-Metais-MatPrima'!A9</f>
        <v>Produção de chumbo a partir de concentrados</v>
      </c>
      <c r="B22">
        <v>4.5302653120724842E-4</v>
      </c>
      <c r="C22" s="316">
        <v>200</v>
      </c>
      <c r="D22" s="611">
        <f t="shared" si="0"/>
        <v>9.060530624144969E-2</v>
      </c>
      <c r="E22" s="615">
        <f>IF(ISNUMBER(D22),D22*'Passo1-Dados do país'!$B$6,"SKIP")</f>
        <v>0</v>
      </c>
      <c r="F22" s="619" t="str">
        <f>IF('Nível1-Resumo entradas Hg'!E21="","",'Nível1-Resumo entradas Hg'!E21)</f>
        <v>Presente?</v>
      </c>
      <c r="G22" t="str">
        <f t="shared" si="1"/>
        <v/>
      </c>
    </row>
    <row r="23" spans="1:7" ht="25.5">
      <c r="A23" s="458" t="str">
        <f>'Passo3-Metais-MatPrima'!A10</f>
        <v>Extração de ouro por métodos sem amálgama de mercúrio</v>
      </c>
      <c r="B23">
        <v>0.19547223276627479</v>
      </c>
      <c r="C23">
        <f t="shared" si="2"/>
        <v>10</v>
      </c>
      <c r="D23" s="611">
        <f t="shared" si="0"/>
        <v>1.9547223276627479</v>
      </c>
      <c r="E23" s="615">
        <f>IF(ISNUMBER(D23),D23*'Passo1-Dados do país'!$B$6,"SKIP")</f>
        <v>0</v>
      </c>
      <c r="F23" s="619" t="str">
        <f>IF('Nível1-Resumo entradas Hg'!E22="","",'Nível1-Resumo entradas Hg'!E22)</f>
        <v>Presente?</v>
      </c>
      <c r="G23" t="str">
        <f t="shared" si="1"/>
        <v/>
      </c>
    </row>
    <row r="24" spans="1:7" ht="25.5">
      <c r="A24" s="458" t="str">
        <f>'Passo3-Metais-MatPrima'!A11</f>
        <v>Produção de alumina a partir da bauxita (produção de alumínio)</v>
      </c>
      <c r="B24">
        <v>1.024066800980033E-5</v>
      </c>
      <c r="C24">
        <f t="shared" si="2"/>
        <v>10</v>
      </c>
      <c r="D24" s="611">
        <f t="shared" si="0"/>
        <v>1.024066800980033E-4</v>
      </c>
      <c r="E24" s="615">
        <f>IF(ISNUMBER(D24),D24*'Passo1-Dados do país'!$B$6,"SKIP")</f>
        <v>0</v>
      </c>
      <c r="F24" s="619" t="str">
        <f>IF('Nível1-Resumo entradas Hg'!E23="","",'Nível1-Resumo entradas Hg'!E23)</f>
        <v>Presente?</v>
      </c>
      <c r="G24" t="str">
        <f t="shared" si="1"/>
        <v/>
      </c>
    </row>
    <row r="25" spans="1:7" ht="25.5">
      <c r="A25" s="458" t="str">
        <f>'Passo3-Metais-MatPrima'!A12</f>
        <v>Produção de metais ferrosos primários (produção de ferro gusa)</v>
      </c>
      <c r="B25">
        <v>6.6708080643022112E-5</v>
      </c>
      <c r="C25">
        <f t="shared" si="2"/>
        <v>10</v>
      </c>
      <c r="D25" s="611">
        <f t="shared" si="0"/>
        <v>6.6708080643022112E-4</v>
      </c>
      <c r="E25" s="615">
        <f>IF(ISNUMBER(D25),D25*'Passo1-Dados do país'!$B$6,"SKIP")</f>
        <v>0</v>
      </c>
      <c r="F25" s="619" t="str">
        <f>IF('Nível1-Resumo entradas Hg'!E24="","",'Nível1-Resumo entradas Hg'!E24)</f>
        <v>Presente?</v>
      </c>
      <c r="G25" t="str">
        <f t="shared" si="1"/>
        <v/>
      </c>
    </row>
    <row r="26" spans="1:7" ht="25.5">
      <c r="A26" s="458" t="str">
        <f>'Passo3-Metais-MatPrima'!A13</f>
        <v>Extração de ouro com amálgama de mercúrio - sem o uso de retorta</v>
      </c>
      <c r="B26">
        <v>1.0861473345961381E-3</v>
      </c>
      <c r="C26">
        <f t="shared" si="2"/>
        <v>10</v>
      </c>
      <c r="D26" s="611">
        <f t="shared" si="0"/>
        <v>1.0861473345961381E-2</v>
      </c>
      <c r="E26" s="615">
        <f>IF(ISNUMBER(D26),D26*'Passo1-Dados do país'!$B$6,"SKIP")</f>
        <v>0</v>
      </c>
      <c r="F26" s="619" t="str">
        <f>IF('Nível1-Resumo entradas Hg'!E25="","",'Nível1-Resumo entradas Hg'!E25)</f>
        <v>Presente?</v>
      </c>
      <c r="G26" t="str">
        <f t="shared" si="1"/>
        <v/>
      </c>
    </row>
    <row r="27" spans="1:7" ht="25.5">
      <c r="A27" s="458" t="str">
        <f>'Passo3-Metais-MatPrima'!A14</f>
        <v>Extração de ouro com amálgama de mercúrio - com uso de retortas</v>
      </c>
      <c r="B27">
        <v>6.50839232784204E-10</v>
      </c>
      <c r="C27" s="316">
        <v>1000000</v>
      </c>
      <c r="D27" s="611">
        <f t="shared" si="0"/>
        <v>6.5083923278420398E-4</v>
      </c>
      <c r="E27" s="615">
        <f>IF(ISNUMBER(D27),D27*'Passo1-Dados do país'!$B$6,"SKIP")</f>
        <v>0</v>
      </c>
      <c r="F27" s="619" t="str">
        <f>IF('Nível1-Resumo entradas Hg'!E26="","",'Nível1-Resumo entradas Hg'!E26)</f>
        <v>Presente?</v>
      </c>
      <c r="G27" t="str">
        <f t="shared" si="1"/>
        <v/>
      </c>
    </row>
    <row r="28" spans="1:7">
      <c r="A28" s="394" t="str">
        <f>'Passo3-Metais-MatPrima'!A15</f>
        <v>Produção de outros materiais</v>
      </c>
      <c r="B28">
        <v>0</v>
      </c>
      <c r="C28">
        <f t="shared" si="2"/>
        <v>10</v>
      </c>
      <c r="D28" s="611">
        <f t="shared" si="0"/>
        <v>0</v>
      </c>
      <c r="E28" s="615">
        <f>IF(ISNUMBER(D28),D28*'Passo1-Dados do país'!$B$6,"SKIP")</f>
        <v>0</v>
      </c>
      <c r="F28" s="619" t="str">
        <f>IF('Nível1-Resumo entradas Hg'!E27="","",'Nível1-Resumo entradas Hg'!E27)</f>
        <v/>
      </c>
      <c r="G28" t="str">
        <f t="shared" si="1"/>
        <v/>
      </c>
    </row>
    <row r="29" spans="1:7">
      <c r="A29" s="458" t="str">
        <f>'Passo3-Metais-MatPrima'!A16</f>
        <v>Produção de cimento</v>
      </c>
      <c r="B29">
        <v>4.1647022787699354E-4</v>
      </c>
      <c r="C29">
        <f t="shared" si="2"/>
        <v>10</v>
      </c>
      <c r="D29" s="611">
        <f t="shared" si="0"/>
        <v>4.1647022787699352E-3</v>
      </c>
      <c r="E29" s="615">
        <f>IF(ISNUMBER(D29),D29*'Passo1-Dados do país'!$B$6,"SKIP")</f>
        <v>0</v>
      </c>
      <c r="F29" s="619" t="str">
        <f>IF('Nível1-Resumo entradas Hg'!E28="","",'Nível1-Resumo entradas Hg'!E28)</f>
        <v>Presente?</v>
      </c>
      <c r="G29" t="str">
        <f t="shared" si="1"/>
        <v/>
      </c>
    </row>
    <row r="30" spans="1:7">
      <c r="A30" s="458" t="str">
        <f>'Passo3-Metais-MatPrima'!A17</f>
        <v>Produção de papel e celulose</v>
      </c>
      <c r="B30">
        <v>2.1555240695590912E-6</v>
      </c>
      <c r="C30">
        <f t="shared" si="2"/>
        <v>10</v>
      </c>
      <c r="D30" s="611">
        <f t="shared" si="0"/>
        <v>2.1555240695590913E-5</v>
      </c>
      <c r="E30" s="615">
        <f>IF(ISNUMBER(D30),D30*'Passo1-Dados do país'!$B$6,"SKIP")</f>
        <v>0</v>
      </c>
      <c r="F30" s="619" t="str">
        <f>IF('Nível1-Resumo entradas Hg'!E29="","",'Nível1-Resumo entradas Hg'!E29)</f>
        <v>Presente?</v>
      </c>
      <c r="G30" t="str">
        <f t="shared" si="1"/>
        <v/>
      </c>
    </row>
    <row r="31" spans="1:7">
      <c r="A31" s="394" t="str">
        <f>'Passo4-Uso Industrial de Hg'!A4</f>
        <v>Produção de produtos químicos</v>
      </c>
      <c r="B31">
        <v>0</v>
      </c>
      <c r="C31">
        <f t="shared" si="2"/>
        <v>10</v>
      </c>
      <c r="D31" s="611">
        <f t="shared" si="0"/>
        <v>0</v>
      </c>
      <c r="E31" s="615">
        <f>IF(ISNUMBER(D31),D31*'Passo1-Dados do país'!$B$6,"SKIP")</f>
        <v>0</v>
      </c>
      <c r="F31" s="619" t="str">
        <f>IF('Nível1-Resumo entradas Hg'!E30="","",'Nível1-Resumo entradas Hg'!E30)</f>
        <v/>
      </c>
      <c r="G31" t="str">
        <f t="shared" si="1"/>
        <v/>
      </c>
    </row>
    <row r="32" spans="1:7">
      <c r="A32" s="458" t="str">
        <f>'Passo4-Uso Industrial de Hg'!A5</f>
        <v>Produção de cloro e álcalis com células de mercúrio</v>
      </c>
      <c r="B32">
        <v>1.2788374205267939E-4</v>
      </c>
      <c r="C32">
        <f t="shared" si="2"/>
        <v>10</v>
      </c>
      <c r="D32" s="611">
        <f t="shared" si="0"/>
        <v>1.2788374205267938E-3</v>
      </c>
      <c r="E32" s="615">
        <f>IF(ISNUMBER(D32),D32*'Passo1-Dados do país'!$B$6,"SKIP")</f>
        <v>0</v>
      </c>
      <c r="F32" s="619" t="str">
        <f>IF('Nível1-Resumo entradas Hg'!E31="","",'Nível1-Resumo entradas Hg'!E31)</f>
        <v>Presente?</v>
      </c>
      <c r="G32" t="str">
        <f t="shared" si="1"/>
        <v/>
      </c>
    </row>
    <row r="33" spans="1:7" ht="15">
      <c r="A33" s="608" t="str">
        <f>'Passo4-Uso Industrial de Hg'!A6</f>
        <v>Produção de VCM com catalisador de mercúrio</v>
      </c>
      <c r="B33">
        <v>1.0916327136237051E-4</v>
      </c>
      <c r="C33" s="316">
        <v>200</v>
      </c>
      <c r="D33" s="611">
        <f t="shared" si="0"/>
        <v>2.1832654272474102E-2</v>
      </c>
      <c r="E33" s="615">
        <f>IF(ISNUMBER(D33),D33*'Passo1-Dados do país'!$B$6,"SKIP")</f>
        <v>0</v>
      </c>
      <c r="F33" s="619" t="str">
        <f>IF('Nível1-Resumo entradas Hg'!E32="","",'Nível1-Resumo entradas Hg'!E32)</f>
        <v>Presente?</v>
      </c>
      <c r="G33" t="str">
        <f t="shared" si="1"/>
        <v/>
      </c>
    </row>
    <row r="34" spans="1:7" ht="26.25">
      <c r="A34" s="608" t="str">
        <f>'Passo4-Uso Industrial de Hg'!A7</f>
        <v>Produção de acetaldeído com catalisador de mercúrio</v>
      </c>
      <c r="B34" s="610" t="s">
        <v>737</v>
      </c>
      <c r="C34">
        <f t="shared" si="2"/>
        <v>10</v>
      </c>
      <c r="D34" s="611" t="str">
        <f>IF(ISNUMBER(B34),B34*C34,"SKIP")</f>
        <v>SKIP</v>
      </c>
      <c r="E34" s="615" t="str">
        <f>IF(ISNUMBER(D34),D34*'Passo1-Dados do país'!$B$6,"SKIP")</f>
        <v>SKIP</v>
      </c>
      <c r="F34" s="619" t="str">
        <f>IF('Nível1-Resumo entradas Hg'!E33="","",'Nível1-Resumo entradas Hg'!E33)</f>
        <v>Presente?</v>
      </c>
      <c r="G34" t="str">
        <f t="shared" si="1"/>
        <v/>
      </c>
    </row>
    <row r="35" spans="1:7">
      <c r="A35" s="394" t="str">
        <f>'Passo4-Uso Industrial de Hg'!A9</f>
        <v>Produção de produtos com teor de mercúrio</v>
      </c>
      <c r="B35" s="610"/>
      <c r="C35">
        <f t="shared" si="2"/>
        <v>10</v>
      </c>
      <c r="D35" s="611" t="str">
        <f t="shared" ref="D35:D72" si="3">IF(ISNUMBER(B35),B35*C35,"SKIP")</f>
        <v>SKIP</v>
      </c>
      <c r="E35" s="615" t="str">
        <f>IF(ISNUMBER(D35),D35*'Passo1-Dados do país'!$B$6,"SKIP")</f>
        <v>SKIP</v>
      </c>
      <c r="F35" s="619" t="str">
        <f>IF('Nível1-Resumo entradas Hg'!E34="","",'Nível1-Resumo entradas Hg'!E34)</f>
        <v/>
      </c>
      <c r="G35" t="str">
        <f t="shared" si="1"/>
        <v/>
      </c>
    </row>
    <row r="36" spans="1:7" ht="30">
      <c r="A36" s="608" t="str">
        <f>'Passo4-Uso Industrial de Hg'!A10</f>
        <v>Termômetros Hg (medicina, ar, laboratório, industrial etc.)</v>
      </c>
      <c r="B36" s="616">
        <f>B39</f>
        <v>1.0046862845014277E-4</v>
      </c>
      <c r="C36">
        <f t="shared" si="2"/>
        <v>10</v>
      </c>
      <c r="D36" s="611">
        <f t="shared" si="3"/>
        <v>1.0046862845014277E-3</v>
      </c>
      <c r="E36" s="615">
        <f>IF(ISNUMBER(D36),D36*'Passo1-Dados do país'!$B$6,"SKIP")</f>
        <v>0</v>
      </c>
      <c r="F36" s="619" t="str">
        <f>IF('Nível1-Resumo entradas Hg'!E35="","",'Nível1-Resumo entradas Hg'!E35)</f>
        <v>Presente?</v>
      </c>
      <c r="G36" t="str">
        <f t="shared" si="1"/>
        <v/>
      </c>
    </row>
    <row r="37" spans="1:7" ht="15">
      <c r="A37" s="608" t="str">
        <f>'Passo4-Uso Industrial de Hg'!A11</f>
        <v>Interruptores e relés elétricos com mercúrio</v>
      </c>
      <c r="B37" s="616">
        <f>B39</f>
        <v>1.0046862845014277E-4</v>
      </c>
      <c r="C37">
        <f t="shared" si="2"/>
        <v>10</v>
      </c>
      <c r="D37" s="611">
        <f t="shared" si="3"/>
        <v>1.0046862845014277E-3</v>
      </c>
      <c r="E37" s="615">
        <f>IF(ISNUMBER(D37),D37*'Passo1-Dados do país'!$B$6,"SKIP")</f>
        <v>0</v>
      </c>
      <c r="F37" s="619" t="str">
        <f>IF('Nível1-Resumo entradas Hg'!E36="","",'Nível1-Resumo entradas Hg'!E36)</f>
        <v>Presente?</v>
      </c>
      <c r="G37" t="str">
        <f t="shared" si="1"/>
        <v/>
      </c>
    </row>
    <row r="38" spans="1:7" ht="25.5">
      <c r="A38" s="458" t="str">
        <f>'Passo4-Uso Industrial de Hg'!A12</f>
        <v>Fontes de luz com mercúrio (fluorescentes, fluorescentes compactas e outros. Ver diretrizes)</v>
      </c>
      <c r="B38">
        <v>2.4752475247524754E-7</v>
      </c>
      <c r="C38" s="316">
        <v>1000</v>
      </c>
      <c r="D38" s="611">
        <f t="shared" si="3"/>
        <v>2.4752475247524753E-4</v>
      </c>
      <c r="E38" s="615">
        <f>IF(ISNUMBER(D38),D38*'Passo1-Dados do país'!$B$6,"SKIP")</f>
        <v>0</v>
      </c>
      <c r="F38" s="619" t="str">
        <f>IF('Nível1-Resumo entradas Hg'!E37="","",'Nível1-Resumo entradas Hg'!E37)</f>
        <v>Presente?</v>
      </c>
      <c r="G38" t="str">
        <f t="shared" si="1"/>
        <v/>
      </c>
    </row>
    <row r="39" spans="1:7">
      <c r="A39" s="458" t="str">
        <f>'Passo4-Uso Industrial de Hg'!A13</f>
        <v>Baterias com mercúrio</v>
      </c>
      <c r="B39">
        <v>1.0046862845014277E-4</v>
      </c>
      <c r="C39">
        <f t="shared" si="2"/>
        <v>10</v>
      </c>
      <c r="D39" s="611">
        <f t="shared" si="3"/>
        <v>1.0046862845014277E-3</v>
      </c>
      <c r="E39" s="615">
        <f>IF(ISNUMBER(D39),D39*'Passo1-Dados do país'!$B$6,"SKIP")</f>
        <v>0</v>
      </c>
      <c r="F39" s="619" t="str">
        <f>IF('Nível1-Resumo entradas Hg'!E38="","",'Nível1-Resumo entradas Hg'!E38)</f>
        <v>Presente?</v>
      </c>
      <c r="G39" t="str">
        <f t="shared" si="1"/>
        <v/>
      </c>
    </row>
    <row r="40" spans="1:7" ht="15">
      <c r="A40" s="608" t="str">
        <f>'Passo4-Uso Industrial de Hg'!A14</f>
        <v xml:space="preserve">Manômetros e medidores com mercúrio </v>
      </c>
      <c r="B40" s="617">
        <f>$B$39</f>
        <v>1.0046862845014277E-4</v>
      </c>
      <c r="C40">
        <f t="shared" si="2"/>
        <v>10</v>
      </c>
      <c r="D40" s="611">
        <f t="shared" si="3"/>
        <v>1.0046862845014277E-3</v>
      </c>
      <c r="E40" s="615">
        <f>IF(ISNUMBER(D40),D40*'Passo1-Dados do país'!$B$6,"SKIP")</f>
        <v>0</v>
      </c>
      <c r="F40" s="619" t="str">
        <f>IF('Nível1-Resumo entradas Hg'!E39="","",'Nível1-Resumo entradas Hg'!E39)</f>
        <v>Presente?</v>
      </c>
      <c r="G40" t="str">
        <f t="shared" si="1"/>
        <v/>
      </c>
    </row>
    <row r="41" spans="1:7" ht="15">
      <c r="A41" s="608" t="str">
        <f>'Passo4-Uso Industrial de Hg'!A15</f>
        <v>Biocidas e pesticidas com mercúrio</v>
      </c>
      <c r="B41" s="617">
        <f>$B$39</f>
        <v>1.0046862845014277E-4</v>
      </c>
      <c r="C41">
        <f t="shared" si="2"/>
        <v>10</v>
      </c>
      <c r="D41" s="611">
        <f t="shared" si="3"/>
        <v>1.0046862845014277E-3</v>
      </c>
      <c r="E41" s="615">
        <f>IF(ISNUMBER(D41),D41*'Passo1-Dados do país'!$B$6,"SKIP")</f>
        <v>0</v>
      </c>
      <c r="F41" s="619" t="str">
        <f>IF('Nível1-Resumo entradas Hg'!E40="","",'Nível1-Resumo entradas Hg'!E40)</f>
        <v>Presente?</v>
      </c>
      <c r="G41" t="str">
        <f t="shared" si="1"/>
        <v/>
      </c>
    </row>
    <row r="42" spans="1:7">
      <c r="A42" s="458" t="str">
        <f>'Passo4-Uso Industrial de Hg'!A16</f>
        <v xml:space="preserve">Tintas com mercúrio </v>
      </c>
      <c r="B42">
        <v>2.4752475247524754E-5</v>
      </c>
      <c r="C42">
        <f t="shared" si="2"/>
        <v>10</v>
      </c>
      <c r="D42" s="611">
        <f t="shared" si="3"/>
        <v>2.4752475247524753E-4</v>
      </c>
      <c r="E42" s="615">
        <f>IF(ISNUMBER(D42),D42*'Passo1-Dados do país'!$B$6,"SKIP")</f>
        <v>0</v>
      </c>
      <c r="F42" s="619" t="str">
        <f>IF('Nível1-Resumo entradas Hg'!E41="","",'Nível1-Resumo entradas Hg'!E41)</f>
        <v>Presente?</v>
      </c>
      <c r="G42" t="str">
        <f t="shared" si="1"/>
        <v/>
      </c>
    </row>
    <row r="43" spans="1:7" ht="25.5">
      <c r="A43" s="458" t="str">
        <f>'Passo4-Uso Industrial de Hg'!A17</f>
        <v xml:space="preserve">Cremes para clareamento de pele e sabonetes com substâncias químicas do mercúrio </v>
      </c>
      <c r="B43">
        <v>2.4752475247524754E-5</v>
      </c>
      <c r="C43">
        <v>10</v>
      </c>
      <c r="D43" s="611">
        <f t="shared" si="3"/>
        <v>2.4752475247524753E-4</v>
      </c>
      <c r="E43" s="615">
        <f>IF(ISNUMBER(D43),D43*'Passo1-Dados do país'!$B$6,"SKIP")</f>
        <v>0</v>
      </c>
      <c r="F43" s="619" t="str">
        <f>IF('Nível1-Resumo entradas Hg'!E42="","",'Nível1-Resumo entradas Hg'!E42)</f>
        <v>Presente?</v>
      </c>
      <c r="G43" t="str">
        <f t="shared" si="1"/>
        <v/>
      </c>
    </row>
    <row r="44" spans="1:7" ht="25.5">
      <c r="A44" s="394" t="str">
        <f>'Passo6-Produtos-Substâncias Hg'!A6</f>
        <v>Utilização e destinação de produtos com teores de mercúrio</v>
      </c>
      <c r="B44">
        <v>0</v>
      </c>
      <c r="C44">
        <f t="shared" si="2"/>
        <v>10</v>
      </c>
      <c r="D44" s="611">
        <f t="shared" si="3"/>
        <v>0</v>
      </c>
      <c r="E44" s="615">
        <f>IF(ISNUMBER(D44),D44*'Passo1-Dados do país'!$B$6,"SKIP")</f>
        <v>0</v>
      </c>
      <c r="F44" s="619" t="str">
        <f>IF('Nível1-Resumo entradas Hg'!E43="","",'Nível1-Resumo entradas Hg'!E43)</f>
        <v/>
      </c>
      <c r="G44" t="str">
        <f t="shared" si="1"/>
        <v/>
      </c>
    </row>
    <row r="45" spans="1:7">
      <c r="A45" s="609" t="str">
        <f>'Passo6-Produtos-Substâncias Hg'!A7</f>
        <v>Amálgama dental</v>
      </c>
      <c r="B45" s="610" t="s">
        <v>738</v>
      </c>
      <c r="C45">
        <f t="shared" si="2"/>
        <v>10</v>
      </c>
      <c r="D45" s="611" t="str">
        <f t="shared" si="3"/>
        <v>SKIP</v>
      </c>
      <c r="E45" s="615" t="str">
        <f>IF(ISNUMBER(D45),D45*'Passo1-Dados do país'!$B$6,"SKIP")</f>
        <v>SKIP</v>
      </c>
      <c r="F45" s="619" t="str">
        <f>IF('Nível1-Resumo entradas Hg'!E44="","",'Nível1-Resumo entradas Hg'!E44)</f>
        <v>Presente?</v>
      </c>
      <c r="G45" t="str">
        <f t="shared" si="1"/>
        <v/>
      </c>
    </row>
    <row r="46" spans="1:7">
      <c r="A46" s="458" t="str">
        <f>'Passo6-Produtos-Substâncias Hg'!A13</f>
        <v>Termômetros</v>
      </c>
      <c r="B46">
        <v>1.322254652117067E-4</v>
      </c>
      <c r="C46">
        <f t="shared" si="2"/>
        <v>10</v>
      </c>
      <c r="D46" s="611">
        <f t="shared" si="3"/>
        <v>1.3222546521170671E-3</v>
      </c>
      <c r="E46" s="615">
        <f>IF(ISNUMBER(D46),D46*'Passo1-Dados do país'!$B$6,"SKIP")</f>
        <v>0</v>
      </c>
      <c r="F46" s="619" t="str">
        <f>IF('Nível1-Resumo entradas Hg'!E45="","",'Nível1-Resumo entradas Hg'!E45)</f>
        <v>Presente?</v>
      </c>
      <c r="G46" t="str">
        <f t="shared" si="1"/>
        <v/>
      </c>
    </row>
    <row r="47" spans="1:7">
      <c r="A47" s="609" t="str">
        <f>'Passo6-Produtos-Substâncias Hg'!A18</f>
        <v>Interruptores e relés elétricos com mercúrio</v>
      </c>
      <c r="B47" s="610" t="s">
        <v>738</v>
      </c>
      <c r="C47">
        <f t="shared" si="2"/>
        <v>10</v>
      </c>
      <c r="D47" s="611" t="str">
        <f t="shared" si="3"/>
        <v>SKIP</v>
      </c>
      <c r="E47" s="615" t="str">
        <f>IF(ISNUMBER(D47),D47*'Passo1-Dados do país'!$B$6,"SKIP")</f>
        <v>SKIP</v>
      </c>
      <c r="F47" s="619" t="str">
        <f>IF('Nível1-Resumo entradas Hg'!E46="","",'Nível1-Resumo entradas Hg'!E46)</f>
        <v>Presente?</v>
      </c>
      <c r="G47" t="str">
        <f t="shared" si="1"/>
        <v/>
      </c>
    </row>
    <row r="48" spans="1:7">
      <c r="A48" s="458" t="str">
        <f>'Passo6-Produtos-Substâncias Hg'!A21</f>
        <v>Fontes de luz com mercúrio</v>
      </c>
      <c r="B48">
        <v>1.8975883969257531E-5</v>
      </c>
      <c r="C48">
        <f t="shared" si="2"/>
        <v>10</v>
      </c>
      <c r="D48" s="611">
        <f t="shared" si="3"/>
        <v>1.8975883969257531E-4</v>
      </c>
      <c r="E48" s="615">
        <f>IF(ISNUMBER(D48),D48*'Passo1-Dados do país'!$B$6,"SKIP")</f>
        <v>0</v>
      </c>
      <c r="F48" s="619" t="str">
        <f>IF('Nível1-Resumo entradas Hg'!E47="","",'Nível1-Resumo entradas Hg'!E47)</f>
        <v>Presente?</v>
      </c>
      <c r="G48" t="str">
        <f t="shared" si="1"/>
        <v/>
      </c>
    </row>
    <row r="49" spans="1:7">
      <c r="A49" s="280" t="str">
        <f>'Passo6-Produtos-Substâncias Hg'!A26</f>
        <v>Baterias com mercúrio</v>
      </c>
      <c r="B49">
        <v>1.2791241581064613E-2</v>
      </c>
      <c r="C49">
        <f t="shared" si="2"/>
        <v>10</v>
      </c>
      <c r="D49" s="611">
        <f t="shared" si="3"/>
        <v>0.12791241581064614</v>
      </c>
      <c r="E49" s="615">
        <f>IF(ISNUMBER(D49),D49*'Passo1-Dados do país'!$B$6,"SKIP")</f>
        <v>0</v>
      </c>
      <c r="F49" s="619" t="str">
        <f>IF('Nível1-Resumo entradas Hg'!E48="","",'Nível1-Resumo entradas Hg'!E48)</f>
        <v>Presente?</v>
      </c>
      <c r="G49" t="str">
        <f t="shared" si="1"/>
        <v/>
      </c>
    </row>
    <row r="50" spans="1:7" ht="25.5">
      <c r="A50" s="609" t="str">
        <f>'Passo6-Produtos-Substâncias Hg'!A31</f>
        <v>Poliuretano (PU, PUR) produzido com catalisador de mercúrio</v>
      </c>
      <c r="B50" s="610" t="s">
        <v>738</v>
      </c>
      <c r="C50">
        <f t="shared" si="2"/>
        <v>10</v>
      </c>
      <c r="D50" s="611" t="str">
        <f t="shared" si="3"/>
        <v>SKIP</v>
      </c>
      <c r="E50" s="615" t="str">
        <f>IF(ISNUMBER(D50),D50*'Passo1-Dados do país'!$B$6,"SKIP")</f>
        <v>SKIP</v>
      </c>
      <c r="F50" s="619" t="str">
        <f>IF('Nível1-Resumo entradas Hg'!E49="","",'Nível1-Resumo entradas Hg'!E49)</f>
        <v>Presente?</v>
      </c>
      <c r="G50" t="str">
        <f t="shared" si="1"/>
        <v/>
      </c>
    </row>
    <row r="51" spans="1:7" ht="15">
      <c r="A51" s="618" t="str">
        <f>'Passo6-Produtos-Substâncias Hg'!A34</f>
        <v>Tintas com conservantes de mercúrio</v>
      </c>
      <c r="B51">
        <v>3.2178217821782178E-6</v>
      </c>
      <c r="C51" s="316">
        <v>30</v>
      </c>
      <c r="D51" s="611">
        <f t="shared" si="3"/>
        <v>9.6534653465346539E-5</v>
      </c>
      <c r="E51" s="615">
        <f>IF(ISNUMBER(D51),D51*'Passo1-Dados do país'!$B$6,"SKIP")</f>
        <v>0</v>
      </c>
      <c r="F51" s="619" t="str">
        <f>IF('Nível1-Resumo entradas Hg'!E50="","",'Nível1-Resumo entradas Hg'!E50)</f>
        <v>Presente?</v>
      </c>
      <c r="G51" t="str">
        <f t="shared" si="1"/>
        <v/>
      </c>
    </row>
    <row r="52" spans="1:7" ht="30">
      <c r="A52" s="618" t="str">
        <f>'Passo6-Produtos-Substâncias Hg'!A36</f>
        <v>Cremes para clareamento de pele e sabonetes com substâncias químicas do mercúrio</v>
      </c>
      <c r="B52">
        <v>1.0332588101156864E-5</v>
      </c>
      <c r="C52">
        <v>10</v>
      </c>
      <c r="D52" s="611">
        <f t="shared" si="3"/>
        <v>1.0332588101156865E-4</v>
      </c>
      <c r="E52" s="615">
        <f>IF(ISNUMBER(D52),D52*'Passo1-Dados do país'!$B$6,"SKIP")</f>
        <v>0</v>
      </c>
      <c r="F52" s="619">
        <f>IF('Nível1-Resumo entradas Hg'!E51="","",'Nível1-Resumo entradas Hg'!E51)</f>
        <v>0</v>
      </c>
      <c r="G52" t="str">
        <f t="shared" si="1"/>
        <v>n</v>
      </c>
    </row>
    <row r="53" spans="1:7" ht="30">
      <c r="A53" s="618" t="str">
        <f>'Passo6-Produtos-Substâncias Hg'!A38</f>
        <v>Medidores de pressão arterial médicos (esfigmomanômetro com mercúrio)</v>
      </c>
      <c r="B53">
        <v>6.5182568191907641E-5</v>
      </c>
      <c r="C53">
        <f t="shared" si="2"/>
        <v>10</v>
      </c>
      <c r="D53" s="611">
        <f t="shared" si="3"/>
        <v>6.5182568191907641E-4</v>
      </c>
      <c r="E53" s="615">
        <f>IF(ISNUMBER(D53),D53*'Passo1-Dados do país'!$B$6,"SKIP")</f>
        <v>0</v>
      </c>
      <c r="F53" s="619" t="str">
        <f>IF('Nível1-Resumo entradas Hg'!E52="","",'Nível1-Resumo entradas Hg'!E52)</f>
        <v>Presente?</v>
      </c>
      <c r="G53" t="str">
        <f t="shared" si="1"/>
        <v/>
      </c>
    </row>
    <row r="54" spans="1:7">
      <c r="A54" s="609" t="str">
        <f>'Passo6-Produtos-Substâncias Hg'!A40</f>
        <v>Outros manômetros e medidores com mercúrio</v>
      </c>
      <c r="B54" s="610" t="s">
        <v>738</v>
      </c>
      <c r="C54">
        <f t="shared" si="2"/>
        <v>10</v>
      </c>
      <c r="D54" s="611" t="str">
        <f t="shared" si="3"/>
        <v>SKIP</v>
      </c>
      <c r="E54" s="615" t="str">
        <f>IF(ISNUMBER(D54),D54*'Passo1-Dados do país'!$B$6,"SKIP")</f>
        <v>SKIP</v>
      </c>
      <c r="F54" s="619" t="str">
        <f>IF('Nível1-Resumo entradas Hg'!E53="","",'Nível1-Resumo entradas Hg'!E53)</f>
        <v>Presente?</v>
      </c>
      <c r="G54" t="str">
        <f t="shared" si="1"/>
        <v/>
      </c>
    </row>
    <row r="55" spans="1:7">
      <c r="A55" s="609" t="str">
        <f>'Passo6-Produtos-Substâncias Hg'!A43</f>
        <v>Produtos químicos de laboratório</v>
      </c>
      <c r="B55" s="610" t="s">
        <v>738</v>
      </c>
      <c r="C55">
        <f t="shared" si="2"/>
        <v>10</v>
      </c>
      <c r="D55" s="611" t="str">
        <f t="shared" si="3"/>
        <v>SKIP</v>
      </c>
      <c r="E55" s="615" t="str">
        <f>IF(ISNUMBER(D55),D55*'Passo1-Dados do país'!$B$6,"SKIP")</f>
        <v>SKIP</v>
      </c>
      <c r="F55" s="619" t="str">
        <f>IF('Nível1-Resumo entradas Hg'!E54="","",'Nível1-Resumo entradas Hg'!E54)</f>
        <v>Presente?</v>
      </c>
      <c r="G55" t="str">
        <f t="shared" si="1"/>
        <v/>
      </c>
    </row>
    <row r="56" spans="1:7" ht="25.5">
      <c r="A56" s="609" t="str">
        <f>'Passo6-Produtos-Substâncias Hg'!A46</f>
        <v>Outros equipamentos laboratoriais e médicos com mercúrio</v>
      </c>
      <c r="B56" s="610" t="s">
        <v>738</v>
      </c>
      <c r="C56">
        <f t="shared" si="2"/>
        <v>10</v>
      </c>
      <c r="D56" s="611" t="str">
        <f t="shared" si="3"/>
        <v>SKIP</v>
      </c>
      <c r="E56" s="615" t="str">
        <f>IF(ISNUMBER(D56),D56*'Passo1-Dados do país'!$B$6,"SKIP")</f>
        <v>SKIP</v>
      </c>
      <c r="F56" s="619" t="str">
        <f>IF('Nível1-Resumo entradas Hg'!E55="","",'Nível1-Resumo entradas Hg'!E55)</f>
        <v>Presente?</v>
      </c>
      <c r="G56" t="str">
        <f t="shared" si="1"/>
        <v/>
      </c>
    </row>
    <row r="57" spans="1:7">
      <c r="A57" s="394" t="str">
        <f>'Passo5-TratResíduos+Reciclágem'!A8</f>
        <v>Produção de metais reciclados</v>
      </c>
      <c r="B57">
        <v>0</v>
      </c>
      <c r="C57">
        <f t="shared" si="2"/>
        <v>10</v>
      </c>
      <c r="D57" s="611">
        <f t="shared" si="3"/>
        <v>0</v>
      </c>
      <c r="E57" s="615">
        <f>IF(ISNUMBER(D57),D57*'Passo1-Dados do país'!$B$6,"SKIP")</f>
        <v>0</v>
      </c>
      <c r="F57" s="619" t="str">
        <f>IF('Nível1-Resumo entradas Hg'!E56="","",'Nível1-Resumo entradas Hg'!E56)</f>
        <v/>
      </c>
      <c r="G57" t="str">
        <f t="shared" si="1"/>
        <v/>
      </c>
    </row>
    <row r="58" spans="1:7" ht="30">
      <c r="A58" s="618" t="str">
        <f>'Passo5-TratResíduos+Reciclágem'!A9</f>
        <v>Produção de mercúrio reciclado ("produção secundária")</v>
      </c>
      <c r="B58" s="617">
        <v>0.01</v>
      </c>
      <c r="C58">
        <f t="shared" si="2"/>
        <v>10</v>
      </c>
      <c r="D58" s="611">
        <f t="shared" si="3"/>
        <v>0.1</v>
      </c>
      <c r="E58" s="615">
        <f>IF(ISNUMBER(D58),D58*'Passo1-Dados do país'!$B$6,"SKIP")</f>
        <v>0</v>
      </c>
      <c r="F58" s="619" t="str">
        <f>IF('Nível1-Resumo entradas Hg'!E57="","",'Nível1-Resumo entradas Hg'!E57)</f>
        <v>Presente?</v>
      </c>
      <c r="G58" t="str">
        <f t="shared" si="1"/>
        <v/>
      </c>
    </row>
    <row r="59" spans="1:7">
      <c r="A59" s="458" t="str">
        <f>'Passo5-TratResíduos+Reciclágem'!A10</f>
        <v>Produção de metais ferrosos reciclados (ferro e aço)</v>
      </c>
      <c r="B59">
        <v>8.9600574132633599E-6</v>
      </c>
      <c r="C59">
        <f t="shared" si="2"/>
        <v>10</v>
      </c>
      <c r="D59" s="611">
        <f t="shared" si="3"/>
        <v>8.9600574132633602E-5</v>
      </c>
      <c r="E59" s="615">
        <f>IF(ISNUMBER(D59),D59*'Passo1-Dados do país'!$B$6,"SKIP")</f>
        <v>0</v>
      </c>
      <c r="F59" s="619" t="str">
        <f>IF('Nível1-Resumo entradas Hg'!E58="","",'Nível1-Resumo entradas Hg'!E58)</f>
        <v>Presente?</v>
      </c>
      <c r="G59" t="str">
        <f t="shared" si="1"/>
        <v/>
      </c>
    </row>
    <row r="60" spans="1:7">
      <c r="A60" s="394" t="str">
        <f>'Passo5-TratResíduos+Reciclágem'!A12</f>
        <v>Incineração de resíduos</v>
      </c>
      <c r="B60">
        <v>0</v>
      </c>
      <c r="C60">
        <f t="shared" si="2"/>
        <v>10</v>
      </c>
      <c r="D60" s="611">
        <f t="shared" si="3"/>
        <v>0</v>
      </c>
      <c r="E60" s="615">
        <f>IF(ISNUMBER(D60),D60*'Passo1-Dados do país'!$B$6,"SKIP")</f>
        <v>0</v>
      </c>
      <c r="F60" s="619" t="str">
        <f>IF('Nível1-Resumo entradas Hg'!E59="","",'Nível1-Resumo entradas Hg'!E59)</f>
        <v/>
      </c>
      <c r="G60" t="str">
        <f t="shared" si="1"/>
        <v/>
      </c>
    </row>
    <row r="61" spans="1:7">
      <c r="A61" s="280" t="str">
        <f>'Passo5-TratResíduos+Reciclágem'!A13</f>
        <v>Incineração de resíduos municipais/em geral</v>
      </c>
      <c r="B61">
        <v>5.9929523809523809E-4</v>
      </c>
      <c r="C61">
        <f t="shared" si="2"/>
        <v>10</v>
      </c>
      <c r="D61" s="611">
        <f t="shared" si="3"/>
        <v>5.9929523809523809E-3</v>
      </c>
      <c r="E61" s="615">
        <f>IF(ISNUMBER(D61),D61*'Passo1-Dados do país'!$B$6,"SKIP")</f>
        <v>0</v>
      </c>
      <c r="F61" s="619" t="str">
        <f>IF('Nível1-Resumo entradas Hg'!E60="","",'Nível1-Resumo entradas Hg'!E60)</f>
        <v>Presente?</v>
      </c>
      <c r="G61" t="str">
        <f t="shared" si="1"/>
        <v/>
      </c>
    </row>
    <row r="62" spans="1:7">
      <c r="A62" s="280" t="str">
        <f>'Passo5-TratResíduos+Reciclágem'!A14</f>
        <v>Incineração de resíduos perigosos</v>
      </c>
      <c r="B62">
        <v>2.6063225443658077E-6</v>
      </c>
      <c r="C62">
        <f t="shared" si="2"/>
        <v>10</v>
      </c>
      <c r="D62" s="611">
        <f t="shared" si="3"/>
        <v>2.6063225443658077E-5</v>
      </c>
      <c r="E62" s="615">
        <f>IF(ISNUMBER(D62),D62*'Passo1-Dados do país'!$B$6,"SKIP")</f>
        <v>0</v>
      </c>
      <c r="F62" s="619" t="str">
        <f>IF('Nível1-Resumo entradas Hg'!E61="","",'Nível1-Resumo entradas Hg'!E61)</f>
        <v>Presente?</v>
      </c>
      <c r="G62" t="str">
        <f t="shared" si="1"/>
        <v/>
      </c>
    </row>
    <row r="63" spans="1:7">
      <c r="A63" s="280" t="str">
        <f>'Passo5-TratResíduos+Reciclágem'!A15</f>
        <v>Incineração de resíduos hospitalares</v>
      </c>
      <c r="B63">
        <v>2.8364153670187712E-4</v>
      </c>
      <c r="C63">
        <f t="shared" si="2"/>
        <v>10</v>
      </c>
      <c r="D63" s="611">
        <f t="shared" si="3"/>
        <v>2.8364153670187714E-3</v>
      </c>
      <c r="E63" s="615">
        <f>IF(ISNUMBER(D63),D63*'Passo1-Dados do país'!$B$6,"SKIP")</f>
        <v>0</v>
      </c>
      <c r="F63" s="619" t="str">
        <f>IF('Nível1-Resumo entradas Hg'!E62="","",'Nível1-Resumo entradas Hg'!E62)</f>
        <v>Presente?</v>
      </c>
      <c r="G63" t="str">
        <f t="shared" si="1"/>
        <v/>
      </c>
    </row>
    <row r="64" spans="1:7" ht="25.5">
      <c r="A64" s="280" t="str">
        <f>'Passo5-TratResíduos+Reciclágem'!A16</f>
        <v>Incineração de lodo de estações de tratamento de efluente</v>
      </c>
      <c r="B64">
        <v>9.3304259726002709E-7</v>
      </c>
      <c r="C64" s="316">
        <v>500</v>
      </c>
      <c r="D64" s="611">
        <f t="shared" si="3"/>
        <v>4.6652129863001353E-4</v>
      </c>
      <c r="E64" s="615">
        <f>IF(ISNUMBER(D64),D64*'Passo1-Dados do país'!$B$6,"SKIP")</f>
        <v>0</v>
      </c>
      <c r="F64" s="619" t="str">
        <f>IF('Nível1-Resumo entradas Hg'!E63="","",'Nível1-Resumo entradas Hg'!E63)</f>
        <v>Presente?</v>
      </c>
      <c r="G64" t="str">
        <f t="shared" si="1"/>
        <v/>
      </c>
    </row>
    <row r="65" spans="1:7">
      <c r="A65" s="280" t="str">
        <f>'Passo5-TratResíduos+Reciclágem'!A17</f>
        <v>Incineração de resíduos ao ar livre (informalmente)</v>
      </c>
      <c r="B65">
        <v>9.3446066668161803E-4</v>
      </c>
      <c r="C65">
        <f t="shared" si="2"/>
        <v>10</v>
      </c>
      <c r="D65" s="611">
        <f t="shared" si="3"/>
        <v>9.3446066668161805E-3</v>
      </c>
      <c r="E65" s="615">
        <f>IF(ISNUMBER(D65),D65*'Passo1-Dados do país'!$B$6,"SKIP")</f>
        <v>0</v>
      </c>
      <c r="F65" s="619" t="str">
        <f>IF('Nível1-Resumo entradas Hg'!E64="","",'Nível1-Resumo entradas Hg'!E64)</f>
        <v>Presente?</v>
      </c>
      <c r="G65" t="str">
        <f t="shared" si="1"/>
        <v/>
      </c>
    </row>
    <row r="66" spans="1:7" ht="25.5">
      <c r="A66" s="394" t="str">
        <f>'Passo5-TratResíduos+Reciclágem'!A19</f>
        <v>Deposição de resíduos /aterros e tratamento de águas residuais</v>
      </c>
      <c r="B66">
        <v>0</v>
      </c>
      <c r="C66">
        <f t="shared" si="2"/>
        <v>10</v>
      </c>
      <c r="D66" s="611">
        <f t="shared" si="3"/>
        <v>0</v>
      </c>
      <c r="E66" s="615">
        <f>IF(ISNUMBER(D66),D66*'Passo1-Dados do país'!$B$6,"SKIP")</f>
        <v>0</v>
      </c>
      <c r="F66" s="619" t="str">
        <f>IF('Nível1-Resumo entradas Hg'!E65="","",'Nível1-Resumo entradas Hg'!E65)</f>
        <v/>
      </c>
      <c r="G66" t="str">
        <f t="shared" si="1"/>
        <v/>
      </c>
    </row>
    <row r="67" spans="1:7">
      <c r="A67" s="280" t="str">
        <f>'Passo5-TratResíduos+Reciclágem'!A20</f>
        <v>Aterros/depósitos controlados</v>
      </c>
      <c r="B67">
        <v>1.9986314970413459E-3</v>
      </c>
      <c r="C67">
        <f t="shared" si="2"/>
        <v>10</v>
      </c>
      <c r="D67" s="611">
        <f t="shared" si="3"/>
        <v>1.9986314970413459E-2</v>
      </c>
      <c r="E67" s="615">
        <f>IF(ISNUMBER(D67),D67*'Passo1-Dados do país'!$B$6,"SKIP")</f>
        <v>0</v>
      </c>
      <c r="F67" s="619" t="str">
        <f>IF('Nível1-Resumo entradas Hg'!E66="","",'Nível1-Resumo entradas Hg'!E66)</f>
        <v>Presente?</v>
      </c>
      <c r="G67" t="str">
        <f t="shared" si="1"/>
        <v/>
      </c>
    </row>
    <row r="68" spans="1:7">
      <c r="A68" s="280" t="str">
        <f>'Passo5-TratResíduos+Reciclágem'!A21</f>
        <v>Destinação informal de resíduos em geral *1</v>
      </c>
      <c r="B68">
        <v>9.9247027755450983E-4</v>
      </c>
      <c r="C68">
        <f t="shared" si="2"/>
        <v>10</v>
      </c>
      <c r="D68" s="611">
        <f t="shared" si="3"/>
        <v>9.9247027755450974E-3</v>
      </c>
      <c r="E68" s="615">
        <f>IF(ISNUMBER(D68),D68*'Passo1-Dados do país'!$B$6,"SKIP")</f>
        <v>0</v>
      </c>
      <c r="F68" s="619" t="str">
        <f>IF('Nível1-Resumo entradas Hg'!E67="","",'Nível1-Resumo entradas Hg'!E67)</f>
        <v>Presente?</v>
      </c>
      <c r="G68" t="str">
        <f t="shared" si="1"/>
        <v/>
      </c>
    </row>
    <row r="69" spans="1:7">
      <c r="A69" s="280" t="str">
        <f>'Passo5-TratResíduos+Reciclágem'!A23</f>
        <v>Sistemas/tratamentos de águas residuais</v>
      </c>
      <c r="B69">
        <v>5.0556280289187523E-3</v>
      </c>
      <c r="C69">
        <f t="shared" si="2"/>
        <v>10</v>
      </c>
      <c r="D69" s="611">
        <f t="shared" si="3"/>
        <v>5.0556280289187523E-2</v>
      </c>
      <c r="E69" s="615">
        <f>IF(ISNUMBER(D69),D69*'Passo1-Dados do país'!$B$6,"SKIP")</f>
        <v>0</v>
      </c>
      <c r="F69" s="619" t="str">
        <f>IF('Nível1-Resumo entradas Hg'!E68="","",'Nível1-Resumo entradas Hg'!E68)</f>
        <v>Presente?</v>
      </c>
      <c r="G69" t="str">
        <f t="shared" si="1"/>
        <v/>
      </c>
    </row>
    <row r="70" spans="1:7">
      <c r="A70" s="394" t="str">
        <f>'Passo7-Crematórios-cemitérios'!A4</f>
        <v>Crematórios e cemitérios</v>
      </c>
      <c r="B70">
        <v>0</v>
      </c>
      <c r="C70">
        <f t="shared" si="2"/>
        <v>10</v>
      </c>
      <c r="D70" s="611">
        <f t="shared" si="3"/>
        <v>0</v>
      </c>
      <c r="E70" s="615">
        <f>IF(ISNUMBER(D70),D70*'Passo1-Dados do país'!$B$6,"SKIP")</f>
        <v>0</v>
      </c>
      <c r="F70" s="619" t="str">
        <f>IF('Nível1-Resumo entradas Hg'!E69="","",'Nível1-Resumo entradas Hg'!E69)</f>
        <v/>
      </c>
      <c r="G70" t="str">
        <f t="shared" si="1"/>
        <v/>
      </c>
    </row>
    <row r="71" spans="1:7">
      <c r="A71" s="458" t="str">
        <f>'Passo7-Crematórios-cemitérios'!A5</f>
        <v>Crematórios</v>
      </c>
      <c r="B71">
        <v>8.347890611714873E-6</v>
      </c>
      <c r="C71" s="316">
        <v>100</v>
      </c>
      <c r="D71" s="611">
        <f t="shared" si="3"/>
        <v>8.3478906117148732E-4</v>
      </c>
      <c r="E71" s="615">
        <f>IF(ISNUMBER(D71),D71*'Passo1-Dados do país'!$B$6,"SKIP")</f>
        <v>0</v>
      </c>
      <c r="F71" s="619">
        <f>IF('Nível1-Resumo entradas Hg'!E70="","",'Nível1-Resumo entradas Hg'!E70)</f>
        <v>0</v>
      </c>
      <c r="G71" t="str">
        <f>IF(ISNUMBER(F71),IF(F71&lt;E71,"y","n"),"")</f>
        <v>n</v>
      </c>
    </row>
    <row r="72" spans="1:7">
      <c r="A72" s="458" t="str">
        <f>'Passo7-Crematórios-cemitérios'!A6</f>
        <v>Cemitérios</v>
      </c>
      <c r="B72">
        <v>2.3823640052987485E-4</v>
      </c>
      <c r="C72">
        <f>$C$3</f>
        <v>10</v>
      </c>
      <c r="D72" s="611">
        <f t="shared" si="3"/>
        <v>2.3823640052987485E-3</v>
      </c>
      <c r="E72" s="615">
        <f>IF(ISNUMBER(D72),D72*'Passo1-Dados do país'!$B$6,"SKIP")</f>
        <v>0</v>
      </c>
      <c r="F72" s="619" t="str">
        <f>IF('Nível1-Resumo entradas Hg'!E71="","",'Nível1-Resumo entradas Hg'!E71)</f>
        <v>Presente?</v>
      </c>
      <c r="G72" t="str">
        <f>IF(ISNUMBER(F72),IF(F72&lt;E72,"y","n"),"")</f>
        <v/>
      </c>
    </row>
  </sheetData>
  <sheetProtection sheet="1" objects="1" scenarios="1"/>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29"/>
  <sheetViews>
    <sheetView workbookViewId="0">
      <selection activeCell="A13" sqref="A13"/>
    </sheetView>
  </sheetViews>
  <sheetFormatPr defaultRowHeight="12.75"/>
  <cols>
    <col min="1" max="1" width="39.7109375" customWidth="1"/>
    <col min="2" max="2" width="15.7109375" customWidth="1"/>
    <col min="3" max="3" width="28.7109375" customWidth="1"/>
    <col min="4" max="4" width="19.42578125" customWidth="1"/>
    <col min="5" max="5" width="19" customWidth="1"/>
    <col min="6" max="6" width="12.140625" customWidth="1"/>
    <col min="7" max="7" width="15" customWidth="1"/>
    <col min="8" max="8" width="61.7109375" customWidth="1"/>
    <col min="9" max="25" width="9.140625" style="340"/>
  </cols>
  <sheetData>
    <row r="1" spans="1:8" s="340" customFormat="1">
      <c r="A1" s="355" t="s">
        <v>930</v>
      </c>
    </row>
    <row r="2" spans="1:8" s="340" customFormat="1">
      <c r="A2" s="562" t="s">
        <v>1033</v>
      </c>
    </row>
    <row r="3" spans="1:8" s="340" customFormat="1">
      <c r="A3" s="625" t="s">
        <v>931</v>
      </c>
    </row>
    <row r="4" spans="1:8" s="340" customFormat="1">
      <c r="A4" s="625" t="s">
        <v>1034</v>
      </c>
    </row>
    <row r="5" spans="1:8" s="340" customFormat="1">
      <c r="A5" s="625" t="s">
        <v>932</v>
      </c>
    </row>
    <row r="6" spans="1:8" s="340" customFormat="1"/>
    <row r="7" spans="1:8" ht="64.5" thickBot="1">
      <c r="A7" s="267" t="s">
        <v>934</v>
      </c>
      <c r="B7" s="721" t="s">
        <v>935</v>
      </c>
      <c r="C7" s="721" t="s">
        <v>936</v>
      </c>
      <c r="D7" s="579" t="s">
        <v>1035</v>
      </c>
      <c r="E7" s="721" t="s">
        <v>939</v>
      </c>
      <c r="F7" s="721" t="s">
        <v>940</v>
      </c>
      <c r="G7" s="721" t="s">
        <v>1036</v>
      </c>
      <c r="H7" s="722" t="s">
        <v>941</v>
      </c>
    </row>
    <row r="8" spans="1:8">
      <c r="A8" s="694" t="s">
        <v>793</v>
      </c>
      <c r="B8" s="583"/>
      <c r="C8" s="720" t="s">
        <v>943</v>
      </c>
      <c r="D8" s="580">
        <f>B8*F8</f>
        <v>0</v>
      </c>
      <c r="E8" s="720" t="s">
        <v>942</v>
      </c>
      <c r="F8" s="346">
        <v>25600</v>
      </c>
      <c r="G8" s="560" t="s">
        <v>703</v>
      </c>
      <c r="H8" s="560" t="s">
        <v>720</v>
      </c>
    </row>
    <row r="9" spans="1:8" ht="25.5">
      <c r="A9" s="694" t="s">
        <v>794</v>
      </c>
      <c r="B9" s="584"/>
      <c r="C9" s="720" t="s">
        <v>943</v>
      </c>
      <c r="D9" s="580">
        <f>B9*F9</f>
        <v>0</v>
      </c>
      <c r="E9" s="720" t="s">
        <v>942</v>
      </c>
      <c r="F9" s="346">
        <v>25600</v>
      </c>
      <c r="G9" s="560" t="s">
        <v>703</v>
      </c>
      <c r="H9" s="560"/>
    </row>
    <row r="10" spans="1:8">
      <c r="A10" s="694" t="s">
        <v>800</v>
      </c>
      <c r="B10" s="584"/>
      <c r="C10" s="720" t="s">
        <v>944</v>
      </c>
      <c r="D10" s="580">
        <f>B10*F10</f>
        <v>0</v>
      </c>
      <c r="E10" s="720" t="s">
        <v>945</v>
      </c>
      <c r="F10" s="346">
        <v>25600</v>
      </c>
      <c r="G10" s="560" t="s">
        <v>703</v>
      </c>
      <c r="H10" s="560"/>
    </row>
    <row r="11" spans="1:8">
      <c r="A11" s="265"/>
      <c r="B11" s="584"/>
      <c r="C11" s="346"/>
      <c r="D11" s="580"/>
      <c r="E11" s="346"/>
      <c r="F11" s="346"/>
      <c r="G11" s="560"/>
      <c r="H11" s="560"/>
    </row>
    <row r="12" spans="1:8" ht="63.75">
      <c r="A12" s="694" t="s">
        <v>813</v>
      </c>
      <c r="B12" s="585"/>
      <c r="C12" s="720" t="s">
        <v>946</v>
      </c>
      <c r="D12" s="580">
        <f>B12*F12</f>
        <v>0</v>
      </c>
      <c r="E12" s="720" t="s">
        <v>825</v>
      </c>
      <c r="F12" s="571">
        <v>1.9</v>
      </c>
      <c r="G12" s="722" t="s">
        <v>951</v>
      </c>
      <c r="H12" s="560" t="s">
        <v>721</v>
      </c>
    </row>
    <row r="13" spans="1:8" ht="63.75">
      <c r="A13" s="694" t="s">
        <v>814</v>
      </c>
      <c r="B13" s="585"/>
      <c r="C13" s="720" t="s">
        <v>947</v>
      </c>
      <c r="D13" s="580">
        <f>B13*F13</f>
        <v>0</v>
      </c>
      <c r="E13" s="720" t="s">
        <v>825</v>
      </c>
      <c r="F13" s="346">
        <v>3.58</v>
      </c>
      <c r="G13" s="722" t="s">
        <v>952</v>
      </c>
      <c r="H13" s="560" t="s">
        <v>721</v>
      </c>
    </row>
    <row r="14" spans="1:8" ht="76.5">
      <c r="A14" s="694" t="s">
        <v>815</v>
      </c>
      <c r="B14" s="585"/>
      <c r="C14" s="720" t="s">
        <v>948</v>
      </c>
      <c r="D14" s="580">
        <f>B14*F14</f>
        <v>0</v>
      </c>
      <c r="E14" s="720" t="s">
        <v>825</v>
      </c>
      <c r="F14" s="346">
        <v>2.5</v>
      </c>
      <c r="G14" s="722" t="s">
        <v>953</v>
      </c>
      <c r="H14" s="560" t="s">
        <v>721</v>
      </c>
    </row>
    <row r="15" spans="1:8" ht="63.75">
      <c r="A15" s="694" t="s">
        <v>816</v>
      </c>
      <c r="B15" s="585"/>
      <c r="C15" s="720" t="s">
        <v>949</v>
      </c>
      <c r="D15" s="580">
        <f>B15*F15</f>
        <v>0</v>
      </c>
      <c r="E15" s="720" t="s">
        <v>826</v>
      </c>
      <c r="F15" s="582">
        <v>250000</v>
      </c>
      <c r="G15" s="722" t="s">
        <v>954</v>
      </c>
      <c r="H15" s="560" t="s">
        <v>721</v>
      </c>
    </row>
    <row r="16" spans="1:8" ht="76.5">
      <c r="A16" s="694" t="s">
        <v>817</v>
      </c>
      <c r="B16" s="585"/>
      <c r="C16" s="720" t="s">
        <v>950</v>
      </c>
      <c r="D16" s="580">
        <f>B16*F16</f>
        <v>0</v>
      </c>
      <c r="E16" s="720" t="s">
        <v>831</v>
      </c>
      <c r="F16" s="346">
        <f>(3.8+4.7)/2</f>
        <v>4.25</v>
      </c>
      <c r="G16" s="722" t="s">
        <v>955</v>
      </c>
      <c r="H16" s="560" t="s">
        <v>721</v>
      </c>
    </row>
    <row r="17" spans="1:8">
      <c r="A17" s="367"/>
      <c r="B17" s="585"/>
      <c r="C17" s="354"/>
      <c r="D17" s="581"/>
      <c r="E17" s="354"/>
      <c r="F17" s="354"/>
      <c r="G17" s="561"/>
      <c r="H17" s="560"/>
    </row>
    <row r="18" spans="1:8">
      <c r="A18" s="712" t="s">
        <v>933</v>
      </c>
      <c r="B18" s="585"/>
      <c r="C18" s="346" t="s">
        <v>723</v>
      </c>
      <c r="D18" s="580">
        <f>B18/F18</f>
        <v>0</v>
      </c>
      <c r="E18" s="720" t="s">
        <v>889</v>
      </c>
      <c r="F18" s="354">
        <v>4.0000000000000001E-3</v>
      </c>
      <c r="G18" s="722" t="s">
        <v>722</v>
      </c>
      <c r="H18" s="722" t="s">
        <v>956</v>
      </c>
    </row>
    <row r="19" spans="1:8">
      <c r="A19" s="712" t="s">
        <v>937</v>
      </c>
      <c r="B19" s="585"/>
      <c r="C19" s="346" t="s">
        <v>723</v>
      </c>
      <c r="D19" s="580">
        <f>B19/F19</f>
        <v>0</v>
      </c>
      <c r="E19" s="720" t="s">
        <v>889</v>
      </c>
      <c r="F19" s="354">
        <v>0.1</v>
      </c>
      <c r="G19" s="560" t="s">
        <v>722</v>
      </c>
      <c r="H19" s="722" t="s">
        <v>957</v>
      </c>
    </row>
    <row r="20" spans="1:8" ht="13.5" thickBot="1">
      <c r="A20" s="712" t="s">
        <v>938</v>
      </c>
      <c r="B20" s="586"/>
      <c r="C20" s="346" t="s">
        <v>723</v>
      </c>
      <c r="D20" s="580">
        <f>B20/F20</f>
        <v>0</v>
      </c>
      <c r="E20" s="720" t="s">
        <v>889</v>
      </c>
      <c r="F20" s="354">
        <v>0.05</v>
      </c>
      <c r="G20" s="560" t="s">
        <v>722</v>
      </c>
      <c r="H20" s="722" t="s">
        <v>958</v>
      </c>
    </row>
    <row r="21" spans="1:8" s="369" customFormat="1">
      <c r="A21" s="587"/>
      <c r="B21" s="588"/>
      <c r="E21" s="370"/>
      <c r="G21" s="589"/>
      <c r="H21" s="587"/>
    </row>
    <row r="22" spans="1:8" s="369" customFormat="1">
      <c r="A22" s="587"/>
      <c r="B22" s="588"/>
      <c r="E22" s="370"/>
      <c r="G22" s="589"/>
      <c r="H22" s="587"/>
    </row>
    <row r="23" spans="1:8" s="369" customFormat="1">
      <c r="A23" s="587"/>
      <c r="B23" s="590"/>
      <c r="E23" s="370"/>
      <c r="G23" s="589"/>
      <c r="H23" s="587"/>
    </row>
    <row r="24" spans="1:8" s="369" customFormat="1">
      <c r="A24" s="587"/>
      <c r="B24" s="588"/>
      <c r="C24" s="370"/>
      <c r="D24" s="370"/>
      <c r="E24" s="370"/>
      <c r="F24" s="370"/>
      <c r="G24" s="587"/>
      <c r="H24" s="587"/>
    </row>
    <row r="25" spans="1:8" s="369" customFormat="1">
      <c r="A25" s="587"/>
      <c r="B25" s="588"/>
      <c r="C25" s="370"/>
      <c r="D25" s="370"/>
      <c r="E25" s="370"/>
      <c r="F25" s="370"/>
      <c r="G25" s="587"/>
      <c r="H25" s="587"/>
    </row>
    <row r="26" spans="1:8" s="369" customFormat="1"/>
    <row r="27" spans="1:8" s="369" customFormat="1"/>
    <row r="28" spans="1:8" s="369" customFormat="1"/>
    <row r="29" spans="1:8" s="369" customFormat="1">
      <c r="A29" s="587"/>
      <c r="B29" s="370"/>
      <c r="C29" s="370"/>
      <c r="D29" s="370"/>
      <c r="E29" s="370"/>
      <c r="F29" s="370"/>
      <c r="G29" s="370"/>
      <c r="H29" s="370"/>
    </row>
    <row r="30" spans="1:8" s="369" customFormat="1">
      <c r="A30" s="587"/>
      <c r="B30" s="591"/>
      <c r="C30" s="592"/>
      <c r="D30" s="593"/>
      <c r="E30" s="594"/>
      <c r="F30" s="595"/>
      <c r="G30" s="596"/>
      <c r="H30" s="595"/>
    </row>
    <row r="31" spans="1:8" s="369" customFormat="1">
      <c r="A31" s="587"/>
      <c r="B31" s="591"/>
      <c r="C31" s="592"/>
      <c r="D31" s="593"/>
      <c r="E31" s="594"/>
      <c r="F31" s="595"/>
      <c r="G31" s="596"/>
      <c r="H31" s="595"/>
    </row>
    <row r="32" spans="1:8" s="369" customFormat="1">
      <c r="A32" s="587"/>
      <c r="B32" s="591"/>
      <c r="C32" s="592"/>
      <c r="D32" s="593"/>
      <c r="E32" s="594"/>
      <c r="F32" s="597"/>
      <c r="G32" s="598"/>
      <c r="H32" s="595"/>
    </row>
    <row r="33" spans="1:8" s="369" customFormat="1">
      <c r="A33" s="587"/>
      <c r="E33" s="599"/>
      <c r="F33" s="597"/>
      <c r="G33" s="596"/>
      <c r="H33" s="596"/>
    </row>
    <row r="34" spans="1:8" s="369" customFormat="1">
      <c r="A34" s="587"/>
      <c r="B34" s="591"/>
      <c r="C34" s="592"/>
      <c r="D34" s="593"/>
      <c r="E34" s="594"/>
      <c r="F34" s="597"/>
      <c r="G34" s="598"/>
      <c r="H34" s="595"/>
    </row>
    <row r="35" spans="1:8" s="369" customFormat="1">
      <c r="A35" s="587"/>
      <c r="B35" s="591"/>
      <c r="C35" s="592"/>
      <c r="D35" s="593"/>
      <c r="E35" s="594"/>
      <c r="F35" s="597"/>
      <c r="G35" s="597"/>
      <c r="H35" s="595"/>
    </row>
    <row r="36" spans="1:8" s="369" customFormat="1">
      <c r="A36" s="587"/>
      <c r="B36" s="591"/>
      <c r="C36" s="591"/>
      <c r="D36" s="593"/>
      <c r="E36" s="594"/>
      <c r="F36" s="597"/>
      <c r="G36" s="597"/>
      <c r="H36" s="595"/>
    </row>
    <row r="37" spans="1:8" s="369" customFormat="1">
      <c r="A37" s="587"/>
      <c r="B37" s="591"/>
      <c r="C37" s="592"/>
      <c r="D37" s="593"/>
      <c r="E37" s="600"/>
      <c r="F37" s="597"/>
      <c r="G37" s="597"/>
      <c r="H37" s="595"/>
    </row>
    <row r="38" spans="1:8" s="369" customFormat="1">
      <c r="A38" s="587"/>
      <c r="B38" s="591"/>
      <c r="C38" s="592"/>
      <c r="D38" s="593"/>
      <c r="E38" s="594"/>
      <c r="F38" s="597"/>
      <c r="G38" s="597"/>
      <c r="H38" s="595"/>
    </row>
    <row r="39" spans="1:8" s="369" customFormat="1">
      <c r="A39" s="587"/>
      <c r="B39" s="591"/>
      <c r="C39" s="592"/>
      <c r="D39" s="593"/>
      <c r="E39" s="594"/>
      <c r="F39" s="597"/>
      <c r="G39" s="595"/>
      <c r="H39" s="596"/>
    </row>
    <row r="40" spans="1:8" s="369" customFormat="1">
      <c r="A40" s="587"/>
      <c r="B40" s="591"/>
      <c r="C40" s="592"/>
      <c r="D40" s="593"/>
      <c r="E40" s="594"/>
      <c r="F40" s="597"/>
      <c r="G40" s="597"/>
      <c r="H40" s="596"/>
    </row>
    <row r="41" spans="1:8" s="369" customFormat="1">
      <c r="A41" s="587"/>
      <c r="B41" s="591"/>
      <c r="C41" s="592"/>
      <c r="D41" s="593"/>
      <c r="E41" s="594"/>
      <c r="F41" s="597"/>
      <c r="G41" s="597"/>
      <c r="H41" s="596"/>
    </row>
    <row r="42" spans="1:8" s="369" customFormat="1">
      <c r="A42" s="587"/>
      <c r="B42" s="591"/>
      <c r="C42" s="592"/>
      <c r="D42" s="593"/>
      <c r="E42" s="594"/>
      <c r="F42" s="597"/>
      <c r="G42" s="597"/>
      <c r="H42" s="596"/>
    </row>
    <row r="43" spans="1:8" s="369" customFormat="1">
      <c r="A43" s="587"/>
      <c r="B43" s="591"/>
      <c r="C43" s="591"/>
      <c r="D43" s="593"/>
      <c r="E43" s="591"/>
      <c r="F43" s="597"/>
      <c r="G43" s="597"/>
      <c r="H43" s="596"/>
    </row>
    <row r="44" spans="1:8" s="369" customFormat="1">
      <c r="A44" s="587"/>
      <c r="B44" s="591"/>
      <c r="C44" s="592"/>
      <c r="D44" s="593"/>
      <c r="E44" s="591"/>
      <c r="F44" s="597"/>
      <c r="G44" s="597"/>
      <c r="H44" s="596"/>
    </row>
    <row r="45" spans="1:8" s="369" customFormat="1">
      <c r="A45" s="601"/>
      <c r="F45" s="595"/>
      <c r="G45" s="595"/>
      <c r="H45" s="595"/>
    </row>
    <row r="46" spans="1:8" s="369" customFormat="1">
      <c r="A46" s="587"/>
      <c r="B46" s="591"/>
      <c r="C46" s="591"/>
      <c r="D46" s="602"/>
      <c r="E46" s="591"/>
      <c r="F46" s="597"/>
      <c r="G46" s="597"/>
      <c r="H46" s="595"/>
    </row>
    <row r="47" spans="1:8" s="369" customFormat="1">
      <c r="A47" s="587"/>
      <c r="B47" s="591"/>
      <c r="C47" s="591"/>
      <c r="D47" s="602"/>
      <c r="E47" s="591"/>
      <c r="F47" s="597"/>
      <c r="G47" s="597"/>
      <c r="H47" s="595"/>
    </row>
    <row r="48" spans="1:8" s="369" customFormat="1">
      <c r="A48" s="587"/>
      <c r="B48" s="591"/>
      <c r="C48" s="591"/>
      <c r="D48" s="602"/>
      <c r="E48" s="591"/>
      <c r="F48" s="597"/>
      <c r="G48" s="597"/>
      <c r="H48" s="597"/>
    </row>
    <row r="49" spans="1:8" s="369" customFormat="1">
      <c r="A49" s="587"/>
      <c r="B49" s="591"/>
      <c r="C49" s="591"/>
      <c r="D49" s="602"/>
      <c r="E49" s="591"/>
      <c r="F49" s="597"/>
      <c r="G49" s="597"/>
      <c r="H49" s="595"/>
    </row>
    <row r="50" spans="1:8" s="369" customFormat="1">
      <c r="A50" s="587"/>
      <c r="B50" s="591"/>
      <c r="C50" s="591"/>
      <c r="D50" s="602"/>
      <c r="E50" s="591"/>
      <c r="F50" s="597"/>
      <c r="G50" s="597"/>
      <c r="H50" s="595"/>
    </row>
    <row r="51" spans="1:8" s="369" customFormat="1">
      <c r="A51" s="587"/>
      <c r="B51" s="591"/>
      <c r="C51" s="591"/>
      <c r="D51" s="602"/>
      <c r="E51" s="591"/>
      <c r="F51" s="597"/>
      <c r="G51" s="597"/>
      <c r="H51" s="595"/>
    </row>
    <row r="52" spans="1:8" s="369" customFormat="1">
      <c r="A52" s="587"/>
      <c r="B52" s="591"/>
      <c r="C52" s="591"/>
      <c r="D52" s="602"/>
      <c r="E52" s="591"/>
      <c r="F52" s="597"/>
      <c r="G52" s="597"/>
      <c r="H52" s="595"/>
    </row>
    <row r="53" spans="1:8" s="369" customFormat="1">
      <c r="A53" s="587"/>
      <c r="B53" s="591"/>
      <c r="C53" s="591"/>
      <c r="D53" s="602"/>
      <c r="E53" s="591"/>
      <c r="F53" s="597"/>
      <c r="G53" s="597"/>
      <c r="H53" s="595"/>
    </row>
    <row r="54" spans="1:8" s="369" customFormat="1">
      <c r="A54" s="587"/>
      <c r="B54" s="591"/>
      <c r="C54" s="592"/>
      <c r="D54" s="593"/>
      <c r="E54" s="591"/>
      <c r="F54" s="597"/>
      <c r="G54" s="603"/>
      <c r="H54" s="596"/>
    </row>
    <row r="55" spans="1:8" s="369" customFormat="1">
      <c r="A55" s="587"/>
      <c r="B55" s="591"/>
      <c r="C55" s="591"/>
      <c r="D55" s="602"/>
      <c r="E55" s="591"/>
      <c r="F55" s="597"/>
      <c r="G55" s="597"/>
      <c r="H55" s="595"/>
    </row>
    <row r="56" spans="1:8" s="369" customFormat="1">
      <c r="A56" s="601"/>
      <c r="F56" s="595"/>
      <c r="G56" s="595"/>
      <c r="H56" s="595"/>
    </row>
    <row r="57" spans="1:8" s="369" customFormat="1">
      <c r="A57" s="587"/>
      <c r="B57" s="591"/>
      <c r="C57" s="591"/>
      <c r="D57" s="602"/>
      <c r="E57" s="591"/>
      <c r="F57" s="597"/>
      <c r="G57" s="597"/>
      <c r="H57" s="595"/>
    </row>
    <row r="58" spans="1:8" s="369" customFormat="1">
      <c r="A58" s="587"/>
      <c r="B58" s="591"/>
      <c r="C58" s="591"/>
      <c r="D58" s="602"/>
      <c r="E58" s="591"/>
      <c r="F58" s="597"/>
      <c r="G58" s="597"/>
      <c r="H58" s="595"/>
    </row>
    <row r="59" spans="1:8" s="369" customFormat="1">
      <c r="A59" s="587"/>
      <c r="B59" s="591"/>
      <c r="C59" s="591"/>
      <c r="D59" s="602"/>
      <c r="E59" s="591"/>
      <c r="F59" s="597"/>
      <c r="G59" s="597"/>
      <c r="H59" s="595"/>
    </row>
    <row r="60" spans="1:8" s="369" customFormat="1">
      <c r="A60" s="587"/>
      <c r="B60" s="591"/>
      <c r="C60" s="591"/>
      <c r="D60" s="602"/>
      <c r="E60" s="591"/>
      <c r="F60" s="597"/>
      <c r="G60" s="597"/>
      <c r="H60" s="595"/>
    </row>
    <row r="61" spans="1:8" s="369" customFormat="1">
      <c r="A61" s="587"/>
      <c r="F61" s="595"/>
      <c r="G61" s="595"/>
      <c r="H61" s="595"/>
    </row>
    <row r="62" spans="1:8" s="369" customFormat="1">
      <c r="A62" s="587"/>
      <c r="B62" s="591"/>
      <c r="C62" s="591"/>
      <c r="D62" s="602"/>
      <c r="E62" s="591"/>
      <c r="F62" s="597"/>
      <c r="G62" s="597"/>
      <c r="H62" s="595"/>
    </row>
    <row r="63" spans="1:8" s="369" customFormat="1">
      <c r="A63" s="587"/>
      <c r="B63" s="591"/>
      <c r="C63" s="591"/>
      <c r="D63" s="602"/>
      <c r="E63" s="591"/>
      <c r="F63" s="597"/>
      <c r="G63" s="597"/>
      <c r="H63" s="595"/>
    </row>
    <row r="64" spans="1:8" s="369" customFormat="1">
      <c r="A64" s="587"/>
      <c r="B64" s="591"/>
      <c r="C64" s="591"/>
      <c r="D64" s="602"/>
      <c r="E64" s="591"/>
      <c r="F64" s="597"/>
      <c r="G64" s="597"/>
      <c r="H64" s="595"/>
    </row>
    <row r="65" spans="1:8" s="369" customFormat="1">
      <c r="A65" s="587"/>
      <c r="B65" s="591"/>
      <c r="C65" s="592"/>
      <c r="D65" s="593"/>
      <c r="E65" s="591"/>
      <c r="F65" s="597"/>
      <c r="G65" s="603"/>
      <c r="H65" s="596"/>
    </row>
    <row r="66" spans="1:8" s="369" customFormat="1">
      <c r="A66" s="587"/>
      <c r="F66" s="595"/>
      <c r="G66" s="595"/>
      <c r="H66" s="595"/>
    </row>
    <row r="67" spans="1:8" s="369" customFormat="1">
      <c r="A67" s="587"/>
      <c r="F67" s="595"/>
      <c r="G67" s="595"/>
      <c r="H67" s="595"/>
    </row>
    <row r="68" spans="1:8" s="369" customFormat="1">
      <c r="A68" s="604"/>
      <c r="F68" s="595"/>
      <c r="G68" s="595"/>
      <c r="H68" s="595"/>
    </row>
    <row r="69" spans="1:8" s="369" customFormat="1">
      <c r="A69" s="604"/>
      <c r="F69" s="595"/>
      <c r="G69" s="595"/>
      <c r="H69" s="595"/>
    </row>
    <row r="70" spans="1:8" s="369" customFormat="1">
      <c r="A70" s="587"/>
      <c r="B70" s="370"/>
      <c r="C70" s="591"/>
      <c r="D70" s="602"/>
      <c r="E70" s="591"/>
      <c r="F70" s="597"/>
      <c r="G70" s="597"/>
      <c r="H70" s="595"/>
    </row>
    <row r="71" spans="1:8" s="369" customFormat="1">
      <c r="A71" s="587"/>
      <c r="B71" s="591"/>
      <c r="C71" s="591"/>
      <c r="D71" s="602"/>
      <c r="E71" s="591"/>
      <c r="F71" s="597"/>
      <c r="G71" s="597"/>
      <c r="H71" s="595"/>
    </row>
    <row r="72" spans="1:8" s="369" customFormat="1">
      <c r="A72" s="587"/>
      <c r="B72" s="370"/>
      <c r="F72" s="597"/>
      <c r="G72" s="597"/>
      <c r="H72" s="595"/>
    </row>
    <row r="73" spans="1:8" s="369" customFormat="1">
      <c r="A73" s="587"/>
      <c r="B73" s="370"/>
      <c r="F73" s="597"/>
      <c r="G73" s="597"/>
      <c r="H73" s="595"/>
    </row>
    <row r="74" spans="1:8" s="369" customFormat="1">
      <c r="A74" s="587"/>
      <c r="B74" s="591"/>
      <c r="C74" s="592"/>
      <c r="D74" s="593"/>
      <c r="E74" s="591"/>
      <c r="F74" s="598"/>
      <c r="G74" s="605"/>
      <c r="H74" s="595"/>
    </row>
    <row r="75" spans="1:8" s="369" customFormat="1">
      <c r="A75" s="587"/>
      <c r="B75" s="591"/>
      <c r="C75" s="592"/>
      <c r="D75" s="593"/>
      <c r="E75" s="591"/>
      <c r="F75" s="597"/>
      <c r="G75" s="597"/>
      <c r="H75" s="595"/>
    </row>
    <row r="76" spans="1:8" s="369" customFormat="1">
      <c r="A76" s="587"/>
      <c r="B76" s="591"/>
      <c r="C76" s="591"/>
      <c r="D76" s="602"/>
      <c r="E76" s="591"/>
      <c r="F76" s="597"/>
      <c r="G76" s="598"/>
      <c r="H76" s="595"/>
    </row>
    <row r="77" spans="1:8" s="369" customFormat="1">
      <c r="A77" s="587"/>
      <c r="B77" s="591"/>
      <c r="C77" s="591"/>
      <c r="D77" s="602"/>
      <c r="E77" s="591"/>
      <c r="F77" s="597"/>
      <c r="G77" s="598"/>
      <c r="H77" s="595"/>
    </row>
    <row r="78" spans="1:8" s="369" customFormat="1">
      <c r="A78" s="587"/>
      <c r="B78" s="591"/>
      <c r="C78" s="591"/>
      <c r="D78" s="602"/>
      <c r="E78" s="591"/>
      <c r="F78" s="597"/>
      <c r="G78" s="598"/>
      <c r="H78" s="595"/>
    </row>
    <row r="79" spans="1:8" s="369" customFormat="1">
      <c r="A79" s="587"/>
      <c r="B79" s="591"/>
      <c r="C79" s="592"/>
      <c r="D79" s="593"/>
      <c r="E79" s="591"/>
      <c r="F79" s="597"/>
      <c r="G79" s="596"/>
      <c r="H79" s="596"/>
    </row>
    <row r="80" spans="1:8" s="369" customFormat="1">
      <c r="A80" s="604"/>
      <c r="F80" s="597"/>
      <c r="G80" s="597"/>
      <c r="H80" s="595"/>
    </row>
    <row r="81" spans="1:8" s="369" customFormat="1">
      <c r="A81" s="604"/>
      <c r="F81" s="597"/>
      <c r="G81" s="597"/>
      <c r="H81" s="595"/>
    </row>
    <row r="82" spans="1:8" s="369" customFormat="1">
      <c r="A82" s="587"/>
      <c r="B82" s="370"/>
      <c r="C82" s="591"/>
      <c r="D82" s="602"/>
      <c r="E82" s="591"/>
      <c r="F82" s="597"/>
      <c r="G82" s="597"/>
      <c r="H82" s="595"/>
    </row>
    <row r="83" spans="1:8" s="369" customFormat="1">
      <c r="A83" s="587"/>
      <c r="B83" s="370"/>
      <c r="F83" s="597"/>
      <c r="G83" s="597"/>
      <c r="H83" s="595"/>
    </row>
    <row r="84" spans="1:8" s="369" customFormat="1">
      <c r="A84" s="587"/>
      <c r="B84" s="370"/>
      <c r="F84" s="597"/>
      <c r="G84" s="597"/>
      <c r="H84" s="595"/>
    </row>
    <row r="85" spans="1:8" s="369" customFormat="1">
      <c r="A85" s="587"/>
      <c r="B85" s="370"/>
      <c r="F85" s="597"/>
      <c r="G85" s="597"/>
      <c r="H85" s="595"/>
    </row>
    <row r="86" spans="1:8" s="369" customFormat="1">
      <c r="A86" s="587"/>
      <c r="B86" s="370"/>
      <c r="F86" s="597"/>
      <c r="G86" s="597"/>
      <c r="H86" s="595"/>
    </row>
    <row r="87" spans="1:8" s="369" customFormat="1">
      <c r="A87" s="587"/>
      <c r="B87" s="591"/>
      <c r="C87" s="591"/>
      <c r="D87" s="602"/>
      <c r="E87" s="591"/>
      <c r="F87" s="597"/>
      <c r="G87" s="597"/>
      <c r="H87" s="595"/>
    </row>
    <row r="88" spans="1:8" s="369" customFormat="1">
      <c r="A88" s="587"/>
      <c r="B88" s="591"/>
      <c r="C88" s="592"/>
      <c r="D88" s="593"/>
      <c r="E88" s="591"/>
      <c r="F88" s="597"/>
      <c r="G88" s="597"/>
      <c r="H88" s="595"/>
    </row>
    <row r="89" spans="1:8" s="369" customFormat="1">
      <c r="A89" s="587"/>
      <c r="B89" s="591"/>
      <c r="C89" s="591"/>
      <c r="D89" s="602"/>
      <c r="E89" s="591"/>
      <c r="F89" s="597"/>
      <c r="G89" s="597"/>
      <c r="H89" s="595"/>
    </row>
    <row r="90" spans="1:8" s="369" customFormat="1">
      <c r="A90" s="587"/>
      <c r="B90" s="591"/>
      <c r="C90" s="592"/>
      <c r="D90" s="593"/>
      <c r="E90" s="591"/>
      <c r="F90" s="597"/>
      <c r="G90" s="596"/>
      <c r="H90" s="606"/>
    </row>
    <row r="91" spans="1:8" s="369" customFormat="1">
      <c r="A91" s="587"/>
      <c r="B91" s="370"/>
      <c r="F91" s="597"/>
      <c r="G91" s="597"/>
      <c r="H91" s="595"/>
    </row>
    <row r="92" spans="1:8" s="369" customFormat="1">
      <c r="B92" s="370"/>
      <c r="F92" s="597"/>
      <c r="G92" s="597"/>
      <c r="H92" s="595"/>
    </row>
    <row r="93" spans="1:8" s="369" customFormat="1">
      <c r="A93" s="604"/>
      <c r="B93" s="370"/>
      <c r="F93" s="597"/>
      <c r="G93" s="597"/>
      <c r="H93" s="595"/>
    </row>
    <row r="94" spans="1:8" s="369" customFormat="1">
      <c r="A94" s="604"/>
      <c r="F94" s="597"/>
      <c r="G94" s="597"/>
      <c r="H94" s="595"/>
    </row>
    <row r="95" spans="1:8" s="28" customFormat="1">
      <c r="A95" s="572"/>
      <c r="B95" s="277"/>
      <c r="C95" s="575"/>
      <c r="D95" s="578"/>
      <c r="E95" s="575"/>
      <c r="F95" s="574"/>
      <c r="G95" s="574"/>
      <c r="H95" s="573"/>
    </row>
    <row r="96" spans="1:8" s="28" customFormat="1">
      <c r="A96" s="572"/>
      <c r="B96" s="575"/>
      <c r="C96" s="575"/>
      <c r="D96" s="578"/>
      <c r="E96" s="575"/>
      <c r="F96" s="574"/>
      <c r="G96" s="574"/>
      <c r="H96" s="573"/>
    </row>
    <row r="97" spans="1:8" s="28" customFormat="1">
      <c r="A97" s="572"/>
      <c r="B97" s="277"/>
      <c r="F97" s="574"/>
      <c r="G97" s="574"/>
      <c r="H97" s="573"/>
    </row>
    <row r="98" spans="1:8" s="28" customFormat="1">
      <c r="A98" s="572"/>
      <c r="B98" s="575"/>
      <c r="C98" s="575"/>
      <c r="D98" s="578"/>
      <c r="E98" s="575"/>
      <c r="F98" s="574"/>
      <c r="G98" s="574"/>
      <c r="H98" s="573"/>
    </row>
    <row r="99" spans="1:8" s="28" customFormat="1">
      <c r="F99" s="574"/>
      <c r="G99" s="574"/>
      <c r="H99" s="573"/>
    </row>
    <row r="100" spans="1:8" s="28" customFormat="1">
      <c r="A100" s="572"/>
      <c r="B100" s="575"/>
      <c r="C100" s="575"/>
      <c r="D100" s="578"/>
      <c r="E100" s="575"/>
      <c r="F100" s="574"/>
      <c r="G100" s="574"/>
      <c r="H100" s="573"/>
    </row>
    <row r="101" spans="1:8" s="28" customFormat="1">
      <c r="A101" s="572"/>
      <c r="B101" s="575"/>
      <c r="C101" s="575"/>
      <c r="D101" s="578"/>
      <c r="E101" s="575"/>
      <c r="F101" s="574"/>
      <c r="G101" s="574"/>
      <c r="H101" s="573"/>
    </row>
    <row r="102" spans="1:8" s="28" customFormat="1">
      <c r="A102" s="572"/>
      <c r="B102" s="575"/>
      <c r="C102" s="575"/>
      <c r="D102" s="578"/>
      <c r="E102" s="575"/>
      <c r="F102" s="574"/>
      <c r="G102" s="574"/>
      <c r="H102" s="573"/>
    </row>
    <row r="103" spans="1:8" s="28" customFormat="1">
      <c r="A103" s="572"/>
      <c r="B103" s="575"/>
      <c r="C103" s="576"/>
      <c r="D103" s="577"/>
      <c r="E103" s="575"/>
      <c r="F103" s="574"/>
      <c r="G103" s="573"/>
      <c r="H103" s="450"/>
    </row>
    <row r="104" spans="1:8" s="28" customFormat="1"/>
    <row r="105" spans="1:8" s="28" customFormat="1"/>
    <row r="106" spans="1:8" s="3" customFormat="1"/>
    <row r="107" spans="1:8" s="3" customFormat="1"/>
    <row r="108" spans="1:8" s="3" customFormat="1"/>
    <row r="109" spans="1:8" s="3" customFormat="1"/>
    <row r="110" spans="1:8" s="3" customFormat="1"/>
    <row r="111" spans="1:8" s="3" customFormat="1"/>
    <row r="112" spans="1:8" s="3" customFormat="1"/>
    <row r="113" s="3" customFormat="1"/>
    <row r="114" s="3" customFormat="1"/>
    <row r="115" s="3" customFormat="1"/>
    <row r="116" s="3" customFormat="1"/>
    <row r="117" s="3" customFormat="1"/>
    <row r="118" s="3" customFormat="1"/>
    <row r="119" s="340" customFormat="1"/>
    <row r="120" s="340" customFormat="1"/>
    <row r="121" s="340" customFormat="1"/>
    <row r="122" s="340" customFormat="1"/>
    <row r="123" s="340" customFormat="1"/>
    <row r="124" s="340" customFormat="1"/>
    <row r="125" s="340" customFormat="1"/>
    <row r="126" s="340" customFormat="1"/>
    <row r="127" s="340" customFormat="1"/>
    <row r="128" s="340" customFormat="1"/>
    <row r="129" s="340" customFormat="1"/>
  </sheetData>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3"/>
  <sheetViews>
    <sheetView workbookViewId="0">
      <selection activeCell="A18" sqref="A18"/>
    </sheetView>
  </sheetViews>
  <sheetFormatPr defaultRowHeight="12.75"/>
  <cols>
    <col min="1" max="1" width="48.28515625" style="340" customWidth="1"/>
    <col min="2" max="2" width="10.28515625" style="340" customWidth="1"/>
    <col min="3" max="3" width="10.7109375" style="340" customWidth="1"/>
    <col min="4" max="4" width="9.7109375" style="340" customWidth="1"/>
    <col min="5" max="5" width="9.85546875" style="340" customWidth="1"/>
    <col min="6" max="6" width="11.28515625" style="340" customWidth="1"/>
    <col min="7" max="7" width="10" style="340" customWidth="1"/>
    <col min="8" max="8" width="14.28515625" style="340" customWidth="1"/>
    <col min="9" max="9" width="9.85546875" style="340" customWidth="1"/>
    <col min="10" max="16384" width="9.140625" style="340"/>
  </cols>
  <sheetData>
    <row r="1" spans="1:14">
      <c r="A1" s="355" t="s">
        <v>969</v>
      </c>
      <c r="B1" s="355"/>
    </row>
    <row r="2" spans="1:14" s="360" customFormat="1">
      <c r="A2" s="694" t="s">
        <v>775</v>
      </c>
      <c r="B2" s="738" t="s">
        <v>924</v>
      </c>
      <c r="C2" s="740" t="s">
        <v>779</v>
      </c>
      <c r="D2" s="741"/>
      <c r="E2" s="741"/>
      <c r="F2" s="741"/>
      <c r="G2" s="741"/>
      <c r="H2" s="741"/>
      <c r="I2" s="742"/>
      <c r="J2" s="738" t="s">
        <v>971</v>
      </c>
    </row>
    <row r="3" spans="1:14" ht="51">
      <c r="A3" s="419"/>
      <c r="B3" s="739"/>
      <c r="C3" s="723" t="s">
        <v>784</v>
      </c>
      <c r="D3" s="723" t="s">
        <v>785</v>
      </c>
      <c r="E3" s="723" t="s">
        <v>786</v>
      </c>
      <c r="F3" s="700" t="s">
        <v>787</v>
      </c>
      <c r="G3" s="700" t="s">
        <v>1062</v>
      </c>
      <c r="H3" s="700" t="s">
        <v>1066</v>
      </c>
      <c r="I3" s="700" t="s">
        <v>970</v>
      </c>
      <c r="J3" s="739"/>
    </row>
    <row r="4" spans="1:14">
      <c r="A4" s="659" t="s">
        <v>963</v>
      </c>
      <c r="B4" s="428" t="str">
        <f>IF(OR('Nível 1-Resumo total'!E5=pres,'Nível 1-Resumo total'!E6=pres),pres,SUM('Nível 1-Resumo total'!E5:E6))</f>
        <v>Presente?</v>
      </c>
      <c r="C4" s="428" t="str">
        <f>IF(OR('Nível 1-Resumo total'!F5=pres,'Nível 1-Resumo total'!F6=pres),pres,SUM('Nível 1-Resumo total'!F5:F6))</f>
        <v>Presente?</v>
      </c>
      <c r="D4" s="428" t="str">
        <f>IF(OR('Nível 1-Resumo total'!G5=pres,'Nível 1-Resumo total'!G6=pres),pres,SUM('Nível 1-Resumo total'!G5:G6))</f>
        <v>Presente?</v>
      </c>
      <c r="E4" s="428" t="str">
        <f>IF(OR('Nível 1-Resumo total'!H5=pres,'Nível 1-Resumo total'!H6=pres),pres,SUM('Nível 1-Resumo total'!H5:H6))</f>
        <v>Presente?</v>
      </c>
      <c r="F4" s="428" t="str">
        <f>IF(OR('Nível 1-Resumo total'!I5=pres,'Nível 1-Resumo total'!I6=pres),pres,SUM('Nível 1-Resumo total'!I5:I6))</f>
        <v>Presente?</v>
      </c>
      <c r="G4" s="428" t="str">
        <f>IF(OR('Nível 1-Resumo total'!J5=pres,'Nível 1-Resumo total'!J6=pres),pres,SUM('Nível 1-Resumo total'!J5:J6))</f>
        <v>Presente?</v>
      </c>
      <c r="H4" s="428" t="str">
        <f>IF(OR('Nível 1-Resumo total'!K5=pres,'Nível 1-Resumo total'!K6=pres),pres,SUM('Nível 1-Resumo total'!K5:K6))</f>
        <v>Presente?</v>
      </c>
      <c r="I4" s="443">
        <f>SUM(C4:H4)</f>
        <v>0</v>
      </c>
      <c r="J4" s="475" t="e">
        <f>I4/$I$21</f>
        <v>#DIV/0!</v>
      </c>
      <c r="N4" s="460"/>
    </row>
    <row r="5" spans="1:14" ht="25.5">
      <c r="A5" s="659" t="s">
        <v>964</v>
      </c>
      <c r="B5" s="428" t="str">
        <f>IF(OR('Nível 1-Resumo total'!E7=pres,'Nível 1-Resumo total'!E8=pres,'Nível 1-Resumo total'!E9=pres,'Nível 1-Resumo total'!E10=pres,'Nível 1-Resumo total'!E11=pres,'Nível 1-Resumo total'!E12=pres),pres,SUM('Nível 1-Resumo total'!E7:E12))</f>
        <v>Presente?</v>
      </c>
      <c r="C5" s="428" t="str">
        <f>IF(OR('Nível 1-Resumo total'!F7=pres,'Nível 1-Resumo total'!F8=pres,'Nível 1-Resumo total'!F9=pres,'Nível 1-Resumo total'!F10=pres,'Nível 1-Resumo total'!F11=pres,'Nível 1-Resumo total'!F12=pres),pres,SUM('Nível 1-Resumo total'!F7:F12))</f>
        <v>Presente?</v>
      </c>
      <c r="D5" s="428" t="str">
        <f>IF(OR('Nível 1-Resumo total'!G7=pres,'Nível 1-Resumo total'!G8=pres,'Nível 1-Resumo total'!G9=pres,'Nível 1-Resumo total'!G10=pres,'Nível 1-Resumo total'!G11=pres,'Nível 1-Resumo total'!G12=pres),pres,SUM('Nível 1-Resumo total'!G7:G12))</f>
        <v>Presente?</v>
      </c>
      <c r="E5" s="428" t="str">
        <f>IF(OR('Nível 1-Resumo total'!H7=pres,'Nível 1-Resumo total'!H8=pres,'Nível 1-Resumo total'!H9=pres,'Nível 1-Resumo total'!H10=pres,'Nível 1-Resumo total'!H11=pres,'Nível 1-Resumo total'!H12=pres),pres,SUM('Nível 1-Resumo total'!H7:H12))</f>
        <v>Presente?</v>
      </c>
      <c r="F5" s="428" t="str">
        <f>IF(OR('Nível 1-Resumo total'!I7=pres,'Nível 1-Resumo total'!I8=pres,'Nível 1-Resumo total'!I9=pres,'Nível 1-Resumo total'!I10=pres,'Nível 1-Resumo total'!I11=pres,'Nível 1-Resumo total'!I12=pres),pres,SUM('Nível 1-Resumo total'!I7:I12))</f>
        <v>Presente?</v>
      </c>
      <c r="G5" s="428" t="str">
        <f>IF(OR('Nível 1-Resumo total'!J7=pres,'Nível 1-Resumo total'!J8=pres,'Nível 1-Resumo total'!J9=pres,'Nível 1-Resumo total'!J10=pres,'Nível 1-Resumo total'!J11=pres,'Nível 1-Resumo total'!J12=pres),pres,SUM('Nível 1-Resumo total'!J7:J12))</f>
        <v>Presente?</v>
      </c>
      <c r="H5" s="428" t="str">
        <f>IF(OR('Nível 1-Resumo total'!K7=pres,'Nível 1-Resumo total'!K8=pres,'Nível 1-Resumo total'!K9=pres,'Nível 1-Resumo total'!K10=pres,'Nível 1-Resumo total'!K11=pres,'Nível 1-Resumo total'!K12=pres),pres,SUM('Nível 1-Resumo total'!K7:K12))</f>
        <v>Presente?</v>
      </c>
      <c r="I5" s="443">
        <f t="shared" ref="I5:I20" si="0">SUM(C5:H5)</f>
        <v>0</v>
      </c>
      <c r="J5" s="475" t="e">
        <f t="shared" ref="J5:J20" si="1">I5/$I$21</f>
        <v>#DIV/0!</v>
      </c>
    </row>
    <row r="6" spans="1:14">
      <c r="A6" s="659" t="s">
        <v>965</v>
      </c>
      <c r="B6" s="428" t="str">
        <f>IF(OR('Nível 1-Resumo total'!E14=pres,'Nível 1-Resumo total'!E15=pres,'Nível 1-Resumo total'!E16=pres),pres,SUM('Nível 1-Resumo total'!E14:E16))</f>
        <v>Presente?</v>
      </c>
      <c r="C6" s="428" t="str">
        <f>IF(OR('Nível 1-Resumo total'!F14=pres,'Nível 1-Resumo total'!F15=pres,'Nível 1-Resumo total'!F16=pres),pres,SUM('Nível 1-Resumo total'!F14:F16))</f>
        <v>Presente?</v>
      </c>
      <c r="D6" s="428" t="str">
        <f>IF(OR('Nível 1-Resumo total'!G14=pres,'Nível 1-Resumo total'!G15=pres,'Nível 1-Resumo total'!G16=pres),pres,SUM('Nível 1-Resumo total'!G14:G16))</f>
        <v>Presente?</v>
      </c>
      <c r="E6" s="428" t="str">
        <f>IF(OR('Nível 1-Resumo total'!H14=pres,'Nível 1-Resumo total'!H15=pres,'Nível 1-Resumo total'!H16=pres),pres,SUM('Nível 1-Resumo total'!H14:H16))</f>
        <v>Presente?</v>
      </c>
      <c r="F6" s="428" t="str">
        <f>IF(OR('Nível 1-Resumo total'!I14=pres,'Nível 1-Resumo total'!I15=pres,'Nível 1-Resumo total'!I16=pres),pres,SUM('Nível 1-Resumo total'!I14:I16))</f>
        <v>Presente?</v>
      </c>
      <c r="G6" s="428" t="str">
        <f>IF(OR('Nível 1-Resumo total'!J14=pres,'Nível 1-Resumo total'!J15=pres,'Nível 1-Resumo total'!J16=pres),pres,SUM('Nível 1-Resumo total'!J14:J16))</f>
        <v>Presente?</v>
      </c>
      <c r="H6" s="428" t="str">
        <f>IF(OR('Nível 1-Resumo total'!K14=pres,'Nível 1-Resumo total'!K15=pres,'Nível 1-Resumo total'!K16=pres),pres,SUM('Nível 1-Resumo total'!K14:K16))</f>
        <v>Presente?</v>
      </c>
      <c r="I6" s="474">
        <f t="shared" si="0"/>
        <v>0</v>
      </c>
      <c r="J6" s="475" t="e">
        <f t="shared" si="1"/>
        <v>#DIV/0!</v>
      </c>
      <c r="L6" s="477"/>
    </row>
    <row r="7" spans="1:14" ht="25.5">
      <c r="A7" s="659" t="s">
        <v>966</v>
      </c>
      <c r="B7" s="428" t="str">
        <f>IF(OR('Nível 1-Resumo total'!E18=pres,'Nível 1-Resumo total'!E19=pres,'Nível 1-Resumo total'!E20=pres,'Nível 1-Resumo total'!E21=pres,'Nível 1-Resumo total'!E22=pres,'Nível 1-Resumo total'!E23=pres,'Nível 1-Resumo total'!E24=pres),pres,SUM('Nível 1-Resumo total'!E18:E24))</f>
        <v>Presente?</v>
      </c>
      <c r="C7" s="428" t="str">
        <f>IF(OR('Nível 1-Resumo total'!F18=pres,'Nível 1-Resumo total'!F19=pres,'Nível 1-Resumo total'!F20=pres,'Nível 1-Resumo total'!F21=pres,'Nível 1-Resumo total'!F22=pres,'Nível 1-Resumo total'!F23=pres,'Nível 1-Resumo total'!F24=pres),pres,SUM('Nível 1-Resumo total'!F18:F24))</f>
        <v>Presente?</v>
      </c>
      <c r="D7" s="428" t="str">
        <f>IF(OR('Nível 1-Resumo total'!G18=pres,'Nível 1-Resumo total'!G19=pres,'Nível 1-Resumo total'!G20=pres,'Nível 1-Resumo total'!G21=pres,'Nível 1-Resumo total'!G22=pres,'Nível 1-Resumo total'!G23=pres,'Nível 1-Resumo total'!G24=pres),pres,SUM('Nível 1-Resumo total'!G18:G24))</f>
        <v>Presente?</v>
      </c>
      <c r="E7" s="428" t="str">
        <f>IF(OR('Nível 1-Resumo total'!H18=pres,'Nível 1-Resumo total'!H19=pres,'Nível 1-Resumo total'!H20=pres,'Nível 1-Resumo total'!H21=pres,'Nível 1-Resumo total'!H22=pres,'Nível 1-Resumo total'!H23=pres,'Nível 1-Resumo total'!H24=pres),pres,SUM('Nível 1-Resumo total'!H18:H24))</f>
        <v>Presente?</v>
      </c>
      <c r="F7" s="428" t="str">
        <f>IF(OR('Nível 1-Resumo total'!I18=pres,'Nível 1-Resumo total'!I19=pres,'Nível 1-Resumo total'!I20=pres,'Nível 1-Resumo total'!I21=pres,'Nível 1-Resumo total'!I22=pres,'Nível 1-Resumo total'!I23=pres,'Nível 1-Resumo total'!I24=pres),pres,SUM('Nível 1-Resumo total'!I18:I24))</f>
        <v>Presente?</v>
      </c>
      <c r="G7" s="428" t="str">
        <f>IF(OR('Nível 1-Resumo total'!J18=pres,'Nível 1-Resumo total'!J19=pres,'Nível 1-Resumo total'!J20=pres,'Nível 1-Resumo total'!J21=pres,'Nível 1-Resumo total'!J22=pres,'Nível 1-Resumo total'!J23=pres,'Nível 1-Resumo total'!J24=pres),pres,SUM('Nível 1-Resumo total'!J18:J24))</f>
        <v>Presente?</v>
      </c>
      <c r="H7" s="428" t="str">
        <f>IF(OR('Nível 1-Resumo total'!K18=pres,'Nível 1-Resumo total'!K19=pres,'Nível 1-Resumo total'!K20=pres,'Nível 1-Resumo total'!K21=pres,'Nível 1-Resumo total'!K22=pres,'Nível 1-Resumo total'!K23=pres,'Nível 1-Resumo total'!K24=pres),pres,SUM('Nível 1-Resumo total'!K18:K24))</f>
        <v>Presente?</v>
      </c>
      <c r="I7" s="474">
        <f t="shared" si="0"/>
        <v>0</v>
      </c>
      <c r="J7" s="475" t="e">
        <f t="shared" si="1"/>
        <v>#DIV/0!</v>
      </c>
      <c r="L7" s="477"/>
      <c r="N7" s="460"/>
    </row>
    <row r="8" spans="1:14">
      <c r="A8" s="659" t="s">
        <v>967</v>
      </c>
      <c r="B8" s="428" t="str">
        <f>IF(OR('Nível 1-Resumo total'!E25=pres,'Nível 1-Resumo total'!E26=pres),pres,SUM('Nível 1-Resumo total'!E25:E26))</f>
        <v>Presente?</v>
      </c>
      <c r="C8" s="428" t="str">
        <f>IF(OR('Nível 1-Resumo total'!F25=pres,'Nível 1-Resumo total'!F26=pres),pres,SUM('Nível 1-Resumo total'!F25:F26))</f>
        <v>Presente?</v>
      </c>
      <c r="D8" s="428" t="str">
        <f>IF(OR('Nível 1-Resumo total'!G25=pres,'Nível 1-Resumo total'!G26=pres),pres,SUM('Nível 1-Resumo total'!G25:G26))</f>
        <v>Presente?</v>
      </c>
      <c r="E8" s="428" t="str">
        <f>IF(OR('Nível 1-Resumo total'!H25=pres,'Nível 1-Resumo total'!H26=pres),pres,SUM('Nível 1-Resumo total'!H25:H26))</f>
        <v>Presente?</v>
      </c>
      <c r="F8" s="428" t="str">
        <f>IF(OR('Nível 1-Resumo total'!I25=pres,'Nível 1-Resumo total'!I26=pres),pres,SUM('Nível 1-Resumo total'!I25:I26))</f>
        <v>Presente?</v>
      </c>
      <c r="G8" s="428" t="str">
        <f>IF(OR('Nível 1-Resumo total'!J25=pres,'Nível 1-Resumo total'!J26=pres),pres,SUM('Nível 1-Resumo total'!J25:J26))</f>
        <v>Presente?</v>
      </c>
      <c r="H8" s="428" t="str">
        <f>IF(OR('Nível 1-Resumo total'!K25=pres,'Nível 1-Resumo total'!K26=pres),pres,SUM('Nível 1-Resumo total'!K25:K26))</f>
        <v>Presente?</v>
      </c>
      <c r="I8" s="474">
        <f t="shared" si="0"/>
        <v>0</v>
      </c>
      <c r="J8" s="475" t="e">
        <f t="shared" si="1"/>
        <v>#DIV/0!</v>
      </c>
      <c r="L8" s="477"/>
    </row>
    <row r="9" spans="1:14">
      <c r="A9" s="659" t="s">
        <v>821</v>
      </c>
      <c r="B9" s="428" t="str">
        <f>IF(OR('Nível 1-Resumo total'!E28=pres,'Nível 1-Resumo total'!E29=pres),pres,SUM('Nível 1-Resumo total'!E28:E29))</f>
        <v>Presente?</v>
      </c>
      <c r="C9" s="428" t="str">
        <f>IF(OR('Nível 1-Resumo total'!F28=pres,'Nível 1-Resumo total'!F29=pres),pres,SUM('Nível 1-Resumo total'!F28:F29))</f>
        <v>Presente?</v>
      </c>
      <c r="D9" s="428" t="str">
        <f>IF(OR('Nível 1-Resumo total'!G28=pres,'Nível 1-Resumo total'!G29=pres),pres,SUM('Nível 1-Resumo total'!G28:G29))</f>
        <v>Presente?</v>
      </c>
      <c r="E9" s="428" t="str">
        <f>IF(OR('Nível 1-Resumo total'!H28=pres,'Nível 1-Resumo total'!H29=pres),pres,SUM('Nível 1-Resumo total'!H28:H29))</f>
        <v>Presente?</v>
      </c>
      <c r="F9" s="428" t="str">
        <f>IF(OR('Nível 1-Resumo total'!I28=pres,'Nível 1-Resumo total'!I29=pres),pres,SUM('Nível 1-Resumo total'!I28:I29))</f>
        <v>Presente?</v>
      </c>
      <c r="G9" s="428" t="str">
        <f>IF(OR('Nível 1-Resumo total'!J28=pres,'Nível 1-Resumo total'!J29=pres),pres,SUM('Nível 1-Resumo total'!J28:J29))</f>
        <v>Presente?</v>
      </c>
      <c r="H9" s="428" t="str">
        <f>IF(OR('Nível 1-Resumo total'!K28=pres,'Nível 1-Resumo total'!K29=pres),pres,SUM('Nível 1-Resumo total'!K28:K29))</f>
        <v>Presente?</v>
      </c>
      <c r="I9" s="474">
        <f t="shared" si="0"/>
        <v>0</v>
      </c>
      <c r="J9" s="475" t="e">
        <f t="shared" si="1"/>
        <v>#DIV/0!</v>
      </c>
      <c r="L9" s="477"/>
      <c r="N9" s="477"/>
    </row>
    <row r="10" spans="1:14">
      <c r="A10" s="659" t="s">
        <v>833</v>
      </c>
      <c r="B10" s="428" t="str">
        <f>'Nível 1-Resumo total'!E31</f>
        <v>Presente?</v>
      </c>
      <c r="C10" s="428" t="str">
        <f>'Nível 1-Resumo total'!F31</f>
        <v>Presente?</v>
      </c>
      <c r="D10" s="428" t="str">
        <f>'Nível 1-Resumo total'!G31</f>
        <v>Presente?</v>
      </c>
      <c r="E10" s="428" t="str">
        <f>'Nível 1-Resumo total'!H31</f>
        <v>Presente?</v>
      </c>
      <c r="F10" s="428" t="str">
        <f>'Nível 1-Resumo total'!I31</f>
        <v>Presente?</v>
      </c>
      <c r="G10" s="428" t="str">
        <f>'Nível 1-Resumo total'!J31</f>
        <v>Presente?</v>
      </c>
      <c r="H10" s="428" t="str">
        <f>'Nível 1-Resumo total'!K31</f>
        <v>Presente?</v>
      </c>
      <c r="I10" s="474">
        <f t="shared" si="0"/>
        <v>0</v>
      </c>
      <c r="J10" s="475" t="e">
        <f t="shared" si="1"/>
        <v>#DIV/0!</v>
      </c>
      <c r="L10" s="477"/>
    </row>
    <row r="11" spans="1:14">
      <c r="A11" s="659" t="s">
        <v>968</v>
      </c>
      <c r="B11" s="428" t="str">
        <f>IF(OR('Nível 1-Resumo total'!E32=pres,'Nível 1-Resumo total'!E33=pres),pres,SUM('Nível 1-Resumo total'!E32:E33))</f>
        <v>Presente?</v>
      </c>
      <c r="C11" s="428" t="str">
        <f>IF(OR('Nível 1-Resumo total'!F32=pres,'Nível 1-Resumo total'!F33=pres),pres,SUM('Nível 1-Resumo total'!F32:F33))</f>
        <v>Presente?</v>
      </c>
      <c r="D11" s="428" t="str">
        <f>IF(OR('Nível 1-Resumo total'!G32=pres,'Nível 1-Resumo total'!G33=pres),pres,SUM('Nível 1-Resumo total'!G32:G33))</f>
        <v>Presente?</v>
      </c>
      <c r="E11" s="428" t="str">
        <f>IF(OR('Nível 1-Resumo total'!H32=pres,'Nível 1-Resumo total'!H33=pres),pres,SUM('Nível 1-Resumo total'!H32:H33))</f>
        <v>Presente?</v>
      </c>
      <c r="F11" s="428" t="str">
        <f>IF(OR('Nível 1-Resumo total'!I32=pres,'Nível 1-Resumo total'!I33=pres),pres,SUM('Nível 1-Resumo total'!I32:I33))</f>
        <v>Presente?</v>
      </c>
      <c r="G11" s="428" t="str">
        <f>IF(OR('Nível 1-Resumo total'!J32=pres,'Nível 1-Resumo total'!J33=pres),pres,SUM('Nível 1-Resumo total'!J32:J33))</f>
        <v>Presente?</v>
      </c>
      <c r="H11" s="428" t="str">
        <f>IF(OR('Nível 1-Resumo total'!K32=pres,'Nível 1-Resumo total'!K33=pres),pres,SUM('Nível 1-Resumo total'!K32:K33))</f>
        <v>Presente?</v>
      </c>
      <c r="I11" s="474">
        <f t="shared" si="0"/>
        <v>0</v>
      </c>
      <c r="J11" s="475" t="e">
        <f t="shared" si="1"/>
        <v>#DIV/0!</v>
      </c>
      <c r="L11" s="477"/>
      <c r="N11" s="477"/>
    </row>
    <row r="12" spans="1:14">
      <c r="A12" s="659" t="s">
        <v>959</v>
      </c>
      <c r="B12" s="428" t="str">
        <f>IF(OR('Nível 1-Resumo total'!E35=pres,'Nível 1-Resumo total'!E36=pres,'Nível 1-Resumo total'!E37=pres,'Nível 1-Resumo total'!E38=pres,'Nível 1-Resumo total'!E39=pres,'Nível 1-Resumo total'!E40=pres,'Nível 1-Resumo total'!E41=pres,'Nível 1-Resumo total'!E42=pres),pres,SUM('Nível 1-Resumo total'!E35:E42))</f>
        <v>Presente?</v>
      </c>
      <c r="C12" s="428" t="str">
        <f>IF(OR('Nível 1-Resumo total'!F35=pres,'Nível 1-Resumo total'!F36=pres,'Nível 1-Resumo total'!F37=pres,'Nível 1-Resumo total'!F38=pres,'Nível 1-Resumo total'!F39=pres,'Nível 1-Resumo total'!F40=pres,'Nível 1-Resumo total'!F41=pres,'Nível 1-Resumo total'!F42=pres),pres,SUM('Nível 1-Resumo total'!F35:F42))</f>
        <v>Presente?</v>
      </c>
      <c r="D12" s="428" t="str">
        <f>IF(OR('Nível 1-Resumo total'!G35=pres,'Nível 1-Resumo total'!G36=pres,'Nível 1-Resumo total'!G37=pres,'Nível 1-Resumo total'!G38=pres,'Nível 1-Resumo total'!G39=pres,'Nível 1-Resumo total'!G40=pres,'Nível 1-Resumo total'!G41=pres,'Nível 1-Resumo total'!G42=pres),pres,SUM('Nível 1-Resumo total'!G35:G42))</f>
        <v>Presente?</v>
      </c>
      <c r="E12" s="428" t="str">
        <f>IF(OR('Nível 1-Resumo total'!H35=pres,'Nível 1-Resumo total'!H36=pres,'Nível 1-Resumo total'!H37=pres,'Nível 1-Resumo total'!H38=pres,'Nível 1-Resumo total'!H39=pres,'Nível 1-Resumo total'!H40=pres,'Nível 1-Resumo total'!H41=pres,'Nível 1-Resumo total'!H42=pres),pres,SUM('Nível 1-Resumo total'!H35:H42))</f>
        <v>Presente?</v>
      </c>
      <c r="F12" s="428" t="str">
        <f>IF(OR('Nível 1-Resumo total'!I35=pres,'Nível 1-Resumo total'!I36=pres,'Nível 1-Resumo total'!I37=pres,'Nível 1-Resumo total'!I38=pres,'Nível 1-Resumo total'!I39=pres,'Nível 1-Resumo total'!I40=pres,'Nível 1-Resumo total'!I41=pres,'Nível 1-Resumo total'!I42=pres),pres,SUM('Nível 1-Resumo total'!I35:I42))</f>
        <v>Presente?</v>
      </c>
      <c r="G12" s="428" t="str">
        <f>IF(OR('Nível 1-Resumo total'!J35=pres,'Nível 1-Resumo total'!J36=pres,'Nível 1-Resumo total'!J37=pres,'Nível 1-Resumo total'!J38=pres,'Nível 1-Resumo total'!J39=pres,'Nível 1-Resumo total'!J40=pres,'Nível 1-Resumo total'!J41=pres,'Nível 1-Resumo total'!J42=pres),pres,SUM('Nível 1-Resumo total'!J35:J42))</f>
        <v>Presente?</v>
      </c>
      <c r="H12" s="428" t="str">
        <f>IF(OR('Nível 1-Resumo total'!K35=pres,'Nível 1-Resumo total'!K36=pres,'Nível 1-Resumo total'!K37=pres,'Nível 1-Resumo total'!K38=pres,'Nível 1-Resumo total'!K39=pres,'Nível 1-Resumo total'!K40=pres,'Nível 1-Resumo total'!K41=pres,'Nível 1-Resumo total'!K42=pres),pres,SUM('Nível 1-Resumo total'!K35:K42))</f>
        <v>Presente?</v>
      </c>
      <c r="I12" s="474">
        <f t="shared" si="0"/>
        <v>0</v>
      </c>
      <c r="J12" s="475" t="e">
        <f t="shared" si="1"/>
        <v>#DIV/0!</v>
      </c>
      <c r="L12" s="477"/>
    </row>
    <row r="13" spans="1:14">
      <c r="A13" s="659" t="s">
        <v>1071</v>
      </c>
      <c r="B13" s="440" t="str">
        <f>'Nível 1-Resumo total'!E44</f>
        <v>Presente?</v>
      </c>
      <c r="C13" s="440" t="str">
        <f>'Nível 1-Resumo total'!F44</f>
        <v>Presente?</v>
      </c>
      <c r="D13" s="440" t="str">
        <f>'Nível 1-Resumo total'!G44</f>
        <v>Presente?</v>
      </c>
      <c r="E13" s="440" t="str">
        <f>'Nível 1-Resumo total'!H44</f>
        <v>Presente?</v>
      </c>
      <c r="F13" s="440" t="str">
        <f>'Nível 1-Resumo total'!I44</f>
        <v>Presente?</v>
      </c>
      <c r="G13" s="440" t="str">
        <f>'Nível 1-Resumo total'!J44</f>
        <v>Presente?</v>
      </c>
      <c r="H13" s="440" t="str">
        <f>'Nível 1-Resumo total'!K44</f>
        <v>Presente?</v>
      </c>
      <c r="I13" s="474">
        <f t="shared" si="0"/>
        <v>0</v>
      </c>
      <c r="J13" s="475" t="e">
        <f t="shared" si="1"/>
        <v>#DIV/0!</v>
      </c>
      <c r="L13" s="477"/>
    </row>
    <row r="14" spans="1:14">
      <c r="A14" s="659" t="s">
        <v>1072</v>
      </c>
      <c r="B14" s="428" t="str">
        <f>IF(OR('Nível 1-Resumo total'!E45=pres,'Nível 1-Resumo total'!E46=pres,'Nível 1-Resumo total'!E47=pres,'Nível 1-Resumo total'!E48=pres,'Nível 1-Resumo total'!E49=pres,'Nível 1-Resumo total'!E50=pres,'Nível 1-Resumo total'!E51=pres,'Nível 1-Resumo total'!E52=pres,'Nível 1-Resumo total'!E53=pres,'Nível 1-Resumo total'!E54=pres,'Nível 1-Resumo total'!E55=pres),pres,SUM('Nível 1-Resumo total'!E45:E55))</f>
        <v>Presente?</v>
      </c>
      <c r="C14" s="428" t="str">
        <f>IF(OR('Nível 1-Resumo total'!F45=pres,'Nível 1-Resumo total'!F46=pres,'Nível 1-Resumo total'!F47=pres,'Nível 1-Resumo total'!F48=pres,'Nível 1-Resumo total'!F49=pres,'Nível 1-Resumo total'!F50=pres,'Nível 1-Resumo total'!F51=pres,'Nível 1-Resumo total'!F52=pres,'Nível 1-Resumo total'!F53=pres,'Nível 1-Resumo total'!F54=pres,'Nível 1-Resumo total'!F55=pres),pres,SUM('Nível 1-Resumo total'!F45:F55))</f>
        <v>Presente?</v>
      </c>
      <c r="D14" s="428" t="str">
        <f>IF(OR('Nível 1-Resumo total'!G45=pres,'Nível 1-Resumo total'!G46=pres,'Nível 1-Resumo total'!G47=pres,'Nível 1-Resumo total'!G48=pres,'Nível 1-Resumo total'!G49=pres,'Nível 1-Resumo total'!G50=pres,'Nível 1-Resumo total'!G51=pres,'Nível 1-Resumo total'!G52=pres,'Nível 1-Resumo total'!G53=pres,'Nível 1-Resumo total'!G54=pres,'Nível 1-Resumo total'!G55=pres),pres,SUM('Nível 1-Resumo total'!G45:G55))</f>
        <v>Presente?</v>
      </c>
      <c r="E14" s="428" t="str">
        <f>IF(OR('Nível 1-Resumo total'!H45=pres,'Nível 1-Resumo total'!H46=pres,'Nível 1-Resumo total'!H47=pres,'Nível 1-Resumo total'!H48=pres,'Nível 1-Resumo total'!H49=pres,'Nível 1-Resumo total'!H50=pres,'Nível 1-Resumo total'!H51=pres,'Nível 1-Resumo total'!H52=pres,'Nível 1-Resumo total'!H53=pres,'Nível 1-Resumo total'!H54=pres,'Nível 1-Resumo total'!H55=pres),pres,SUM('Nível 1-Resumo total'!H45:H55))</f>
        <v>Presente?</v>
      </c>
      <c r="F14" s="428" t="str">
        <f>IF(OR('Nível 1-Resumo total'!I45=pres,'Nível 1-Resumo total'!I46=pres,'Nível 1-Resumo total'!I47=pres,'Nível 1-Resumo total'!I48=pres,'Nível 1-Resumo total'!I49=pres,'Nível 1-Resumo total'!I50=pres,'Nível 1-Resumo total'!I51=pres,'Nível 1-Resumo total'!I52=pres,'Nível 1-Resumo total'!I53=pres,'Nível 1-Resumo total'!I54=pres,'Nível 1-Resumo total'!I55=pres),pres,SUM('Nível 1-Resumo total'!I45:I55))</f>
        <v>Presente?</v>
      </c>
      <c r="G14" s="428" t="str">
        <f>IF(OR('Nível 1-Resumo total'!J45=pres,'Nível 1-Resumo total'!J46=pres,'Nível 1-Resumo total'!J47=pres,'Nível 1-Resumo total'!J48=pres,'Nível 1-Resumo total'!J49=pres,'Nível 1-Resumo total'!J50=pres,'Nível 1-Resumo total'!J51=pres,'Nível 1-Resumo total'!J52=pres,'Nível 1-Resumo total'!J53=pres,'Nível 1-Resumo total'!J54=pres,'Nível 1-Resumo total'!J55=pres),pres,SUM('Nível 1-Resumo total'!J45:J55))</f>
        <v>Presente?</v>
      </c>
      <c r="H14" s="428" t="str">
        <f>IF(OR('Nível 1-Resumo total'!K45=pres,'Nível 1-Resumo total'!K46=pres,'Nível 1-Resumo total'!K47=pres,'Nível 1-Resumo total'!K48=pres,'Nível 1-Resumo total'!K49=pres,'Nível 1-Resumo total'!K50=pres,'Nível 1-Resumo total'!K51=pres,'Nível 1-Resumo total'!K52=pres,'Nível 1-Resumo total'!K53=pres,'Nível 1-Resumo total'!K54=pres,'Nível 1-Resumo total'!K55=pres),pres,SUM('Nível 1-Resumo total'!K45:K55))</f>
        <v>Presente?</v>
      </c>
      <c r="I14" s="474">
        <f t="shared" si="0"/>
        <v>0</v>
      </c>
      <c r="J14" s="475" t="e">
        <f t="shared" si="1"/>
        <v>#DIV/0!</v>
      </c>
      <c r="L14" s="477"/>
    </row>
    <row r="15" spans="1:14">
      <c r="A15" s="659" t="s">
        <v>852</v>
      </c>
      <c r="B15" s="428" t="str">
        <f>IF(OR('Nível 1-Resumo total'!E57=pres,'Nível 1-Resumo total'!E58=pres),pres,SUM('Nível 1-Resumo total'!E57:E58))</f>
        <v>Presente?</v>
      </c>
      <c r="C15" s="428" t="str">
        <f>IF(OR('Nível 1-Resumo total'!F57=pres,'Nível 1-Resumo total'!F58=pres),pres,SUM('Nível 1-Resumo total'!F57:F58))</f>
        <v>Presente?</v>
      </c>
      <c r="D15" s="428" t="str">
        <f>IF(OR('Nível 1-Resumo total'!G57=pres,'Nível 1-Resumo total'!G58=pres),pres,SUM('Nível 1-Resumo total'!G57:G58))</f>
        <v>Presente?</v>
      </c>
      <c r="E15" s="428" t="str">
        <f>IF(OR('Nível 1-Resumo total'!H57=pres,'Nível 1-Resumo total'!H58=pres),pres,SUM('Nível 1-Resumo total'!H57:H58))</f>
        <v>Presente?</v>
      </c>
      <c r="F15" s="428" t="str">
        <f>IF(OR('Nível 1-Resumo total'!I57=pres,'Nível 1-Resumo total'!I58=pres),pres,SUM('Nível 1-Resumo total'!I57:I58))</f>
        <v>Presente?</v>
      </c>
      <c r="G15" s="428" t="str">
        <f>IF(OR('Nível 1-Resumo total'!J57=pres,'Nível 1-Resumo total'!J58=pres),pres,SUM('Nível 1-Resumo total'!J57:J58))</f>
        <v>Presente?</v>
      </c>
      <c r="H15" s="428" t="str">
        <f>IF(OR('Nível 1-Resumo total'!K57=pres,'Nível 1-Resumo total'!K58=pres),pres,SUM('Nível 1-Resumo total'!K57:K58))</f>
        <v>Presente?</v>
      </c>
      <c r="I15" s="474">
        <f t="shared" si="0"/>
        <v>0</v>
      </c>
      <c r="J15" s="475" t="e">
        <f t="shared" si="1"/>
        <v>#DIV/0!</v>
      </c>
      <c r="L15" s="477"/>
    </row>
    <row r="16" spans="1:14" ht="25.5">
      <c r="A16" s="659" t="s">
        <v>962</v>
      </c>
      <c r="B16" s="428" t="str">
        <f>IF(OR('Nível 1-Resumo total'!E60=pres,'Nível 1-Resumo total'!E61=pres,'Nível 1-Resumo total'!E62=pres,'Nível 1-Resumo total'!E63=pres,'Nível 1-Resumo total'!E64=pres),pres,SUM('Nível 1-Resumo total'!E60:E64))</f>
        <v>Presente?</v>
      </c>
      <c r="C16" s="428" t="str">
        <f>IF(OR('Nível 1-Resumo total'!F60=pres,'Nível 1-Resumo total'!F61=pres,'Nível 1-Resumo total'!F62=pres,'Nível 1-Resumo total'!F63=pres,'Nível 1-Resumo total'!F64=pres),pres,SUM('Nível 1-Resumo total'!F60:F64))</f>
        <v>Presente?</v>
      </c>
      <c r="D16" s="428" t="str">
        <f>IF(OR('Nível 1-Resumo total'!G60=pres,'Nível 1-Resumo total'!G61=pres,'Nível 1-Resumo total'!G62=pres,'Nível 1-Resumo total'!G63=pres,'Nível 1-Resumo total'!G64=pres),pres,SUM('Nível 1-Resumo total'!G60:G64))</f>
        <v>Presente?</v>
      </c>
      <c r="E16" s="428" t="str">
        <f>IF(OR('Nível 1-Resumo total'!H60=pres,'Nível 1-Resumo total'!H61=pres,'Nível 1-Resumo total'!H62=pres,'Nível 1-Resumo total'!H63=pres,'Nível 1-Resumo total'!H64=pres),pres,SUM('Nível 1-Resumo total'!H60:H64))</f>
        <v>Presente?</v>
      </c>
      <c r="F16" s="428" t="str">
        <f>IF(OR('Nível 1-Resumo total'!I60=pres,'Nível 1-Resumo total'!I61=pres,'Nível 1-Resumo total'!I62=pres,'Nível 1-Resumo total'!I63=pres,'Nível 1-Resumo total'!I64=pres),pres,SUM('Nível 1-Resumo total'!I60:I64))</f>
        <v>Presente?</v>
      </c>
      <c r="G16" s="428" t="str">
        <f>IF(OR('Nível 1-Resumo total'!J60=pres,'Nível 1-Resumo total'!J61=pres,'Nível 1-Resumo total'!J62=pres,'Nível 1-Resumo total'!J63=pres,'Nível 1-Resumo total'!J64=pres),pres,SUM('Nível 1-Resumo total'!J60:J64))</f>
        <v>Presente?</v>
      </c>
      <c r="H16" s="428" t="str">
        <f>IF(OR('Nível 1-Resumo total'!K60=pres,'Nível 1-Resumo total'!K61=pres,'Nível 1-Resumo total'!K62=pres,'Nível 1-Resumo total'!K63=pres,'Nível 1-Resumo total'!K64=pres),pres,SUM('Nível 1-Resumo total'!K60:K64))</f>
        <v>Presente?</v>
      </c>
      <c r="I16" s="474">
        <f t="shared" si="0"/>
        <v>0</v>
      </c>
      <c r="J16" s="475" t="e">
        <f t="shared" si="1"/>
        <v>#DIV/0!</v>
      </c>
    </row>
    <row r="17" spans="1:12">
      <c r="A17" s="659" t="s">
        <v>1097</v>
      </c>
      <c r="B17" s="456" t="str">
        <f>'Nível 1-Resumo total'!E66</f>
        <v>Presente?</v>
      </c>
      <c r="C17" s="456" t="str">
        <f>'Nível 1-Resumo total'!F66</f>
        <v>Presente?</v>
      </c>
      <c r="D17" s="456" t="str">
        <f>'Nível 1-Resumo total'!G66</f>
        <v>Presente?</v>
      </c>
      <c r="E17" s="456" t="str">
        <f>'Nível 1-Resumo total'!H66</f>
        <v>Presente?</v>
      </c>
      <c r="F17" s="456" t="str">
        <f>'Nível 1-Resumo total'!I66</f>
        <v>Presente?</v>
      </c>
      <c r="G17" s="456" t="str">
        <f>'Nível 1-Resumo total'!J66</f>
        <v>Presente?</v>
      </c>
      <c r="H17" s="456" t="str">
        <f>'Nível 1-Resumo total'!K66</f>
        <v>Presente?</v>
      </c>
      <c r="I17" s="474">
        <f t="shared" si="0"/>
        <v>0</v>
      </c>
      <c r="J17" s="475" t="e">
        <f t="shared" si="1"/>
        <v>#DIV/0!</v>
      </c>
      <c r="L17" s="477"/>
    </row>
    <row r="18" spans="1:12">
      <c r="A18" s="659" t="s">
        <v>1098</v>
      </c>
      <c r="B18" s="564" t="str">
        <f>'Nível 1-Resumo total'!E67</f>
        <v>Presente?</v>
      </c>
      <c r="C18" s="564" t="str">
        <f>'Nível 1-Resumo total'!F67</f>
        <v>Presente?</v>
      </c>
      <c r="D18" s="564" t="str">
        <f>'Nível 1-Resumo total'!G67</f>
        <v>Presente?</v>
      </c>
      <c r="E18" s="564" t="str">
        <f>'Nível 1-Resumo total'!H67</f>
        <v>Presente?</v>
      </c>
      <c r="F18" s="564" t="str">
        <f>'Nível 1-Resumo total'!I67</f>
        <v>Presente?</v>
      </c>
      <c r="G18" s="564" t="str">
        <f>'Nível 1-Resumo total'!J67</f>
        <v>Presente?</v>
      </c>
      <c r="H18" s="564" t="str">
        <f>'Nível 1-Resumo total'!K67</f>
        <v>Presente?</v>
      </c>
      <c r="I18" s="443">
        <f>SUM(C18:H18)-IF(OR(E18="-", E18=que, E18=pres),0,E18)</f>
        <v>0</v>
      </c>
      <c r="J18" s="475" t="e">
        <f t="shared" si="1"/>
        <v>#DIV/0!</v>
      </c>
      <c r="L18" s="478"/>
    </row>
    <row r="19" spans="1:12">
      <c r="A19" s="659" t="s">
        <v>960</v>
      </c>
      <c r="B19" s="564" t="str">
        <f>'Nível 1-Resumo total'!E68</f>
        <v>Presente?</v>
      </c>
      <c r="C19" s="564" t="str">
        <f>'Nível 1-Resumo total'!F68</f>
        <v>Presente?</v>
      </c>
      <c r="D19" s="564" t="str">
        <f>'Nível 1-Resumo total'!G68</f>
        <v>Presente?</v>
      </c>
      <c r="E19" s="564" t="str">
        <f>'Nível 1-Resumo total'!H68</f>
        <v>Presente?</v>
      </c>
      <c r="F19" s="564" t="str">
        <f>'Nível 1-Resumo total'!I68</f>
        <v>Presente?</v>
      </c>
      <c r="G19" s="564" t="str">
        <f>'Nível 1-Resumo total'!J68</f>
        <v>Presente?</v>
      </c>
      <c r="H19" s="564" t="str">
        <f>'Nível 1-Resumo total'!K68</f>
        <v>Presente?</v>
      </c>
      <c r="I19" s="443">
        <f>SUM(C19:H19)-IF(OR(D19="-",D19=que, D19=pres),0,D19)</f>
        <v>0</v>
      </c>
      <c r="J19" s="475" t="e">
        <f t="shared" si="1"/>
        <v>#DIV/0!</v>
      </c>
    </row>
    <row r="20" spans="1:12">
      <c r="A20" s="659" t="s">
        <v>896</v>
      </c>
      <c r="B20" s="428" t="str">
        <f>IF(OR('Nível 1-Resumo total'!E70=pres,'Nível 1-Resumo total'!E71=pres),pres,SUM('Nível 1-Resumo total'!E70:E71))</f>
        <v>Presente?</v>
      </c>
      <c r="C20" s="428" t="str">
        <f>IF(OR('Nível 1-Resumo total'!F70=pres,'Nível 1-Resumo total'!F71=pres),pres,SUM('Nível 1-Resumo total'!F70:F71))</f>
        <v>Presente?</v>
      </c>
      <c r="D20" s="428" t="str">
        <f>IF(OR('Nível 1-Resumo total'!G70=pres,'Nível 1-Resumo total'!G71=pres),pres,SUM('Nível 1-Resumo total'!G70:G71))</f>
        <v>Presente?</v>
      </c>
      <c r="E20" s="428" t="str">
        <f>IF(OR('Nível 1-Resumo total'!H70=pres,'Nível 1-Resumo total'!H71=pres),pres,SUM('Nível 1-Resumo total'!H70:H71))</f>
        <v>Presente?</v>
      </c>
      <c r="F20" s="428" t="str">
        <f>IF(OR('Nível 1-Resumo total'!I70=pres,'Nível 1-Resumo total'!I71=pres),pres,SUM('Nível 1-Resumo total'!I70:I71))</f>
        <v>Presente?</v>
      </c>
      <c r="G20" s="428" t="str">
        <f>IF(OR('Nível 1-Resumo total'!J70=pres,'Nível 1-Resumo total'!J71=pres),pres,SUM('Nível 1-Resumo total'!J70:J71))</f>
        <v>Presente?</v>
      </c>
      <c r="H20" s="428" t="str">
        <f>IF(OR('Nível 1-Resumo total'!K70=pres,'Nível 1-Resumo total'!K71=pres),pres,SUM('Nível 1-Resumo total'!K70:K71))</f>
        <v>Presente?</v>
      </c>
      <c r="I20" s="443">
        <f t="shared" si="0"/>
        <v>0</v>
      </c>
      <c r="J20" s="475" t="e">
        <f t="shared" si="1"/>
        <v>#DIV/0!</v>
      </c>
    </row>
    <row r="21" spans="1:12" s="355" customFormat="1">
      <c r="A21" s="267" t="s">
        <v>961</v>
      </c>
      <c r="B21" s="433">
        <f>ROUND(SUM(B4:B20)-(0.9*IF(OR(B16="-",B16=que, B16=pres),0,B16))-(0.9*IF(OR(B17="-",B17=que, B17=pres),0,B17))-(0.9*IF(OR(B18="-",B18=que, B18=pres),0,B18))-IF(OR(B19="-", B19=que, B19=pres),0,B19)+(-IF(OR(B12="-",B12=que, B12=pres),0,B12)+SUM(C12:H12))+(-IF(OR(B6="-",B6=que, B6=pres),0,B6)+SUM(C6:H6)),-1)</f>
        <v>0</v>
      </c>
      <c r="C21" s="433">
        <f>ROUND(SUM(C4:C20),-1)</f>
        <v>0</v>
      </c>
      <c r="D21" s="433">
        <f>ROUND(SUM(D4:D20)-IF(OR(D19="-",D19=que, D19=pres),0,D19),-1)</f>
        <v>0</v>
      </c>
      <c r="E21" s="433">
        <f>ROUND(SUM(E4:E20)-IF(OR(E18="-", E18=que, E18=pres),0,E18),-1)</f>
        <v>0</v>
      </c>
      <c r="F21" s="433">
        <f>ROUND(SUM(F4:F20),-1)</f>
        <v>0</v>
      </c>
      <c r="G21" s="433">
        <f>ROUND(SUM(G4:G20),-1)</f>
        <v>0</v>
      </c>
      <c r="H21" s="433">
        <f>ROUND(SUM(H4:H20),-1)</f>
        <v>0</v>
      </c>
      <c r="I21" s="433">
        <f>ROUND(SUM(I4:I20),-1)</f>
        <v>0</v>
      </c>
      <c r="J21" s="476" t="e">
        <f>SUM(J4:J20)</f>
        <v>#DIV/0!</v>
      </c>
      <c r="L21" s="477"/>
    </row>
    <row r="22" spans="1:12">
      <c r="A22" s="625" t="s">
        <v>788</v>
      </c>
      <c r="C22" s="563"/>
      <c r="D22" s="563"/>
      <c r="E22" s="563"/>
      <c r="F22" s="563"/>
      <c r="G22" s="563"/>
      <c r="H22" s="563"/>
      <c r="I22" s="563"/>
    </row>
    <row r="23" spans="1:12">
      <c r="A23" s="625" t="s">
        <v>1037</v>
      </c>
      <c r="B23" s="323"/>
      <c r="C23" s="563"/>
      <c r="D23" s="563"/>
      <c r="E23" s="563"/>
      <c r="F23" s="563"/>
      <c r="G23" s="563"/>
      <c r="H23" s="563"/>
      <c r="I23" s="563"/>
    </row>
    <row r="24" spans="1:12">
      <c r="A24" s="625" t="s">
        <v>1058</v>
      </c>
      <c r="B24" s="323"/>
      <c r="C24" s="563"/>
      <c r="D24" s="563"/>
      <c r="E24" s="563"/>
      <c r="F24" s="563"/>
      <c r="G24" s="563"/>
      <c r="H24" s="563"/>
      <c r="I24" s="563"/>
    </row>
    <row r="25" spans="1:12">
      <c r="A25" s="625" t="s">
        <v>1075</v>
      </c>
    </row>
    <row r="26" spans="1:12">
      <c r="A26" s="625" t="s">
        <v>1073</v>
      </c>
    </row>
    <row r="27" spans="1:12">
      <c r="A27" s="625" t="s">
        <v>972</v>
      </c>
    </row>
    <row r="28" spans="1:12">
      <c r="A28" s="625" t="s">
        <v>1059</v>
      </c>
    </row>
    <row r="29" spans="1:12">
      <c r="A29" s="625" t="s">
        <v>1074</v>
      </c>
    </row>
    <row r="30" spans="1:12">
      <c r="A30" s="625" t="s">
        <v>973</v>
      </c>
    </row>
    <row r="31" spans="1:12">
      <c r="A31" s="625" t="s">
        <v>1038</v>
      </c>
    </row>
    <row r="32" spans="1:12">
      <c r="A32" s="625" t="s">
        <v>1039</v>
      </c>
    </row>
    <row r="33" spans="1:1">
      <c r="A33" s="625" t="s">
        <v>974</v>
      </c>
    </row>
  </sheetData>
  <mergeCells count="3">
    <mergeCell ref="B2:B3"/>
    <mergeCell ref="C2:I2"/>
    <mergeCell ref="J2:J3"/>
  </mergeCells>
  <pageMargins left="0.39370078740157483" right="0.39370078740157483" top="0.74803149606299213" bottom="0.74803149606299213" header="0.31496062992125984" footer="0.31496062992125984"/>
  <pageSetup paperSize="9" orientation="landscape" r:id="rId1"/>
  <headerFooter>
    <oddFooter>&amp;L&amp;APrinted &amp;D</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4"/>
  <sheetViews>
    <sheetView workbookViewId="0">
      <selection activeCell="B6" sqref="B6:B7"/>
    </sheetView>
  </sheetViews>
  <sheetFormatPr defaultRowHeight="12.75"/>
  <cols>
    <col min="1" max="1" width="46.85546875" style="340" customWidth="1"/>
    <col min="2" max="2" width="19.42578125" style="340" customWidth="1"/>
    <col min="3" max="3" width="12.85546875" style="340" customWidth="1"/>
    <col min="4" max="4" width="13.28515625" style="340" customWidth="1"/>
    <col min="5" max="5" width="11.7109375" style="340" customWidth="1"/>
    <col min="6" max="6" width="13.85546875" style="340" customWidth="1"/>
    <col min="7" max="7" width="14.42578125" style="340" customWidth="1"/>
    <col min="8" max="8" width="14.28515625" style="340" customWidth="1"/>
    <col min="9" max="11" width="9.140625" style="340"/>
    <col min="12" max="12" width="12.42578125" style="340" customWidth="1"/>
    <col min="13" max="16384" width="9.140625" style="340"/>
  </cols>
  <sheetData>
    <row r="1" spans="1:8">
      <c r="A1" s="355" t="s">
        <v>977</v>
      </c>
      <c r="B1" s="323"/>
    </row>
    <row r="2" spans="1:8">
      <c r="A2" s="323"/>
    </row>
    <row r="3" spans="1:8">
      <c r="A3" s="625" t="s">
        <v>978</v>
      </c>
      <c r="B3" s="355"/>
    </row>
    <row r="4" spans="1:8">
      <c r="A4" s="547" t="s">
        <v>979</v>
      </c>
      <c r="B4" s="355"/>
    </row>
    <row r="5" spans="1:8">
      <c r="A5" s="355"/>
      <c r="B5" s="355"/>
    </row>
    <row r="6" spans="1:8" s="360" customFormat="1" ht="18.75" customHeight="1">
      <c r="A6" s="265" t="s">
        <v>775</v>
      </c>
      <c r="B6" s="738" t="s">
        <v>924</v>
      </c>
      <c r="C6" s="743" t="s">
        <v>779</v>
      </c>
      <c r="D6" s="744"/>
      <c r="E6" s="744"/>
      <c r="F6" s="744"/>
      <c r="G6" s="744"/>
      <c r="H6" s="745"/>
    </row>
    <row r="7" spans="1:8" ht="51">
      <c r="A7" s="495" t="s">
        <v>980</v>
      </c>
      <c r="B7" s="739"/>
      <c r="C7" s="723" t="s">
        <v>784</v>
      </c>
      <c r="D7" s="723" t="s">
        <v>785</v>
      </c>
      <c r="E7" s="723" t="s">
        <v>786</v>
      </c>
      <c r="F7" s="700" t="s">
        <v>787</v>
      </c>
      <c r="G7" s="700" t="s">
        <v>1062</v>
      </c>
      <c r="H7" s="700" t="s">
        <v>1066</v>
      </c>
    </row>
    <row r="8" spans="1:8">
      <c r="A8" s="659" t="s">
        <v>1040</v>
      </c>
      <c r="B8" s="443" t="str">
        <f>'Nível1-ResumoExec'!B4</f>
        <v>Presente?</v>
      </c>
      <c r="C8" s="443" t="str">
        <f>'Nível1-ResumoExec'!C4</f>
        <v>Presente?</v>
      </c>
      <c r="D8" s="443" t="str">
        <f>'Nível1-ResumoExec'!D4</f>
        <v>Presente?</v>
      </c>
      <c r="E8" s="443" t="str">
        <f>'Nível1-ResumoExec'!E4</f>
        <v>Presente?</v>
      </c>
      <c r="F8" s="443" t="str">
        <f>'Nível1-ResumoExec'!F4</f>
        <v>Presente?</v>
      </c>
      <c r="G8" s="443" t="str">
        <f>'Nível1-ResumoExec'!G4</f>
        <v>Presente?</v>
      </c>
      <c r="H8" s="443" t="str">
        <f>'Nível1-ResumoExec'!H4</f>
        <v>Presente?</v>
      </c>
    </row>
    <row r="9" spans="1:8" ht="25.5">
      <c r="A9" s="371" t="s">
        <v>991</v>
      </c>
      <c r="B9" s="443" t="str">
        <f>'Nível1-ResumoExec'!B5</f>
        <v>Presente?</v>
      </c>
      <c r="C9" s="443" t="str">
        <f>'Nível1-ResumoExec'!C5</f>
        <v>Presente?</v>
      </c>
      <c r="D9" s="443" t="str">
        <f>'Nível1-ResumoExec'!D5</f>
        <v>Presente?</v>
      </c>
      <c r="E9" s="443" t="str">
        <f>'Nível1-ResumoExec'!E5</f>
        <v>Presente?</v>
      </c>
      <c r="F9" s="443" t="str">
        <f>'Nível1-ResumoExec'!F5</f>
        <v>Presente?</v>
      </c>
      <c r="G9" s="443" t="str">
        <f>'Nível1-ResumoExec'!G5</f>
        <v>Presente?</v>
      </c>
      <c r="H9" s="443" t="str">
        <f>'Nível1-ResumoExec'!H5</f>
        <v>Presente?</v>
      </c>
    </row>
    <row r="10" spans="1:8">
      <c r="A10" s="659" t="s">
        <v>965</v>
      </c>
      <c r="B10" s="443" t="str">
        <f>'Nível1-ResumoExec'!B6</f>
        <v>Presente?</v>
      </c>
      <c r="C10" s="443" t="str">
        <f>'Nível1-ResumoExec'!C6</f>
        <v>Presente?</v>
      </c>
      <c r="D10" s="443" t="str">
        <f>'Nível1-ResumoExec'!D6</f>
        <v>Presente?</v>
      </c>
      <c r="E10" s="443" t="str">
        <f>'Nível1-ResumoExec'!E6</f>
        <v>Presente?</v>
      </c>
      <c r="F10" s="443" t="str">
        <f>'Nível1-ResumoExec'!F6</f>
        <v>Presente?</v>
      </c>
      <c r="G10" s="443" t="str">
        <f>'Nível1-ResumoExec'!G6</f>
        <v>Presente?</v>
      </c>
      <c r="H10" s="443" t="str">
        <f>'Nível1-ResumoExec'!H6</f>
        <v>Presente?</v>
      </c>
    </row>
    <row r="11" spans="1:8" ht="25.5">
      <c r="A11" s="659" t="s">
        <v>966</v>
      </c>
      <c r="B11" s="443" t="str">
        <f>'Nível1-ResumoExec'!B7</f>
        <v>Presente?</v>
      </c>
      <c r="C11" s="443" t="str">
        <f>'Nível1-ResumoExec'!C7</f>
        <v>Presente?</v>
      </c>
      <c r="D11" s="443" t="str">
        <f>'Nível1-ResumoExec'!D7</f>
        <v>Presente?</v>
      </c>
      <c r="E11" s="443" t="str">
        <f>'Nível1-ResumoExec'!E7</f>
        <v>Presente?</v>
      </c>
      <c r="F11" s="443" t="str">
        <f>'Nível1-ResumoExec'!F7</f>
        <v>Presente?</v>
      </c>
      <c r="G11" s="443" t="str">
        <f>'Nível1-ResumoExec'!G7</f>
        <v>Presente?</v>
      </c>
      <c r="H11" s="443" t="str">
        <f>'Nível1-ResumoExec'!H7</f>
        <v>Presente?</v>
      </c>
    </row>
    <row r="12" spans="1:8">
      <c r="A12" s="659" t="s">
        <v>981</v>
      </c>
      <c r="B12" s="443" t="str">
        <f>'Nível1-ResumoExec'!B8</f>
        <v>Presente?</v>
      </c>
      <c r="C12" s="443" t="str">
        <f>'Nível1-ResumoExec'!C8</f>
        <v>Presente?</v>
      </c>
      <c r="D12" s="443" t="str">
        <f>'Nível1-ResumoExec'!D8</f>
        <v>Presente?</v>
      </c>
      <c r="E12" s="443" t="str">
        <f>'Nível1-ResumoExec'!E8</f>
        <v>Presente?</v>
      </c>
      <c r="F12" s="443" t="str">
        <f>'Nível1-ResumoExec'!F8</f>
        <v>Presente?</v>
      </c>
      <c r="G12" s="443" t="str">
        <f>'Nível1-ResumoExec'!G8</f>
        <v>Presente?</v>
      </c>
      <c r="H12" s="443" t="str">
        <f>'Nível1-ResumoExec'!H8</f>
        <v>Presente?</v>
      </c>
    </row>
    <row r="13" spans="1:8">
      <c r="A13" s="659" t="s">
        <v>982</v>
      </c>
      <c r="B13" s="443" t="str">
        <f>'Nível1-ResumoExec'!B9</f>
        <v>Presente?</v>
      </c>
      <c r="C13" s="443" t="str">
        <f>'Nível1-ResumoExec'!C9</f>
        <v>Presente?</v>
      </c>
      <c r="D13" s="443" t="str">
        <f>'Nível1-ResumoExec'!D9</f>
        <v>Presente?</v>
      </c>
      <c r="E13" s="443" t="str">
        <f>'Nível1-ResumoExec'!E9</f>
        <v>Presente?</v>
      </c>
      <c r="F13" s="443" t="str">
        <f>'Nível1-ResumoExec'!F9</f>
        <v>Presente?</v>
      </c>
      <c r="G13" s="443" t="str">
        <f>'Nível1-ResumoExec'!G9</f>
        <v>Presente?</v>
      </c>
      <c r="H13" s="443" t="str">
        <f>'Nível1-ResumoExec'!H9</f>
        <v>Presente?</v>
      </c>
    </row>
    <row r="14" spans="1:8">
      <c r="A14" s="659" t="s">
        <v>833</v>
      </c>
      <c r="B14" s="443" t="str">
        <f>'Nível1-ResumoExec'!B10</f>
        <v>Presente?</v>
      </c>
      <c r="C14" s="443" t="str">
        <f>'Nível1-ResumoExec'!C10</f>
        <v>Presente?</v>
      </c>
      <c r="D14" s="443" t="str">
        <f>'Nível1-ResumoExec'!D10</f>
        <v>Presente?</v>
      </c>
      <c r="E14" s="443" t="str">
        <f>'Nível1-ResumoExec'!E10</f>
        <v>Presente?</v>
      </c>
      <c r="F14" s="443" t="str">
        <f>'Nível1-ResumoExec'!F10</f>
        <v>Presente?</v>
      </c>
      <c r="G14" s="443" t="str">
        <f>'Nível1-ResumoExec'!G10</f>
        <v>Presente?</v>
      </c>
      <c r="H14" s="443" t="str">
        <f>'Nível1-ResumoExec'!H10</f>
        <v>Presente?</v>
      </c>
    </row>
    <row r="15" spans="1:8">
      <c r="A15" s="659" t="s">
        <v>983</v>
      </c>
      <c r="B15" s="443" t="str">
        <f>'Nível1-ResumoExec'!B11</f>
        <v>Presente?</v>
      </c>
      <c r="C15" s="443" t="str">
        <f>'Nível1-ResumoExec'!C11</f>
        <v>Presente?</v>
      </c>
      <c r="D15" s="443" t="str">
        <f>'Nível1-ResumoExec'!D11</f>
        <v>Presente?</v>
      </c>
      <c r="E15" s="443" t="str">
        <f>'Nível1-ResumoExec'!E11</f>
        <v>Presente?</v>
      </c>
      <c r="F15" s="443" t="str">
        <f>'Nível1-ResumoExec'!F11</f>
        <v>Presente?</v>
      </c>
      <c r="G15" s="443" t="str">
        <f>'Nível1-ResumoExec'!G11</f>
        <v>Presente?</v>
      </c>
      <c r="H15" s="443" t="str">
        <f>'Nível1-ResumoExec'!H11</f>
        <v>Presente?</v>
      </c>
    </row>
    <row r="16" spans="1:8">
      <c r="A16" s="659" t="s">
        <v>984</v>
      </c>
      <c r="B16" s="443" t="str">
        <f>'Nível1-ResumoExec'!B12</f>
        <v>Presente?</v>
      </c>
      <c r="C16" s="443" t="str">
        <f>'Nível1-ResumoExec'!C12</f>
        <v>Presente?</v>
      </c>
      <c r="D16" s="443" t="str">
        <f>'Nível1-ResumoExec'!D12</f>
        <v>Presente?</v>
      </c>
      <c r="E16" s="443" t="str">
        <f>'Nível1-ResumoExec'!E12</f>
        <v>Presente?</v>
      </c>
      <c r="F16" s="443" t="str">
        <f>'Nível1-ResumoExec'!F12</f>
        <v>Presente?</v>
      </c>
      <c r="G16" s="443" t="str">
        <f>'Nível1-ResumoExec'!G12</f>
        <v>Presente?</v>
      </c>
      <c r="H16" s="443" t="str">
        <f>'Nível1-ResumoExec'!H12</f>
        <v>Presente?</v>
      </c>
    </row>
    <row r="17" spans="1:18">
      <c r="A17" s="659" t="s">
        <v>1076</v>
      </c>
      <c r="B17" s="443" t="str">
        <f>'Nível1-ResumoExec'!B13</f>
        <v>Presente?</v>
      </c>
      <c r="C17" s="443" t="str">
        <f>'Nível1-ResumoExec'!C13</f>
        <v>Presente?</v>
      </c>
      <c r="D17" s="443" t="str">
        <f>'Nível1-ResumoExec'!D13</f>
        <v>Presente?</v>
      </c>
      <c r="E17" s="443" t="str">
        <f>'Nível1-ResumoExec'!E13</f>
        <v>Presente?</v>
      </c>
      <c r="F17" s="443" t="str">
        <f>'Nível1-ResumoExec'!F13</f>
        <v>Presente?</v>
      </c>
      <c r="G17" s="443" t="str">
        <f>'Nível1-ResumoExec'!G13</f>
        <v>Presente?</v>
      </c>
      <c r="H17" s="443" t="str">
        <f>'Nível1-ResumoExec'!H13</f>
        <v>Presente?</v>
      </c>
    </row>
    <row r="18" spans="1:18">
      <c r="A18" s="659" t="s">
        <v>1077</v>
      </c>
      <c r="B18" s="443" t="str">
        <f>'Nível1-ResumoExec'!B14</f>
        <v>Presente?</v>
      </c>
      <c r="C18" s="443" t="str">
        <f>'Nível1-ResumoExec'!C14</f>
        <v>Presente?</v>
      </c>
      <c r="D18" s="443" t="str">
        <f>'Nível1-ResumoExec'!D14</f>
        <v>Presente?</v>
      </c>
      <c r="E18" s="443" t="str">
        <f>'Nível1-ResumoExec'!E14</f>
        <v>Presente?</v>
      </c>
      <c r="F18" s="443" t="str">
        <f>'Nível1-ResumoExec'!F14</f>
        <v>Presente?</v>
      </c>
      <c r="G18" s="443" t="str">
        <f>'Nível1-ResumoExec'!G14</f>
        <v>Presente?</v>
      </c>
      <c r="H18" s="443" t="str">
        <f>'Nível1-ResumoExec'!H14</f>
        <v>Presente?</v>
      </c>
    </row>
    <row r="19" spans="1:18">
      <c r="A19" s="659" t="s">
        <v>852</v>
      </c>
      <c r="B19" s="443" t="str">
        <f>'Nível1-ResumoExec'!B15</f>
        <v>Presente?</v>
      </c>
      <c r="C19" s="443" t="str">
        <f>'Nível1-ResumoExec'!C15</f>
        <v>Presente?</v>
      </c>
      <c r="D19" s="443" t="str">
        <f>'Nível1-ResumoExec'!D15</f>
        <v>Presente?</v>
      </c>
      <c r="E19" s="443" t="str">
        <f>'Nível1-ResumoExec'!E15</f>
        <v>Presente?</v>
      </c>
      <c r="F19" s="443" t="str">
        <f>'Nível1-ResumoExec'!F15</f>
        <v>Presente?</v>
      </c>
      <c r="G19" s="443" t="str">
        <f>'Nível1-ResumoExec'!G15</f>
        <v>Presente?</v>
      </c>
      <c r="H19" s="443" t="str">
        <f>'Nível1-ResumoExec'!H15</f>
        <v>Presente?</v>
      </c>
    </row>
    <row r="20" spans="1:18" ht="25.5">
      <c r="A20" s="659" t="s">
        <v>985</v>
      </c>
      <c r="B20" s="443" t="str">
        <f>IF(OR('Nível 1-Resumo total'!E60=pres,'Nível 1-Resumo total'!E61=pres,'Nível 1-Resumo total'!E62=pres,'Nível 1-Resumo total'!E63=pres,'Nível 1-Resumo total'!E64=pres),pres,0.1*SUM('Nível 1-Resumo total'!E60:E64))</f>
        <v>Presente?</v>
      </c>
      <c r="C20" s="443" t="str">
        <f>'Nível1-ResumoExec'!C16</f>
        <v>Presente?</v>
      </c>
      <c r="D20" s="443" t="str">
        <f>'Nível1-ResumoExec'!D16</f>
        <v>Presente?</v>
      </c>
      <c r="E20" s="443" t="str">
        <f>'Nível1-ResumoExec'!E16</f>
        <v>Presente?</v>
      </c>
      <c r="F20" s="443" t="str">
        <f>'Nível1-ResumoExec'!F16</f>
        <v>Presente?</v>
      </c>
      <c r="G20" s="443" t="str">
        <f>'Nível1-ResumoExec'!G16</f>
        <v>Presente?</v>
      </c>
      <c r="H20" s="443" t="str">
        <f>'Nível1-ResumoExec'!H16</f>
        <v>Presente?</v>
      </c>
    </row>
    <row r="21" spans="1:18">
      <c r="A21" s="659" t="s">
        <v>1078</v>
      </c>
      <c r="B21" s="443">
        <f>0.1*IF(OR('Nível 1-Resumo total'!E66="-",'Nível 1-Resumo total'!E66=que, 'Nível 1-Resumo total'!E66=pres),0,'Nível 1-Resumo total'!E66)</f>
        <v>0</v>
      </c>
      <c r="C21" s="443" t="str">
        <f>'Nível1-ResumoExec'!C17</f>
        <v>Presente?</v>
      </c>
      <c r="D21" s="443" t="str">
        <f>'Nível1-ResumoExec'!D17</f>
        <v>Presente?</v>
      </c>
      <c r="E21" s="443" t="str">
        <f>'Nível1-ResumoExec'!E17</f>
        <v>Presente?</v>
      </c>
      <c r="F21" s="443" t="str">
        <f>IF('Nível 1-Resumo total'!I66="-",0,'Nível 1-Resumo total'!I66)</f>
        <v>Presente?</v>
      </c>
      <c r="G21" s="443" t="str">
        <f>IF('Nível 1-Resumo total'!J66="-",0,'Nível 1-Resumo total'!J66)</f>
        <v>Presente?</v>
      </c>
      <c r="H21" s="443" t="str">
        <f>IF('Nível 1-Resumo total'!K66="-",0,'Nível 1-Resumo total'!K66)</f>
        <v>Presente?</v>
      </c>
    </row>
    <row r="22" spans="1:18">
      <c r="A22" s="659" t="s">
        <v>1070</v>
      </c>
      <c r="B22" s="621">
        <f>0.1*IF(OR('Passo5-TratResíduos+Reciclágem'!E21="-",'Passo5-TratResíduos+Reciclágem'!E21=que, 'Passo5-TratResíduos+Reciclágem'!E21=pres),0,'Passo5-TratResíduos+Reciclágem'!E21)</f>
        <v>0</v>
      </c>
      <c r="C22" s="443" t="str">
        <f>'Nível1-ResumoExec'!C18</f>
        <v>Presente?</v>
      </c>
      <c r="D22" s="443" t="str">
        <f>'Nível1-ResumoExec'!D18</f>
        <v>Presente?</v>
      </c>
      <c r="E22" s="443" t="str">
        <f>'Nível1-ResumoExec'!E18</f>
        <v>Presente?</v>
      </c>
      <c r="F22" s="621" t="str">
        <f>IF('Passo5-TratResíduos+Reciclágem'!I21="-",0,'Passo5-TratResíduos+Reciclágem'!I21)</f>
        <v>Presente?</v>
      </c>
      <c r="G22" s="621" t="str">
        <f>IF('Passo5-TratResíduos+Reciclágem'!J21="-",0,'Passo5-TratResíduos+Reciclágem'!J21)</f>
        <v>Presente?</v>
      </c>
      <c r="H22" s="621" t="str">
        <f>IF('Passo5-TratResíduos+Reciclágem'!K21="-",0,'Passo5-TratResíduos+Reciclágem'!K21)</f>
        <v>Presente?</v>
      </c>
    </row>
    <row r="23" spans="1:18">
      <c r="A23" s="659" t="s">
        <v>986</v>
      </c>
      <c r="B23" s="621">
        <f>0*IF(OR('Passo5-TratResíduos+Reciclágem'!E23="-",'Passo5-TratResíduos+Reciclágem'!E23=que, 'Passo5-TratResíduos+Reciclágem'!E23=pres),0,'Passo5-TratResíduos+Reciclágem'!E23)</f>
        <v>0</v>
      </c>
      <c r="C23" s="443" t="str">
        <f>'Nível1-ResumoExec'!C19</f>
        <v>Presente?</v>
      </c>
      <c r="D23" s="443" t="str">
        <f>'Nível1-ResumoExec'!D19</f>
        <v>Presente?</v>
      </c>
      <c r="E23" s="443" t="str">
        <f>'Nível1-ResumoExec'!E19</f>
        <v>Presente?</v>
      </c>
      <c r="F23" s="443" t="str">
        <f>'Nível1-ResumoExec'!F19</f>
        <v>Presente?</v>
      </c>
      <c r="G23" s="443" t="str">
        <f>'Nível1-ResumoExec'!G19</f>
        <v>Presente?</v>
      </c>
      <c r="H23" s="443" t="str">
        <f>'Nível1-ResumoExec'!H19</f>
        <v>Presente?</v>
      </c>
    </row>
    <row r="24" spans="1:18">
      <c r="A24" s="659" t="s">
        <v>896</v>
      </c>
      <c r="B24" s="443" t="str">
        <f>IF(OR('Nível 1-Resumo total'!E70=pres,'Nível 1-Resumo total'!E71=pres),pres,SUM('Nível 1-Resumo total'!E70:E71))</f>
        <v>Presente?</v>
      </c>
      <c r="C24" s="443" t="str">
        <f>'Nível1-ResumoExec'!C20</f>
        <v>Presente?</v>
      </c>
      <c r="D24" s="443" t="str">
        <f>'Nível1-ResumoExec'!D20</f>
        <v>Presente?</v>
      </c>
      <c r="E24" s="443" t="str">
        <f>'Nível1-ResumoExec'!E20</f>
        <v>Presente?</v>
      </c>
      <c r="F24" s="443" t="str">
        <f>'Nível1-ResumoExec'!F20</f>
        <v>Presente?</v>
      </c>
      <c r="G24" s="443" t="str">
        <f>'Nível1-ResumoExec'!G20</f>
        <v>Presente?</v>
      </c>
      <c r="H24" s="443" t="str">
        <f>'Nível1-ResumoExec'!H20</f>
        <v>Presente?</v>
      </c>
    </row>
    <row r="25" spans="1:18" s="355" customFormat="1">
      <c r="A25" s="267" t="s">
        <v>987</v>
      </c>
      <c r="B25" s="433">
        <f>ROUND(SUM(B8:B24),-1)</f>
        <v>0</v>
      </c>
      <c r="C25" s="433">
        <f>ROUND(SUM(C8:C24),-1)</f>
        <v>0</v>
      </c>
      <c r="D25" s="433">
        <f>ROUND(SUM(D8:D24)-IF(OR(D23="-",D23=que,D23=pres),0,D23),-1)</f>
        <v>0</v>
      </c>
      <c r="E25" s="433">
        <f>ROUND(SUM(E8:E24)-IF(OR(E22="-", E22=que, E22=pres),0,E22),-1)</f>
        <v>0</v>
      </c>
      <c r="F25" s="433">
        <f>ROUND(SUM(F8:F24),-1)</f>
        <v>0</v>
      </c>
      <c r="G25" s="433">
        <f>ROUND(SUM(G8:G24),-1)</f>
        <v>0</v>
      </c>
      <c r="H25" s="433">
        <f>ROUND(SUM(H8:H24),-1)</f>
        <v>0</v>
      </c>
      <c r="J25" s="340"/>
      <c r="K25" s="340"/>
      <c r="L25" s="340"/>
      <c r="M25" s="340"/>
      <c r="N25" s="340"/>
      <c r="O25" s="340"/>
      <c r="P25" s="340"/>
      <c r="Q25" s="340"/>
      <c r="R25" s="340"/>
    </row>
    <row r="26" spans="1:18" s="355" customFormat="1">
      <c r="A26" s="472"/>
      <c r="B26" s="473"/>
      <c r="C26" s="473"/>
      <c r="D26" s="473"/>
      <c r="E26" s="473"/>
      <c r="F26" s="473"/>
      <c r="G26" s="473"/>
      <c r="H26" s="473"/>
    </row>
    <row r="27" spans="1:18">
      <c r="A27" s="547" t="s">
        <v>1041</v>
      </c>
      <c r="B27" s="323"/>
    </row>
    <row r="28" spans="1:18">
      <c r="A28" s="625" t="s">
        <v>1042</v>
      </c>
    </row>
    <row r="29" spans="1:18">
      <c r="A29" s="625" t="s">
        <v>1079</v>
      </c>
    </row>
    <row r="30" spans="1:18">
      <c r="A30" s="625" t="s">
        <v>1056</v>
      </c>
    </row>
    <row r="31" spans="1:18">
      <c r="A31" s="625" t="s">
        <v>1054</v>
      </c>
    </row>
    <row r="32" spans="1:18">
      <c r="A32" s="625" t="s">
        <v>1080</v>
      </c>
    </row>
    <row r="33" spans="1:6">
      <c r="A33" s="625" t="s">
        <v>1055</v>
      </c>
    </row>
    <row r="34" spans="1:6">
      <c r="A34" s="625" t="s">
        <v>992</v>
      </c>
    </row>
    <row r="35" spans="1:6">
      <c r="A35" s="625" t="s">
        <v>1043</v>
      </c>
    </row>
    <row r="36" spans="1:6">
      <c r="A36" s="340" t="s">
        <v>988</v>
      </c>
    </row>
    <row r="37" spans="1:6">
      <c r="A37" s="340" t="s">
        <v>989</v>
      </c>
    </row>
    <row r="38" spans="1:6">
      <c r="A38" s="625" t="s">
        <v>990</v>
      </c>
      <c r="F38" s="323"/>
    </row>
    <row r="39" spans="1:6">
      <c r="A39" s="625" t="s">
        <v>1044</v>
      </c>
    </row>
    <row r="40" spans="1:6">
      <c r="A40" s="625" t="s">
        <v>1045</v>
      </c>
    </row>
    <row r="41" spans="1:6">
      <c r="A41" s="547" t="s">
        <v>1046</v>
      </c>
    </row>
    <row r="42" spans="1:6">
      <c r="A42" s="547" t="s">
        <v>993</v>
      </c>
    </row>
    <row r="44" spans="1:6">
      <c r="A44" s="323" t="s">
        <v>744</v>
      </c>
    </row>
  </sheetData>
  <mergeCells count="2">
    <mergeCell ref="B6:B7"/>
    <mergeCell ref="C6:H6"/>
  </mergeCells>
  <pageMargins left="0.39370078740157483" right="0.39370078740157483" top="0.74803149606299213" bottom="0.74803149606299213" header="0.31496062992125984" footer="0.31496062992125984"/>
  <pageSetup paperSize="9" orientation="landscape" r:id="rId1"/>
  <headerFooter>
    <oddFooter>&amp;L&amp;APrinted &amp;D</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9"/>
  <sheetViews>
    <sheetView topLeftCell="A7" workbookViewId="0">
      <selection activeCell="A9" sqref="A9"/>
    </sheetView>
  </sheetViews>
  <sheetFormatPr defaultRowHeight="12.75"/>
  <cols>
    <col min="1" max="1" width="36.85546875" style="340" customWidth="1"/>
    <col min="2" max="2" width="8.85546875" style="359" customWidth="1"/>
    <col min="3" max="3" width="16" style="340" customWidth="1"/>
    <col min="4" max="4" width="24.140625" style="340" customWidth="1"/>
    <col min="5" max="5" width="12.5703125" style="340" customWidth="1"/>
    <col min="6" max="6" width="13.7109375" style="340" customWidth="1"/>
    <col min="7" max="7" width="10.42578125" style="340" customWidth="1"/>
    <col min="8" max="8" width="11.42578125" style="340" customWidth="1"/>
    <col min="9" max="9" width="12.28515625" style="340" customWidth="1"/>
    <col min="10" max="10" width="10.28515625" style="340" customWidth="1"/>
    <col min="11" max="11" width="14.42578125" style="340" customWidth="1"/>
    <col min="12" max="12" width="5.85546875" style="340" customWidth="1"/>
    <col min="13" max="13" width="9.140625" style="340"/>
    <col min="14" max="14" width="0" style="340" hidden="1" customWidth="1"/>
    <col min="15" max="16384" width="9.140625" style="340"/>
  </cols>
  <sheetData>
    <row r="1" spans="1:15" s="670" customFormat="1">
      <c r="A1" s="676" t="s">
        <v>774</v>
      </c>
      <c r="B1" s="677"/>
    </row>
    <row r="2" spans="1:15" ht="30" customHeight="1">
      <c r="A2" s="729" t="str">
        <f>IF(ISNA(MATCH("n",N5:N17,0)),"","The Estimated Hg input (or equivalent inserted IL2 results) marked in red colour is very high compared to previous observations. Data may be correct, but please confirm your activity rate data (or inserted IL2 data).")</f>
        <v/>
      </c>
      <c r="B2" s="730"/>
      <c r="C2" s="730"/>
      <c r="D2" s="730"/>
      <c r="E2" s="730"/>
      <c r="F2" s="730"/>
      <c r="G2" s="730"/>
      <c r="H2" s="730"/>
      <c r="I2" s="730"/>
      <c r="J2" s="730"/>
      <c r="K2" s="730"/>
      <c r="L2" s="731"/>
    </row>
    <row r="3" spans="1:15" s="682" customFormat="1" ht="38.25" customHeight="1">
      <c r="A3" s="662" t="s">
        <v>775</v>
      </c>
      <c r="B3" s="678" t="s">
        <v>776</v>
      </c>
      <c r="C3" s="679" t="s">
        <v>777</v>
      </c>
      <c r="D3" s="662"/>
      <c r="E3" s="680" t="s">
        <v>778</v>
      </c>
      <c r="F3" s="728" t="s">
        <v>779</v>
      </c>
      <c r="G3" s="728"/>
      <c r="H3" s="728"/>
      <c r="I3" s="728"/>
      <c r="J3" s="728"/>
      <c r="K3" s="728"/>
      <c r="L3" s="662"/>
    </row>
    <row r="4" spans="1:15" ht="51.75" thickBot="1">
      <c r="A4" s="374" t="s">
        <v>780</v>
      </c>
      <c r="B4" s="484" t="str">
        <f>quest</f>
        <v>S/N/?</v>
      </c>
      <c r="C4" s="683" t="s">
        <v>781</v>
      </c>
      <c r="D4" s="684" t="s">
        <v>782</v>
      </c>
      <c r="E4" s="679" t="s">
        <v>783</v>
      </c>
      <c r="F4" s="685" t="s">
        <v>784</v>
      </c>
      <c r="G4" s="685" t="s">
        <v>785</v>
      </c>
      <c r="H4" s="685" t="s">
        <v>786</v>
      </c>
      <c r="I4" s="679" t="s">
        <v>787</v>
      </c>
      <c r="J4" s="726" t="s">
        <v>1062</v>
      </c>
      <c r="K4" s="726" t="s">
        <v>1066</v>
      </c>
      <c r="L4" s="662" t="s">
        <v>1017</v>
      </c>
      <c r="M4" s="671" t="s">
        <v>788</v>
      </c>
    </row>
    <row r="5" spans="1:15" ht="25.5">
      <c r="A5" s="663" t="s">
        <v>789</v>
      </c>
      <c r="B5" s="377"/>
      <c r="C5" s="378"/>
      <c r="D5" s="687" t="s">
        <v>801</v>
      </c>
      <c r="E5" s="465" t="str">
        <f>IF(OR($B5=yes,$B5=yes),'5-1 Fuels'!$K$8, IF(OR($B5=no,$B5=no),"-", IF($B5=que,que, pres)))</f>
        <v>Presente?</v>
      </c>
      <c r="F5" s="466" t="str">
        <f>IF(OR($B5=yes,$B5=yes),'5-1 Fuels'!V9, IF(OR($B5=no,$B5=no),"-", IF($B5=que,que, pres)))</f>
        <v>Presente?</v>
      </c>
      <c r="G5" s="466" t="str">
        <f>IF(OR($B5=yes,$B5=yes),'5-1 Fuels'!W9, IF(OR($B5=no,$B5=no),"-", IF($B5=que,que, pres)))</f>
        <v>Presente?</v>
      </c>
      <c r="H5" s="466" t="str">
        <f>IF(OR($B5=yes,$B5=yes),'5-1 Fuels'!X9, IF(OR($B5=no,$B5=no),"-", IF($B5=que,que, pres)))</f>
        <v>Presente?</v>
      </c>
      <c r="I5" s="466" t="str">
        <f>IF(OR($B5=yes,$B5=yes),'5-1 Fuels'!Y9, IF(OR($B5=no,$B5=no),"-", IF($B5=que,que, pres)))</f>
        <v>Presente?</v>
      </c>
      <c r="J5" s="466" t="str">
        <f>IF(OR($B5=yes,$B5=yes),'5-1 Fuels'!Z9, IF(OR($B5=no,$B5=no),"-", IF($B5=que,que, pres)))</f>
        <v>Presente?</v>
      </c>
      <c r="K5" s="466" t="str">
        <f>IF(OR($B5=yes,$B5=yes),'5-1 Fuels'!AA9, IF(OR($B5=no,$B5=no),"-", IF($B5=que,que, pres)))</f>
        <v>Presente?</v>
      </c>
      <c r="L5" s="272" t="str">
        <f>'5-1 Fuels'!B6</f>
        <v>5.1.1</v>
      </c>
      <c r="M5" s="469"/>
      <c r="N5" s="340" t="str">
        <f>INDEX('Range-thresholds'!$G$6:$G$72,MATCH(A5,'Range-thresholds'!$A$6:$A$72,0))</f>
        <v/>
      </c>
      <c r="O5" s="323"/>
    </row>
    <row r="6" spans="1:15">
      <c r="A6" s="663" t="s">
        <v>790</v>
      </c>
      <c r="B6" s="379"/>
      <c r="C6" s="380"/>
      <c r="D6" s="687" t="s">
        <v>802</v>
      </c>
      <c r="E6" s="465" t="str">
        <f>IF(OR($B6=yes,$B6=yes),'5-1 Fuels'!K18, IF(OR($B6=no,$B6=no),"-", IF($B6=que,que, pres)))</f>
        <v>Presente?</v>
      </c>
      <c r="F6" s="466" t="str">
        <f>IF(OR($B6=yes,$B6=yes),'5-1 Fuels'!V14, IF(OR($B6=no,$B6=no),"-", IF($B6=que,que, pres)))</f>
        <v>Presente?</v>
      </c>
      <c r="G6" s="466" t="str">
        <f>IF(OR($B6=yes,$B6=yes),'5-1 Fuels'!W14, IF(OR($B6=no,$B6=no),"-", IF($B6=que,que, pres)))</f>
        <v>Presente?</v>
      </c>
      <c r="H6" s="466" t="str">
        <f>IF(OR($B6=yes,$B6=yes),'5-1 Fuels'!X14, IF(OR($B6=no,$B6=no),"-", IF($B6=que,que, pres)))</f>
        <v>Presente?</v>
      </c>
      <c r="I6" s="466" t="str">
        <f>IF(OR($B6=yes,$B6=yes),'5-1 Fuels'!Y14, IF(OR($B6=no,$B6=no),"-", IF($B6=que,que, pres)))</f>
        <v>Presente?</v>
      </c>
      <c r="J6" s="466" t="str">
        <f>IF(OR($B6=yes,$B6=yes),'5-1 Fuels'!Z14, IF(OR($B6=no,$B6=no),"-", IF($B6=que,que, pres)))</f>
        <v>Presente?</v>
      </c>
      <c r="K6" s="466" t="str">
        <f>IF(OR($B6=yes,$B6=yes),'5-1 Fuels'!AA14, IF(OR($B6=no,$B6=no),"-", IF($B6=que,que, pres)))</f>
        <v>Presente?</v>
      </c>
      <c r="L6" s="272" t="str">
        <f>'5-1 Fuels'!B14</f>
        <v>5.1.2</v>
      </c>
      <c r="M6" s="468"/>
      <c r="N6" s="340" t="str">
        <f>INDEX('Range-thresholds'!$G$6:$G$72,MATCH(A6,'Range-thresholds'!$A$6:$A$72,0))</f>
        <v/>
      </c>
    </row>
    <row r="7" spans="1:15" ht="25.5">
      <c r="A7" s="663" t="s">
        <v>791</v>
      </c>
      <c r="B7" s="379"/>
      <c r="C7" s="380"/>
      <c r="D7" s="687" t="s">
        <v>803</v>
      </c>
      <c r="E7" s="465" t="str">
        <f>IF(OR($B7=yes,$B7=yes),'5-1 Fuels'!K28, IF(OR($B7=no,$B7=no),"-", IF($B7=que,que, pres)))</f>
        <v>Presente?</v>
      </c>
      <c r="F7" s="466" t="str">
        <f>IF(OR($B7=yes,$B7=yes),SUM('5-1 Fuels'!V28:V30), IF(OR($B7=no,$B7=no),"-", IF($B7=que,que, pres)))</f>
        <v>Presente?</v>
      </c>
      <c r="G7" s="466" t="str">
        <f>IF(OR($B7=yes,$B7=yes),SUM('5-1 Fuels'!W28:W30), IF(OR($B7=no,$B7=no),"-", IF($B7=que,que, pres)))</f>
        <v>Presente?</v>
      </c>
      <c r="H7" s="466" t="str">
        <f>IF(OR($B7=yes,$B7=yes),SUM('5-1 Fuels'!X28:X30), IF(OR($B7=no,$B7=no),"-", IF($B7=que,que, pres)))</f>
        <v>Presente?</v>
      </c>
      <c r="I7" s="466" t="str">
        <f>IF(OR($B7=yes,$B7=yes),SUM('5-1 Fuels'!Y28:Y30), IF(OR($B7=no,$B7=no),"-", IF($B7=que,que, pres)))</f>
        <v>Presente?</v>
      </c>
      <c r="J7" s="466" t="str">
        <f>IF(OR($B7=yes,$B7=yes),SUM('5-1 Fuels'!Z28:Z30), IF(OR($B7=no,$B7=no),"-", IF($B7=que,que, pres)))</f>
        <v>Presente?</v>
      </c>
      <c r="K7" s="466" t="str">
        <f>IF(OR($B7=yes,$B7=yes),SUM('5-1 Fuels'!AA28:AA30), IF(OR($B7=no,$B7=no),"-", IF($B7=que,que, pres)))</f>
        <v>Presente?</v>
      </c>
      <c r="L7" s="272" t="str">
        <f>'5-1 Fuels'!B24</f>
        <v>5.1.3</v>
      </c>
      <c r="M7" s="468"/>
      <c r="N7" s="340" t="str">
        <f>INDEX('Range-thresholds'!$G$6:$G$72,MATCH(A7,'Range-thresholds'!$A$6:$A$72,0))</f>
        <v/>
      </c>
    </row>
    <row r="8" spans="1:15" ht="38.25">
      <c r="A8" s="663" t="s">
        <v>792</v>
      </c>
      <c r="B8" s="379"/>
      <c r="C8" s="380"/>
      <c r="D8" s="687" t="s">
        <v>803</v>
      </c>
      <c r="E8" s="465" t="str">
        <f>IF(OR($B8=yes,$B8=yes),'5-1 Fuels'!K32, IF(OR($B8=no,$B8=no),"-", IF($B8=que,que, pres)))</f>
        <v>Presente?</v>
      </c>
      <c r="F8" s="466" t="str">
        <f>IF(OR($B8=yes,$B8=yes),SUM('5-1 Fuels'!V32:V35), IF(OR($B8=no,$B8=no),"-", IF($B8=que,que, pres)))</f>
        <v>Presente?</v>
      </c>
      <c r="G8" s="466" t="str">
        <f>IF(OR($B8=yes,$B8=yes),SUM('5-1 Fuels'!W32:W35), IF(OR($B8=no,$B8=no),"-", IF($B8=que,que, pres)))</f>
        <v>Presente?</v>
      </c>
      <c r="H8" s="466" t="str">
        <f>IF(OR($B8=yes,$B8=yes),SUM('5-1 Fuels'!X32:X35), IF(OR($B8=no,$B8=no),"-", IF($B8=que,que, pres)))</f>
        <v>Presente?</v>
      </c>
      <c r="I8" s="466" t="str">
        <f>IF(OR($B8=yes,$B8=yes),SUM('5-1 Fuels'!Y32:Y35), IF(OR($B8=no,$B8=no),"-", IF($B8=que,que, pres)))</f>
        <v>Presente?</v>
      </c>
      <c r="J8" s="466" t="str">
        <f>IF(OR($B8=yes,$B8=yes),SUM('5-1 Fuels'!Z32:Z35), IF(OR($B8=no,$B8=no),"-", IF($B8=que,que, pres)))</f>
        <v>Presente?</v>
      </c>
      <c r="K8" s="466" t="str">
        <f>IF(OR($B8=yes,$B8=yes),SUM('5-1 Fuels'!AA32:AA35), IF(OR($B8=no,$B8=no),"-", IF($B8=que,que, pres)))</f>
        <v>Presente?</v>
      </c>
      <c r="L8" s="272" t="str">
        <f>L15</f>
        <v>5.1.3</v>
      </c>
      <c r="M8" s="469"/>
      <c r="N8" s="340" t="str">
        <f>INDEX('Range-thresholds'!$G$6:$G$72,MATCH(A8,'Range-thresholds'!$A$6:$A$72,0))</f>
        <v/>
      </c>
    </row>
    <row r="9" spans="1:15">
      <c r="A9" s="663" t="s">
        <v>793</v>
      </c>
      <c r="B9" s="379"/>
      <c r="C9" s="380"/>
      <c r="D9" s="687" t="s">
        <v>804</v>
      </c>
      <c r="E9" s="465" t="str">
        <f>IF(OR($B9=yes,$B9=yes),'5-1 Fuels'!K40, IF(OR($B9=no,$B9=no),"-", IF($B9=que,que, pres)))</f>
        <v>Presente?</v>
      </c>
      <c r="F9" s="466" t="str">
        <f>IF(OR($B9=yes,$B9=yes),'5-1 Fuels'!V40, IF(OR($B9=no,$B9=no),"-", IF($B9=que,que, pres)))</f>
        <v>Presente?</v>
      </c>
      <c r="G9" s="466" t="str">
        <f>IF(OR($B9=yes,$B9=yes),'5-1 Fuels'!W40, IF(OR($B9=no,$B9=no),"-", IF($B9=que,que, pres)))</f>
        <v>Presente?</v>
      </c>
      <c r="H9" s="466" t="str">
        <f>IF(OR($B9=yes,$B9=yes),'5-1 Fuels'!X40, IF(OR($B9=no,$B9=no),"-", IF($B9=que,que, pres)))</f>
        <v>Presente?</v>
      </c>
      <c r="I9" s="466" t="str">
        <f>IF(OR($B9=yes,$B9=yes),'5-1 Fuels'!Y40, IF(OR($B9=no,$B9=no),"-", IF($B9=que,que, pres)))</f>
        <v>Presente?</v>
      </c>
      <c r="J9" s="466" t="str">
        <f>IF(OR($B9=yes,$B9=yes),'5-1 Fuels'!Z40, IF(OR($B9=no,$B9=no),"-", IF($B9=que,que, pres)))</f>
        <v>Presente?</v>
      </c>
      <c r="K9" s="466" t="str">
        <f>IF(OR($B9=yes,$B9=yes),'5-1 Fuels'!AA40, IF(OR($B9=no,$B9=no),"-", IF($B9=que,que, pres)))</f>
        <v>Presente?</v>
      </c>
      <c r="L9" s="272" t="str">
        <f>'5-1 Fuels'!B37</f>
        <v>5.1.4</v>
      </c>
      <c r="M9" s="469"/>
      <c r="N9" s="340" t="str">
        <f>INDEX('Range-thresholds'!$G$6:$G$72,MATCH(A9,'Range-thresholds'!$A$6:$A$72,0))</f>
        <v/>
      </c>
    </row>
    <row r="10" spans="1:15" ht="25.5">
      <c r="A10" s="663" t="s">
        <v>794</v>
      </c>
      <c r="B10" s="379"/>
      <c r="C10" s="380"/>
      <c r="D10" s="687" t="s">
        <v>804</v>
      </c>
      <c r="E10" s="465" t="str">
        <f>IF(OR($B10=yes,$B10=yes),'5-1 Fuels'!K41, IF(OR($B10=no,$B10=no),"-", IF($B10=que,que, pres)))</f>
        <v>Presente?</v>
      </c>
      <c r="F10" s="466" t="str">
        <f>IF(OR($B10=yes,$B10=yes),'5-1 Fuels'!V41, IF(OR($B10=no,$B10=no),"-", IF($B10=que,que, pres)))</f>
        <v>Presente?</v>
      </c>
      <c r="G10" s="466" t="str">
        <f>IF(OR($B10=yes,$B10=yes),'5-1 Fuels'!W41, IF(OR($B10=no,$B10=no),"-", IF($B10=que,que, pres)))</f>
        <v>Presente?</v>
      </c>
      <c r="H10" s="466" t="str">
        <f>IF(OR($B10=yes,$B10=yes),'5-1 Fuels'!X41, IF(OR($B10=no,$B10=no),"-", IF($B10=que,que, pres)))</f>
        <v>Presente?</v>
      </c>
      <c r="I10" s="466" t="str">
        <f>IF(OR($B10=yes,$B10=yes),'5-1 Fuels'!Y41, IF(OR($B10=no,$B10=no),"-", IF($B10=que,que, pres)))</f>
        <v>Presente?</v>
      </c>
      <c r="J10" s="466" t="str">
        <f>IF(OR($B10=yes,$B10=yes),'5-1 Fuels'!Z41, IF(OR($B10=no,$B10=no),"-", IF($B10=que,que, pres)))</f>
        <v>Presente?</v>
      </c>
      <c r="K10" s="466" t="str">
        <f>IF(OR($B10=yes,$B10=yes),'5-1 Fuels'!AA41, IF(OR($B10=no,$B10=no),"-", IF($B10=que,que, pres)))</f>
        <v>Presente?</v>
      </c>
      <c r="L10" s="272" t="str">
        <f>L9</f>
        <v>5.1.4</v>
      </c>
      <c r="M10" s="468"/>
      <c r="N10" s="340" t="str">
        <f>INDEX('Range-thresholds'!$G$6:$G$72,MATCH(A10,'Range-thresholds'!$A$6:$A$72,0))</f>
        <v/>
      </c>
    </row>
    <row r="11" spans="1:15" ht="25.5">
      <c r="A11" s="663" t="s">
        <v>795</v>
      </c>
      <c r="B11" s="379"/>
      <c r="C11" s="381"/>
      <c r="D11" s="687" t="s">
        <v>805</v>
      </c>
      <c r="E11" s="465" t="str">
        <f>IF(OR($B11=yes,$B11=yes),'5-1 Fuels'!K50, IF(OR($B11=no,$B11=no),"-", IF($B11=que,que, pres)))</f>
        <v>Presente?</v>
      </c>
      <c r="F11" s="466" t="str">
        <f>IF(OR($B11=yes,$B11=yes),'5-1 Fuels'!V50, IF(OR($B11=no,$B11=no),"-", IF($B11=que,que, pres)))</f>
        <v>Presente?</v>
      </c>
      <c r="G11" s="466" t="str">
        <f>IF(OR($B11=yes,$B11=yes),'5-1 Fuels'!W50, IF(OR($B11=no,$B11=no),"-", IF($B11=que,que, pres)))</f>
        <v>Presente?</v>
      </c>
      <c r="H11" s="466" t="str">
        <f>IF(OR($B11=yes,$B11=yes),'5-1 Fuels'!X50, IF(OR($B11=no,$B11=no),"-", IF($B11=que,que, pres)))</f>
        <v>Presente?</v>
      </c>
      <c r="I11" s="466" t="str">
        <f>IF(OR($B11=yes,$B11=yes),'5-1 Fuels'!Y50, IF(OR($B11=no,$B11=no),"-", IF($B11=que,que, pres)))</f>
        <v>Presente?</v>
      </c>
      <c r="J11" s="466" t="str">
        <f>IF(OR($B11=yes,$B11=yes),'5-1 Fuels'!Z50, IF(OR($B11=no,$B11=no),"-", IF($B11=que,que, pres)))</f>
        <v>Presente?</v>
      </c>
      <c r="K11" s="466" t="str">
        <f>IF(OR($B11=yes,$B11=yes),'5-1 Fuels'!AA50, IF(OR($B11=no,$B11=no),"-", IF($B11=que,que, pres)))</f>
        <v>Presente?</v>
      </c>
      <c r="L11" s="272" t="str">
        <f>'5-1 Fuels'!B50</f>
        <v>5.1.6</v>
      </c>
      <c r="M11" s="468"/>
      <c r="N11" s="340" t="str">
        <f>INDEX('Range-thresholds'!$G$6:$G$72,MATCH(A11,'Range-thresholds'!$A$6:$A$72,0))</f>
        <v/>
      </c>
    </row>
    <row r="12" spans="1:15" ht="13.5" thickBot="1">
      <c r="A12" s="663" t="s">
        <v>796</v>
      </c>
      <c r="B12" s="382"/>
      <c r="C12" s="402"/>
      <c r="D12" s="687" t="s">
        <v>806</v>
      </c>
      <c r="E12" s="465" t="str">
        <f>IF(OR($B12=yes,$B12=yes),'5-1 Fuels'!K51, IF(OR($B12=no,$B12=no),"-", IF($B12=que,que, pres)))</f>
        <v>Presente?</v>
      </c>
      <c r="F12" s="466" t="str">
        <f>IF(OR($B12=yes,$B12=yes),'5-1 Fuels'!V51, IF(OR($B12=no,$B12=no),"-", IF($B12=que,que, pres)))</f>
        <v>Presente?</v>
      </c>
      <c r="G12" s="466" t="str">
        <f>IF(OR($B12=yes,$B12=yes),'5-1 Fuels'!W51, IF(OR($B12=no,$B12=no),"-", IF($B12=que,que, pres)))</f>
        <v>Presente?</v>
      </c>
      <c r="H12" s="466" t="str">
        <f>IF(OR($B12=yes,$B12=yes),'5-1 Fuels'!X51, IF(OR($B12=no,$B12=no),"-", IF($B12=que,que, pres)))</f>
        <v>Presente?</v>
      </c>
      <c r="I12" s="466" t="str">
        <f>IF(OR($B12=yes,$B12=yes),'5-1 Fuels'!Y51, IF(OR($B12=no,$B12=no),"-", IF($B12=que,que, pres)))</f>
        <v>Presente?</v>
      </c>
      <c r="J12" s="466" t="str">
        <f>IF(OR($B12=yes,$B12=yes),'5-1 Fuels'!Z51, IF(OR($B12=no,$B12=no),"-", IF($B12=que,que, pres)))</f>
        <v>Presente?</v>
      </c>
      <c r="K12" s="466" t="str">
        <f>IF(OR($B12=yes,$B12=yes),'5-1 Fuels'!AA51, IF(OR($B12=no,$B12=no),"-", IF($B12=que,que, pres)))</f>
        <v>Presente?</v>
      </c>
      <c r="L12" s="272" t="str">
        <f>'5-1 Fuels'!B50</f>
        <v>5.1.6</v>
      </c>
      <c r="M12" s="468"/>
      <c r="N12" s="340" t="str">
        <f>INDEX('Range-thresholds'!$G$6:$G$72,MATCH(A12,'Range-thresholds'!$A$6:$A$72,0))</f>
        <v/>
      </c>
    </row>
    <row r="13" spans="1:15">
      <c r="A13" s="666"/>
      <c r="B13" s="485"/>
      <c r="C13" s="376"/>
      <c r="D13" s="666"/>
      <c r="E13" s="465"/>
      <c r="F13" s="465"/>
      <c r="G13" s="465"/>
      <c r="H13" s="465"/>
      <c r="I13" s="465"/>
      <c r="J13" s="465"/>
      <c r="K13" s="465"/>
      <c r="L13" s="272"/>
      <c r="M13" s="468"/>
    </row>
    <row r="14" spans="1:15" ht="13.5" thickBot="1">
      <c r="A14" s="686" t="s">
        <v>797</v>
      </c>
      <c r="B14" s="484"/>
      <c r="C14" s="383"/>
      <c r="D14" s="666"/>
      <c r="E14" s="465"/>
      <c r="F14" s="465"/>
      <c r="G14" s="465"/>
      <c r="H14" s="465"/>
      <c r="I14" s="465"/>
      <c r="J14" s="465"/>
      <c r="K14" s="465"/>
      <c r="L14" s="272"/>
      <c r="M14" s="468"/>
    </row>
    <row r="15" spans="1:15">
      <c r="A15" s="665" t="s">
        <v>798</v>
      </c>
      <c r="B15" s="384"/>
      <c r="C15" s="385"/>
      <c r="D15" s="688" t="s">
        <v>807</v>
      </c>
      <c r="E15" s="465" t="str">
        <f>IF(OR($B15=yes,$B15=yes),'5-1 Fuels'!K25, IF(OR($B15=no,$B15=no),"-", IF($B15=que,que, pres)))</f>
        <v>Presente?</v>
      </c>
      <c r="F15" s="466" t="str">
        <f>IF(OR($B15=yes,$B15=yes),'5-1 Fuels'!V25, IF(OR($B15=no,$B15=no),"-", IF($B15=que,que, pres)))</f>
        <v>Presente?</v>
      </c>
      <c r="G15" s="466" t="str">
        <f>IF(OR($B15=yes,$B15=yes),'5-1 Fuels'!W25, IF(OR($B15=no,$B15=no),"-", IF($B15=que,que, pres)))</f>
        <v>Presente?</v>
      </c>
      <c r="H15" s="466" t="str">
        <f>IF(OR($B15=yes,$B15=yes),'5-1 Fuels'!X25, IF(OR($B15=no,$B15=no),"-", IF($B15=que,que, pres)))</f>
        <v>Presente?</v>
      </c>
      <c r="I15" s="466" t="str">
        <f>IF(OR($B15=yes,$B15=yes),'5-1 Fuels'!Y25, IF(OR($B15=no,$B15=no),"-", IF($B15=que,que, pres)))</f>
        <v>Presente?</v>
      </c>
      <c r="J15" s="466" t="str">
        <f>IF(OR($B15=yes,$B15=yes),'5-1 Fuels'!Z25, IF(OR($B15=no,$B15=no),"-", IF($B15=que,que, pres)))</f>
        <v>Presente?</v>
      </c>
      <c r="K15" s="466" t="str">
        <f>IF(OR($B15=yes,$B15=yes),'5-1 Fuels'!AA25, IF(OR($B15=no,$B15=no),"-", IF($B15=que,que, pres)))</f>
        <v>Presente?</v>
      </c>
      <c r="L15" s="272" t="str">
        <f>L7</f>
        <v>5.1.3</v>
      </c>
      <c r="M15" s="468"/>
      <c r="N15" s="340" t="str">
        <f>INDEX('Range-thresholds'!$G$6:$G$72,MATCH(A15,'Range-thresholds'!$A$6:$A$72,0))</f>
        <v/>
      </c>
    </row>
    <row r="16" spans="1:15">
      <c r="A16" s="663" t="s">
        <v>799</v>
      </c>
      <c r="B16" s="379"/>
      <c r="C16" s="381"/>
      <c r="D16" s="687" t="s">
        <v>808</v>
      </c>
      <c r="E16" s="465" t="str">
        <f>IF(OR($B16=yes,$B16=yes),'5-1 Fuels'!K26, IF(OR($B16=no,$B16=no),"-", IF($B16=que,que, pres)))</f>
        <v>Presente?</v>
      </c>
      <c r="F16" s="466" t="str">
        <f>IF(OR($B16=yes,$B16=yes),'5-1 Fuels'!V26, IF(OR($B16=no,$B16=no),"-", IF($B16=que,que, pres)))</f>
        <v>Presente?</v>
      </c>
      <c r="G16" s="466" t="str">
        <f>IF(OR($B16=yes,$B16=yes),'5-1 Fuels'!W26, IF(OR($B16=no,$B16=no),"-", IF($B16=que,que, pres)))</f>
        <v>Presente?</v>
      </c>
      <c r="H16" s="466" t="str">
        <f>IF(OR($B16=yes,$B16=yes),'5-1 Fuels'!X26, IF(OR($B16=no,$B16=no),"-", IF($B16=que,que, pres)))</f>
        <v>Presente?</v>
      </c>
      <c r="I16" s="466" t="str">
        <f>IF(OR($B16=yes,$B16=yes),'5-1 Fuels'!Y26, IF(OR($B16=no,$B16=no),"-", IF($B16=que,que, pres)))</f>
        <v>Presente?</v>
      </c>
      <c r="J16" s="466" t="str">
        <f>IF(OR($B16=yes,$B16=yes),'5-1 Fuels'!Z26, IF(OR($B16=no,$B16=no),"-", IF($B16=que,que, pres)))</f>
        <v>Presente?</v>
      </c>
      <c r="K16" s="466" t="str">
        <f>IF(OR($B16=yes,$B16=yes),'5-1 Fuels'!AA26, IF(OR($B16=no,$B16=no),"-", IF($B16=que,que, pres)))</f>
        <v>Presente?</v>
      </c>
      <c r="L16" s="272" t="str">
        <f>L15</f>
        <v>5.1.3</v>
      </c>
      <c r="M16" s="468"/>
      <c r="N16" s="340" t="str">
        <f>INDEX('Range-thresholds'!$G$6:$G$72,MATCH(A16,'Range-thresholds'!$A$6:$A$72,0))</f>
        <v/>
      </c>
    </row>
    <row r="17" spans="1:14" ht="13.5" thickBot="1">
      <c r="A17" s="663" t="s">
        <v>800</v>
      </c>
      <c r="B17" s="382"/>
      <c r="C17" s="402"/>
      <c r="D17" s="687" t="s">
        <v>809</v>
      </c>
      <c r="E17" s="465" t="str">
        <f>IF(OR($B17=yes,$B17=yes),'5-1 Fuels'!K38, IF(OR($B17=no,$B17=no),"-", IF($B17=que,que, pres)))</f>
        <v>Presente?</v>
      </c>
      <c r="F17" s="466" t="str">
        <f>IF(OR($B17=yes,$B17=yes),'5-1 Fuels'!V37, IF(OR($B17=no,$B17=no),"-", IF($B17=que,que, pres)))</f>
        <v>Presente?</v>
      </c>
      <c r="G17" s="466" t="str">
        <f>IF(OR($B17=yes,$B17=yes),'5-1 Fuels'!W37, IF(OR($B17=no,$B17=no),"-", IF($B17=que,que, pres)))</f>
        <v>Presente?</v>
      </c>
      <c r="H17" s="466" t="str">
        <f>IF(OR($B17=yes,$B17=yes),'5-1 Fuels'!X37, IF(OR($B17=no,$B17=no),"-", IF($B17=que,que, pres)))</f>
        <v>Presente?</v>
      </c>
      <c r="I17" s="466" t="str">
        <f>IF(OR($B17=yes,$B17=yes),'5-1 Fuels'!Y37, IF(OR($B17=no,$B17=no),"-", IF($B17=que,que, pres)))</f>
        <v>Presente?</v>
      </c>
      <c r="J17" s="466" t="str">
        <f>IF(OR($B17=yes,$B17=yes),'5-1 Fuels'!Z37, IF(OR($B17=no,$B17=no),"-", IF($B17=que,que, pres)))</f>
        <v>Presente?</v>
      </c>
      <c r="K17" s="466" t="str">
        <f>IF(OR($B17=yes,$B17=yes),'5-1 Fuels'!AA37, IF(OR($B17=no,$B17=no),"-", IF($B17=que,que, pres)))</f>
        <v>Presente?</v>
      </c>
      <c r="L17" s="272" t="str">
        <f>'5-1 Fuels'!B37</f>
        <v>5.1.4</v>
      </c>
      <c r="M17" s="468"/>
      <c r="N17" s="340" t="str">
        <f>INDEX('Range-thresholds'!$G$6:$G$72,MATCH(A17,'Range-thresholds'!$A$6:$A$72,0))</f>
        <v/>
      </c>
    </row>
    <row r="20" spans="1:14">
      <c r="A20" s="623" t="s">
        <v>748</v>
      </c>
    </row>
    <row r="21" spans="1:14">
      <c r="A21" s="623"/>
    </row>
    <row r="29" spans="1:14">
      <c r="H29" s="625"/>
    </row>
  </sheetData>
  <mergeCells count="2">
    <mergeCell ref="F3:K3"/>
    <mergeCell ref="A2:L2"/>
  </mergeCells>
  <conditionalFormatting sqref="A2">
    <cfRule type="expression" dxfId="20" priority="4" stopIfTrue="1">
      <formula>$A$2&lt;&gt;""</formula>
    </cfRule>
  </conditionalFormatting>
  <conditionalFormatting sqref="E5:E17">
    <cfRule type="expression" dxfId="19" priority="6" stopIfTrue="1">
      <formula>AND(B5="y",N5="n")</formula>
    </cfRule>
  </conditionalFormatting>
  <dataValidations count="2">
    <dataValidation type="decimal" allowBlank="1" showInputMessage="1" showErrorMessage="1" errorTitle="Input error" error="Use digits and decimal mark only." promptTitle="Input cell" prompt="Use digits and decimal mark only." sqref="C5:C17">
      <formula1>-9.99999999999999E+22</formula1>
      <formula2>9.99999999999999E+22</formula2>
    </dataValidation>
    <dataValidation type="list" allowBlank="1" showInputMessage="1" showErrorMessage="1" errorTitle="Input error" error="Enter only y, n or ? (or translation of these)" sqref="B5:B12 B15:B17">
      <formula1>yn?</formula1>
    </dataValidation>
  </dataValidations>
  <pageMargins left="0.39370078740157483" right="0.39370078740157483" top="0.74803149606299213" bottom="0.74803149606299213" header="0.31496062992125984" footer="0.31496062992125984"/>
  <pageSetup paperSize="9" scale="78" orientation="landscape" r:id="rId1"/>
  <headerFooter>
    <oddFooter>&amp;L&amp;APrinted &amp;D</oddFooter>
  </headerFooter>
  <extLst>
    <ext xmlns:x14="http://schemas.microsoft.com/office/spreadsheetml/2009/9/main" uri="{78C0D931-6437-407d-A8EE-F0AAD7539E65}">
      <x14:conditionalFormattings>
        <x14:conditionalFormatting xmlns:xm="http://schemas.microsoft.com/office/excel/2006/main">
          <x14:cfRule type="expression" priority="1" id="{2D294E8F-C094-4B04-BBCF-78E62FF6E629}">
            <xm:f>'Insert IL2 results'!#REF!&lt;&gt;""</xm:f>
            <x14:dxf>
              <font>
                <color rgb="FFFF0000"/>
              </font>
            </x14:dxf>
          </x14:cfRule>
          <xm:sqref>A20</xm:sqref>
        </x14:conditionalFormatting>
      </x14:conditionalFormatting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76"/>
  <sheetViews>
    <sheetView topLeftCell="A55" workbookViewId="0"/>
  </sheetViews>
  <sheetFormatPr defaultRowHeight="12.75"/>
  <cols>
    <col min="1" max="1" width="48.5703125" style="340" customWidth="1"/>
    <col min="2" max="2" width="16.7109375" style="359" customWidth="1"/>
    <col min="3" max="16384" width="9.140625" style="340"/>
  </cols>
  <sheetData>
    <row r="1" spans="1:2">
      <c r="A1" s="355" t="s">
        <v>975</v>
      </c>
      <c r="B1" s="356"/>
    </row>
    <row r="2" spans="1:2" s="360" customFormat="1" ht="38.25" customHeight="1">
      <c r="A2" s="694" t="s">
        <v>976</v>
      </c>
      <c r="B2" s="700" t="s">
        <v>776</v>
      </c>
    </row>
    <row r="3" spans="1:2">
      <c r="A3" s="419"/>
      <c r="B3" s="345" t="str">
        <f>quest</f>
        <v>S/N/?</v>
      </c>
    </row>
    <row r="4" spans="1:2">
      <c r="A4" s="394" t="str">
        <f>'Passo2-Energia'!A4</f>
        <v>Consumo de energia</v>
      </c>
      <c r="B4" s="372"/>
    </row>
    <row r="5" spans="1:2">
      <c r="A5" s="265" t="str">
        <f>'Passo2-Energia'!A5</f>
        <v>Combustão de carvão em grandes termoelétricas</v>
      </c>
      <c r="B5" s="270" t="str">
        <f>IF(OR('Passo2-Energia'!B5=yes,'Passo2-Energia'!B5=no,'Passo2-Energia'!B5=que),'Passo2-Energia'!B5,  pres)</f>
        <v>Presente?</v>
      </c>
    </row>
    <row r="6" spans="1:2">
      <c r="A6" s="265" t="str">
        <f>'Passo2-Energia'!A6</f>
        <v>Outros usos de carvão</v>
      </c>
      <c r="B6" s="270" t="str">
        <f>IF(OR('Passo2-Energia'!B6=yes,'Passo2-Energia'!B6=no,'Passo2-Energia'!B6=que),'Passo2-Energia'!B6,  pres)</f>
        <v>Presente?</v>
      </c>
    </row>
    <row r="7" spans="1:2" ht="25.5">
      <c r="A7" s="265" t="str">
        <f>'Passo2-Energia'!A7</f>
        <v>Combustão/utilização de coque de petróleo e petróleo pesado</v>
      </c>
      <c r="B7" s="270" t="str">
        <f>IF(OR('Passo2-Energia'!B7=yes,'Passo2-Energia'!B7=no,'Passo2-Energia'!B7=que),'Passo2-Energia'!B7,  pres)</f>
        <v>Presente?</v>
      </c>
    </row>
    <row r="8" spans="1:2" ht="15.75" customHeight="1">
      <c r="A8" s="265" t="str">
        <f>'Passo2-Energia'!A8</f>
        <v>Combustão/uso de diesel, gasóleo, petróleo, querosene, GLP e outros destilados leves ou médios</v>
      </c>
      <c r="B8" s="270" t="str">
        <f>IF(OR('Passo2-Energia'!B8=yes,'Passo2-Energia'!B8=no,'Passo2-Energia'!B8=que),'Passo2-Energia'!B8,  pres)</f>
        <v>Presente?</v>
      </c>
    </row>
    <row r="9" spans="1:2" ht="15.75" customHeight="1">
      <c r="A9" s="265" t="str">
        <f>'Passo2-Energia'!A9</f>
        <v>Utilização de gás natural bruto ou limpo</v>
      </c>
      <c r="B9" s="270" t="str">
        <f>IF(OR('Passo2-Energia'!B9=yes,'Passo2-Energia'!B9=no,'Passo2-Energia'!B9=que),'Passo2-Energia'!B9,  pres)</f>
        <v>Presente?</v>
      </c>
    </row>
    <row r="10" spans="1:2" ht="15.75" customHeight="1">
      <c r="A10" s="265" t="str">
        <f>'Passo2-Energia'!A10</f>
        <v>Uso de gás canalizado (qualidade para o consumidor)</v>
      </c>
      <c r="B10" s="270" t="str">
        <f>IF(OR('Passo2-Energia'!B10=yes,'Passo2-Energia'!B10=no,'Passo2-Energia'!B10=que),'Passo2-Energia'!B10,  pres)</f>
        <v>Presente?</v>
      </c>
    </row>
    <row r="11" spans="1:2">
      <c r="A11" s="265" t="str">
        <f>'Passo2-Energia'!A11</f>
        <v>Produção de energia ou aquecimento com biomassa</v>
      </c>
      <c r="B11" s="270" t="str">
        <f>IF(OR('Passo2-Energia'!B11=yes,'Passo2-Energia'!B11=no,'Passo2-Energia'!B11=que),'Passo2-Energia'!B11,  pres)</f>
        <v>Presente?</v>
      </c>
    </row>
    <row r="12" spans="1:2">
      <c r="A12" s="265" t="str">
        <f>'Passo2-Energia'!A12</f>
        <v>Combustão do carvão vegetal</v>
      </c>
      <c r="B12" s="270" t="str">
        <f>IF(OR('Passo2-Energia'!B12=yes,'Passo2-Energia'!B12=no,'Passo2-Energia'!B12=que),'Passo2-Energia'!B12,  pres)</f>
        <v>Presente?</v>
      </c>
    </row>
    <row r="13" spans="1:2">
      <c r="A13" s="394" t="str">
        <f>'Passo2-Energia'!A14</f>
        <v>Produção de combustíveis</v>
      </c>
      <c r="B13" s="303"/>
    </row>
    <row r="14" spans="1:2">
      <c r="A14" s="265" t="str">
        <f>'Passo2-Energia'!A15</f>
        <v>Extração de petróleo</v>
      </c>
      <c r="B14" s="270" t="str">
        <f>IF(OR('Passo2-Energia'!B15=yes,'Passo2-Energia'!B15=no,'Passo2-Energia'!B15=que),'Passo2-Energia'!B15,  pres)</f>
        <v>Presente?</v>
      </c>
    </row>
    <row r="15" spans="1:2">
      <c r="A15" s="265" t="str">
        <f>'Passo2-Energia'!A16</f>
        <v>Refinamento de petróleo</v>
      </c>
      <c r="B15" s="270" t="str">
        <f>IF(OR('Passo2-Energia'!B16=yes,'Passo2-Energia'!B16=no,'Passo2-Energia'!B16=que),'Passo2-Energia'!B16,  pres)</f>
        <v>Presente?</v>
      </c>
    </row>
    <row r="16" spans="1:2">
      <c r="A16" s="265" t="str">
        <f>'Passo2-Energia'!A17</f>
        <v>Extração e processamento de gás natural</v>
      </c>
      <c r="B16" s="270" t="str">
        <f>IF(OR('Passo2-Energia'!B17=yes,'Passo2-Energia'!B17=no,'Passo2-Energia'!B17=que),'Passo2-Energia'!B17,  pres)</f>
        <v>Presente?</v>
      </c>
    </row>
    <row r="17" spans="1:2">
      <c r="A17" s="394" t="str">
        <f>'Passo3-Metais-MatPrima'!A5</f>
        <v>Produção de metais primários</v>
      </c>
      <c r="B17" s="303"/>
    </row>
    <row r="18" spans="1:2">
      <c r="A18" s="265" t="str">
        <f>'Passo3-Metais-MatPrima'!A6</f>
        <v>Extração e processamento inicial de mercúrio (primário)</v>
      </c>
      <c r="B18" s="270" t="str">
        <f>IF(OR('Passo3-Metais-MatPrima'!B6=yes,'Passo3-Metais-MatPrima'!B6=no,'Passo3-Metais-MatPrima'!B6=que),'Passo3-Metais-MatPrima'!B6,  pres)</f>
        <v>Presente?</v>
      </c>
    </row>
    <row r="19" spans="1:2">
      <c r="A19" s="265" t="str">
        <f>'Passo3-Metais-MatPrima'!A7</f>
        <v>Produção de zinco a partir de concentrados</v>
      </c>
      <c r="B19" s="270" t="str">
        <f>IF(OR('Passo3-Metais-MatPrima'!B7=yes,'Passo3-Metais-MatPrima'!B7=no,'Passo3-Metais-MatPrima'!B7=que),'Passo3-Metais-MatPrima'!B7,  pres)</f>
        <v>Presente?</v>
      </c>
    </row>
    <row r="20" spans="1:2">
      <c r="A20" s="265" t="str">
        <f>'Passo3-Metais-MatPrima'!A8</f>
        <v>Produção de cobre a partir de concentrados</v>
      </c>
      <c r="B20" s="270" t="str">
        <f>IF(OR('Passo3-Metais-MatPrima'!B8=yes,'Passo3-Metais-MatPrima'!B8=no,'Passo3-Metais-MatPrima'!B8=que),'Passo3-Metais-MatPrima'!B8,  pres)</f>
        <v>Presente?</v>
      </c>
    </row>
    <row r="21" spans="1:2">
      <c r="A21" s="265" t="str">
        <f>'Passo3-Metais-MatPrima'!A9</f>
        <v>Produção de chumbo a partir de concentrados</v>
      </c>
      <c r="B21" s="270" t="str">
        <f>IF(OR('Passo3-Metais-MatPrima'!B9=yes,'Passo3-Metais-MatPrima'!B9=no,'Passo3-Metais-MatPrima'!B9=que),'Passo3-Metais-MatPrima'!B9,  pres)</f>
        <v>Presente?</v>
      </c>
    </row>
    <row r="22" spans="1:2" ht="25.5">
      <c r="A22" s="265" t="str">
        <f>'Passo3-Metais-MatPrima'!A10</f>
        <v>Extração de ouro por métodos sem amálgama de mercúrio</v>
      </c>
      <c r="B22" s="270" t="str">
        <f>IF(OR('Passo3-Metais-MatPrima'!B10=yes,'Passo3-Metais-MatPrima'!B10=no,'Passo3-Metais-MatPrima'!B10=que),'Passo3-Metais-MatPrima'!B10,  pres)</f>
        <v>Presente?</v>
      </c>
    </row>
    <row r="23" spans="1:2" ht="16.5" customHeight="1">
      <c r="A23" s="265" t="str">
        <f>'Passo3-Metais-MatPrima'!A11</f>
        <v>Produção de alumina a partir da bauxita (produção de alumínio)</v>
      </c>
      <c r="B23" s="270" t="str">
        <f>IF(OR('Passo3-Metais-MatPrima'!B11=yes,'Passo3-Metais-MatPrima'!B11=no,'Passo3-Metais-MatPrima'!B11=que),'Passo3-Metais-MatPrima'!B11,  pres)</f>
        <v>Presente?</v>
      </c>
    </row>
    <row r="24" spans="1:2" ht="21" customHeight="1">
      <c r="A24" s="265" t="str">
        <f>'Passo3-Metais-MatPrima'!A12</f>
        <v>Produção de metais ferrosos primários (produção de ferro gusa)</v>
      </c>
      <c r="B24" s="270" t="str">
        <f>IF(OR('Passo3-Metais-MatPrima'!B12=yes,'Passo3-Metais-MatPrima'!B12=no,'Passo3-Metais-MatPrima'!B12=que),'Passo3-Metais-MatPrima'!B12,  pres)</f>
        <v>Presente?</v>
      </c>
    </row>
    <row r="25" spans="1:2" ht="25.5">
      <c r="A25" s="265" t="str">
        <f>'Passo3-Metais-MatPrima'!A13</f>
        <v>Extração de ouro com amálgama de mercúrio - sem o uso de retorta</v>
      </c>
      <c r="B25" s="270" t="str">
        <f>IF(OR('Passo3-Metais-MatPrima'!B13=yes,'Passo3-Metais-MatPrima'!B13=no,'Passo3-Metais-MatPrima'!B13=que),'Passo3-Metais-MatPrima'!B13,  pres)</f>
        <v>Presente?</v>
      </c>
    </row>
    <row r="26" spans="1:2" ht="25.5">
      <c r="A26" s="265" t="str">
        <f>'Passo3-Metais-MatPrima'!A14</f>
        <v>Extração de ouro com amálgama de mercúrio - com uso de retortas</v>
      </c>
      <c r="B26" s="270" t="str">
        <f>IF(OR('Passo3-Metais-MatPrima'!B14=yes,'Passo3-Metais-MatPrima'!B14=no,'Passo3-Metais-MatPrima'!B14=que),'Passo3-Metais-MatPrima'!B14,  pres)</f>
        <v>Presente?</v>
      </c>
    </row>
    <row r="27" spans="1:2" ht="17.25" customHeight="1">
      <c r="A27" s="394" t="str">
        <f>'Passo3-Metais-MatPrima'!A15</f>
        <v>Produção de outros materiais</v>
      </c>
      <c r="B27" s="303"/>
    </row>
    <row r="28" spans="1:2">
      <c r="A28" s="265" t="str">
        <f>'Passo3-Metais-MatPrima'!A16</f>
        <v>Produção de cimento</v>
      </c>
      <c r="B28" s="270" t="str">
        <f>IF(OR('Passo3-Metais-MatPrima'!B16=yes,'Passo3-Metais-MatPrima'!B16=no,'Passo3-Metais-MatPrima'!B16=que),'Passo3-Metais-MatPrima'!B16,  pres)</f>
        <v>Presente?</v>
      </c>
    </row>
    <row r="29" spans="1:2">
      <c r="A29" s="265" t="str">
        <f>'Passo3-Metais-MatPrima'!A17</f>
        <v>Produção de papel e celulose</v>
      </c>
      <c r="B29" s="270" t="str">
        <f>IF(OR('Passo3-Metais-MatPrima'!B17=yes,'Passo3-Metais-MatPrima'!B17=no,'Passo3-Metais-MatPrima'!B17=que),'Passo3-Metais-MatPrima'!B17,  pres)</f>
        <v>Presente?</v>
      </c>
    </row>
    <row r="30" spans="1:2">
      <c r="A30" s="394" t="str">
        <f>'Passo4-Uso Industrial de Hg'!A4</f>
        <v>Produção de produtos químicos</v>
      </c>
      <c r="B30" s="303"/>
    </row>
    <row r="31" spans="1:2">
      <c r="A31" s="265" t="str">
        <f>'Passo4-Uso Industrial de Hg'!A5</f>
        <v>Produção de cloro e álcalis com células de mercúrio</v>
      </c>
      <c r="B31" s="270" t="str">
        <f>IF(OR('Passo4-Uso Industrial de Hg'!B5=yes,'Passo4-Uso Industrial de Hg'!B5=no,'Passo4-Uso Industrial de Hg'!B5=que),'Passo4-Uso Industrial de Hg'!B5,  pres)</f>
        <v>Presente?</v>
      </c>
    </row>
    <row r="32" spans="1:2">
      <c r="A32" s="265" t="str">
        <f>'Passo4-Uso Industrial de Hg'!A6</f>
        <v>Produção de VCM com catalisador de mercúrio</v>
      </c>
      <c r="B32" s="270" t="str">
        <f>IF(OR('Passo4-Uso Industrial de Hg'!B6=yes,'Passo4-Uso Industrial de Hg'!B6=no,'Passo4-Uso Industrial de Hg'!B6=que),'Passo4-Uso Industrial de Hg'!B6,  pres)</f>
        <v>Presente?</v>
      </c>
    </row>
    <row r="33" spans="1:2">
      <c r="A33" s="265" t="str">
        <f>'Passo4-Uso Industrial de Hg'!A7</f>
        <v>Produção de acetaldeído com catalisador de mercúrio</v>
      </c>
      <c r="B33" s="270" t="str">
        <f>IF(OR('Passo4-Uso Industrial de Hg'!B7=yes,'Passo4-Uso Industrial de Hg'!B7=no,'Passo4-Uso Industrial de Hg'!B7=que),'Passo4-Uso Industrial de Hg'!B7,  pres)</f>
        <v>Presente?</v>
      </c>
    </row>
    <row r="34" spans="1:2">
      <c r="A34" s="394" t="str">
        <f>'Passo4-Uso Industrial de Hg'!A9</f>
        <v>Produção de produtos com teor de mercúrio</v>
      </c>
      <c r="B34" s="303"/>
    </row>
    <row r="35" spans="1:2" ht="25.5">
      <c r="A35" s="265" t="str">
        <f>'Passo4-Uso Industrial de Hg'!A10</f>
        <v>Termômetros Hg (medicina, ar, laboratório, industrial etc.)</v>
      </c>
      <c r="B35" s="270" t="str">
        <f>IF(OR('Passo4-Uso Industrial de Hg'!B10=yes,'Passo4-Uso Industrial de Hg'!B10=no,'Passo4-Uso Industrial de Hg'!B10=que),'Passo4-Uso Industrial de Hg'!B10,  pres)</f>
        <v>Presente?</v>
      </c>
    </row>
    <row r="36" spans="1:2">
      <c r="A36" s="265" t="str">
        <f>'Passo4-Uso Industrial de Hg'!A11</f>
        <v>Interruptores e relés elétricos com mercúrio</v>
      </c>
      <c r="B36" s="270" t="str">
        <f>IF(OR('Passo4-Uso Industrial de Hg'!B11=yes,'Passo4-Uso Industrial de Hg'!B11=no,'Passo4-Uso Industrial de Hg'!B11=que),'Passo4-Uso Industrial de Hg'!B11,  pres)</f>
        <v>Presente?</v>
      </c>
    </row>
    <row r="37" spans="1:2" ht="25.5">
      <c r="A37" s="265" t="str">
        <f>'Passo4-Uso Industrial de Hg'!A12</f>
        <v>Fontes de luz com mercúrio (fluorescentes, fluorescentes compactas e outros. Ver diretrizes)</v>
      </c>
      <c r="B37" s="270" t="str">
        <f>IF(OR('Passo4-Uso Industrial de Hg'!B12=yes,'Passo4-Uso Industrial de Hg'!B12=no,'Passo4-Uso Industrial de Hg'!B12=que),'Passo4-Uso Industrial de Hg'!B12,  pres)</f>
        <v>Presente?</v>
      </c>
    </row>
    <row r="38" spans="1:2">
      <c r="A38" s="265" t="str">
        <f>'Passo4-Uso Industrial de Hg'!A13</f>
        <v>Baterias com mercúrio</v>
      </c>
      <c r="B38" s="270" t="str">
        <f>IF(OR('Passo4-Uso Industrial de Hg'!B13=yes,'Passo4-Uso Industrial de Hg'!B13=no,'Passo4-Uso Industrial de Hg'!B13=que),'Passo4-Uso Industrial de Hg'!B13,  pres)</f>
        <v>Presente?</v>
      </c>
    </row>
    <row r="39" spans="1:2">
      <c r="A39" s="265" t="str">
        <f>'Passo4-Uso Industrial de Hg'!A14</f>
        <v xml:space="preserve">Manômetros e medidores com mercúrio </v>
      </c>
      <c r="B39" s="270" t="str">
        <f>IF(OR('Passo4-Uso Industrial de Hg'!B14=yes,'Passo4-Uso Industrial de Hg'!B14=no,'Passo4-Uso Industrial de Hg'!B14=que),'Passo4-Uso Industrial de Hg'!B14,  pres)</f>
        <v>Presente?</v>
      </c>
    </row>
    <row r="40" spans="1:2">
      <c r="A40" s="265" t="str">
        <f>'Passo4-Uso Industrial de Hg'!A15</f>
        <v>Biocidas e pesticidas com mercúrio</v>
      </c>
      <c r="B40" s="270" t="str">
        <f>IF(OR('Passo4-Uso Industrial de Hg'!B15=yes,'Passo4-Uso Industrial de Hg'!B15=no,'Passo4-Uso Industrial de Hg'!B15=que),'Passo4-Uso Industrial de Hg'!B15,  pres)</f>
        <v>Presente?</v>
      </c>
    </row>
    <row r="41" spans="1:2">
      <c r="A41" s="265" t="str">
        <f>'Passo4-Uso Industrial de Hg'!A16</f>
        <v xml:space="preserve">Tintas com mercúrio </v>
      </c>
      <c r="B41" s="270" t="str">
        <f>IF(OR('Passo4-Uso Industrial de Hg'!B16=yes,'Passo4-Uso Industrial de Hg'!B16=no,'Passo4-Uso Industrial de Hg'!B16=que),'Passo4-Uso Industrial de Hg'!B16,  pres)</f>
        <v>Presente?</v>
      </c>
    </row>
    <row r="42" spans="1:2" ht="25.5">
      <c r="A42" s="265" t="str">
        <f>'Passo4-Uso Industrial de Hg'!A17</f>
        <v xml:space="preserve">Cremes para clareamento de pele e sabonetes com substâncias químicas do mercúrio </v>
      </c>
      <c r="B42" s="270" t="str">
        <f>IF(OR('Passo4-Uso Industrial de Hg'!B17=yes,'Passo4-Uso Industrial de Hg'!B17=no,'Passo4-Uso Industrial de Hg'!B17=que),'Passo4-Uso Industrial de Hg'!B17,  pres)</f>
        <v>Presente?</v>
      </c>
    </row>
    <row r="43" spans="1:2" ht="16.5" customHeight="1">
      <c r="A43" s="394" t="str">
        <f>'Passo6-Produtos-Substâncias Hg'!A6</f>
        <v>Utilização e destinação de produtos com teores de mercúrio</v>
      </c>
      <c r="B43" s="303"/>
    </row>
    <row r="44" spans="1:2">
      <c r="A44" s="265" t="str">
        <f>'Passo6-Produtos-Substâncias Hg'!A7</f>
        <v>Amálgama dental</v>
      </c>
      <c r="B44" s="270" t="str">
        <f>IF(OR('Passo6-Produtos-Substâncias Hg'!B7=yes,'Passo6-Produtos-Substâncias Hg'!B7=no,'Passo6-Produtos-Substâncias Hg'!B7=que),'Passo6-Produtos-Substâncias Hg'!B7,  pres)</f>
        <v>Presente?</v>
      </c>
    </row>
    <row r="45" spans="1:2">
      <c r="A45" s="265" t="str">
        <f>'Passo6-Produtos-Substâncias Hg'!A13</f>
        <v>Termômetros</v>
      </c>
      <c r="B45" s="270" t="str">
        <f>IF(OR('Passo6-Produtos-Substâncias Hg'!B13=yes,'Passo6-Produtos-Substâncias Hg'!B13=no,'Passo6-Produtos-Substâncias Hg'!B13=que),'Passo6-Produtos-Substâncias Hg'!B13,  pres)</f>
        <v>Presente?</v>
      </c>
    </row>
    <row r="46" spans="1:2">
      <c r="A46" s="265" t="str">
        <f>'Passo6-Produtos-Substâncias Hg'!A18</f>
        <v>Interruptores e relés elétricos com mercúrio</v>
      </c>
      <c r="B46" s="270" t="str">
        <f>IF(OR('Passo6-Produtos-Substâncias Hg'!B18=yes,'Passo6-Produtos-Substâncias Hg'!B18=no,'Passo6-Produtos-Substâncias Hg'!B18=que),'Passo6-Produtos-Substâncias Hg'!B18,  pres)</f>
        <v>Presente?</v>
      </c>
    </row>
    <row r="47" spans="1:2">
      <c r="A47" s="265" t="str">
        <f>'Passo6-Produtos-Substâncias Hg'!A21</f>
        <v>Fontes de luz com mercúrio</v>
      </c>
      <c r="B47" s="270" t="str">
        <f>IF(OR('Passo6-Produtos-Substâncias Hg'!B21=yes,'Passo6-Produtos-Substâncias Hg'!B21=no,'Passo6-Produtos-Substâncias Hg'!B21=que),'Passo6-Produtos-Substâncias Hg'!B21,  pres)</f>
        <v>Presente?</v>
      </c>
    </row>
    <row r="48" spans="1:2">
      <c r="A48" s="367" t="str">
        <f>'Passo6-Produtos-Substâncias Hg'!A26</f>
        <v>Baterias com mercúrio</v>
      </c>
      <c r="B48" s="270" t="str">
        <f>IF(OR('Passo6-Produtos-Substâncias Hg'!B26=yes,'Passo6-Produtos-Substâncias Hg'!B26=no,'Passo6-Produtos-Substâncias Hg'!B26=que),'Passo6-Produtos-Substâncias Hg'!B26,  pres)</f>
        <v>Presente?</v>
      </c>
    </row>
    <row r="49" spans="1:2" ht="25.5">
      <c r="A49" s="265" t="str">
        <f>'Passo6-Produtos-Substâncias Hg'!A31</f>
        <v>Poliuretano (PU, PUR) produzido com catalisador de mercúrio</v>
      </c>
      <c r="B49" s="270" t="str">
        <f>IF(OR('Passo6-Produtos-Substâncias Hg'!B31=yes,'Passo6-Produtos-Substâncias Hg'!B31=no,'Passo6-Produtos-Substâncias Hg'!B31=que),'Passo6-Produtos-Substâncias Hg'!B31,  pres)</f>
        <v>Presente?</v>
      </c>
    </row>
    <row r="50" spans="1:2">
      <c r="A50" s="265" t="str">
        <f>'Passo6-Produtos-Substâncias Hg'!A34</f>
        <v>Tintas com conservantes de mercúrio</v>
      </c>
      <c r="B50" s="270" t="str">
        <f>IF(OR('Passo6-Produtos-Substâncias Hg'!B34=yes,'Passo6-Produtos-Substâncias Hg'!B34=no,'Passo6-Produtos-Substâncias Hg'!B34=que),'Passo6-Produtos-Substâncias Hg'!B34,  pres)</f>
        <v>Presente?</v>
      </c>
    </row>
    <row r="51" spans="1:2" ht="25.5">
      <c r="A51" s="265" t="str">
        <f>'Passo6-Produtos-Substâncias Hg'!A36</f>
        <v>Cremes para clareamento de pele e sabonetes com substâncias químicas do mercúrio</v>
      </c>
      <c r="B51" s="270" t="str">
        <f>IF(OR('Passo6-Produtos-Substâncias Hg'!B36=yes,'Passo6-Produtos-Substâncias Hg'!B36=no,'Passo6-Produtos-Substâncias Hg'!B36=que),'Passo6-Produtos-Substâncias Hg'!B36,  pres)</f>
        <v>S</v>
      </c>
    </row>
    <row r="52" spans="1:2" ht="29.25" customHeight="1">
      <c r="A52" s="265" t="str">
        <f>'Passo6-Produtos-Substâncias Hg'!A38</f>
        <v>Medidores de pressão arterial médicos (esfigmomanômetro com mercúrio)</v>
      </c>
      <c r="B52" s="270" t="str">
        <f>IF(OR('Passo6-Produtos-Substâncias Hg'!B38=yes,'Passo6-Produtos-Substâncias Hg'!B38=no,'Passo6-Produtos-Substâncias Hg'!B38=que),'Passo6-Produtos-Substâncias Hg'!B38,  pres)</f>
        <v>Presente?</v>
      </c>
    </row>
    <row r="53" spans="1:2">
      <c r="A53" s="265" t="str">
        <f>'Passo6-Produtos-Substâncias Hg'!A40</f>
        <v>Outros manômetros e medidores com mercúrio</v>
      </c>
      <c r="B53" s="270" t="str">
        <f>IF(OR('Passo6-Produtos-Substâncias Hg'!B40=yes,'Passo6-Produtos-Substâncias Hg'!B40=no,'Passo6-Produtos-Substâncias Hg'!B40=que),'Passo6-Produtos-Substâncias Hg'!B40,  pres)</f>
        <v>Presente?</v>
      </c>
    </row>
    <row r="54" spans="1:2">
      <c r="A54" s="265" t="str">
        <f>'Passo6-Produtos-Substâncias Hg'!A43</f>
        <v>Produtos químicos de laboratório</v>
      </c>
      <c r="B54" s="270" t="str">
        <f>IF(OR('Passo6-Produtos-Substâncias Hg'!B43=yes,'Passo6-Produtos-Substâncias Hg'!B43=no,'Passo6-Produtos-Substâncias Hg'!B43=que),'Passo6-Produtos-Substâncias Hg'!B43,  pres)</f>
        <v>Presente?</v>
      </c>
    </row>
    <row r="55" spans="1:2" ht="25.5">
      <c r="A55" s="265" t="str">
        <f>'Passo6-Produtos-Substâncias Hg'!A46</f>
        <v>Outros equipamentos laboratoriais e médicos com mercúrio</v>
      </c>
      <c r="B55" s="270" t="str">
        <f>IF(OR('Passo6-Produtos-Substâncias Hg'!B46=yes,'Passo6-Produtos-Substâncias Hg'!B46=no,'Passo6-Produtos-Substâncias Hg'!B46=que),'Passo6-Produtos-Substâncias Hg'!B46,  pres)</f>
        <v>Presente?</v>
      </c>
    </row>
    <row r="56" spans="1:2">
      <c r="A56" s="394" t="str">
        <f>'Passo5-TratResíduos+Reciclágem'!A8</f>
        <v>Produção de metais reciclados</v>
      </c>
      <c r="B56" s="303"/>
    </row>
    <row r="57" spans="1:2" ht="25.5">
      <c r="A57" s="265" t="str">
        <f>'Passo5-TratResíduos+Reciclágem'!A9</f>
        <v>Produção de mercúrio reciclado ("produção secundária")</v>
      </c>
      <c r="B57" s="270" t="str">
        <f>IF(OR('Passo5-TratResíduos+Reciclágem'!B9=yes,'Passo5-TratResíduos+Reciclágem'!B9=no,'Passo5-TratResíduos+Reciclágem'!B9=que),'Passo5-TratResíduos+Reciclágem'!B9,  pres)</f>
        <v>Presente?</v>
      </c>
    </row>
    <row r="58" spans="1:2">
      <c r="A58" s="265" t="str">
        <f>'Passo5-TratResíduos+Reciclágem'!A10</f>
        <v>Produção de metais ferrosos reciclados (ferro e aço)</v>
      </c>
      <c r="B58" s="270" t="str">
        <f>IF(OR('Passo5-TratResíduos+Reciclágem'!B10=yes,'Passo5-TratResíduos+Reciclágem'!B10=no,'Passo5-TratResíduos+Reciclágem'!B10=que),'Passo5-TratResíduos+Reciclágem'!B10,  pres)</f>
        <v>Presente?</v>
      </c>
    </row>
    <row r="59" spans="1:2">
      <c r="A59" s="394" t="str">
        <f>'Passo5-TratResíduos+Reciclágem'!A12</f>
        <v>Incineração de resíduos</v>
      </c>
      <c r="B59" s="303"/>
    </row>
    <row r="60" spans="1:2">
      <c r="A60" s="265" t="str">
        <f>'Passo5-TratResíduos+Reciclágem'!A13</f>
        <v>Incineração de resíduos municipais/em geral</v>
      </c>
      <c r="B60" s="270" t="str">
        <f>IF(OR('Passo5-TratResíduos+Reciclágem'!B13=yes,'Passo5-TratResíduos+Reciclágem'!B13=no,'Passo5-TratResíduos+Reciclágem'!B13=que),'Passo5-TratResíduos+Reciclágem'!B13,  pres)</f>
        <v>Presente?</v>
      </c>
    </row>
    <row r="61" spans="1:2">
      <c r="A61" s="265" t="str">
        <f>'Passo5-TratResíduos+Reciclágem'!A14</f>
        <v>Incineração de resíduos perigosos</v>
      </c>
      <c r="B61" s="270" t="str">
        <f>IF(OR('Passo5-TratResíduos+Reciclágem'!B14=yes,'Passo5-TratResíduos+Reciclágem'!B14=no,'Passo5-TratResíduos+Reciclágem'!B14=que),'Passo5-TratResíduos+Reciclágem'!B14,  pres)</f>
        <v>Presente?</v>
      </c>
    </row>
    <row r="62" spans="1:2">
      <c r="A62" s="265" t="str">
        <f>'Passo5-TratResíduos+Reciclágem'!A15</f>
        <v>Incineração de resíduos hospitalares</v>
      </c>
      <c r="B62" s="270" t="str">
        <f>IF(OR('Passo5-TratResíduos+Reciclágem'!B15=yes,'Passo5-TratResíduos+Reciclágem'!B15=no,'Passo5-TratResíduos+Reciclágem'!B15=que),'Passo5-TratResíduos+Reciclágem'!B15,  pres)</f>
        <v>Presente?</v>
      </c>
    </row>
    <row r="63" spans="1:2" ht="25.5">
      <c r="A63" s="265" t="str">
        <f>'Passo5-TratResíduos+Reciclágem'!A16</f>
        <v>Incineração de lodo de estações de tratamento de efluente</v>
      </c>
      <c r="B63" s="270" t="str">
        <f>IF(OR('Passo5-TratResíduos+Reciclágem'!B16=yes,'Passo5-TratResíduos+Reciclágem'!B16=no,'Passo5-TratResíduos+Reciclágem'!B16=que),'Passo5-TratResíduos+Reciclágem'!B16,  pres)</f>
        <v>Presente?</v>
      </c>
    </row>
    <row r="64" spans="1:2">
      <c r="A64" s="265" t="str">
        <f>'Passo5-TratResíduos+Reciclágem'!A17</f>
        <v>Incineração de resíduos ao ar livre (informalmente)</v>
      </c>
      <c r="B64" s="270" t="str">
        <f>IF(OR('Passo5-TratResíduos+Reciclágem'!B17=yes,'Passo5-TratResíduos+Reciclágem'!B17=no,'Passo5-TratResíduos+Reciclágem'!B17=que),'Passo5-TratResíduos+Reciclágem'!B17,  pres)</f>
        <v>Presente?</v>
      </c>
    </row>
    <row r="65" spans="1:2">
      <c r="A65" s="394" t="b">
        <f>A66='Passo5-TratResíduos+Reciclágem'!A19</f>
        <v>0</v>
      </c>
      <c r="B65" s="303"/>
    </row>
    <row r="66" spans="1:2">
      <c r="A66" s="265" t="str">
        <f>'Passo5-TratResíduos+Reciclágem'!A20</f>
        <v>Aterros/depósitos controlados</v>
      </c>
      <c r="B66" s="270" t="str">
        <f>IF(OR('Passo5-TratResíduos+Reciclágem'!B20=yes,'Passo5-TratResíduos+Reciclágem'!B20=no,'Passo5-TratResíduos+Reciclágem'!B20=que),'Passo5-TratResíduos+Reciclágem'!B20,  pres)</f>
        <v>Presente?</v>
      </c>
    </row>
    <row r="67" spans="1:2">
      <c r="A67" s="265" t="str">
        <f>'Passo5-TratResíduos+Reciclágem'!A21</f>
        <v>Destinação informal de resíduos em geral *1</v>
      </c>
      <c r="B67" s="270" t="str">
        <f>IF(OR('Passo5-TratResíduos+Reciclágem'!B21=yes,'Passo5-TratResíduos+Reciclágem'!B21=no,'Passo5-TratResíduos+Reciclágem'!B21=que),'Passo5-TratResíduos+Reciclágem'!B21,  pres)</f>
        <v>Presente?</v>
      </c>
    </row>
    <row r="68" spans="1:2">
      <c r="A68" s="265" t="str">
        <f>'Passo5-TratResíduos+Reciclágem'!A23</f>
        <v>Sistemas/tratamentos de águas residuais</v>
      </c>
      <c r="B68" s="270" t="str">
        <f>IF(OR('Passo5-TratResíduos+Reciclágem'!B23=yes,'Passo5-TratResíduos+Reciclágem'!B23=no,'Passo5-TratResíduos+Reciclágem'!B23=que),'Passo5-TratResíduos+Reciclágem'!B23,  pres)</f>
        <v>Presente?</v>
      </c>
    </row>
    <row r="69" spans="1:2">
      <c r="A69" s="394" t="str">
        <f>'Passo7-Crematórios-cemitérios'!A4</f>
        <v>Crematórios e cemitérios</v>
      </c>
      <c r="B69" s="303"/>
    </row>
    <row r="70" spans="1:2">
      <c r="A70" s="265" t="str">
        <f>'Passo7-Crematórios-cemitérios'!A5</f>
        <v>Crematórios</v>
      </c>
      <c r="B70" s="270" t="str">
        <f>IF(OR('Passo7-Crematórios-cemitérios'!B5=yes,'Passo7-Crematórios-cemitérios'!B5=no,'Passo7-Crematórios-cemitérios'!B5=que),'Passo7-Crematórios-cemitérios'!B5,  pres)</f>
        <v>S</v>
      </c>
    </row>
    <row r="71" spans="1:2">
      <c r="A71" s="265" t="str">
        <f>'Passo7-Crematórios-cemitérios'!A6</f>
        <v>Cemitérios</v>
      </c>
      <c r="B71" s="270" t="str">
        <f>IF(OR('Passo7-Crematórios-cemitérios'!B6=yes,'Passo7-Crematórios-cemitérios'!B6=no,'Passo7-Crematórios-cemitérios'!B6=que),'Passo7-Crematórios-cemitérios'!B6,  pres)</f>
        <v>Presente?</v>
      </c>
    </row>
    <row r="72" spans="1:2">
      <c r="A72" s="357"/>
      <c r="B72" s="358"/>
    </row>
    <row r="76" spans="1:2">
      <c r="A76" s="373"/>
    </row>
  </sheetData>
  <pageMargins left="0.39370078740157483" right="0.39370078740157483" top="0.74803149606299213" bottom="0.74803149606299213" header="0.31496062992125984" footer="0.31496062992125984"/>
  <pageSetup paperSize="9" scale="90" fitToHeight="2" orientation="landscape" r:id="rId1"/>
  <headerFooter>
    <oddFooter>&amp;L&amp;APrinted &amp;D</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0"/>
  <sheetViews>
    <sheetView topLeftCell="A65" workbookViewId="0">
      <selection activeCell="A78" sqref="A78"/>
    </sheetView>
  </sheetViews>
  <sheetFormatPr defaultRowHeight="12.75"/>
  <cols>
    <col min="1" max="1" width="46.85546875" style="340" customWidth="1"/>
    <col min="2" max="2" width="10.28515625" style="359" customWidth="1"/>
    <col min="3" max="3" width="13.5703125" style="340" customWidth="1"/>
    <col min="4" max="4" width="33.5703125" style="340" customWidth="1"/>
    <col min="5" max="5" width="12.42578125" style="340" customWidth="1"/>
    <col min="6" max="16384" width="9.140625" style="340"/>
  </cols>
  <sheetData>
    <row r="1" spans="1:5">
      <c r="A1" s="355" t="s">
        <v>994</v>
      </c>
      <c r="B1" s="356"/>
    </row>
    <row r="2" spans="1:5" s="360" customFormat="1" ht="38.25" customHeight="1">
      <c r="A2" s="265" t="s">
        <v>976</v>
      </c>
      <c r="B2" s="700" t="s">
        <v>776</v>
      </c>
      <c r="C2" s="265"/>
      <c r="D2" s="265"/>
      <c r="E2" s="700" t="s">
        <v>924</v>
      </c>
    </row>
    <row r="3" spans="1:5" ht="25.5">
      <c r="A3" s="419"/>
      <c r="B3" s="345" t="str">
        <f>quest</f>
        <v>S/N/?</v>
      </c>
      <c r="C3" s="270" t="s">
        <v>777</v>
      </c>
      <c r="D3" s="270" t="s">
        <v>782</v>
      </c>
      <c r="E3" s="700" t="s">
        <v>783</v>
      </c>
    </row>
    <row r="4" spans="1:5">
      <c r="A4" s="394" t="str">
        <f>'Range-thresholds'!A5</f>
        <v>Consumo de energia</v>
      </c>
      <c r="B4" s="372"/>
      <c r="C4" s="426"/>
      <c r="D4" s="303"/>
      <c r="E4" s="426"/>
    </row>
    <row r="5" spans="1:5">
      <c r="A5" s="265" t="str">
        <f>'Range-thresholds'!A6</f>
        <v>Combustão de carvão em grandes termoelétricas</v>
      </c>
      <c r="B5" s="270" t="str">
        <f>IF(OR('Passo2-Energia'!B5=yes,'Passo2-Energia'!B5=no,'Passo2-Energia'!B5=que),'Passo2-Energia'!B5,  pres)</f>
        <v>Presente?</v>
      </c>
      <c r="C5" s="429">
        <f>'Nível 1-Resumo total'!C5</f>
        <v>0</v>
      </c>
      <c r="D5" s="265" t="str">
        <f>'Passo2-Energia'!D5</f>
        <v>Carvão queimado, t/ano</v>
      </c>
      <c r="E5" s="429" t="str">
        <f>'Nível 1-Resumo total'!E5</f>
        <v>Presente?</v>
      </c>
    </row>
    <row r="6" spans="1:5">
      <c r="A6" s="265" t="str">
        <f>'Range-thresholds'!A7</f>
        <v>Outros usos de carvão</v>
      </c>
      <c r="B6" s="270" t="str">
        <f>IF(OR('Passo2-Energia'!B6=yes,'Passo2-Energia'!B6=no,'Passo2-Energia'!B6=que),'Passo2-Energia'!B6,  pres)</f>
        <v>Presente?</v>
      </c>
      <c r="C6" s="429">
        <f>'Nível 1-Resumo total'!C6</f>
        <v>0</v>
      </c>
      <c r="D6" s="265" t="str">
        <f>'Passo2-Energia'!D6</f>
        <v>Carvão usado, t/ano</v>
      </c>
      <c r="E6" s="429" t="str">
        <f>'Nível 1-Resumo total'!E6</f>
        <v>Presente?</v>
      </c>
    </row>
    <row r="7" spans="1:5" ht="25.5">
      <c r="A7" s="265" t="str">
        <f>'Range-thresholds'!A8</f>
        <v>Combustão/utilização de coque de petróleo e petróleo pesado</v>
      </c>
      <c r="B7" s="270" t="str">
        <f>IF(OR('Passo2-Energia'!B7=yes,'Passo2-Energia'!B7=no,'Passo2-Energia'!B7=que),'Passo2-Energia'!B7,  pres)</f>
        <v>Presente?</v>
      </c>
      <c r="C7" s="429">
        <f>'Nível 1-Resumo total'!C7</f>
        <v>0</v>
      </c>
      <c r="D7" s="265" t="str">
        <f>'Passo2-Energia'!D7</f>
        <v>Produto de petróleo queimado, t/ano</v>
      </c>
      <c r="E7" s="429" t="str">
        <f>'Nível 1-Resumo total'!E7</f>
        <v>Presente?</v>
      </c>
    </row>
    <row r="8" spans="1:5" ht="15.75" customHeight="1">
      <c r="A8" s="265" t="str">
        <f>'Range-thresholds'!A9</f>
        <v>Combustão/uso de diesel, gasóleo, petróleo, querosene, GLP e outros destilados leves ou médios</v>
      </c>
      <c r="B8" s="270" t="str">
        <f>IF(OR('Passo2-Energia'!B8=yes,'Passo2-Energia'!B8=no,'Passo2-Energia'!B8=que),'Passo2-Energia'!B8,  pres)</f>
        <v>Presente?</v>
      </c>
      <c r="C8" s="429">
        <f>'Nível 1-Resumo total'!C8</f>
        <v>0</v>
      </c>
      <c r="D8" s="265" t="str">
        <f>'Passo2-Energia'!D8</f>
        <v>Produto de petróleo queimado, t/ano</v>
      </c>
      <c r="E8" s="429" t="str">
        <f>'Nível 1-Resumo total'!E8</f>
        <v>Presente?</v>
      </c>
    </row>
    <row r="9" spans="1:5" ht="15.75" customHeight="1">
      <c r="A9" s="265" t="str">
        <f>'Range-thresholds'!A10</f>
        <v>Utilização de gás natural bruto ou limpo</v>
      </c>
      <c r="B9" s="270" t="str">
        <f>IF(OR('Passo2-Energia'!B9=yes,'Passo2-Energia'!B9=no,'Passo2-Energia'!B9=que),'Passo2-Energia'!B9,  pres)</f>
        <v>Presente?</v>
      </c>
      <c r="C9" s="429">
        <f>'Nível 1-Resumo total'!C9</f>
        <v>0</v>
      </c>
      <c r="D9" s="265" t="str">
        <f>'Passo2-Energia'!D9</f>
        <v>Gás usado Nm³/ano</v>
      </c>
      <c r="E9" s="429" t="str">
        <f>'Nível 1-Resumo total'!E9</f>
        <v>Presente?</v>
      </c>
    </row>
    <row r="10" spans="1:5" ht="15.75" customHeight="1">
      <c r="A10" s="265" t="str">
        <f>'Range-thresholds'!A11</f>
        <v>Uso de gás canalizado (qualidade para o consumidor)</v>
      </c>
      <c r="B10" s="270" t="str">
        <f>IF(OR('Passo2-Energia'!B10=yes,'Passo2-Energia'!B10=no,'Passo2-Energia'!B10=que),'Passo2-Energia'!B10,  pres)</f>
        <v>Presente?</v>
      </c>
      <c r="C10" s="429">
        <f>'Nível 1-Resumo total'!C10</f>
        <v>0</v>
      </c>
      <c r="D10" s="265" t="str">
        <f>'Passo2-Energia'!D10</f>
        <v>Gás usado Nm³/ano</v>
      </c>
      <c r="E10" s="429" t="str">
        <f>'Nível 1-Resumo total'!E10</f>
        <v>Presente?</v>
      </c>
    </row>
    <row r="11" spans="1:5">
      <c r="A11" s="265" t="str">
        <f>'Range-thresholds'!A12</f>
        <v>Produção de energia ou aquecimento com biomassa</v>
      </c>
      <c r="B11" s="270" t="str">
        <f>IF(OR('Passo2-Energia'!B11=yes,'Passo2-Energia'!B11=no,'Passo2-Energia'!B11=que),'Passo2-Energia'!B11,  pres)</f>
        <v>Presente?</v>
      </c>
      <c r="C11" s="429">
        <f>'Nível 1-Resumo total'!C11</f>
        <v>0</v>
      </c>
      <c r="D11" s="265" t="str">
        <f>'Passo2-Energia'!D11</f>
        <v>Biomassa queimado, t/ano</v>
      </c>
      <c r="E11" s="429" t="str">
        <f>'Nível 1-Resumo total'!E11</f>
        <v>Presente?</v>
      </c>
    </row>
    <row r="12" spans="1:5">
      <c r="A12" s="265" t="str">
        <f>'Range-thresholds'!A13</f>
        <v>Combustão do carvão vegetal</v>
      </c>
      <c r="B12" s="270" t="str">
        <f>IF(OR('Passo2-Energia'!B12=yes,'Passo2-Energia'!B12=no,'Passo2-Energia'!B12=que),'Passo2-Energia'!B12,  pres)</f>
        <v>Presente?</v>
      </c>
      <c r="C12" s="429">
        <f>'Nível 1-Resumo total'!C12</f>
        <v>0</v>
      </c>
      <c r="D12" s="265" t="str">
        <f>'Passo2-Energia'!D12</f>
        <v>Carvão vegetal queimado, t/ano</v>
      </c>
      <c r="E12" s="429" t="str">
        <f>'Nível 1-Resumo total'!E12</f>
        <v>Presente?</v>
      </c>
    </row>
    <row r="13" spans="1:5">
      <c r="A13" s="394" t="str">
        <f>'Range-thresholds'!A14</f>
        <v>Produção de combustíveis</v>
      </c>
      <c r="B13" s="303"/>
      <c r="C13" s="303"/>
      <c r="D13" s="371"/>
      <c r="E13" s="371"/>
    </row>
    <row r="14" spans="1:5">
      <c r="A14" s="265" t="str">
        <f>'Range-thresholds'!A15</f>
        <v>Extração de petróleo</v>
      </c>
      <c r="B14" s="270" t="str">
        <f>IF(OR('Passo2-Energia'!B15=yes,'Passo2-Energia'!B15=no,'Passo2-Energia'!B15=que),'Passo2-Energia'!B15,  pres)</f>
        <v>Presente?</v>
      </c>
      <c r="C14" s="429">
        <f>'Nível 1-Resumo total'!C14</f>
        <v>0</v>
      </c>
      <c r="D14" s="265" t="str">
        <f>'Passo2-Energia'!D15</f>
        <v>Petróleo bruto produzido, t/ano</v>
      </c>
      <c r="E14" s="429" t="str">
        <f>'Nível 1-Resumo total'!E14</f>
        <v>Presente?</v>
      </c>
    </row>
    <row r="15" spans="1:5">
      <c r="A15" s="265" t="str">
        <f>'Range-thresholds'!A16</f>
        <v>Refinamento de petróleo</v>
      </c>
      <c r="B15" s="270" t="str">
        <f>IF(OR('Passo2-Energia'!B16=yes,'Passo2-Energia'!B16=no,'Passo2-Energia'!B16=que),'Passo2-Energia'!B16,  pres)</f>
        <v>Presente?</v>
      </c>
      <c r="C15" s="429">
        <f>'Nível 1-Resumo total'!C15</f>
        <v>0</v>
      </c>
      <c r="D15" s="265" t="str">
        <f>'Passo2-Energia'!D16</f>
        <v>Petróleo bruto refinado, t/ano</v>
      </c>
      <c r="E15" s="429" t="str">
        <f>'Nível 1-Resumo total'!E15</f>
        <v>Presente?</v>
      </c>
    </row>
    <row r="16" spans="1:5">
      <c r="A16" s="265" t="str">
        <f>'Range-thresholds'!A17</f>
        <v>Extração e processamento de gás natural</v>
      </c>
      <c r="B16" s="270" t="str">
        <f>IF(OR('Passo2-Energia'!B17=yes,'Passo2-Energia'!B17=no,'Passo2-Energia'!B17=que),'Passo2-Energia'!B17,  pres)</f>
        <v>Presente?</v>
      </c>
      <c r="C16" s="429">
        <f>'Nível 1-Resumo total'!C16</f>
        <v>0</v>
      </c>
      <c r="D16" s="265" t="str">
        <f>'Passo2-Energia'!D17</f>
        <v>Gás produzido Nm³/ano</v>
      </c>
      <c r="E16" s="429" t="str">
        <f>'Nível 1-Resumo total'!E16</f>
        <v>Presente?</v>
      </c>
    </row>
    <row r="17" spans="1:5">
      <c r="A17" s="394" t="str">
        <f>'Range-thresholds'!A18</f>
        <v>Produção de metais primários</v>
      </c>
      <c r="B17" s="303"/>
      <c r="C17" s="303"/>
      <c r="D17" s="371"/>
      <c r="E17" s="371"/>
    </row>
    <row r="18" spans="1:5" ht="25.5">
      <c r="A18" s="265" t="str">
        <f>'Range-thresholds'!A19</f>
        <v>Extração e processamento inicial de mercúrio (primário)</v>
      </c>
      <c r="B18" s="270" t="str">
        <f>IF(OR('Passo3-Metais-MatPrima'!B6=yes,'Passo3-Metais-MatPrima'!B6=no,'Passo3-Metais-MatPrima'!B6=que),'Passo3-Metais-MatPrima'!B6,  pres)</f>
        <v>Presente?</v>
      </c>
      <c r="C18" s="429">
        <f>'Nível 1-Resumo total'!C18</f>
        <v>0</v>
      </c>
      <c r="D18" s="265" t="str">
        <f>'Passo3-Metais-MatPrima'!D6</f>
        <v>Mercúrio produzido, t/ano</v>
      </c>
      <c r="E18" s="429" t="str">
        <f>'Nível 1-Resumo total'!E18</f>
        <v>Presente?</v>
      </c>
    </row>
    <row r="19" spans="1:5">
      <c r="A19" s="265" t="str">
        <f>'Range-thresholds'!A20</f>
        <v>Produção de zinco a partir de concentrados</v>
      </c>
      <c r="B19" s="270" t="str">
        <f>IF(OR('Passo3-Metais-MatPrima'!B7=yes,'Passo3-Metais-MatPrima'!B7=no,'Passo3-Metais-MatPrima'!B7=que),'Passo3-Metais-MatPrima'!B7,  pres)</f>
        <v>Presente?</v>
      </c>
      <c r="C19" s="429">
        <f>'Nível 1-Resumo total'!C19</f>
        <v>0</v>
      </c>
      <c r="D19" s="265" t="str">
        <f>'Passo3-Metais-MatPrima'!D7</f>
        <v>Concentrado utilizado, t/ano</v>
      </c>
      <c r="E19" s="429" t="str">
        <f>'Nível 1-Resumo total'!E19</f>
        <v>Presente?</v>
      </c>
    </row>
    <row r="20" spans="1:5">
      <c r="A20" s="265" t="str">
        <f>'Range-thresholds'!A21</f>
        <v>Produção de cobre a partir de concentrados</v>
      </c>
      <c r="B20" s="270" t="str">
        <f>IF(OR('Passo3-Metais-MatPrima'!B8=yes,'Passo3-Metais-MatPrima'!B8=no,'Passo3-Metais-MatPrima'!B8=que),'Passo3-Metais-MatPrima'!B8,  pres)</f>
        <v>Presente?</v>
      </c>
      <c r="C20" s="429">
        <f>'Nível 1-Resumo total'!C20</f>
        <v>0</v>
      </c>
      <c r="D20" s="265" t="str">
        <f>'Passo3-Metais-MatPrima'!D8</f>
        <v>Concentrado utilizado, t/ano</v>
      </c>
      <c r="E20" s="429" t="str">
        <f>'Nível 1-Resumo total'!E20</f>
        <v>Presente?</v>
      </c>
    </row>
    <row r="21" spans="1:5">
      <c r="A21" s="265" t="str">
        <f>'Range-thresholds'!A22</f>
        <v>Produção de chumbo a partir de concentrados</v>
      </c>
      <c r="B21" s="270" t="str">
        <f>IF(OR('Passo3-Metais-MatPrima'!B9=yes,'Passo3-Metais-MatPrima'!B9=no,'Passo3-Metais-MatPrima'!B9=que),'Passo3-Metais-MatPrima'!B9,  pres)</f>
        <v>Presente?</v>
      </c>
      <c r="C21" s="429">
        <f>'Nível 1-Resumo total'!C21</f>
        <v>0</v>
      </c>
      <c r="D21" s="265" t="str">
        <f>'Passo3-Metais-MatPrima'!D9</f>
        <v>Concentrado utilizado, t/ano</v>
      </c>
      <c r="E21" s="429" t="str">
        <f>'Nível 1-Resumo total'!E21</f>
        <v>Presente?</v>
      </c>
    </row>
    <row r="22" spans="1:5" ht="25.5">
      <c r="A22" s="265" t="str">
        <f>'Range-thresholds'!A23</f>
        <v>Extração de ouro por métodos sem amálgama de mercúrio</v>
      </c>
      <c r="B22" s="270" t="str">
        <f>IF(OR('Passo3-Metais-MatPrima'!B10=yes,'Passo3-Metais-MatPrima'!B10=no,'Passo3-Metais-MatPrima'!B10=que),'Passo3-Metais-MatPrima'!B10,  pres)</f>
        <v>Presente?</v>
      </c>
      <c r="C22" s="429">
        <f>'Nível 1-Resumo total'!C22</f>
        <v>0</v>
      </c>
      <c r="D22" s="265" t="str">
        <f>'Passo3-Metais-MatPrima'!D10</f>
        <v>Minério de ouro usado, t/ano</v>
      </c>
      <c r="E22" s="429" t="str">
        <f>'Nível 1-Resumo total'!E22</f>
        <v>Presente?</v>
      </c>
    </row>
    <row r="23" spans="1:5" ht="16.5" customHeight="1">
      <c r="A23" s="265" t="str">
        <f>'Range-thresholds'!A24</f>
        <v>Produção de alumina a partir da bauxita (produção de alumínio)</v>
      </c>
      <c r="B23" s="270" t="str">
        <f>IF(OR('Passo3-Metais-MatPrima'!B11=yes,'Passo3-Metais-MatPrima'!B11=no,'Passo3-Metais-MatPrima'!B11=que),'Passo3-Metais-MatPrima'!B11,  pres)</f>
        <v>Presente?</v>
      </c>
      <c r="C23" s="429">
        <f>'Nível 1-Resumo total'!C23</f>
        <v>0</v>
      </c>
      <c r="D23" s="265" t="str">
        <f>'Passo3-Metais-MatPrima'!D11</f>
        <v>Bauxita processada, t/ano</v>
      </c>
      <c r="E23" s="429" t="str">
        <f>'Nível 1-Resumo total'!E23</f>
        <v>Presente?</v>
      </c>
    </row>
    <row r="24" spans="1:5" ht="21" customHeight="1">
      <c r="A24" s="265" t="str">
        <f>'Range-thresholds'!A25</f>
        <v>Produção de metais ferrosos primários (produção de ferro gusa)</v>
      </c>
      <c r="B24" s="270" t="str">
        <f>IF(OR('Passo3-Metais-MatPrima'!B12=yes,'Passo3-Metais-MatPrima'!B12=no,'Passo3-Metais-MatPrima'!B12=que),'Passo3-Metais-MatPrima'!B12,  pres)</f>
        <v>Presente?</v>
      </c>
      <c r="C24" s="429">
        <f>'Nível 1-Resumo total'!C24</f>
        <v>0</v>
      </c>
      <c r="D24" s="265" t="str">
        <f>'Passo3-Metais-MatPrima'!D12</f>
        <v>Ferro-gusa produzido, t/ano</v>
      </c>
      <c r="E24" s="429" t="str">
        <f>'Nível 1-Resumo total'!E24</f>
        <v>Presente?</v>
      </c>
    </row>
    <row r="25" spans="1:5" ht="25.5">
      <c r="A25" s="265" t="str">
        <f>'Range-thresholds'!A26</f>
        <v>Extração de ouro com amálgama de mercúrio - sem o uso de retorta</v>
      </c>
      <c r="B25" s="270" t="str">
        <f>IF(OR('Passo3-Metais-MatPrima'!B13=yes,'Passo3-Metais-MatPrima'!B13=no,'Passo3-Metais-MatPrima'!B13=que),'Passo3-Metais-MatPrima'!B13,  pres)</f>
        <v>Presente?</v>
      </c>
      <c r="C25" s="429">
        <f>'Nível 1-Resumo total'!C25</f>
        <v>0</v>
      </c>
      <c r="D25" s="265" t="str">
        <f>'Passo3-Metais-MatPrima'!D13</f>
        <v>Ouro produzido, kg/ano</v>
      </c>
      <c r="E25" s="429" t="str">
        <f>'Nível 1-Resumo total'!E25</f>
        <v>Presente?</v>
      </c>
    </row>
    <row r="26" spans="1:5" ht="25.5">
      <c r="A26" s="265" t="str">
        <f>'Range-thresholds'!A27</f>
        <v>Extração de ouro com amálgama de mercúrio - com uso de retortas</v>
      </c>
      <c r="B26" s="270" t="str">
        <f>IF(OR('Passo3-Metais-MatPrima'!B14=yes,'Passo3-Metais-MatPrima'!B14=no,'Passo3-Metais-MatPrima'!B14=que),'Passo3-Metais-MatPrima'!B14,  pres)</f>
        <v>Presente?</v>
      </c>
      <c r="C26" s="429">
        <f>'Nível 1-Resumo total'!C26</f>
        <v>0</v>
      </c>
      <c r="D26" s="265" t="str">
        <f>'Passo3-Metais-MatPrima'!D14</f>
        <v>Ouro produzido, kg/ano</v>
      </c>
      <c r="E26" s="429" t="str">
        <f>'Nível 1-Resumo total'!E26</f>
        <v>Presente?</v>
      </c>
    </row>
    <row r="27" spans="1:5" ht="17.25" customHeight="1">
      <c r="A27" s="394" t="str">
        <f>'Range-thresholds'!A28</f>
        <v>Produção de outros materiais</v>
      </c>
      <c r="B27" s="303"/>
      <c r="C27" s="303"/>
      <c r="D27" s="371"/>
      <c r="E27" s="371"/>
    </row>
    <row r="28" spans="1:5">
      <c r="A28" s="265" t="str">
        <f>'Range-thresholds'!A29</f>
        <v>Produção de cimento</v>
      </c>
      <c r="B28" s="270" t="str">
        <f>IF(OR('Passo3-Metais-MatPrima'!B16=yes,'Passo3-Metais-MatPrima'!B16=no,'Passo3-Metais-MatPrima'!B16=que),'Passo3-Metais-MatPrima'!B16,  pres)</f>
        <v>Presente?</v>
      </c>
      <c r="C28" s="429">
        <f>'Nível 1-Resumo total'!C28</f>
        <v>0</v>
      </c>
      <c r="D28" s="265" t="str">
        <f>'Passo3-Metais-MatPrima'!D16</f>
        <v>Cimento produzido, t/ano</v>
      </c>
      <c r="E28" s="429" t="str">
        <f>'Nível 1-Resumo total'!E28</f>
        <v>Presente?</v>
      </c>
    </row>
    <row r="29" spans="1:5">
      <c r="A29" s="265" t="str">
        <f>'Range-thresholds'!A30</f>
        <v>Produção de papel e celulose</v>
      </c>
      <c r="B29" s="270" t="str">
        <f>IF(OR('Passo3-Metais-MatPrima'!B17=yes,'Passo3-Metais-MatPrima'!B17=no,'Passo3-Metais-MatPrima'!B17=que),'Passo3-Metais-MatPrima'!B17,  pres)</f>
        <v>Presente?</v>
      </c>
      <c r="C29" s="429">
        <f>'Nível 1-Resumo total'!C29</f>
        <v>0</v>
      </c>
      <c r="D29" s="265" t="str">
        <f>'Passo3-Metais-MatPrima'!D17</f>
        <v>Biomassa utilizada na produção, t/ano</v>
      </c>
      <c r="E29" s="429" t="str">
        <f>'Nível 1-Resumo total'!E29</f>
        <v>Presente?</v>
      </c>
    </row>
    <row r="30" spans="1:5">
      <c r="A30" s="394" t="str">
        <f>'Range-thresholds'!A31</f>
        <v>Produção de produtos químicos</v>
      </c>
      <c r="B30" s="303"/>
      <c r="C30" s="303"/>
      <c r="D30" s="304"/>
      <c r="E30" s="304"/>
    </row>
    <row r="31" spans="1:5">
      <c r="A31" s="265" t="str">
        <f>'Range-thresholds'!A32</f>
        <v>Produção de cloro e álcalis com células de mercúrio</v>
      </c>
      <c r="B31" s="270" t="str">
        <f>IF(OR('Passo4-Uso Industrial de Hg'!B5=yes,'Passo4-Uso Industrial de Hg'!B5=no,'Passo4-Uso Industrial de Hg'!B5=que),'Passo4-Uso Industrial de Hg'!B5,  pres)</f>
        <v>Presente?</v>
      </c>
      <c r="C31" s="429">
        <f>'Nível 1-Resumo total'!C31</f>
        <v>0</v>
      </c>
      <c r="D31" s="273" t="str">
        <f>'Passo4-Uso Industrial de Hg'!D5</f>
        <v xml:space="preserve">Cl2 produzido, t/ano </v>
      </c>
      <c r="E31" s="429" t="str">
        <f>'Nível 1-Resumo total'!E31</f>
        <v>Presente?</v>
      </c>
    </row>
    <row r="32" spans="1:5">
      <c r="A32" s="265" t="str">
        <f>'Range-thresholds'!A33</f>
        <v>Produção de VCM com catalisador de mercúrio</v>
      </c>
      <c r="B32" s="270" t="str">
        <f>IF(OR('Passo4-Uso Industrial de Hg'!B6=yes,'Passo4-Uso Industrial de Hg'!B6=no,'Passo4-Uso Industrial de Hg'!B6=que),'Passo4-Uso Industrial de Hg'!B6,  pres)</f>
        <v>Presente?</v>
      </c>
      <c r="C32" s="429">
        <f>'Nível 1-Resumo total'!C32</f>
        <v>0</v>
      </c>
      <c r="D32" s="273" t="str">
        <f>'Passo4-Uso Industrial de Hg'!D6</f>
        <v xml:space="preserve">VCM produzido, t/ano </v>
      </c>
      <c r="E32" s="429" t="str">
        <f>'Nível 1-Resumo total'!E32</f>
        <v>Presente?</v>
      </c>
    </row>
    <row r="33" spans="1:5">
      <c r="A33" s="265" t="str">
        <f>'Range-thresholds'!A34</f>
        <v>Produção de acetaldeído com catalisador de mercúrio</v>
      </c>
      <c r="B33" s="270" t="str">
        <f>IF(OR('Passo4-Uso Industrial de Hg'!B7=yes,'Passo4-Uso Industrial de Hg'!B7=no,'Passo4-Uso Industrial de Hg'!B7=que),'Passo4-Uso Industrial de Hg'!B7,  pres)</f>
        <v>Presente?</v>
      </c>
      <c r="C33" s="429">
        <f>'Nível 1-Resumo total'!C33</f>
        <v>0</v>
      </c>
      <c r="D33" s="273" t="str">
        <f>'Passo4-Uso Industrial de Hg'!D7</f>
        <v>Acetaldeído produzido, t/ano</v>
      </c>
      <c r="E33" s="429" t="str">
        <f>'Nível 1-Resumo total'!E33</f>
        <v>Presente?</v>
      </c>
    </row>
    <row r="34" spans="1:5">
      <c r="A34" s="394" t="str">
        <f>'Range-thresholds'!A35</f>
        <v>Produção de produtos com teor de mercúrio</v>
      </c>
      <c r="B34" s="303"/>
      <c r="C34" s="303"/>
      <c r="D34" s="304"/>
      <c r="E34" s="304"/>
    </row>
    <row r="35" spans="1:5" ht="25.5">
      <c r="A35" s="265" t="str">
        <f>'Range-thresholds'!A36</f>
        <v>Termômetros Hg (medicina, ar, laboratório, industrial etc.)</v>
      </c>
      <c r="B35" s="270" t="str">
        <f>IF(OR('Passo4-Uso Industrial de Hg'!B10=yes,'Passo4-Uso Industrial de Hg'!B10=no,'Passo4-Uso Industrial de Hg'!B10=que),'Passo4-Uso Industrial de Hg'!B10,  pres)</f>
        <v>Presente?</v>
      </c>
      <c r="C35" s="429">
        <f>'Nível 1-Resumo total'!C35</f>
        <v>0</v>
      </c>
      <c r="D35" s="273" t="str">
        <f>'Passo4-Uso Industrial de Hg'!D10</f>
        <v>Mercúrio utilizado para a produção, kg/ano</v>
      </c>
      <c r="E35" s="429" t="str">
        <f>'Nível 1-Resumo total'!E35</f>
        <v>Presente?</v>
      </c>
    </row>
    <row r="36" spans="1:5">
      <c r="A36" s="265" t="str">
        <f>'Range-thresholds'!A37</f>
        <v>Interruptores e relés elétricos com mercúrio</v>
      </c>
      <c r="B36" s="270" t="str">
        <f>IF(OR('Passo4-Uso Industrial de Hg'!B11=yes,'Passo4-Uso Industrial de Hg'!B11=no,'Passo4-Uso Industrial de Hg'!B11=que),'Passo4-Uso Industrial de Hg'!B11,  pres)</f>
        <v>Presente?</v>
      </c>
      <c r="C36" s="429">
        <f>'Nível 1-Resumo total'!C36</f>
        <v>0</v>
      </c>
      <c r="D36" s="273" t="str">
        <f>'Passo4-Uso Industrial de Hg'!D11</f>
        <v>Mercúrio utilizado para a produção, kg/ano</v>
      </c>
      <c r="E36" s="429" t="str">
        <f>'Nível 1-Resumo total'!E36</f>
        <v>Presente?</v>
      </c>
    </row>
    <row r="37" spans="1:5" ht="25.5">
      <c r="A37" s="265" t="str">
        <f>'Range-thresholds'!A38</f>
        <v>Fontes de luz com mercúrio (fluorescentes, fluorescentes compactas e outros. Ver diretrizes)</v>
      </c>
      <c r="B37" s="270" t="str">
        <f>IF(OR('Passo4-Uso Industrial de Hg'!B12=yes,'Passo4-Uso Industrial de Hg'!B12=no,'Passo4-Uso Industrial de Hg'!B12=que),'Passo4-Uso Industrial de Hg'!B12,  pres)</f>
        <v>Presente?</v>
      </c>
      <c r="C37" s="429">
        <f>'Nível 1-Resumo total'!C37</f>
        <v>0</v>
      </c>
      <c r="D37" s="273" t="str">
        <f>'Passo4-Uso Industrial de Hg'!D12</f>
        <v>Mercúrio utilizado para a produção, kg/ano</v>
      </c>
      <c r="E37" s="429" t="str">
        <f>'Nível 1-Resumo total'!E37</f>
        <v>Presente?</v>
      </c>
    </row>
    <row r="38" spans="1:5">
      <c r="A38" s="265" t="str">
        <f>'Range-thresholds'!A39</f>
        <v>Baterias com mercúrio</v>
      </c>
      <c r="B38" s="270" t="str">
        <f>IF(OR('Passo4-Uso Industrial de Hg'!B13=yes,'Passo4-Uso Industrial de Hg'!B13=no,'Passo4-Uso Industrial de Hg'!B13=que),'Passo4-Uso Industrial de Hg'!B13,  pres)</f>
        <v>Presente?</v>
      </c>
      <c r="C38" s="429">
        <f>'Nível 1-Resumo total'!C38</f>
        <v>0</v>
      </c>
      <c r="D38" s="273" t="str">
        <f>'Passo4-Uso Industrial de Hg'!D13</f>
        <v>Mercúrio utilizado para a produção, kg/ano</v>
      </c>
      <c r="E38" s="429" t="str">
        <f>'Nível 1-Resumo total'!E38</f>
        <v>Presente?</v>
      </c>
    </row>
    <row r="39" spans="1:5">
      <c r="A39" s="265" t="str">
        <f>'Range-thresholds'!A40</f>
        <v xml:space="preserve">Manômetros e medidores com mercúrio </v>
      </c>
      <c r="B39" s="270" t="str">
        <f>IF(OR('Passo4-Uso Industrial de Hg'!B14=yes,'Passo4-Uso Industrial de Hg'!B14=no,'Passo4-Uso Industrial de Hg'!B14=que),'Passo4-Uso Industrial de Hg'!B14,  pres)</f>
        <v>Presente?</v>
      </c>
      <c r="C39" s="429">
        <f>'Nível 1-Resumo total'!C39</f>
        <v>0</v>
      </c>
      <c r="D39" s="273" t="str">
        <f>'Passo4-Uso Industrial de Hg'!D14</f>
        <v>Mercúrio utilizado para a produção, kg/ano</v>
      </c>
      <c r="E39" s="429" t="str">
        <f>'Nível 1-Resumo total'!E39</f>
        <v>Presente?</v>
      </c>
    </row>
    <row r="40" spans="1:5">
      <c r="A40" s="265" t="str">
        <f>'Range-thresholds'!A41</f>
        <v>Biocidas e pesticidas com mercúrio</v>
      </c>
      <c r="B40" s="270" t="str">
        <f>IF(OR('Passo4-Uso Industrial de Hg'!B15=yes,'Passo4-Uso Industrial de Hg'!B15=no,'Passo4-Uso Industrial de Hg'!B15=que),'Passo4-Uso Industrial de Hg'!B15,  pres)</f>
        <v>Presente?</v>
      </c>
      <c r="C40" s="429">
        <f>'Nível 1-Resumo total'!C40</f>
        <v>0</v>
      </c>
      <c r="D40" s="273" t="str">
        <f>'Passo4-Uso Industrial de Hg'!D15</f>
        <v>Mercúrio utilizado para a produção, kg/ano</v>
      </c>
      <c r="E40" s="429" t="str">
        <f>'Nível 1-Resumo total'!E40</f>
        <v>Presente?</v>
      </c>
    </row>
    <row r="41" spans="1:5">
      <c r="A41" s="265" t="str">
        <f>'Range-thresholds'!A42</f>
        <v xml:space="preserve">Tintas com mercúrio </v>
      </c>
      <c r="B41" s="270" t="str">
        <f>IF(OR('Passo4-Uso Industrial de Hg'!B16=yes,'Passo4-Uso Industrial de Hg'!B16=no,'Passo4-Uso Industrial de Hg'!B16=que),'Passo4-Uso Industrial de Hg'!B16,  pres)</f>
        <v>Presente?</v>
      </c>
      <c r="C41" s="429">
        <f>'Nível 1-Resumo total'!C41</f>
        <v>0</v>
      </c>
      <c r="D41" s="273" t="str">
        <f>'Passo4-Uso Industrial de Hg'!D16</f>
        <v>Mercúrio utilizado para a produção, kg/ano</v>
      </c>
      <c r="E41" s="429" t="str">
        <f>'Nível 1-Resumo total'!E41</f>
        <v>Presente?</v>
      </c>
    </row>
    <row r="42" spans="1:5" ht="25.5">
      <c r="A42" s="265" t="str">
        <f>'Range-thresholds'!A43</f>
        <v xml:space="preserve">Cremes para clareamento de pele e sabonetes com substâncias químicas do mercúrio </v>
      </c>
      <c r="B42" s="270" t="str">
        <f>IF(OR('Passo4-Uso Industrial de Hg'!B17=yes,'Passo4-Uso Industrial de Hg'!B17=no,'Passo4-Uso Industrial de Hg'!B17=que),'Passo4-Uso Industrial de Hg'!B17,  pres)</f>
        <v>Presente?</v>
      </c>
      <c r="C42" s="429">
        <f>'Nível 1-Resumo total'!C42</f>
        <v>0</v>
      </c>
      <c r="D42" s="273" t="str">
        <f>'Passo4-Uso Industrial de Hg'!D17</f>
        <v>Mercúrio utilizado para a produção, kg/ano</v>
      </c>
      <c r="E42" s="429" t="str">
        <f>'Nível 1-Resumo total'!E42</f>
        <v>Presente?</v>
      </c>
    </row>
    <row r="43" spans="1:5" ht="16.5" customHeight="1">
      <c r="A43" s="394" t="str">
        <f>'Range-thresholds'!A44</f>
        <v>Utilização e destinação de produtos com teores de mercúrio</v>
      </c>
      <c r="B43" s="303"/>
      <c r="C43" s="303"/>
      <c r="D43" s="371"/>
      <c r="E43" s="371"/>
    </row>
    <row r="44" spans="1:5">
      <c r="A44" s="265" t="str">
        <f>'Range-thresholds'!A45</f>
        <v>Amálgama dental</v>
      </c>
      <c r="B44" s="270" t="str">
        <f>IF(OR('Passo6-Produtos-Substâncias Hg'!B7=yes,'Passo6-Produtos-Substâncias Hg'!B7=no,'Passo6-Produtos-Substâncias Hg'!B7=que),'Passo6-Produtos-Substâncias Hg'!B7,  pres)</f>
        <v>Presente?</v>
      </c>
      <c r="C44" s="429">
        <f>'Nível 1-Resumo total'!C44</f>
        <v>0</v>
      </c>
      <c r="D44" s="424" t="str">
        <f>'Passo6-Produtos-Substâncias Hg'!D8</f>
        <v>Número de habitantes</v>
      </c>
      <c r="E44" s="429" t="str">
        <f>'Nível 1-Resumo total'!E44</f>
        <v>Presente?</v>
      </c>
    </row>
    <row r="45" spans="1:5">
      <c r="A45" s="265" t="str">
        <f>'Range-thresholds'!A46</f>
        <v>Termômetros</v>
      </c>
      <c r="B45" s="270" t="str">
        <f>IF(OR('Passo6-Produtos-Substâncias Hg'!B13=yes,'Passo6-Produtos-Substâncias Hg'!B13=no,'Passo6-Produtos-Substâncias Hg'!B13=que),'Passo6-Produtos-Substâncias Hg'!B13,  pres)</f>
        <v>Presente?</v>
      </c>
      <c r="C45" s="429">
        <f>'Nível 1-Resumo total'!C45</f>
        <v>0</v>
      </c>
      <c r="D45" s="424" t="str">
        <f>'Passo6-Produtos-Substâncias Hg'!D14</f>
        <v>Itens vendidos/ano</v>
      </c>
      <c r="E45" s="429" t="str">
        <f>'Nível 1-Resumo total'!E45</f>
        <v>Presente?</v>
      </c>
    </row>
    <row r="46" spans="1:5">
      <c r="A46" s="265" t="str">
        <f>'Range-thresholds'!A47</f>
        <v>Interruptores e relés elétricos com mercúrio</v>
      </c>
      <c r="B46" s="270" t="str">
        <f>IF(OR('Passo6-Produtos-Substâncias Hg'!B18=yes,'Passo6-Produtos-Substâncias Hg'!B18=no,'Passo6-Produtos-Substâncias Hg'!B18=que),'Passo6-Produtos-Substâncias Hg'!B18,  pres)</f>
        <v>Presente?</v>
      </c>
      <c r="C46" s="429">
        <f>'Nível 1-Resumo total'!C46</f>
        <v>0</v>
      </c>
      <c r="D46" s="273" t="str">
        <f>'Passo6-Produtos-Substâncias Hg'!D18</f>
        <v>Número de habitantes</v>
      </c>
      <c r="E46" s="429" t="str">
        <f>'Nível 1-Resumo total'!E46</f>
        <v>Presente?</v>
      </c>
    </row>
    <row r="47" spans="1:5">
      <c r="A47" s="265" t="str">
        <f>'Range-thresholds'!A48</f>
        <v>Fontes de luz com mercúrio</v>
      </c>
      <c r="B47" s="270" t="str">
        <f>IF(OR('Passo6-Produtos-Substâncias Hg'!B21=yes,'Passo6-Produtos-Substâncias Hg'!B21=no,'Passo6-Produtos-Substâncias Hg'!B21=que),'Passo6-Produtos-Substâncias Hg'!B21,  pres)</f>
        <v>Presente?</v>
      </c>
      <c r="C47" s="429">
        <f>'Nível 1-Resumo total'!C47</f>
        <v>0</v>
      </c>
      <c r="D47" s="273" t="str">
        <f>'Passo6-Produtos-Substâncias Hg'!D21</f>
        <v>Itens vendidos/ano</v>
      </c>
      <c r="E47" s="429" t="str">
        <f>'Nível 1-Resumo total'!E47</f>
        <v>Presente?</v>
      </c>
    </row>
    <row r="48" spans="1:5">
      <c r="A48" s="367" t="str">
        <f>'Range-thresholds'!A49</f>
        <v>Baterias com mercúrio</v>
      </c>
      <c r="B48" s="270" t="str">
        <f>IF(OR('Passo6-Produtos-Substâncias Hg'!B26=yes,'Passo6-Produtos-Substâncias Hg'!B26=no,'Passo6-Produtos-Substâncias Hg'!B26=que),'Passo6-Produtos-Substâncias Hg'!B26,  pres)</f>
        <v>Presente?</v>
      </c>
      <c r="C48" s="429">
        <f>'Nível 1-Resumo total'!C48</f>
        <v>0</v>
      </c>
      <c r="D48" s="273" t="str">
        <f>'Passo6-Produtos-Substâncias Hg'!D26</f>
        <v>Toneladas de baterias vendidas/ano</v>
      </c>
      <c r="E48" s="429" t="str">
        <f>'Nível 1-Resumo total'!E48</f>
        <v>Presente?</v>
      </c>
    </row>
    <row r="49" spans="1:5" ht="25.5">
      <c r="A49" s="265" t="str">
        <f>'Range-thresholds'!A50</f>
        <v>Poliuretano (PU, PUR) produzido com catalisador de mercúrio</v>
      </c>
      <c r="B49" s="270" t="str">
        <f>IF(OR('Passo6-Produtos-Substâncias Hg'!B31=yes,'Passo6-Produtos-Substâncias Hg'!B31=no,'Passo6-Produtos-Substâncias Hg'!B31=que),'Passo6-Produtos-Substâncias Hg'!B31,  pres)</f>
        <v>Presente?</v>
      </c>
      <c r="C49" s="429">
        <f>'Nível 1-Resumo total'!C49</f>
        <v>0</v>
      </c>
      <c r="D49" s="273" t="str">
        <f>'Passo6-Produtos-Substâncias Hg'!D31</f>
        <v>Número de habitantes</v>
      </c>
      <c r="E49" s="429" t="str">
        <f>'Nível 1-Resumo total'!E49</f>
        <v>Presente?</v>
      </c>
    </row>
    <row r="50" spans="1:5">
      <c r="A50" s="265" t="str">
        <f>'Range-thresholds'!A51</f>
        <v>Tintas com conservantes de mercúrio</v>
      </c>
      <c r="B50" s="270" t="str">
        <f>IF(OR('Passo6-Produtos-Substâncias Hg'!B34=yes,'Passo6-Produtos-Substâncias Hg'!B34=no,'Passo6-Produtos-Substâncias Hg'!B34=que),'Passo6-Produtos-Substâncias Hg'!B34,  pres)</f>
        <v>Presente?</v>
      </c>
      <c r="C50" s="429">
        <f>'Nível 1-Resumo total'!C50</f>
        <v>0</v>
      </c>
      <c r="D50" s="273" t="str">
        <f>'Passo6-Produtos-Substâncias Hg'!D34</f>
        <v>Tinta vendida, t/ano</v>
      </c>
      <c r="E50" s="429" t="str">
        <f>'Nível 1-Resumo total'!E50</f>
        <v>Presente?</v>
      </c>
    </row>
    <row r="51" spans="1:5" ht="25.5">
      <c r="A51" s="265" t="str">
        <f>'Range-thresholds'!A52</f>
        <v>Cremes para clareamento de pele e sabonetes com substâncias químicas do mercúrio</v>
      </c>
      <c r="B51" s="270" t="str">
        <f>IF(OR('Passo6-Produtos-Substâncias Hg'!B36=yes,'Passo6-Produtos-Substâncias Hg'!B36=no,'Passo6-Produtos-Substâncias Hg'!B36=que),'Passo6-Produtos-Substâncias Hg'!B36,  pres)</f>
        <v>S</v>
      </c>
      <c r="C51" s="429">
        <f>'Nível 1-Resumo total'!C51</f>
        <v>0</v>
      </c>
      <c r="D51" s="273" t="str">
        <f>'Passo6-Produtos-Substâncias Hg'!D36</f>
        <v>Creme e sabonete vendidos, t/ano</v>
      </c>
      <c r="E51" s="429">
        <f>'Nível 1-Resumo total'!E51</f>
        <v>0</v>
      </c>
    </row>
    <row r="52" spans="1:5" ht="29.25" customHeight="1">
      <c r="A52" s="265" t="str">
        <f>'Range-thresholds'!A53</f>
        <v>Medidores de pressão arterial médicos (esfigmomanômetro com mercúrio)</v>
      </c>
      <c r="B52" s="270" t="str">
        <f>IF(OR('Passo6-Produtos-Substâncias Hg'!B38=yes,'Passo6-Produtos-Substâncias Hg'!B38=no,'Passo6-Produtos-Substâncias Hg'!B38=que),'Passo6-Produtos-Substâncias Hg'!B38,  pres)</f>
        <v>Presente?</v>
      </c>
      <c r="C52" s="429">
        <f>'Nível 1-Resumo total'!C52</f>
        <v>0</v>
      </c>
      <c r="D52" s="273" t="str">
        <f>'Passo6-Produtos-Substâncias Hg'!D38</f>
        <v>Itens vendidos/ano</v>
      </c>
      <c r="E52" s="429" t="str">
        <f>'Nível 1-Resumo total'!E52</f>
        <v>Presente?</v>
      </c>
    </row>
    <row r="53" spans="1:5">
      <c r="A53" s="265" t="str">
        <f>'Range-thresholds'!A54</f>
        <v>Outros manômetros e medidores com mercúrio</v>
      </c>
      <c r="B53" s="270" t="str">
        <f>IF(OR('Passo6-Produtos-Substâncias Hg'!B40=yes,'Passo6-Produtos-Substâncias Hg'!B40=no,'Passo6-Produtos-Substâncias Hg'!B40=que),'Passo6-Produtos-Substâncias Hg'!B40,  pres)</f>
        <v>Presente?</v>
      </c>
      <c r="C53" s="429">
        <f>'Nível 1-Resumo total'!C53</f>
        <v>0</v>
      </c>
      <c r="D53" s="273" t="str">
        <f>'Passo6-Produtos-Substâncias Hg'!D40</f>
        <v>Número de habitantes</v>
      </c>
      <c r="E53" s="429" t="str">
        <f>'Nível 1-Resumo total'!E53</f>
        <v>Presente?</v>
      </c>
    </row>
    <row r="54" spans="1:5">
      <c r="A54" s="265" t="str">
        <f>'Range-thresholds'!A55</f>
        <v>Produtos químicos de laboratório</v>
      </c>
      <c r="B54" s="270" t="str">
        <f>IF(OR('Passo6-Produtos-Substâncias Hg'!B43=yes,'Passo6-Produtos-Substâncias Hg'!B43=no,'Passo6-Produtos-Substâncias Hg'!B43=que),'Passo6-Produtos-Substâncias Hg'!B43,  pres)</f>
        <v>Presente?</v>
      </c>
      <c r="C54" s="429">
        <f>'Nível 1-Resumo total'!C54</f>
        <v>0</v>
      </c>
      <c r="D54" s="273" t="str">
        <f>'Passo6-Produtos-Substâncias Hg'!D43</f>
        <v>Número de habitantes</v>
      </c>
      <c r="E54" s="429" t="str">
        <f>'Nível 1-Resumo total'!E54</f>
        <v>Presente?</v>
      </c>
    </row>
    <row r="55" spans="1:5" ht="25.5">
      <c r="A55" s="265" t="str">
        <f>'Range-thresholds'!A56</f>
        <v>Outros equipamentos laboratoriais e médicos com mercúrio</v>
      </c>
      <c r="B55" s="270" t="str">
        <f>IF(OR('Passo6-Produtos-Substâncias Hg'!B46=yes,'Passo6-Produtos-Substâncias Hg'!B46=no,'Passo6-Produtos-Substâncias Hg'!B46=que),'Passo6-Produtos-Substâncias Hg'!B46,  pres)</f>
        <v>Presente?</v>
      </c>
      <c r="C55" s="429">
        <f>'Nível 1-Resumo total'!C55</f>
        <v>0</v>
      </c>
      <c r="D55" s="273" t="str">
        <f>'Passo6-Produtos-Substâncias Hg'!D46</f>
        <v>Número de habitantes</v>
      </c>
      <c r="E55" s="429" t="str">
        <f>'Nível 1-Resumo total'!E55</f>
        <v>Presente?</v>
      </c>
    </row>
    <row r="56" spans="1:5">
      <c r="A56" s="394" t="str">
        <f>'Range-thresholds'!A57</f>
        <v>Produção de metais reciclados</v>
      </c>
      <c r="B56" s="303"/>
      <c r="C56" s="303"/>
      <c r="D56" s="371"/>
      <c r="E56" s="371"/>
    </row>
    <row r="57" spans="1:5" ht="25.5">
      <c r="A57" s="265" t="str">
        <f>'Range-thresholds'!A58</f>
        <v>Produção de mercúrio reciclado ("produção secundária")</v>
      </c>
      <c r="B57" s="270" t="str">
        <f>IF(OR('Passo5-TratResíduos+Reciclágem'!B9=yes,'Passo5-TratResíduos+Reciclágem'!B9=no,'Passo5-TratResíduos+Reciclágem'!B9=que),'Passo5-TratResíduos+Reciclágem'!B9,  pres)</f>
        <v>Presente?</v>
      </c>
      <c r="C57" s="429">
        <f>'Nível 1-Resumo total'!C57</f>
        <v>0</v>
      </c>
      <c r="D57" s="273" t="str">
        <f>'Passo5-TratResíduos+Reciclágem'!D9</f>
        <v>Mercúrio produzido kg/ano</v>
      </c>
      <c r="E57" s="429" t="str">
        <f>'Nível 1-Resumo total'!E57</f>
        <v>Presente?</v>
      </c>
    </row>
    <row r="58" spans="1:5">
      <c r="A58" s="265" t="str">
        <f>'Range-thresholds'!A59</f>
        <v>Produção de metais ferrosos reciclados (ferro e aço)</v>
      </c>
      <c r="B58" s="270" t="str">
        <f>IF(OR('Passo5-TratResíduos+Reciclágem'!B10=yes,'Passo5-TratResíduos+Reciclágem'!B10=no,'Passo5-TratResíduos+Reciclágem'!B10=que),'Passo5-TratResíduos+Reciclágem'!B10,  pres)</f>
        <v>Presente?</v>
      </c>
      <c r="C58" s="429">
        <f>'Nível 1-Resumo total'!C58</f>
        <v>0</v>
      </c>
      <c r="D58" s="273" t="str">
        <f>'Passo5-TratResíduos+Reciclágem'!D10</f>
        <v>Número de veículos reciclado/ano</v>
      </c>
      <c r="E58" s="429" t="str">
        <f>'Nível 1-Resumo total'!E58</f>
        <v>Presente?</v>
      </c>
    </row>
    <row r="59" spans="1:5">
      <c r="A59" s="394" t="str">
        <f>'Range-thresholds'!A60</f>
        <v>Incineração de resíduos</v>
      </c>
      <c r="B59" s="303"/>
      <c r="C59" s="303"/>
      <c r="D59" s="371"/>
      <c r="E59" s="371"/>
    </row>
    <row r="60" spans="1:5">
      <c r="A60" s="265" t="str">
        <f>'Range-thresholds'!A61</f>
        <v>Incineração de resíduos municipais/em geral</v>
      </c>
      <c r="B60" s="270" t="str">
        <f>IF(OR('Passo5-TratResíduos+Reciclágem'!B13=yes,'Passo5-TratResíduos+Reciclágem'!B13=no,'Passo5-TratResíduos+Reciclágem'!B13=que),'Passo5-TratResíduos+Reciclágem'!B13,  pres)</f>
        <v>Presente?</v>
      </c>
      <c r="C60" s="429">
        <f>'Nível 1-Resumo total'!C60</f>
        <v>0</v>
      </c>
      <c r="D60" s="273" t="str">
        <f>'Passo5-TratResíduos+Reciclágem'!D13</f>
        <v>Resíduos incinerados, t/ano</v>
      </c>
      <c r="E60" s="429" t="str">
        <f>'Nível 1-Resumo total'!E60</f>
        <v>Presente?</v>
      </c>
    </row>
    <row r="61" spans="1:5">
      <c r="A61" s="265" t="str">
        <f>'Range-thresholds'!A62</f>
        <v>Incineração de resíduos perigosos</v>
      </c>
      <c r="B61" s="270" t="str">
        <f>IF(OR('Passo5-TratResíduos+Reciclágem'!B14=yes,'Passo5-TratResíduos+Reciclágem'!B14=no,'Passo5-TratResíduos+Reciclágem'!B14=que),'Passo5-TratResíduos+Reciclágem'!B14,  pres)</f>
        <v>Presente?</v>
      </c>
      <c r="C61" s="429">
        <f>'Nível 1-Resumo total'!C61</f>
        <v>0</v>
      </c>
      <c r="D61" s="273" t="str">
        <f>'Passo5-TratResíduos+Reciclágem'!D14</f>
        <v>Resíduos incinerados, t/ano</v>
      </c>
      <c r="E61" s="429" t="str">
        <f>'Nível 1-Resumo total'!E61</f>
        <v>Presente?</v>
      </c>
    </row>
    <row r="62" spans="1:5">
      <c r="A62" s="265" t="str">
        <f>'Range-thresholds'!A63</f>
        <v>Incineração de resíduos hospitalares</v>
      </c>
      <c r="B62" s="270" t="str">
        <f>IF(OR('Passo5-TratResíduos+Reciclágem'!B15=yes,'Passo5-TratResíduos+Reciclágem'!B15=no,'Passo5-TratResíduos+Reciclágem'!B15=que),'Passo5-TratResíduos+Reciclágem'!B15,  pres)</f>
        <v>Presente?</v>
      </c>
      <c r="C62" s="429">
        <f>'Nível 1-Resumo total'!C62</f>
        <v>0</v>
      </c>
      <c r="D62" s="273" t="str">
        <f>'Passo5-TratResíduos+Reciclágem'!D15</f>
        <v>Resíduos incinerados, t/ano</v>
      </c>
      <c r="E62" s="429" t="str">
        <f>'Nível 1-Resumo total'!E62</f>
        <v>Presente?</v>
      </c>
    </row>
    <row r="63" spans="1:5" ht="25.5">
      <c r="A63" s="265" t="str">
        <f>'Range-thresholds'!A64</f>
        <v>Incineração de lodo de estações de tratamento de efluente</v>
      </c>
      <c r="B63" s="270" t="str">
        <f>IF(OR('Passo5-TratResíduos+Reciclágem'!B16=yes,'Passo5-TratResíduos+Reciclágem'!B16=no,'Passo5-TratResíduos+Reciclágem'!B16=que),'Passo5-TratResíduos+Reciclágem'!B16,  pres)</f>
        <v>Presente?</v>
      </c>
      <c r="C63" s="429">
        <f>'Nível 1-Resumo total'!C63</f>
        <v>0</v>
      </c>
      <c r="D63" s="273" t="str">
        <f>'Passo5-TratResíduos+Reciclágem'!D16</f>
        <v>Resíduos incinerados, t/ano</v>
      </c>
      <c r="E63" s="429" t="str">
        <f>'Nível 1-Resumo total'!E63</f>
        <v>Presente?</v>
      </c>
    </row>
    <row r="64" spans="1:5">
      <c r="A64" s="265" t="str">
        <f>'Range-thresholds'!A65</f>
        <v>Incineração de resíduos ao ar livre (informalmente)</v>
      </c>
      <c r="B64" s="270" t="str">
        <f>IF(OR('Passo5-TratResíduos+Reciclágem'!B17=yes,'Passo5-TratResíduos+Reciclágem'!B17=no,'Passo5-TratResíduos+Reciclágem'!B17=que),'Passo5-TratResíduos+Reciclágem'!B17,  pres)</f>
        <v>Presente?</v>
      </c>
      <c r="C64" s="429">
        <f>'Nível 1-Resumo total'!C64</f>
        <v>0</v>
      </c>
      <c r="D64" s="273" t="str">
        <f>'Passo5-TratResíduos+Reciclágem'!D17</f>
        <v>Resíduos queimados t/ano</v>
      </c>
      <c r="E64" s="429" t="str">
        <f>'Nível 1-Resumo total'!E64</f>
        <v>Presente?</v>
      </c>
    </row>
    <row r="65" spans="1:5" ht="25.5">
      <c r="A65" s="394" t="str">
        <f>'Range-thresholds'!A66</f>
        <v>Deposição de resíduos /aterros e tratamento de águas residuais</v>
      </c>
      <c r="B65" s="303"/>
      <c r="C65" s="303"/>
      <c r="D65" s="371"/>
      <c r="E65" s="371"/>
    </row>
    <row r="66" spans="1:5">
      <c r="A66" s="367" t="str">
        <f>'Range-thresholds'!A67</f>
        <v>Aterros/depósitos controlados</v>
      </c>
      <c r="B66" s="270" t="str">
        <f>IF(OR('Passo5-TratResíduos+Reciclágem'!B20=yes,'Passo5-TratResíduos+Reciclágem'!B20=no,'Passo5-TratResíduos+Reciclágem'!B20=que),'Passo5-TratResíduos+Reciclágem'!B20,  pres)</f>
        <v>Presente?</v>
      </c>
      <c r="C66" s="429">
        <f>'Nível 1-Resumo total'!C66</f>
        <v>0</v>
      </c>
      <c r="D66" s="273" t="str">
        <f>'Passo5-TratResíduos+Reciclágem'!D20</f>
        <v>Resíduos em aterro, t/ano</v>
      </c>
      <c r="E66" s="429" t="str">
        <f>'Nível 1-Resumo total'!E66</f>
        <v>Presente?</v>
      </c>
    </row>
    <row r="67" spans="1:5">
      <c r="A67" s="367" t="str">
        <f>'Range-thresholds'!A68</f>
        <v>Destinação informal de resíduos em geral *1</v>
      </c>
      <c r="B67" s="270" t="str">
        <f>IF(OR('Passo5-TratResíduos+Reciclágem'!B21=yes,'Passo5-TratResíduos+Reciclágem'!B21=no,'Passo5-TratResíduos+Reciclágem'!B21=que),'Passo5-TratResíduos+Reciclágem'!B21,  pres)</f>
        <v>Presente?</v>
      </c>
      <c r="C67" s="429">
        <f>'Nível 1-Resumo total'!C67</f>
        <v>0</v>
      </c>
      <c r="D67" s="273" t="str">
        <f>'Passo5-TratResíduos+Reciclágem'!D21</f>
        <v>Resíduos eliminados, t/ano</v>
      </c>
      <c r="E67" s="429" t="str">
        <f>'Nível 1-Resumo total'!E67</f>
        <v>Presente?</v>
      </c>
    </row>
    <row r="68" spans="1:5">
      <c r="A68" s="367" t="str">
        <f>'Range-thresholds'!A69</f>
        <v>Sistemas/tratamentos de águas residuais</v>
      </c>
      <c r="B68" s="270" t="str">
        <f>IF(OR('Passo5-TratResíduos+Reciclágem'!B23=yes,'Passo5-TratResíduos+Reciclágem'!B23=no,'Passo5-TratResíduos+Reciclágem'!B23=que),'Passo5-TratResíduos+Reciclágem'!B23,  pres)</f>
        <v>Presente?</v>
      </c>
      <c r="C68" s="429">
        <f>'Nível 1-Resumo total'!C68</f>
        <v>0</v>
      </c>
      <c r="D68" s="273" t="str">
        <f>'Passo5-TratResíduos+Reciclágem'!D23</f>
        <v xml:space="preserve">Águas residuais, m3/ano </v>
      </c>
      <c r="E68" s="429" t="str">
        <f>'Nível 1-Resumo total'!E68</f>
        <v>Presente?</v>
      </c>
    </row>
    <row r="69" spans="1:5">
      <c r="A69" s="394" t="str">
        <f>'Range-thresholds'!A70</f>
        <v>Crematórios e cemitérios</v>
      </c>
      <c r="B69" s="303"/>
      <c r="C69" s="303"/>
      <c r="D69" s="371"/>
      <c r="E69" s="371"/>
    </row>
    <row r="70" spans="1:5">
      <c r="A70" s="265" t="str">
        <f>'Range-thresholds'!A71</f>
        <v>Crematórios</v>
      </c>
      <c r="B70" s="270" t="str">
        <f>IF(OR('Passo7-Crematórios-cemitérios'!B5=yes,'Passo7-Crematórios-cemitérios'!B5=no,'Passo7-Crematórios-cemitérios'!B5=que),'Passo7-Crematórios-cemitérios'!B5,  pres)</f>
        <v>S</v>
      </c>
      <c r="C70" s="429">
        <f>'Nível 1-Resumo total'!C70</f>
        <v>0</v>
      </c>
      <c r="D70" s="273" t="str">
        <f>'Passo7-Crematórios-cemitérios'!D5</f>
        <v>Cadáveres cremados/ano</v>
      </c>
      <c r="E70" s="429">
        <f>'Nível 1-Resumo total'!E70</f>
        <v>0</v>
      </c>
    </row>
    <row r="71" spans="1:5">
      <c r="A71" s="265" t="str">
        <f>'Range-thresholds'!A72</f>
        <v>Cemitérios</v>
      </c>
      <c r="B71" s="270" t="str">
        <f>IF(OR('Passo7-Crematórios-cemitérios'!B6=yes,'Passo7-Crematórios-cemitérios'!B6=no,'Passo7-Crematórios-cemitérios'!B6=que),'Passo7-Crematórios-cemitérios'!B6,  pres)</f>
        <v>Presente?</v>
      </c>
      <c r="C71" s="429">
        <f>'Nível 1-Resumo total'!C71</f>
        <v>0</v>
      </c>
      <c r="D71" s="273" t="str">
        <f>'Passo7-Crematórios-cemitérios'!D6</f>
        <v>Cadáveres enterrados/ano</v>
      </c>
      <c r="E71" s="429" t="str">
        <f>'Nível 1-Resumo total'!E71</f>
        <v>Presente?</v>
      </c>
    </row>
    <row r="72" spans="1:5" s="355" customFormat="1">
      <c r="A72" s="267" t="s">
        <v>995</v>
      </c>
      <c r="B72" s="431"/>
      <c r="C72" s="432"/>
      <c r="D72" s="374"/>
      <c r="E72" s="557" t="e">
        <f>'Nível 1-Resumo total'!E72</f>
        <v>#VALUE!</v>
      </c>
    </row>
    <row r="73" spans="1:5">
      <c r="A73" s="625" t="s">
        <v>788</v>
      </c>
    </row>
    <row r="74" spans="1:5">
      <c r="A74" s="625" t="s">
        <v>1081</v>
      </c>
    </row>
    <row r="75" spans="1:5">
      <c r="A75" s="340" t="s">
        <v>1057</v>
      </c>
    </row>
    <row r="76" spans="1:5">
      <c r="A76" s="340" t="s">
        <v>996</v>
      </c>
      <c r="B76" s="340"/>
    </row>
    <row r="77" spans="1:5">
      <c r="A77" s="340" t="s">
        <v>1050</v>
      </c>
      <c r="B77" s="340"/>
    </row>
    <row r="78" spans="1:5">
      <c r="A78" s="625" t="s">
        <v>1082</v>
      </c>
      <c r="B78" s="340"/>
    </row>
    <row r="79" spans="1:5">
      <c r="A79" s="625" t="s">
        <v>1047</v>
      </c>
      <c r="B79" s="340"/>
    </row>
    <row r="80" spans="1:5">
      <c r="A80" s="625" t="s">
        <v>1048</v>
      </c>
    </row>
  </sheetData>
  <pageMargins left="0.39370078740157483" right="0.39370078740157483" top="0.74803149606299213" bottom="0.74803149606299213" header="0.31496062992125984" footer="0.31496062992125984"/>
  <pageSetup paperSize="9" orientation="landscape" r:id="rId1"/>
  <headerFooter>
    <oddFooter>&amp;L&amp;APrinted &amp;D</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93"/>
  <sheetViews>
    <sheetView topLeftCell="A59" workbookViewId="0">
      <selection activeCell="A65" sqref="A65"/>
    </sheetView>
  </sheetViews>
  <sheetFormatPr defaultRowHeight="12.75"/>
  <cols>
    <col min="1" max="1" width="46.85546875" style="340" customWidth="1"/>
    <col min="2" max="2" width="12.85546875" style="340" customWidth="1"/>
    <col min="3" max="6" width="11.7109375" style="340" customWidth="1"/>
    <col min="7" max="7" width="16.140625" style="340" customWidth="1"/>
    <col min="8" max="16384" width="9.140625" style="340"/>
  </cols>
  <sheetData>
    <row r="1" spans="1:7">
      <c r="A1" s="355" t="s">
        <v>999</v>
      </c>
    </row>
    <row r="2" spans="1:7" s="360" customFormat="1">
      <c r="A2" s="265" t="s">
        <v>775</v>
      </c>
      <c r="B2" s="743" t="s">
        <v>779</v>
      </c>
      <c r="C2" s="744"/>
      <c r="D2" s="744"/>
      <c r="E2" s="744"/>
      <c r="F2" s="744"/>
      <c r="G2" s="745"/>
    </row>
    <row r="3" spans="1:7" ht="38.25">
      <c r="A3" s="419"/>
      <c r="B3" s="723" t="s">
        <v>784</v>
      </c>
      <c r="C3" s="723" t="s">
        <v>785</v>
      </c>
      <c r="D3" s="723" t="s">
        <v>786</v>
      </c>
      <c r="E3" s="700" t="s">
        <v>787</v>
      </c>
      <c r="F3" s="700" t="s">
        <v>1062</v>
      </c>
      <c r="G3" s="700" t="s">
        <v>1066</v>
      </c>
    </row>
    <row r="4" spans="1:7">
      <c r="A4" s="394" t="str">
        <f>'Passo2-Energia'!A4</f>
        <v>Consumo de energia</v>
      </c>
      <c r="B4" s="364"/>
      <c r="C4" s="364"/>
      <c r="D4" s="364"/>
      <c r="E4" s="308"/>
      <c r="F4" s="308"/>
      <c r="G4" s="308"/>
    </row>
    <row r="5" spans="1:7">
      <c r="A5" s="265" t="str">
        <f>'Passo2-Energia'!A5</f>
        <v>Combustão de carvão em grandes termoelétricas</v>
      </c>
      <c r="B5" s="430" t="str">
        <f>'Nível 1-Resumo total'!F5</f>
        <v>Presente?</v>
      </c>
      <c r="C5" s="430" t="str">
        <f>'Nível 1-Resumo total'!G5</f>
        <v>Presente?</v>
      </c>
      <c r="D5" s="430" t="str">
        <f>'Nível 1-Resumo total'!H5</f>
        <v>Presente?</v>
      </c>
      <c r="E5" s="430" t="str">
        <f>'Nível 1-Resumo total'!I5</f>
        <v>Presente?</v>
      </c>
      <c r="F5" s="430" t="str">
        <f>'Nível 1-Resumo total'!J5</f>
        <v>Presente?</v>
      </c>
      <c r="G5" s="430" t="str">
        <f>'Nível 1-Resumo total'!K5</f>
        <v>Presente?</v>
      </c>
    </row>
    <row r="6" spans="1:7">
      <c r="A6" s="265" t="str">
        <f>'Passo2-Energia'!A6</f>
        <v>Outros usos de carvão</v>
      </c>
      <c r="B6" s="430" t="str">
        <f>'Nível 1-Resumo total'!F6</f>
        <v>Presente?</v>
      </c>
      <c r="C6" s="430" t="str">
        <f>'Nível 1-Resumo total'!G6</f>
        <v>Presente?</v>
      </c>
      <c r="D6" s="430" t="str">
        <f>'Nível 1-Resumo total'!H6</f>
        <v>Presente?</v>
      </c>
      <c r="E6" s="430" t="str">
        <f>'Nível 1-Resumo total'!I6</f>
        <v>Presente?</v>
      </c>
      <c r="F6" s="430" t="str">
        <f>'Nível 1-Resumo total'!J6</f>
        <v>Presente?</v>
      </c>
      <c r="G6" s="430" t="str">
        <f>'Nível 1-Resumo total'!K6</f>
        <v>Presente?</v>
      </c>
    </row>
    <row r="7" spans="1:7">
      <c r="A7" s="265" t="b">
        <f>A1='Passo2-Energia'!A7</f>
        <v>0</v>
      </c>
      <c r="B7" s="430" t="str">
        <f>'Nível 1-Resumo total'!F7</f>
        <v>Presente?</v>
      </c>
      <c r="C7" s="430" t="str">
        <f>'Nível 1-Resumo total'!G7</f>
        <v>Presente?</v>
      </c>
      <c r="D7" s="430" t="str">
        <f>'Nível 1-Resumo total'!H7</f>
        <v>Presente?</v>
      </c>
      <c r="E7" s="430" t="str">
        <f>'Nível 1-Resumo total'!I7</f>
        <v>Presente?</v>
      </c>
      <c r="F7" s="430" t="str">
        <f>'Nível 1-Resumo total'!J7</f>
        <v>Presente?</v>
      </c>
      <c r="G7" s="430" t="str">
        <f>'Nível 1-Resumo total'!K7</f>
        <v>Presente?</v>
      </c>
    </row>
    <row r="8" spans="1:7" ht="15.75" customHeight="1">
      <c r="A8" s="265" t="str">
        <f>'Passo2-Energia'!A8</f>
        <v>Combustão/uso de diesel, gasóleo, petróleo, querosene, GLP e outros destilados leves ou médios</v>
      </c>
      <c r="B8" s="430" t="str">
        <f>'Nível 1-Resumo total'!F8</f>
        <v>Presente?</v>
      </c>
      <c r="C8" s="430" t="str">
        <f>'Nível 1-Resumo total'!G8</f>
        <v>Presente?</v>
      </c>
      <c r="D8" s="430" t="str">
        <f>'Nível 1-Resumo total'!H8</f>
        <v>Presente?</v>
      </c>
      <c r="E8" s="430" t="str">
        <f>'Nível 1-Resumo total'!I8</f>
        <v>Presente?</v>
      </c>
      <c r="F8" s="430" t="str">
        <f>'Nível 1-Resumo total'!J8</f>
        <v>Presente?</v>
      </c>
      <c r="G8" s="430" t="str">
        <f>'Nível 1-Resumo total'!K8</f>
        <v>Presente?</v>
      </c>
    </row>
    <row r="9" spans="1:7" ht="15.75" customHeight="1">
      <c r="A9" s="265" t="str">
        <f>'Passo2-Energia'!A9</f>
        <v>Utilização de gás natural bruto ou limpo</v>
      </c>
      <c r="B9" s="430" t="str">
        <f>'Nível 1-Resumo total'!F9</f>
        <v>Presente?</v>
      </c>
      <c r="C9" s="430" t="str">
        <f>'Nível 1-Resumo total'!G9</f>
        <v>Presente?</v>
      </c>
      <c r="D9" s="430" t="str">
        <f>'Nível 1-Resumo total'!H9</f>
        <v>Presente?</v>
      </c>
      <c r="E9" s="430" t="str">
        <f>'Nível 1-Resumo total'!I9</f>
        <v>Presente?</v>
      </c>
      <c r="F9" s="430" t="str">
        <f>'Nível 1-Resumo total'!J9</f>
        <v>Presente?</v>
      </c>
      <c r="G9" s="430" t="str">
        <f>'Nível 1-Resumo total'!K9</f>
        <v>Presente?</v>
      </c>
    </row>
    <row r="10" spans="1:7" ht="15.75" customHeight="1">
      <c r="A10" s="265" t="str">
        <f>'Passo2-Energia'!A10</f>
        <v>Uso de gás canalizado (qualidade para o consumidor)</v>
      </c>
      <c r="B10" s="430" t="str">
        <f>'Nível 1-Resumo total'!F10</f>
        <v>Presente?</v>
      </c>
      <c r="C10" s="430" t="str">
        <f>'Nível 1-Resumo total'!G10</f>
        <v>Presente?</v>
      </c>
      <c r="D10" s="430" t="str">
        <f>'Nível 1-Resumo total'!H10</f>
        <v>Presente?</v>
      </c>
      <c r="E10" s="430" t="str">
        <f>'Nível 1-Resumo total'!I10</f>
        <v>Presente?</v>
      </c>
      <c r="F10" s="430" t="str">
        <f>'Nível 1-Resumo total'!J10</f>
        <v>Presente?</v>
      </c>
      <c r="G10" s="430" t="str">
        <f>'Nível 1-Resumo total'!K10</f>
        <v>Presente?</v>
      </c>
    </row>
    <row r="11" spans="1:7">
      <c r="A11" s="265" t="str">
        <f>'Passo2-Energia'!A11</f>
        <v>Produção de energia ou aquecimento com biomassa</v>
      </c>
      <c r="B11" s="430" t="str">
        <f>'Nível 1-Resumo total'!F11</f>
        <v>Presente?</v>
      </c>
      <c r="C11" s="430" t="str">
        <f>'Nível 1-Resumo total'!G11</f>
        <v>Presente?</v>
      </c>
      <c r="D11" s="430" t="str">
        <f>'Nível 1-Resumo total'!H11</f>
        <v>Presente?</v>
      </c>
      <c r="E11" s="430" t="str">
        <f>'Nível 1-Resumo total'!I11</f>
        <v>Presente?</v>
      </c>
      <c r="F11" s="430" t="str">
        <f>'Nível 1-Resumo total'!J11</f>
        <v>Presente?</v>
      </c>
      <c r="G11" s="430" t="str">
        <f>'Nível 1-Resumo total'!K11</f>
        <v>Presente?</v>
      </c>
    </row>
    <row r="12" spans="1:7">
      <c r="A12" s="265" t="str">
        <f>'Passo2-Energia'!A12</f>
        <v>Combustão do carvão vegetal</v>
      </c>
      <c r="B12" s="430" t="str">
        <f>'Nível 1-Resumo total'!F12</f>
        <v>Presente?</v>
      </c>
      <c r="C12" s="430" t="str">
        <f>'Nível 1-Resumo total'!G12</f>
        <v>Presente?</v>
      </c>
      <c r="D12" s="430" t="str">
        <f>'Nível 1-Resumo total'!H12</f>
        <v>Presente?</v>
      </c>
      <c r="E12" s="430" t="str">
        <f>'Nível 1-Resumo total'!I12</f>
        <v>Presente?</v>
      </c>
      <c r="F12" s="430" t="str">
        <f>'Nível 1-Resumo total'!J12</f>
        <v>Presente?</v>
      </c>
      <c r="G12" s="430" t="str">
        <f>'Nível 1-Resumo total'!K12</f>
        <v>Presente?</v>
      </c>
    </row>
    <row r="13" spans="1:7">
      <c r="A13" s="394" t="str">
        <f>'Passo2-Energia'!A14</f>
        <v>Produção de combustíveis</v>
      </c>
      <c r="B13" s="364"/>
      <c r="C13" s="364"/>
      <c r="D13" s="364"/>
      <c r="E13" s="308"/>
      <c r="F13" s="308"/>
      <c r="G13" s="308"/>
    </row>
    <row r="14" spans="1:7">
      <c r="A14" s="265" t="str">
        <f>'Passo2-Energia'!A15</f>
        <v>Extração de petróleo</v>
      </c>
      <c r="B14" s="430" t="str">
        <f>'Nível 1-Resumo total'!F14</f>
        <v>Presente?</v>
      </c>
      <c r="C14" s="430" t="str">
        <f>'Nível 1-Resumo total'!G14</f>
        <v>Presente?</v>
      </c>
      <c r="D14" s="430" t="str">
        <f>'Nível 1-Resumo total'!H14</f>
        <v>Presente?</v>
      </c>
      <c r="E14" s="430" t="str">
        <f>'Nível 1-Resumo total'!I14</f>
        <v>Presente?</v>
      </c>
      <c r="F14" s="430" t="str">
        <f>'Nível 1-Resumo total'!J14</f>
        <v>Presente?</v>
      </c>
      <c r="G14" s="430" t="str">
        <f>'Nível 1-Resumo total'!K14</f>
        <v>Presente?</v>
      </c>
    </row>
    <row r="15" spans="1:7">
      <c r="A15" s="265" t="str">
        <f>'Passo2-Energia'!A16</f>
        <v>Refinamento de petróleo</v>
      </c>
      <c r="B15" s="430" t="str">
        <f>'Nível 1-Resumo total'!F15</f>
        <v>Presente?</v>
      </c>
      <c r="C15" s="430" t="str">
        <f>'Nível 1-Resumo total'!G15</f>
        <v>Presente?</v>
      </c>
      <c r="D15" s="430" t="str">
        <f>'Nível 1-Resumo total'!H15</f>
        <v>Presente?</v>
      </c>
      <c r="E15" s="430" t="str">
        <f>'Nível 1-Resumo total'!I15</f>
        <v>Presente?</v>
      </c>
      <c r="F15" s="430" t="str">
        <f>'Nível 1-Resumo total'!J15</f>
        <v>Presente?</v>
      </c>
      <c r="G15" s="430" t="str">
        <f>'Nível 1-Resumo total'!K15</f>
        <v>Presente?</v>
      </c>
    </row>
    <row r="16" spans="1:7">
      <c r="A16" s="265" t="str">
        <f>'Passo2-Energia'!A17</f>
        <v>Extração e processamento de gás natural</v>
      </c>
      <c r="B16" s="430" t="str">
        <f>'Nível 1-Resumo total'!F16</f>
        <v>Presente?</v>
      </c>
      <c r="C16" s="430" t="str">
        <f>'Nível 1-Resumo total'!G16</f>
        <v>Presente?</v>
      </c>
      <c r="D16" s="430" t="str">
        <f>'Nível 1-Resumo total'!H16</f>
        <v>Presente?</v>
      </c>
      <c r="E16" s="430" t="str">
        <f>'Nível 1-Resumo total'!I16</f>
        <v>Presente?</v>
      </c>
      <c r="F16" s="430" t="str">
        <f>'Nível 1-Resumo total'!J16</f>
        <v>Presente?</v>
      </c>
      <c r="G16" s="430" t="str">
        <f>'Nível 1-Resumo total'!K16</f>
        <v>Presente?</v>
      </c>
    </row>
    <row r="17" spans="1:7">
      <c r="A17" s="394" t="str">
        <f>'Passo3-Metais-MatPrima'!A5</f>
        <v>Produção de metais primários</v>
      </c>
      <c r="B17" s="364"/>
      <c r="C17" s="364"/>
      <c r="D17" s="364"/>
      <c r="E17" s="308"/>
      <c r="F17" s="308"/>
      <c r="G17" s="308"/>
    </row>
    <row r="18" spans="1:7" ht="25.5">
      <c r="A18" s="265" t="str">
        <f>'Passo3-Metais-MatPrima'!A6</f>
        <v>Extração e processamento inicial de mercúrio (primário)</v>
      </c>
      <c r="B18" s="430" t="str">
        <f>'Nível 1-Resumo total'!F18</f>
        <v>Presente?</v>
      </c>
      <c r="C18" s="430" t="str">
        <f>'Nível 1-Resumo total'!G18</f>
        <v>Presente?</v>
      </c>
      <c r="D18" s="430" t="str">
        <f>'Nível 1-Resumo total'!H18</f>
        <v>Presente?</v>
      </c>
      <c r="E18" s="430" t="str">
        <f>'Nível 1-Resumo total'!I18</f>
        <v>Presente?</v>
      </c>
      <c r="F18" s="430" t="str">
        <f>'Nível 1-Resumo total'!J18</f>
        <v>Presente?</v>
      </c>
      <c r="G18" s="430" t="str">
        <f>'Nível 1-Resumo total'!K18</f>
        <v>Presente?</v>
      </c>
    </row>
    <row r="19" spans="1:7">
      <c r="A19" s="265" t="str">
        <f>'Passo3-Metais-MatPrima'!A7</f>
        <v>Produção de zinco a partir de concentrados</v>
      </c>
      <c r="B19" s="430" t="str">
        <f>'Nível 1-Resumo total'!F19</f>
        <v>Presente?</v>
      </c>
      <c r="C19" s="430" t="str">
        <f>'Nível 1-Resumo total'!G19</f>
        <v>Presente?</v>
      </c>
      <c r="D19" s="430" t="str">
        <f>'Nível 1-Resumo total'!H19</f>
        <v>Presente?</v>
      </c>
      <c r="E19" s="430" t="str">
        <f>'Nível 1-Resumo total'!I19</f>
        <v>Presente?</v>
      </c>
      <c r="F19" s="430" t="str">
        <f>'Nível 1-Resumo total'!J19</f>
        <v>Presente?</v>
      </c>
      <c r="G19" s="430" t="str">
        <f>'Nível 1-Resumo total'!K19</f>
        <v>Presente?</v>
      </c>
    </row>
    <row r="20" spans="1:7">
      <c r="A20" s="265" t="str">
        <f>'Passo3-Metais-MatPrima'!A8</f>
        <v>Produção de cobre a partir de concentrados</v>
      </c>
      <c r="B20" s="430" t="str">
        <f>'Nível 1-Resumo total'!F20</f>
        <v>Presente?</v>
      </c>
      <c r="C20" s="430" t="str">
        <f>'Nível 1-Resumo total'!G20</f>
        <v>Presente?</v>
      </c>
      <c r="D20" s="430" t="str">
        <f>'Nível 1-Resumo total'!H20</f>
        <v>Presente?</v>
      </c>
      <c r="E20" s="430" t="str">
        <f>'Nível 1-Resumo total'!I20</f>
        <v>Presente?</v>
      </c>
      <c r="F20" s="430" t="str">
        <f>'Nível 1-Resumo total'!J20</f>
        <v>Presente?</v>
      </c>
      <c r="G20" s="430" t="str">
        <f>'Nível 1-Resumo total'!K20</f>
        <v>Presente?</v>
      </c>
    </row>
    <row r="21" spans="1:7">
      <c r="A21" s="265" t="str">
        <f>'Passo3-Metais-MatPrima'!A9</f>
        <v>Produção de chumbo a partir de concentrados</v>
      </c>
      <c r="B21" s="430" t="str">
        <f>'Nível 1-Resumo total'!F21</f>
        <v>Presente?</v>
      </c>
      <c r="C21" s="430" t="str">
        <f>'Nível 1-Resumo total'!G21</f>
        <v>Presente?</v>
      </c>
      <c r="D21" s="430" t="str">
        <f>'Nível 1-Resumo total'!H21</f>
        <v>Presente?</v>
      </c>
      <c r="E21" s="430" t="str">
        <f>'Nível 1-Resumo total'!I21</f>
        <v>Presente?</v>
      </c>
      <c r="F21" s="430" t="str">
        <f>'Nível 1-Resumo total'!J21</f>
        <v>Presente?</v>
      </c>
      <c r="G21" s="430" t="str">
        <f>'Nível 1-Resumo total'!K21</f>
        <v>Presente?</v>
      </c>
    </row>
    <row r="22" spans="1:7" ht="25.5">
      <c r="A22" s="265" t="str">
        <f>'Passo3-Metais-MatPrima'!A10</f>
        <v>Extração de ouro por métodos sem amálgama de mercúrio</v>
      </c>
      <c r="B22" s="430" t="str">
        <f>'Nível 1-Resumo total'!F22</f>
        <v>Presente?</v>
      </c>
      <c r="C22" s="430" t="str">
        <f>'Nível 1-Resumo total'!G22</f>
        <v>Presente?</v>
      </c>
      <c r="D22" s="430" t="str">
        <f>'Nível 1-Resumo total'!H22</f>
        <v>Presente?</v>
      </c>
      <c r="E22" s="430" t="str">
        <f>'Nível 1-Resumo total'!I22</f>
        <v>Presente?</v>
      </c>
      <c r="F22" s="430" t="str">
        <f>'Nível 1-Resumo total'!J22</f>
        <v>Presente?</v>
      </c>
      <c r="G22" s="430" t="str">
        <f>'Nível 1-Resumo total'!K22</f>
        <v>Presente?</v>
      </c>
    </row>
    <row r="23" spans="1:7" ht="16.5" customHeight="1">
      <c r="A23" s="265" t="str">
        <f>'Passo3-Metais-MatPrima'!A11</f>
        <v>Produção de alumina a partir da bauxita (produção de alumínio)</v>
      </c>
      <c r="B23" s="430" t="str">
        <f>'Nível 1-Resumo total'!F23</f>
        <v>Presente?</v>
      </c>
      <c r="C23" s="430" t="str">
        <f>'Nível 1-Resumo total'!G23</f>
        <v>Presente?</v>
      </c>
      <c r="D23" s="430" t="str">
        <f>'Nível 1-Resumo total'!H23</f>
        <v>Presente?</v>
      </c>
      <c r="E23" s="430" t="str">
        <f>'Nível 1-Resumo total'!I23</f>
        <v>Presente?</v>
      </c>
      <c r="F23" s="430" t="str">
        <f>'Nível 1-Resumo total'!J23</f>
        <v>Presente?</v>
      </c>
      <c r="G23" s="430" t="str">
        <f>'Nível 1-Resumo total'!K23</f>
        <v>Presente?</v>
      </c>
    </row>
    <row r="24" spans="1:7" ht="21" customHeight="1">
      <c r="A24" s="265" t="str">
        <f>'Passo3-Metais-MatPrima'!A12</f>
        <v>Produção de metais ferrosos primários (produção de ferro gusa)</v>
      </c>
      <c r="B24" s="430" t="str">
        <f>'Nível 1-Resumo total'!F24</f>
        <v>Presente?</v>
      </c>
      <c r="C24" s="430" t="str">
        <f>'Nível 1-Resumo total'!G24</f>
        <v>Presente?</v>
      </c>
      <c r="D24" s="430" t="str">
        <f>'Nível 1-Resumo total'!H24</f>
        <v>Presente?</v>
      </c>
      <c r="E24" s="430" t="str">
        <f>'Nível 1-Resumo total'!I24</f>
        <v>Presente?</v>
      </c>
      <c r="F24" s="430" t="str">
        <f>'Nível 1-Resumo total'!J24</f>
        <v>Presente?</v>
      </c>
      <c r="G24" s="430" t="str">
        <f>'Nível 1-Resumo total'!K24</f>
        <v>Presente?</v>
      </c>
    </row>
    <row r="25" spans="1:7" ht="25.5">
      <c r="A25" s="265" t="str">
        <f>'Passo3-Metais-MatPrima'!A13</f>
        <v>Extração de ouro com amálgama de mercúrio - sem o uso de retorta</v>
      </c>
      <c r="B25" s="430" t="str">
        <f>'Nível 1-Resumo total'!F25</f>
        <v>Presente?</v>
      </c>
      <c r="C25" s="430" t="str">
        <f>'Nível 1-Resumo total'!G25</f>
        <v>Presente?</v>
      </c>
      <c r="D25" s="430" t="str">
        <f>'Nível 1-Resumo total'!H25</f>
        <v>Presente?</v>
      </c>
      <c r="E25" s="430" t="str">
        <f>'Nível 1-Resumo total'!I25</f>
        <v>Presente?</v>
      </c>
      <c r="F25" s="430" t="str">
        <f>'Nível 1-Resumo total'!J25</f>
        <v>Presente?</v>
      </c>
      <c r="G25" s="430" t="str">
        <f>'Nível 1-Resumo total'!K25</f>
        <v>Presente?</v>
      </c>
    </row>
    <row r="26" spans="1:7" ht="25.5">
      <c r="A26" s="265" t="str">
        <f>'Passo3-Metais-MatPrima'!A14</f>
        <v>Extração de ouro com amálgama de mercúrio - com uso de retortas</v>
      </c>
      <c r="B26" s="430" t="str">
        <f>'Nível 1-Resumo total'!F26</f>
        <v>Presente?</v>
      </c>
      <c r="C26" s="430" t="str">
        <f>'Nível 1-Resumo total'!G26</f>
        <v>Presente?</v>
      </c>
      <c r="D26" s="430" t="str">
        <f>'Nível 1-Resumo total'!H26</f>
        <v>Presente?</v>
      </c>
      <c r="E26" s="430" t="str">
        <f>'Nível 1-Resumo total'!I26</f>
        <v>Presente?</v>
      </c>
      <c r="F26" s="430" t="str">
        <f>'Nível 1-Resumo total'!J26</f>
        <v>Presente?</v>
      </c>
      <c r="G26" s="430" t="str">
        <f>'Nível 1-Resumo total'!K26</f>
        <v>Presente?</v>
      </c>
    </row>
    <row r="27" spans="1:7" ht="17.25" customHeight="1">
      <c r="A27" s="394" t="str">
        <f>'Passo3-Metais-MatPrima'!A15</f>
        <v>Produção de outros materiais</v>
      </c>
      <c r="B27" s="364"/>
      <c r="C27" s="364"/>
      <c r="D27" s="364"/>
      <c r="E27" s="308"/>
      <c r="F27" s="308"/>
      <c r="G27" s="308"/>
    </row>
    <row r="28" spans="1:7">
      <c r="A28" s="265" t="str">
        <f>'Passo3-Metais-MatPrima'!A16</f>
        <v>Produção de cimento</v>
      </c>
      <c r="B28" s="430" t="str">
        <f>'Nível 1-Resumo total'!F28</f>
        <v>Presente?</v>
      </c>
      <c r="C28" s="430" t="str">
        <f>'Nível 1-Resumo total'!G28</f>
        <v>Presente?</v>
      </c>
      <c r="D28" s="430" t="str">
        <f>'Nível 1-Resumo total'!H28</f>
        <v>Presente?</v>
      </c>
      <c r="E28" s="430" t="str">
        <f>'Nível 1-Resumo total'!I28</f>
        <v>Presente?</v>
      </c>
      <c r="F28" s="430" t="str">
        <f>'Nível 1-Resumo total'!J28</f>
        <v>Presente?</v>
      </c>
      <c r="G28" s="430" t="str">
        <f>'Nível 1-Resumo total'!K28</f>
        <v>Presente?</v>
      </c>
    </row>
    <row r="29" spans="1:7">
      <c r="A29" s="265" t="str">
        <f>'Passo3-Metais-MatPrima'!A17</f>
        <v>Produção de papel e celulose</v>
      </c>
      <c r="B29" s="430" t="str">
        <f>'Nível 1-Resumo total'!F29</f>
        <v>Presente?</v>
      </c>
      <c r="C29" s="430" t="str">
        <f>'Nível 1-Resumo total'!G29</f>
        <v>Presente?</v>
      </c>
      <c r="D29" s="430" t="str">
        <f>'Nível 1-Resumo total'!H29</f>
        <v>Presente?</v>
      </c>
      <c r="E29" s="430" t="str">
        <f>'Nível 1-Resumo total'!I29</f>
        <v>Presente?</v>
      </c>
      <c r="F29" s="430" t="str">
        <f>'Nível 1-Resumo total'!J29</f>
        <v>Presente?</v>
      </c>
      <c r="G29" s="430" t="str">
        <f>'Nível 1-Resumo total'!K29</f>
        <v>Presente?</v>
      </c>
    </row>
    <row r="30" spans="1:7">
      <c r="A30" s="394" t="str">
        <f>'Passo4-Uso Industrial de Hg'!A4</f>
        <v>Produção de produtos químicos</v>
      </c>
      <c r="B30" s="364"/>
      <c r="C30" s="364"/>
      <c r="D30" s="364"/>
      <c r="E30" s="308"/>
      <c r="F30" s="308"/>
      <c r="G30" s="308"/>
    </row>
    <row r="31" spans="1:7">
      <c r="A31" s="265" t="str">
        <f>'Passo4-Uso Industrial de Hg'!A5</f>
        <v>Produção de cloro e álcalis com células de mercúrio</v>
      </c>
      <c r="B31" s="430" t="str">
        <f>'Nível 1-Resumo total'!F31</f>
        <v>Presente?</v>
      </c>
      <c r="C31" s="430" t="str">
        <f>'Nível 1-Resumo total'!G31</f>
        <v>Presente?</v>
      </c>
      <c r="D31" s="430" t="str">
        <f>'Nível 1-Resumo total'!H31</f>
        <v>Presente?</v>
      </c>
      <c r="E31" s="430" t="str">
        <f>'Nível 1-Resumo total'!I31</f>
        <v>Presente?</v>
      </c>
      <c r="F31" s="430" t="str">
        <f>'Nível 1-Resumo total'!J31</f>
        <v>Presente?</v>
      </c>
      <c r="G31" s="430" t="str">
        <f>'Nível 1-Resumo total'!K31</f>
        <v>Presente?</v>
      </c>
    </row>
    <row r="32" spans="1:7">
      <c r="A32" s="265" t="str">
        <f>'Passo4-Uso Industrial de Hg'!A6</f>
        <v>Produção de VCM com catalisador de mercúrio</v>
      </c>
      <c r="B32" s="430" t="str">
        <f>'Nível 1-Resumo total'!F32</f>
        <v>Presente?</v>
      </c>
      <c r="C32" s="430" t="str">
        <f>'Nível 1-Resumo total'!G32</f>
        <v>Presente?</v>
      </c>
      <c r="D32" s="430" t="str">
        <f>'Nível 1-Resumo total'!H32</f>
        <v>Presente?</v>
      </c>
      <c r="E32" s="430" t="str">
        <f>'Nível 1-Resumo total'!I32</f>
        <v>Presente?</v>
      </c>
      <c r="F32" s="430" t="str">
        <f>'Nível 1-Resumo total'!J32</f>
        <v>Presente?</v>
      </c>
      <c r="G32" s="430" t="str">
        <f>'Nível 1-Resumo total'!K32</f>
        <v>Presente?</v>
      </c>
    </row>
    <row r="33" spans="1:7">
      <c r="A33" s="265" t="str">
        <f>'Passo4-Uso Industrial de Hg'!A7</f>
        <v>Produção de acetaldeído com catalisador de mercúrio</v>
      </c>
      <c r="B33" s="430" t="str">
        <f>'Nível 1-Resumo total'!F33</f>
        <v>Presente?</v>
      </c>
      <c r="C33" s="430" t="str">
        <f>'Nível 1-Resumo total'!G33</f>
        <v>Presente?</v>
      </c>
      <c r="D33" s="430" t="str">
        <f>'Nível 1-Resumo total'!H33</f>
        <v>Presente?</v>
      </c>
      <c r="E33" s="430" t="str">
        <f>'Nível 1-Resumo total'!I33</f>
        <v>Presente?</v>
      </c>
      <c r="F33" s="430" t="str">
        <f>'Nível 1-Resumo total'!J33</f>
        <v>Presente?</v>
      </c>
      <c r="G33" s="430" t="str">
        <f>'Nível 1-Resumo total'!K33</f>
        <v>Presente?</v>
      </c>
    </row>
    <row r="34" spans="1:7">
      <c r="A34" s="394" t="str">
        <f>'Passo4-Uso Industrial de Hg'!A9</f>
        <v>Produção de produtos com teor de mercúrio</v>
      </c>
      <c r="B34" s="364"/>
      <c r="C34" s="364"/>
      <c r="D34" s="364"/>
      <c r="E34" s="308"/>
      <c r="F34" s="308"/>
      <c r="G34" s="308"/>
    </row>
    <row r="35" spans="1:7" ht="25.5">
      <c r="A35" s="265" t="str">
        <f>'Passo4-Uso Industrial de Hg'!A10</f>
        <v>Termômetros Hg (medicina, ar, laboratório, industrial etc.)</v>
      </c>
      <c r="B35" s="430" t="str">
        <f>'Nível 1-Resumo total'!F35</f>
        <v>Presente?</v>
      </c>
      <c r="C35" s="430" t="str">
        <f>'Nível 1-Resumo total'!G35</f>
        <v>Presente?</v>
      </c>
      <c r="D35" s="430" t="str">
        <f>'Nível 1-Resumo total'!H35</f>
        <v>Presente?</v>
      </c>
      <c r="E35" s="430" t="str">
        <f>'Nível 1-Resumo total'!I35</f>
        <v>Presente?</v>
      </c>
      <c r="F35" s="430" t="str">
        <f>'Nível 1-Resumo total'!J35</f>
        <v>Presente?</v>
      </c>
      <c r="G35" s="430" t="str">
        <f>'Nível 1-Resumo total'!K35</f>
        <v>Presente?</v>
      </c>
    </row>
    <row r="36" spans="1:7">
      <c r="A36" s="265" t="str">
        <f>'Passo4-Uso Industrial de Hg'!A11</f>
        <v>Interruptores e relés elétricos com mercúrio</v>
      </c>
      <c r="B36" s="430" t="str">
        <f>'Nível 1-Resumo total'!F36</f>
        <v>Presente?</v>
      </c>
      <c r="C36" s="430" t="str">
        <f>'Nível 1-Resumo total'!G36</f>
        <v>Presente?</v>
      </c>
      <c r="D36" s="430" t="str">
        <f>'Nível 1-Resumo total'!H36</f>
        <v>Presente?</v>
      </c>
      <c r="E36" s="430" t="str">
        <f>'Nível 1-Resumo total'!I36</f>
        <v>Presente?</v>
      </c>
      <c r="F36" s="430" t="str">
        <f>'Nível 1-Resumo total'!J36</f>
        <v>Presente?</v>
      </c>
      <c r="G36" s="430" t="str">
        <f>'Nível 1-Resumo total'!K36</f>
        <v>Presente?</v>
      </c>
    </row>
    <row r="37" spans="1:7" ht="25.5">
      <c r="A37" s="265" t="str">
        <f>'Passo4-Uso Industrial de Hg'!A12</f>
        <v>Fontes de luz com mercúrio (fluorescentes, fluorescentes compactas e outros. Ver diretrizes)</v>
      </c>
      <c r="B37" s="430" t="str">
        <f>'Nível 1-Resumo total'!F37</f>
        <v>Presente?</v>
      </c>
      <c r="C37" s="430" t="str">
        <f>'Nível 1-Resumo total'!G37</f>
        <v>Presente?</v>
      </c>
      <c r="D37" s="430" t="str">
        <f>'Nível 1-Resumo total'!H37</f>
        <v>Presente?</v>
      </c>
      <c r="E37" s="430" t="str">
        <f>'Nível 1-Resumo total'!I37</f>
        <v>Presente?</v>
      </c>
      <c r="F37" s="430" t="str">
        <f>'Nível 1-Resumo total'!J37</f>
        <v>Presente?</v>
      </c>
      <c r="G37" s="430" t="str">
        <f>'Nível 1-Resumo total'!K37</f>
        <v>Presente?</v>
      </c>
    </row>
    <row r="38" spans="1:7">
      <c r="A38" s="265" t="str">
        <f>'Passo4-Uso Industrial de Hg'!A13</f>
        <v>Baterias com mercúrio</v>
      </c>
      <c r="B38" s="430" t="str">
        <f>'Nível 1-Resumo total'!F38</f>
        <v>Presente?</v>
      </c>
      <c r="C38" s="430" t="str">
        <f>'Nível 1-Resumo total'!G38</f>
        <v>Presente?</v>
      </c>
      <c r="D38" s="430" t="str">
        <f>'Nível 1-Resumo total'!H38</f>
        <v>Presente?</v>
      </c>
      <c r="E38" s="430" t="str">
        <f>'Nível 1-Resumo total'!I38</f>
        <v>Presente?</v>
      </c>
      <c r="F38" s="430" t="str">
        <f>'Nível 1-Resumo total'!J38</f>
        <v>Presente?</v>
      </c>
      <c r="G38" s="430" t="str">
        <f>'Nível 1-Resumo total'!K38</f>
        <v>Presente?</v>
      </c>
    </row>
    <row r="39" spans="1:7">
      <c r="A39" s="265" t="str">
        <f>'Passo4-Uso Industrial de Hg'!A14</f>
        <v xml:space="preserve">Manômetros e medidores com mercúrio </v>
      </c>
      <c r="B39" s="430" t="str">
        <f>'Nível 1-Resumo total'!F39</f>
        <v>Presente?</v>
      </c>
      <c r="C39" s="430" t="str">
        <f>'Nível 1-Resumo total'!G39</f>
        <v>Presente?</v>
      </c>
      <c r="D39" s="430" t="str">
        <f>'Nível 1-Resumo total'!H39</f>
        <v>Presente?</v>
      </c>
      <c r="E39" s="430" t="str">
        <f>'Nível 1-Resumo total'!I39</f>
        <v>Presente?</v>
      </c>
      <c r="F39" s="430" t="str">
        <f>'Nível 1-Resumo total'!J39</f>
        <v>Presente?</v>
      </c>
      <c r="G39" s="430" t="str">
        <f>'Nível 1-Resumo total'!K39</f>
        <v>Presente?</v>
      </c>
    </row>
    <row r="40" spans="1:7">
      <c r="A40" s="265" t="str">
        <f>'Passo4-Uso Industrial de Hg'!A15</f>
        <v>Biocidas e pesticidas com mercúrio</v>
      </c>
      <c r="B40" s="430" t="str">
        <f>'Nível 1-Resumo total'!F40</f>
        <v>Presente?</v>
      </c>
      <c r="C40" s="430" t="str">
        <f>'Nível 1-Resumo total'!G40</f>
        <v>Presente?</v>
      </c>
      <c r="D40" s="430" t="str">
        <f>'Nível 1-Resumo total'!H40</f>
        <v>Presente?</v>
      </c>
      <c r="E40" s="430" t="str">
        <f>'Nível 1-Resumo total'!I40</f>
        <v>Presente?</v>
      </c>
      <c r="F40" s="430" t="str">
        <f>'Nível 1-Resumo total'!J40</f>
        <v>Presente?</v>
      </c>
      <c r="G40" s="430" t="str">
        <f>'Nível 1-Resumo total'!K40</f>
        <v>Presente?</v>
      </c>
    </row>
    <row r="41" spans="1:7">
      <c r="A41" s="265" t="str">
        <f>'Passo4-Uso Industrial de Hg'!A16</f>
        <v xml:space="preserve">Tintas com mercúrio </v>
      </c>
      <c r="B41" s="430" t="str">
        <f>'Nível 1-Resumo total'!F41</f>
        <v>Presente?</v>
      </c>
      <c r="C41" s="430" t="str">
        <f>'Nível 1-Resumo total'!G41</f>
        <v>Presente?</v>
      </c>
      <c r="D41" s="430" t="str">
        <f>'Nível 1-Resumo total'!H41</f>
        <v>Presente?</v>
      </c>
      <c r="E41" s="430" t="str">
        <f>'Nível 1-Resumo total'!I41</f>
        <v>Presente?</v>
      </c>
      <c r="F41" s="430" t="str">
        <f>'Nível 1-Resumo total'!J41</f>
        <v>Presente?</v>
      </c>
      <c r="G41" s="430" t="str">
        <f>'Nível 1-Resumo total'!K41</f>
        <v>Presente?</v>
      </c>
    </row>
    <row r="42" spans="1:7" ht="25.5">
      <c r="A42" s="265" t="str">
        <f>'Passo4-Uso Industrial de Hg'!A17</f>
        <v xml:space="preserve">Cremes para clareamento de pele e sabonetes com substâncias químicas do mercúrio </v>
      </c>
      <c r="B42" s="430" t="str">
        <f>'Nível 1-Resumo total'!F42</f>
        <v>Presente?</v>
      </c>
      <c r="C42" s="430" t="str">
        <f>'Nível 1-Resumo total'!G42</f>
        <v>Presente?</v>
      </c>
      <c r="D42" s="430" t="str">
        <f>'Nível 1-Resumo total'!H42</f>
        <v>Presente?</v>
      </c>
      <c r="E42" s="430" t="str">
        <f>'Nível 1-Resumo total'!I42</f>
        <v>Presente?</v>
      </c>
      <c r="F42" s="430" t="str">
        <f>'Nível 1-Resumo total'!J42</f>
        <v>Presente?</v>
      </c>
      <c r="G42" s="430" t="str">
        <f>'Nível 1-Resumo total'!K42</f>
        <v>Presente?</v>
      </c>
    </row>
    <row r="43" spans="1:7" ht="16.5" customHeight="1">
      <c r="A43" s="394" t="str">
        <f>'Passo6-Produtos-Substâncias Hg'!A6</f>
        <v>Utilização e destinação de produtos com teores de mercúrio</v>
      </c>
      <c r="B43" s="364"/>
      <c r="C43" s="364"/>
      <c r="D43" s="364"/>
      <c r="E43" s="308"/>
      <c r="F43" s="308"/>
      <c r="G43" s="308"/>
    </row>
    <row r="44" spans="1:7">
      <c r="A44" s="265" t="str">
        <f>'Passo6-Produtos-Substâncias Hg'!A7</f>
        <v>Amálgama dental</v>
      </c>
      <c r="B44" s="430" t="str">
        <f>'Nível 1-Resumo total'!F44</f>
        <v>Presente?</v>
      </c>
      <c r="C44" s="430" t="str">
        <f>'Nível 1-Resumo total'!G44</f>
        <v>Presente?</v>
      </c>
      <c r="D44" s="430" t="str">
        <f>'Nível 1-Resumo total'!H44</f>
        <v>Presente?</v>
      </c>
      <c r="E44" s="430" t="str">
        <f>'Nível 1-Resumo total'!I44</f>
        <v>Presente?</v>
      </c>
      <c r="F44" s="430" t="str">
        <f>'Nível 1-Resumo total'!J44</f>
        <v>Presente?</v>
      </c>
      <c r="G44" s="430" t="str">
        <f>'Nível 1-Resumo total'!K44</f>
        <v>Presente?</v>
      </c>
    </row>
    <row r="45" spans="1:7">
      <c r="A45" s="265" t="str">
        <f>'Passo6-Produtos-Substâncias Hg'!A13</f>
        <v>Termômetros</v>
      </c>
      <c r="B45" s="430" t="str">
        <f>'Nível 1-Resumo total'!F45</f>
        <v>Presente?</v>
      </c>
      <c r="C45" s="430" t="str">
        <f>'Nível 1-Resumo total'!G45</f>
        <v>Presente?</v>
      </c>
      <c r="D45" s="430" t="str">
        <f>'Nível 1-Resumo total'!H45</f>
        <v>Presente?</v>
      </c>
      <c r="E45" s="430" t="str">
        <f>'Nível 1-Resumo total'!I45</f>
        <v>Presente?</v>
      </c>
      <c r="F45" s="430" t="str">
        <f>'Nível 1-Resumo total'!J45</f>
        <v>Presente?</v>
      </c>
      <c r="G45" s="430" t="str">
        <f>'Nível 1-Resumo total'!K45</f>
        <v>Presente?</v>
      </c>
    </row>
    <row r="46" spans="1:7" ht="25.5">
      <c r="A46" s="265" t="str">
        <f>'Passo6-Produtos-Substâncias Hg'!A18</f>
        <v>Interruptores e relés elétricos com mercúrio</v>
      </c>
      <c r="B46" s="430" t="str">
        <f>'Nível 1-Resumo total'!F46</f>
        <v>Ver Passo5 F4</v>
      </c>
      <c r="C46" s="430" t="str">
        <f>'Nível 1-Resumo total'!G46</f>
        <v>Ver Passo5 F4</v>
      </c>
      <c r="D46" s="430" t="str">
        <f>'Nível 1-Resumo total'!H46</f>
        <v>Ver Passo5 F4</v>
      </c>
      <c r="E46" s="430" t="str">
        <f>'Nível 1-Resumo total'!I46</f>
        <v>Ver Passo5 F4</v>
      </c>
      <c r="F46" s="430" t="str">
        <f>'Nível 1-Resumo total'!J46</f>
        <v>Ver Passo5 F4</v>
      </c>
      <c r="G46" s="430" t="str">
        <f>'Nível 1-Resumo total'!K46</f>
        <v>Ver Passo5 F4</v>
      </c>
    </row>
    <row r="47" spans="1:7">
      <c r="A47" s="265" t="str">
        <f>'Passo6-Produtos-Substâncias Hg'!A21</f>
        <v>Fontes de luz com mercúrio</v>
      </c>
      <c r="B47" s="430" t="str">
        <f>'Nível 1-Resumo total'!F47</f>
        <v>Presente?</v>
      </c>
      <c r="C47" s="430" t="str">
        <f>'Nível 1-Resumo total'!G47</f>
        <v>Presente?</v>
      </c>
      <c r="D47" s="430" t="str">
        <f>'Nível 1-Resumo total'!H47</f>
        <v>Presente?</v>
      </c>
      <c r="E47" s="430" t="str">
        <f>'Nível 1-Resumo total'!I47</f>
        <v>Presente?</v>
      </c>
      <c r="F47" s="430" t="str">
        <f>'Nível 1-Resumo total'!J47</f>
        <v>Presente?</v>
      </c>
      <c r="G47" s="430" t="str">
        <f>'Nível 1-Resumo total'!K47</f>
        <v>Presente?</v>
      </c>
    </row>
    <row r="48" spans="1:7">
      <c r="A48" s="367" t="str">
        <f>'Passo6-Produtos-Substâncias Hg'!A26</f>
        <v>Baterias com mercúrio</v>
      </c>
      <c r="B48" s="430" t="str">
        <f>'Nível 1-Resumo total'!F48</f>
        <v>Presente?</v>
      </c>
      <c r="C48" s="430" t="str">
        <f>'Nível 1-Resumo total'!G48</f>
        <v>Presente?</v>
      </c>
      <c r="D48" s="430" t="str">
        <f>'Nível 1-Resumo total'!H48</f>
        <v>Presente?</v>
      </c>
      <c r="E48" s="430" t="str">
        <f>'Nível 1-Resumo total'!I48</f>
        <v>Presente?</v>
      </c>
      <c r="F48" s="430" t="str">
        <f>'Nível 1-Resumo total'!J48</f>
        <v>Presente?</v>
      </c>
      <c r="G48" s="430" t="str">
        <f>'Nível 1-Resumo total'!K48</f>
        <v>Presente?</v>
      </c>
    </row>
    <row r="49" spans="1:7" ht="25.5">
      <c r="A49" s="265" t="str">
        <f>'Passo6-Produtos-Substâncias Hg'!A31</f>
        <v>Poliuretano (PU, PUR) produzido com catalisador de mercúrio</v>
      </c>
      <c r="B49" s="430" t="str">
        <f>'Nível 1-Resumo total'!F49</f>
        <v>Ver Passo5 F4</v>
      </c>
      <c r="C49" s="430" t="str">
        <f>'Nível 1-Resumo total'!G49</f>
        <v>Ver Passo5 F4</v>
      </c>
      <c r="D49" s="430" t="str">
        <f>'Nível 1-Resumo total'!H49</f>
        <v>Ver Passo5 F4</v>
      </c>
      <c r="E49" s="430" t="str">
        <f>'Nível 1-Resumo total'!I49</f>
        <v>Ver Passo5 F4</v>
      </c>
      <c r="F49" s="430" t="str">
        <f>'Nível 1-Resumo total'!J49</f>
        <v>Ver Passo5 F4</v>
      </c>
      <c r="G49" s="430" t="str">
        <f>'Nível 1-Resumo total'!K49</f>
        <v>Ver Passo5 F4</v>
      </c>
    </row>
    <row r="50" spans="1:7" ht="25.5">
      <c r="A50" s="265" t="str">
        <f>'Passo6-Produtos-Substâncias Hg'!A34</f>
        <v>Tintas com conservantes de mercúrio</v>
      </c>
      <c r="B50" s="430" t="str">
        <f>'Nível 1-Resumo total'!F50</f>
        <v>Ver Passo5 F4</v>
      </c>
      <c r="C50" s="430" t="str">
        <f>'Nível 1-Resumo total'!G50</f>
        <v>Ver Passo5 F4</v>
      </c>
      <c r="D50" s="430" t="str">
        <f>'Nível 1-Resumo total'!H50</f>
        <v>Ver Passo5 F4</v>
      </c>
      <c r="E50" s="430" t="str">
        <f>'Nível 1-Resumo total'!I50</f>
        <v>Ver Passo5 F4</v>
      </c>
      <c r="F50" s="430" t="str">
        <f>'Nível 1-Resumo total'!J50</f>
        <v>Ver Passo5 F4</v>
      </c>
      <c r="G50" s="430" t="str">
        <f>'Nível 1-Resumo total'!K50</f>
        <v>Ver Passo5 F4</v>
      </c>
    </row>
    <row r="51" spans="1:7" ht="25.5">
      <c r="A51" s="265" t="str">
        <f>'Passo6-Produtos-Substâncias Hg'!A36</f>
        <v>Cremes para clareamento de pele e sabonetes com substâncias químicas do mercúrio</v>
      </c>
      <c r="B51" s="430" t="str">
        <f>'Nível 1-Resumo total'!F51</f>
        <v>Ver Passo5 F4</v>
      </c>
      <c r="C51" s="430" t="str">
        <f>'Nível 1-Resumo total'!G51</f>
        <v>Ver Passo5 F4</v>
      </c>
      <c r="D51" s="430" t="str">
        <f>'Nível 1-Resumo total'!H51</f>
        <v>Ver Passo5 F4</v>
      </c>
      <c r="E51" s="430" t="str">
        <f>'Nível 1-Resumo total'!I51</f>
        <v>Ver Passo5 F4</v>
      </c>
      <c r="F51" s="430" t="str">
        <f>'Nível 1-Resumo total'!J51</f>
        <v>Ver Passo5 F4</v>
      </c>
      <c r="G51" s="430" t="str">
        <f>'Nível 1-Resumo total'!K51</f>
        <v>Ver Passo5 F4</v>
      </c>
    </row>
    <row r="52" spans="1:7" ht="29.25" customHeight="1">
      <c r="A52" s="265" t="str">
        <f>'Passo6-Produtos-Substâncias Hg'!A38</f>
        <v>Medidores de pressão arterial médicos (esfigmomanômetro com mercúrio)</v>
      </c>
      <c r="B52" s="430" t="str">
        <f>'Nível 1-Resumo total'!F52</f>
        <v>Ver Passo5 F4</v>
      </c>
      <c r="C52" s="430" t="str">
        <f>'Nível 1-Resumo total'!G52</f>
        <v>Ver Passo5 F4</v>
      </c>
      <c r="D52" s="430" t="str">
        <f>'Nível 1-Resumo total'!H52</f>
        <v>Ver Passo5 F4</v>
      </c>
      <c r="E52" s="430" t="str">
        <f>'Nível 1-Resumo total'!I52</f>
        <v>Ver Passo5 F4</v>
      </c>
      <c r="F52" s="430" t="str">
        <f>'Nível 1-Resumo total'!J52</f>
        <v>Ver Passo5 F4</v>
      </c>
      <c r="G52" s="430" t="str">
        <f>'Nível 1-Resumo total'!K52</f>
        <v>Ver Passo5 F4</v>
      </c>
    </row>
    <row r="53" spans="1:7" ht="25.5">
      <c r="A53" s="265" t="str">
        <f>'Passo6-Produtos-Substâncias Hg'!A40</f>
        <v>Outros manômetros e medidores com mercúrio</v>
      </c>
      <c r="B53" s="430" t="str">
        <f>'Nível 1-Resumo total'!F53</f>
        <v>Ver Passo5 F4</v>
      </c>
      <c r="C53" s="430" t="str">
        <f>'Nível 1-Resumo total'!G53</f>
        <v>Ver Passo5 F4</v>
      </c>
      <c r="D53" s="430" t="str">
        <f>'Nível 1-Resumo total'!H53</f>
        <v>Ver Passo5 F4</v>
      </c>
      <c r="E53" s="430" t="str">
        <f>'Nível 1-Resumo total'!I53</f>
        <v>Ver Passo5 F4</v>
      </c>
      <c r="F53" s="430" t="str">
        <f>'Nível 1-Resumo total'!J53</f>
        <v>Ver Passo5 F4</v>
      </c>
      <c r="G53" s="430" t="str">
        <f>'Nível 1-Resumo total'!K53</f>
        <v>Ver Passo5 F4</v>
      </c>
    </row>
    <row r="54" spans="1:7" ht="25.5">
      <c r="A54" s="265" t="str">
        <f>'Passo6-Produtos-Substâncias Hg'!A43</f>
        <v>Produtos químicos de laboratório</v>
      </c>
      <c r="B54" s="430" t="str">
        <f>'Nível 1-Resumo total'!F54</f>
        <v>Ver Passo5 F4</v>
      </c>
      <c r="C54" s="430" t="str">
        <f>'Nível 1-Resumo total'!G54</f>
        <v>Ver Passo5 F4</v>
      </c>
      <c r="D54" s="430" t="str">
        <f>'Nível 1-Resumo total'!H54</f>
        <v>Ver Passo5 F4</v>
      </c>
      <c r="E54" s="430" t="str">
        <f>'Nível 1-Resumo total'!I54</f>
        <v>Ver Passo5 F4</v>
      </c>
      <c r="F54" s="430" t="str">
        <f>'Nível 1-Resumo total'!J54</f>
        <v>Ver Passo5 F4</v>
      </c>
      <c r="G54" s="430" t="str">
        <f>'Nível 1-Resumo total'!K54</f>
        <v>Ver Passo5 F4</v>
      </c>
    </row>
    <row r="55" spans="1:7" ht="25.5">
      <c r="A55" s="265" t="str">
        <f>'Passo6-Produtos-Substâncias Hg'!A46</f>
        <v>Outros equipamentos laboratoriais e médicos com mercúrio</v>
      </c>
      <c r="B55" s="430" t="str">
        <f>'Nível 1-Resumo total'!F55</f>
        <v>Ver Passo5 F4</v>
      </c>
      <c r="C55" s="430" t="str">
        <f>'Nível 1-Resumo total'!G55</f>
        <v>Ver Passo5 F4</v>
      </c>
      <c r="D55" s="430" t="str">
        <f>'Nível 1-Resumo total'!H55</f>
        <v>Ver Passo5 F4</v>
      </c>
      <c r="E55" s="430" t="str">
        <f>'Nível 1-Resumo total'!I55</f>
        <v>Ver Passo5 F4</v>
      </c>
      <c r="F55" s="430" t="str">
        <f>'Nível 1-Resumo total'!J55</f>
        <v>Ver Passo5 F4</v>
      </c>
      <c r="G55" s="430" t="str">
        <f>'Nível 1-Resumo total'!K55</f>
        <v>Ver Passo5 F4</v>
      </c>
    </row>
    <row r="56" spans="1:7">
      <c r="A56" s="394" t="str">
        <f>'Passo5-TratResíduos+Reciclágem'!A8</f>
        <v>Produção de metais reciclados</v>
      </c>
      <c r="B56" s="364"/>
      <c r="C56" s="364"/>
      <c r="D56" s="364"/>
      <c r="E56" s="308"/>
      <c r="F56" s="308"/>
      <c r="G56" s="308"/>
    </row>
    <row r="57" spans="1:7" ht="25.5">
      <c r="A57" s="265" t="str">
        <f>'Passo5-TratResíduos+Reciclágem'!A9</f>
        <v>Produção de mercúrio reciclado ("produção secundária")</v>
      </c>
      <c r="B57" s="430" t="str">
        <f>'Nível 1-Resumo total'!F57</f>
        <v>Presente?</v>
      </c>
      <c r="C57" s="430" t="str">
        <f>'Nível 1-Resumo total'!G57</f>
        <v>Presente?</v>
      </c>
      <c r="D57" s="430" t="str">
        <f>'Nível 1-Resumo total'!H57</f>
        <v>Presente?</v>
      </c>
      <c r="E57" s="430" t="str">
        <f>'Nível 1-Resumo total'!I57</f>
        <v>Presente?</v>
      </c>
      <c r="F57" s="430" t="str">
        <f>'Nível 1-Resumo total'!J57</f>
        <v>Presente?</v>
      </c>
      <c r="G57" s="430" t="str">
        <f>'Nível 1-Resumo total'!K57</f>
        <v>Presente?</v>
      </c>
    </row>
    <row r="58" spans="1:7">
      <c r="A58" s="265" t="str">
        <f>'Passo5-TratResíduos+Reciclágem'!A10</f>
        <v>Produção de metais ferrosos reciclados (ferro e aço)</v>
      </c>
      <c r="B58" s="430" t="str">
        <f>'Nível 1-Resumo total'!F58</f>
        <v>Presente?</v>
      </c>
      <c r="C58" s="430" t="str">
        <f>'Nível 1-Resumo total'!G58</f>
        <v>Presente?</v>
      </c>
      <c r="D58" s="430" t="str">
        <f>'Nível 1-Resumo total'!H58</f>
        <v>Presente?</v>
      </c>
      <c r="E58" s="430" t="str">
        <f>'Nível 1-Resumo total'!I58</f>
        <v>Presente?</v>
      </c>
      <c r="F58" s="430" t="str">
        <f>'Nível 1-Resumo total'!J58</f>
        <v>Presente?</v>
      </c>
      <c r="G58" s="430" t="str">
        <f>'Nível 1-Resumo total'!K58</f>
        <v>Presente?</v>
      </c>
    </row>
    <row r="59" spans="1:7">
      <c r="A59" s="394" t="str">
        <f>'Passo5-TratResíduos+Reciclágem'!A12</f>
        <v>Incineração de resíduos</v>
      </c>
      <c r="B59" s="364"/>
      <c r="C59" s="364"/>
      <c r="D59" s="364"/>
      <c r="E59" s="308"/>
      <c r="F59" s="308"/>
      <c r="G59" s="308"/>
    </row>
    <row r="60" spans="1:7">
      <c r="A60" s="265" t="str">
        <f>'Passo5-TratResíduos+Reciclágem'!A13</f>
        <v>Incineração de resíduos municipais/em geral</v>
      </c>
      <c r="B60" s="430" t="str">
        <f>'Nível 1-Resumo total'!F60</f>
        <v>Presente?</v>
      </c>
      <c r="C60" s="430" t="str">
        <f>'Nível 1-Resumo total'!G60</f>
        <v>Presente?</v>
      </c>
      <c r="D60" s="430" t="str">
        <f>'Nível 1-Resumo total'!H60</f>
        <v>Presente?</v>
      </c>
      <c r="E60" s="430" t="str">
        <f>'Nível 1-Resumo total'!I60</f>
        <v>Presente?</v>
      </c>
      <c r="F60" s="430" t="str">
        <f>'Nível 1-Resumo total'!J60</f>
        <v>Presente?</v>
      </c>
      <c r="G60" s="430" t="str">
        <f>'Nível 1-Resumo total'!K60</f>
        <v>Presente?</v>
      </c>
    </row>
    <row r="61" spans="1:7">
      <c r="A61" s="265" t="str">
        <f>'Passo5-TratResíduos+Reciclágem'!A14</f>
        <v>Incineração de resíduos perigosos</v>
      </c>
      <c r="B61" s="430" t="str">
        <f>'Nível 1-Resumo total'!F61</f>
        <v>Presente?</v>
      </c>
      <c r="C61" s="430" t="str">
        <f>'Nível 1-Resumo total'!G61</f>
        <v>Presente?</v>
      </c>
      <c r="D61" s="430" t="str">
        <f>'Nível 1-Resumo total'!H61</f>
        <v>Presente?</v>
      </c>
      <c r="E61" s="430" t="str">
        <f>'Nível 1-Resumo total'!I61</f>
        <v>Presente?</v>
      </c>
      <c r="F61" s="430" t="str">
        <f>'Nível 1-Resumo total'!J61</f>
        <v>Presente?</v>
      </c>
      <c r="G61" s="430" t="str">
        <f>'Nível 1-Resumo total'!K61</f>
        <v>Presente?</v>
      </c>
    </row>
    <row r="62" spans="1:7">
      <c r="A62" s="265" t="str">
        <f>'Passo5-TratResíduos+Reciclágem'!A15</f>
        <v>Incineração de resíduos hospitalares</v>
      </c>
      <c r="B62" s="430" t="str">
        <f>'Nível 1-Resumo total'!F62</f>
        <v>Presente?</v>
      </c>
      <c r="C62" s="430" t="str">
        <f>'Nível 1-Resumo total'!G62</f>
        <v>Presente?</v>
      </c>
      <c r="D62" s="430" t="str">
        <f>'Nível 1-Resumo total'!H62</f>
        <v>Presente?</v>
      </c>
      <c r="E62" s="430" t="str">
        <f>'Nível 1-Resumo total'!I62</f>
        <v>Presente?</v>
      </c>
      <c r="F62" s="430" t="str">
        <f>'Nível 1-Resumo total'!J62</f>
        <v>Presente?</v>
      </c>
      <c r="G62" s="430" t="str">
        <f>'Nível 1-Resumo total'!K62</f>
        <v>Presente?</v>
      </c>
    </row>
    <row r="63" spans="1:7" ht="25.5">
      <c r="A63" s="265" t="str">
        <f>'Passo5-TratResíduos+Reciclágem'!A16</f>
        <v>Incineração de lodo de estações de tratamento de efluente</v>
      </c>
      <c r="B63" s="430" t="str">
        <f>'Nível 1-Resumo total'!F63</f>
        <v>Presente?</v>
      </c>
      <c r="C63" s="430" t="str">
        <f>'Nível 1-Resumo total'!G63</f>
        <v>Presente?</v>
      </c>
      <c r="D63" s="430" t="str">
        <f>'Nível 1-Resumo total'!H63</f>
        <v>Presente?</v>
      </c>
      <c r="E63" s="430" t="str">
        <f>'Nível 1-Resumo total'!I63</f>
        <v>Presente?</v>
      </c>
      <c r="F63" s="430" t="str">
        <f>'Nível 1-Resumo total'!J63</f>
        <v>Presente?</v>
      </c>
      <c r="G63" s="430" t="str">
        <f>'Nível 1-Resumo total'!K63</f>
        <v>Presente?</v>
      </c>
    </row>
    <row r="64" spans="1:7">
      <c r="A64" s="265" t="str">
        <f>'Passo5-TratResíduos+Reciclágem'!A17</f>
        <v>Incineração de resíduos ao ar livre (informalmente)</v>
      </c>
      <c r="B64" s="430" t="str">
        <f>'Nível 1-Resumo total'!F64</f>
        <v>Presente?</v>
      </c>
      <c r="C64" s="430" t="str">
        <f>'Nível 1-Resumo total'!G64</f>
        <v>Presente?</v>
      </c>
      <c r="D64" s="430" t="str">
        <f>'Nível 1-Resumo total'!H64</f>
        <v>Presente?</v>
      </c>
      <c r="E64" s="430" t="str">
        <f>'Nível 1-Resumo total'!I64</f>
        <v>Presente?</v>
      </c>
      <c r="F64" s="430" t="str">
        <f>'Nível 1-Resumo total'!J64</f>
        <v>Presente?</v>
      </c>
      <c r="G64" s="430" t="str">
        <f>'Nível 1-Resumo total'!K64</f>
        <v>Presente?</v>
      </c>
    </row>
    <row r="65" spans="1:7" ht="25.5">
      <c r="A65" s="394" t="str">
        <f>'Passo5-TratResíduos+Reciclágem'!A19</f>
        <v>Deposição de resíduos /aterros e tratamento de águas residuais</v>
      </c>
      <c r="B65" s="364"/>
      <c r="C65" s="364"/>
      <c r="D65" s="364"/>
      <c r="E65" s="308"/>
      <c r="F65" s="308"/>
      <c r="G65" s="308"/>
    </row>
    <row r="66" spans="1:7">
      <c r="A66" s="265" t="str">
        <f>'Passo5-TratResíduos+Reciclágem'!A20</f>
        <v>Aterros/depósitos controlados</v>
      </c>
      <c r="B66" s="430" t="str">
        <f>'Nível 1-Resumo total'!F66</f>
        <v>Presente?</v>
      </c>
      <c r="C66" s="430" t="str">
        <f>'Nível 1-Resumo total'!G66</f>
        <v>Presente?</v>
      </c>
      <c r="D66" s="430" t="str">
        <f>'Nível 1-Resumo total'!H66</f>
        <v>Presente?</v>
      </c>
      <c r="E66" s="430" t="str">
        <f>'Nível 1-Resumo total'!I66</f>
        <v>Presente?</v>
      </c>
      <c r="F66" s="430" t="str">
        <f>'Nível 1-Resumo total'!J66</f>
        <v>Presente?</v>
      </c>
      <c r="G66" s="430" t="str">
        <f>'Nível 1-Resumo total'!K66</f>
        <v>Presente?</v>
      </c>
    </row>
    <row r="67" spans="1:7">
      <c r="A67" s="265" t="s">
        <v>1067</v>
      </c>
      <c r="B67" s="430" t="str">
        <f>'Nível 1-Resumo total'!F67</f>
        <v>Presente?</v>
      </c>
      <c r="C67" s="430" t="str">
        <f>'Nível 1-Resumo total'!G67</f>
        <v>Presente?</v>
      </c>
      <c r="D67" s="430" t="str">
        <f>'Nível 1-Resumo total'!H67</f>
        <v>Presente?</v>
      </c>
      <c r="E67" s="430" t="str">
        <f>'Nível 1-Resumo total'!I67</f>
        <v>Presente?</v>
      </c>
      <c r="F67" s="430" t="str">
        <f>'Nível 1-Resumo total'!J67</f>
        <v>Presente?</v>
      </c>
      <c r="G67" s="430" t="str">
        <f>'Nível 1-Resumo total'!K67</f>
        <v>Presente?</v>
      </c>
    </row>
    <row r="68" spans="1:7">
      <c r="A68" s="694" t="s">
        <v>998</v>
      </c>
      <c r="B68" s="430" t="str">
        <f>'Nível 1-Resumo total'!F68</f>
        <v>Presente?</v>
      </c>
      <c r="C68" s="430" t="str">
        <f>'Nível 1-Resumo total'!G68</f>
        <v>Presente?</v>
      </c>
      <c r="D68" s="430" t="str">
        <f>'Nível 1-Resumo total'!H68</f>
        <v>Presente?</v>
      </c>
      <c r="E68" s="430" t="str">
        <f>'Nível 1-Resumo total'!I68</f>
        <v>Presente?</v>
      </c>
      <c r="F68" s="430" t="str">
        <f>'Nível 1-Resumo total'!J68</f>
        <v>Presente?</v>
      </c>
      <c r="G68" s="430" t="str">
        <f>'Nível 1-Resumo total'!K68</f>
        <v>Presente?</v>
      </c>
    </row>
    <row r="69" spans="1:7">
      <c r="A69" s="394" t="str">
        <f>'Passo7-Crematórios-cemitérios'!A4</f>
        <v>Crematórios e cemitérios</v>
      </c>
      <c r="B69" s="364"/>
      <c r="C69" s="364"/>
      <c r="D69" s="364"/>
      <c r="E69" s="308"/>
      <c r="F69" s="308"/>
      <c r="G69" s="308"/>
    </row>
    <row r="70" spans="1:7">
      <c r="A70" s="265" t="str">
        <f>'Passo7-Crematórios-cemitérios'!A5</f>
        <v>Crematórios</v>
      </c>
      <c r="B70" s="430">
        <f>'Nível 1-Resumo total'!F70</f>
        <v>0</v>
      </c>
      <c r="C70" s="430">
        <f>'Nível 1-Resumo total'!G70</f>
        <v>0</v>
      </c>
      <c r="D70" s="430">
        <f>'Nível 1-Resumo total'!H70</f>
        <v>0</v>
      </c>
      <c r="E70" s="430" t="str">
        <f>'Nível 1-Resumo total'!I70</f>
        <v>-</v>
      </c>
      <c r="F70" s="430">
        <f>'Nível 1-Resumo total'!J70</f>
        <v>0</v>
      </c>
      <c r="G70" s="430">
        <f>'Nível 1-Resumo total'!K70</f>
        <v>0</v>
      </c>
    </row>
    <row r="71" spans="1:7">
      <c r="A71" s="265" t="str">
        <f>'Passo7-Crematórios-cemitérios'!A6</f>
        <v>Cemitérios</v>
      </c>
      <c r="B71" s="430" t="str">
        <f>'Nível 1-Resumo total'!F71</f>
        <v>Presente?</v>
      </c>
      <c r="C71" s="430" t="str">
        <f>'Nível 1-Resumo total'!G71</f>
        <v>Presente?</v>
      </c>
      <c r="D71" s="430" t="str">
        <f>'Nível 1-Resumo total'!H71</f>
        <v>Presente?</v>
      </c>
      <c r="E71" s="430" t="str">
        <f>'Nível 1-Resumo total'!I71</f>
        <v>Presente?</v>
      </c>
      <c r="F71" s="430" t="str">
        <f>'Nível 1-Resumo total'!J71</f>
        <v>Presente?</v>
      </c>
      <c r="G71" s="430" t="str">
        <f>'Nível 1-Resumo total'!K71</f>
        <v>Presente?</v>
      </c>
    </row>
    <row r="72" spans="1:7" s="355" customFormat="1">
      <c r="A72" s="267" t="s">
        <v>997</v>
      </c>
      <c r="B72" s="558">
        <f>'Nível 1-Resumo total'!F72</f>
        <v>0</v>
      </c>
      <c r="C72" s="558" t="e">
        <f>'Nível 1-Resumo total'!G72</f>
        <v>#VALUE!</v>
      </c>
      <c r="D72" s="558" t="e">
        <f>'Nível 1-Resumo total'!H72</f>
        <v>#VALUE!</v>
      </c>
      <c r="E72" s="558">
        <f>'Nível 1-Resumo total'!I72</f>
        <v>0</v>
      </c>
      <c r="F72" s="558">
        <f>'Nível 1-Resumo total'!J72</f>
        <v>0</v>
      </c>
      <c r="G72" s="558">
        <f>'Nível 1-Resumo total'!K72</f>
        <v>0</v>
      </c>
    </row>
    <row r="73" spans="1:7">
      <c r="A73" s="357"/>
    </row>
    <row r="74" spans="1:7">
      <c r="A74" s="625" t="s">
        <v>788</v>
      </c>
    </row>
    <row r="75" spans="1:7">
      <c r="A75" s="625" t="s">
        <v>1049</v>
      </c>
    </row>
    <row r="76" spans="1:7">
      <c r="A76" s="625" t="s">
        <v>1082</v>
      </c>
    </row>
    <row r="77" spans="1:7">
      <c r="A77" s="625" t="s">
        <v>1060</v>
      </c>
    </row>
    <row r="78" spans="1:7">
      <c r="A78" s="625" t="s">
        <v>1048</v>
      </c>
    </row>
    <row r="91" spans="1:1">
      <c r="A91" s="323"/>
    </row>
    <row r="92" spans="1:1">
      <c r="A92" s="323"/>
    </row>
    <row r="93" spans="1:1">
      <c r="A93" s="323"/>
    </row>
  </sheetData>
  <mergeCells count="1">
    <mergeCell ref="B2:G2"/>
  </mergeCells>
  <pageMargins left="0.39370078740157483" right="0.39370078740157483" top="0.74803149606299213" bottom="0.74803149606299213" header="0.31496062992125984" footer="0.31496062992125984"/>
  <pageSetup paperSize="9" scale="64" orientation="portrait" r:id="rId1"/>
  <headerFooter>
    <oddFooter>&amp;L&amp;APrinted &amp;D</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84"/>
  <sheetViews>
    <sheetView topLeftCell="A60" workbookViewId="0">
      <selection activeCell="A69" sqref="A69"/>
    </sheetView>
  </sheetViews>
  <sheetFormatPr defaultRowHeight="12.75"/>
  <cols>
    <col min="1" max="1" width="46.85546875" style="340" customWidth="1"/>
    <col min="2" max="2" width="14.42578125" style="359" customWidth="1"/>
    <col min="3" max="3" width="17.28515625" style="340" customWidth="1"/>
    <col min="4" max="4" width="33.5703125" style="340" customWidth="1"/>
    <col min="5" max="5" width="12.42578125" style="340" customWidth="1"/>
    <col min="6" max="6" width="12.85546875" style="340" customWidth="1"/>
    <col min="7" max="7" width="11.7109375" style="340" customWidth="1"/>
    <col min="8" max="10" width="12.42578125" style="340" customWidth="1"/>
    <col min="11" max="11" width="16.140625" style="340" customWidth="1"/>
    <col min="12" max="12" width="10.85546875" style="340" customWidth="1"/>
    <col min="13" max="16384" width="9.140625" style="340"/>
  </cols>
  <sheetData>
    <row r="1" spans="1:12">
      <c r="A1" s="355" t="s">
        <v>1000</v>
      </c>
      <c r="B1" s="356"/>
    </row>
    <row r="2" spans="1:12" s="360" customFormat="1" ht="38.25" customHeight="1">
      <c r="A2" s="265" t="s">
        <v>775</v>
      </c>
      <c r="B2" s="700" t="s">
        <v>776</v>
      </c>
      <c r="C2" s="265"/>
      <c r="D2" s="265"/>
      <c r="E2" s="724" t="s">
        <v>924</v>
      </c>
      <c r="F2" s="743" t="s">
        <v>779</v>
      </c>
      <c r="G2" s="744"/>
      <c r="H2" s="744"/>
      <c r="I2" s="744"/>
      <c r="J2" s="744"/>
      <c r="K2" s="745"/>
      <c r="L2" s="265"/>
    </row>
    <row r="3" spans="1:12" ht="38.25">
      <c r="A3" s="419"/>
      <c r="B3" s="345" t="str">
        <f>quest</f>
        <v>S/N/?</v>
      </c>
      <c r="C3" s="270" t="s">
        <v>777</v>
      </c>
      <c r="D3" s="270" t="s">
        <v>782</v>
      </c>
      <c r="E3" s="700" t="s">
        <v>783</v>
      </c>
      <c r="F3" s="723" t="s">
        <v>784</v>
      </c>
      <c r="G3" s="723" t="s">
        <v>785</v>
      </c>
      <c r="H3" s="723" t="s">
        <v>786</v>
      </c>
      <c r="I3" s="700" t="s">
        <v>787</v>
      </c>
      <c r="J3" s="700" t="s">
        <v>1062</v>
      </c>
      <c r="K3" s="700" t="s">
        <v>1066</v>
      </c>
      <c r="L3" s="662" t="s">
        <v>1017</v>
      </c>
    </row>
    <row r="4" spans="1:12">
      <c r="A4" s="394" t="str">
        <f>'Passo2-Energia'!A4</f>
        <v>Consumo de energia</v>
      </c>
      <c r="B4" s="372"/>
      <c r="C4" s="426"/>
      <c r="D4" s="303"/>
      <c r="E4" s="426"/>
      <c r="F4" s="364"/>
      <c r="G4" s="364"/>
      <c r="H4" s="364"/>
      <c r="I4" s="308"/>
      <c r="J4" s="308"/>
      <c r="K4" s="308"/>
      <c r="L4" s="371"/>
    </row>
    <row r="5" spans="1:12">
      <c r="A5" s="265" t="str">
        <f>'Passo2-Energia'!A5</f>
        <v>Combustão de carvão em grandes termoelétricas</v>
      </c>
      <c r="B5" s="270" t="str">
        <f>IF(OR('Passo2-Energia'!B5=yes,'Passo2-Energia'!B5=no,'Passo2-Energia'!B5=que),'Passo2-Energia'!B5,  pres)</f>
        <v>Presente?</v>
      </c>
      <c r="C5" s="429">
        <f>'Passo2-Energia'!C5</f>
        <v>0</v>
      </c>
      <c r="D5" s="265" t="str">
        <f>'Passo2-Energia'!D5</f>
        <v>Carvão queimado, t/ano</v>
      </c>
      <c r="E5" s="442" t="str">
        <f>IF('Insira Resultados IN2 '!C12="",'Passo2-Energia'!E5,'Insira Resultados IN2 '!C12)</f>
        <v>Presente?</v>
      </c>
      <c r="F5" s="430" t="str">
        <f>IF('Insira Resultados IN2 '!D12="",'Passo2-Energia'!F5,'Insira Resultados IN2 '!D12)</f>
        <v>Presente?</v>
      </c>
      <c r="G5" s="430" t="str">
        <f>IF('Insira Resultados IN2 '!E12="",'Passo2-Energia'!G5,'Insira Resultados IN2 '!E12)</f>
        <v>Presente?</v>
      </c>
      <c r="H5" s="430" t="str">
        <f>IF('Insira Resultados IN2 '!F12="",'Passo2-Energia'!H5,'Insira Resultados IN2 '!F12)</f>
        <v>Presente?</v>
      </c>
      <c r="I5" s="430" t="str">
        <f>IF('Insira Resultados IN2 '!G12="",'Passo2-Energia'!I5,'Insira Resultados IN2 '!G12)</f>
        <v>Presente?</v>
      </c>
      <c r="J5" s="430" t="str">
        <f>IF('Insira Resultados IN2 '!H12="",'Passo2-Energia'!J5,'Insira Resultados IN2 '!H12)</f>
        <v>Presente?</v>
      </c>
      <c r="K5" s="430" t="str">
        <f>IF('Insira Resultados IN2 '!I12="",'Passo2-Energia'!K5,'Insira Resultados IN2 '!I12)</f>
        <v>Presente?</v>
      </c>
      <c r="L5" s="265" t="str">
        <f>'Passo2-Energia'!L5</f>
        <v>5.1.1</v>
      </c>
    </row>
    <row r="6" spans="1:12">
      <c r="A6" s="265" t="str">
        <f>'Passo2-Energia'!A6</f>
        <v>Outros usos de carvão</v>
      </c>
      <c r="B6" s="270" t="str">
        <f>IF(OR('Passo2-Energia'!B6=yes,'Passo2-Energia'!B6=no,'Passo2-Energia'!B6=que),'Passo2-Energia'!B6,  pres)</f>
        <v>Presente?</v>
      </c>
      <c r="C6" s="429">
        <f>'Passo2-Energia'!C6</f>
        <v>0</v>
      </c>
      <c r="D6" s="265" t="str">
        <f>'Passo2-Energia'!D6</f>
        <v>Carvão usado, t/ano</v>
      </c>
      <c r="E6" s="442" t="str">
        <f>IF('Insira Resultados IN2 '!C13="",'Passo2-Energia'!E6,'Insira Resultados IN2 '!C13)</f>
        <v>Presente?</v>
      </c>
      <c r="F6" s="430" t="str">
        <f>IF('Insira Resultados IN2 '!D13="",'Passo2-Energia'!F6,'Insira Resultados IN2 '!D13)</f>
        <v>Presente?</v>
      </c>
      <c r="G6" s="430" t="str">
        <f>IF('Insira Resultados IN2 '!E13="",'Passo2-Energia'!G6,'Insira Resultados IN2 '!E13)</f>
        <v>Presente?</v>
      </c>
      <c r="H6" s="430" t="str">
        <f>IF('Insira Resultados IN2 '!F13="",'Passo2-Energia'!H6,'Insira Resultados IN2 '!F13)</f>
        <v>Presente?</v>
      </c>
      <c r="I6" s="430" t="str">
        <f>IF('Insira Resultados IN2 '!G13="",'Passo2-Energia'!I6,'Insira Resultados IN2 '!G13)</f>
        <v>Presente?</v>
      </c>
      <c r="J6" s="430" t="str">
        <f>IF('Insira Resultados IN2 '!H13="",'Passo2-Energia'!J6,'Insira Resultados IN2 '!H13)</f>
        <v>Presente?</v>
      </c>
      <c r="K6" s="430" t="str">
        <f>IF('Insira Resultados IN2 '!I13="",'Passo2-Energia'!K6,'Insira Resultados IN2 '!I13)</f>
        <v>Presente?</v>
      </c>
      <c r="L6" s="265" t="str">
        <f>'Passo2-Energia'!L6</f>
        <v>5.1.2</v>
      </c>
    </row>
    <row r="7" spans="1:12" ht="25.5">
      <c r="A7" s="265" t="str">
        <f>'Passo2-Energia'!A7</f>
        <v>Combustão/utilização de coque de petróleo e petróleo pesado</v>
      </c>
      <c r="B7" s="270" t="str">
        <f>IF(OR('Passo2-Energia'!B7=yes,'Passo2-Energia'!B7=no,'Passo2-Energia'!B7=que),'Passo2-Energia'!B7,  pres)</f>
        <v>Presente?</v>
      </c>
      <c r="C7" s="429">
        <f>'Passo2-Energia'!C7</f>
        <v>0</v>
      </c>
      <c r="D7" s="265" t="str">
        <f>'Passo2-Energia'!D7</f>
        <v>Produto de petróleo queimado, t/ano</v>
      </c>
      <c r="E7" s="442" t="str">
        <f>IF('Insira Resultados IN2 '!C14="",'Passo2-Energia'!E7,'Insira Resultados IN2 '!C14)</f>
        <v>Presente?</v>
      </c>
      <c r="F7" s="430" t="str">
        <f>IF('Insira Resultados IN2 '!D14="",'Passo2-Energia'!F7,'Insira Resultados IN2 '!D14)</f>
        <v>Presente?</v>
      </c>
      <c r="G7" s="430" t="str">
        <f>IF('Insira Resultados IN2 '!E14="",'Passo2-Energia'!G7,'Insira Resultados IN2 '!E14)</f>
        <v>Presente?</v>
      </c>
      <c r="H7" s="430" t="str">
        <f>IF('Insira Resultados IN2 '!F14="",'Passo2-Energia'!H7,'Insira Resultados IN2 '!F14)</f>
        <v>Presente?</v>
      </c>
      <c r="I7" s="430" t="str">
        <f>IF('Insira Resultados IN2 '!G14="",'Passo2-Energia'!I7,'Insira Resultados IN2 '!G14)</f>
        <v>Presente?</v>
      </c>
      <c r="J7" s="430" t="str">
        <f>IF('Insira Resultados IN2 '!H14="",'Passo2-Energia'!J7,'Insira Resultados IN2 '!H14)</f>
        <v>Presente?</v>
      </c>
      <c r="K7" s="430" t="str">
        <f>IF('Insira Resultados IN2 '!I14="",'Passo2-Energia'!K7,'Insira Resultados IN2 '!I14)</f>
        <v>Presente?</v>
      </c>
      <c r="L7" s="265" t="str">
        <f>'Passo2-Energia'!L7</f>
        <v>5.1.3</v>
      </c>
    </row>
    <row r="8" spans="1:12" ht="15.75" customHeight="1">
      <c r="A8" s="265" t="str">
        <f>'Passo2-Energia'!A8</f>
        <v>Combustão/uso de diesel, gasóleo, petróleo, querosene, GLP e outros destilados leves ou médios</v>
      </c>
      <c r="B8" s="270" t="str">
        <f>IF(OR('Passo2-Energia'!B8=yes,'Passo2-Energia'!B8=no,'Passo2-Energia'!B8=que),'Passo2-Energia'!B8,  pres)</f>
        <v>Presente?</v>
      </c>
      <c r="C8" s="429">
        <f>'Passo2-Energia'!C8</f>
        <v>0</v>
      </c>
      <c r="D8" s="265" t="str">
        <f>'Passo2-Energia'!D8</f>
        <v>Produto de petróleo queimado, t/ano</v>
      </c>
      <c r="E8" s="442" t="str">
        <f>IF('Insira Resultados IN2 '!C15="",'Passo2-Energia'!E8,'Insira Resultados IN2 '!C15)</f>
        <v>Presente?</v>
      </c>
      <c r="F8" s="430" t="str">
        <f>IF('Insira Resultados IN2 '!D15="",'Passo2-Energia'!F8,'Insira Resultados IN2 '!D15)</f>
        <v>Presente?</v>
      </c>
      <c r="G8" s="430" t="str">
        <f>IF('Insira Resultados IN2 '!E15="",'Passo2-Energia'!G8,'Insira Resultados IN2 '!E15)</f>
        <v>Presente?</v>
      </c>
      <c r="H8" s="430" t="str">
        <f>IF('Insira Resultados IN2 '!F15="",'Passo2-Energia'!H8,'Insira Resultados IN2 '!F15)</f>
        <v>Presente?</v>
      </c>
      <c r="I8" s="430" t="str">
        <f>IF('Insira Resultados IN2 '!G15="",'Passo2-Energia'!I8,'Insira Resultados IN2 '!G15)</f>
        <v>Presente?</v>
      </c>
      <c r="J8" s="430" t="str">
        <f>IF('Insira Resultados IN2 '!H15="",'Passo2-Energia'!J8,'Insira Resultados IN2 '!H15)</f>
        <v>Presente?</v>
      </c>
      <c r="K8" s="430" t="str">
        <f>IF('Insira Resultados IN2 '!I15="",'Passo2-Energia'!K8,'Insira Resultados IN2 '!I15)</f>
        <v>Presente?</v>
      </c>
      <c r="L8" s="265" t="str">
        <f>'Passo2-Energia'!L8</f>
        <v>5.1.3</v>
      </c>
    </row>
    <row r="9" spans="1:12" ht="15.75" customHeight="1">
      <c r="A9" s="265" t="str">
        <f>'Passo2-Energia'!A9</f>
        <v>Utilização de gás natural bruto ou limpo</v>
      </c>
      <c r="B9" s="270" t="str">
        <f>IF(OR('Passo2-Energia'!B9=yes,'Passo2-Energia'!B9=no,'Passo2-Energia'!B9=que),'Passo2-Energia'!B9,  pres)</f>
        <v>Presente?</v>
      </c>
      <c r="C9" s="429">
        <f>'Passo2-Energia'!C9</f>
        <v>0</v>
      </c>
      <c r="D9" s="265" t="str">
        <f>'Passo2-Energia'!D9</f>
        <v>Gás usado Nm³/ano</v>
      </c>
      <c r="E9" s="442" t="str">
        <f>IF('Insira Resultados IN2 '!C16="",'Passo2-Energia'!E9,'Insira Resultados IN2 '!C16)</f>
        <v>Presente?</v>
      </c>
      <c r="F9" s="430" t="str">
        <f>IF('Insira Resultados IN2 '!D16="",'Passo2-Energia'!F9,'Insira Resultados IN2 '!D16)</f>
        <v>Presente?</v>
      </c>
      <c r="G9" s="430" t="str">
        <f>IF('Insira Resultados IN2 '!E16="",'Passo2-Energia'!G9,'Insira Resultados IN2 '!E16)</f>
        <v>Presente?</v>
      </c>
      <c r="H9" s="430" t="str">
        <f>IF('Insira Resultados IN2 '!F16="",'Passo2-Energia'!H9,'Insira Resultados IN2 '!F16)</f>
        <v>Presente?</v>
      </c>
      <c r="I9" s="430" t="str">
        <f>IF('Insira Resultados IN2 '!G16="",'Passo2-Energia'!I9,'Insira Resultados IN2 '!G16)</f>
        <v>Presente?</v>
      </c>
      <c r="J9" s="430" t="str">
        <f>IF('Insira Resultados IN2 '!H16="",'Passo2-Energia'!J9,'Insira Resultados IN2 '!H16)</f>
        <v>Presente?</v>
      </c>
      <c r="K9" s="430" t="str">
        <f>IF('Insira Resultados IN2 '!I16="",'Passo2-Energia'!K9,'Insira Resultados IN2 '!I16)</f>
        <v>Presente?</v>
      </c>
      <c r="L9" s="265" t="str">
        <f>'Passo2-Energia'!L9</f>
        <v>5.1.4</v>
      </c>
    </row>
    <row r="10" spans="1:12" ht="15.75" customHeight="1">
      <c r="A10" s="265" t="str">
        <f>'Passo2-Energia'!A10</f>
        <v>Uso de gás canalizado (qualidade para o consumidor)</v>
      </c>
      <c r="B10" s="270" t="str">
        <f>IF(OR('Passo2-Energia'!B10=yes,'Passo2-Energia'!B10=no,'Passo2-Energia'!B10=que),'Passo2-Energia'!B10,  pres)</f>
        <v>Presente?</v>
      </c>
      <c r="C10" s="429">
        <f>'Passo2-Energia'!C10</f>
        <v>0</v>
      </c>
      <c r="D10" s="265" t="str">
        <f>'Passo2-Energia'!D10</f>
        <v>Gás usado Nm³/ano</v>
      </c>
      <c r="E10" s="442" t="str">
        <f>IF('Insira Resultados IN2 '!C17="",'Passo2-Energia'!E10,'Insira Resultados IN2 '!C17)</f>
        <v>Presente?</v>
      </c>
      <c r="F10" s="430" t="str">
        <f>IF('Insira Resultados IN2 '!D17="",'Passo2-Energia'!F10,'Insira Resultados IN2 '!D17)</f>
        <v>Presente?</v>
      </c>
      <c r="G10" s="430" t="str">
        <f>IF('Insira Resultados IN2 '!E17="",'Passo2-Energia'!G10,'Insira Resultados IN2 '!E17)</f>
        <v>Presente?</v>
      </c>
      <c r="H10" s="430" t="str">
        <f>IF('Insira Resultados IN2 '!F17="",'Passo2-Energia'!H10,'Insira Resultados IN2 '!F17)</f>
        <v>Presente?</v>
      </c>
      <c r="I10" s="430" t="str">
        <f>IF('Insira Resultados IN2 '!G17="",'Passo2-Energia'!I10,'Insira Resultados IN2 '!G17)</f>
        <v>Presente?</v>
      </c>
      <c r="J10" s="430" t="str">
        <f>IF('Insira Resultados IN2 '!H17="",'Passo2-Energia'!J10,'Insira Resultados IN2 '!H17)</f>
        <v>Presente?</v>
      </c>
      <c r="K10" s="430" t="str">
        <f>IF('Insira Resultados IN2 '!I17="",'Passo2-Energia'!K10,'Insira Resultados IN2 '!I17)</f>
        <v>Presente?</v>
      </c>
      <c r="L10" s="265" t="str">
        <f>'Passo2-Energia'!L10</f>
        <v>5.1.4</v>
      </c>
    </row>
    <row r="11" spans="1:12">
      <c r="A11" s="265" t="str">
        <f>'Passo2-Energia'!A11</f>
        <v>Produção de energia ou aquecimento com biomassa</v>
      </c>
      <c r="B11" s="270" t="str">
        <f>IF(OR('Passo2-Energia'!B11=yes,'Passo2-Energia'!B11=no,'Passo2-Energia'!B11=que),'Passo2-Energia'!B11,  pres)</f>
        <v>Presente?</v>
      </c>
      <c r="C11" s="429">
        <f>'Passo2-Energia'!C11</f>
        <v>0</v>
      </c>
      <c r="D11" s="265" t="str">
        <f>'Passo2-Energia'!D11</f>
        <v>Biomassa queimado, t/ano</v>
      </c>
      <c r="E11" s="442" t="str">
        <f>IF('Insira Resultados IN2 '!C18="",'Passo2-Energia'!E11,'Insira Resultados IN2 '!C18)</f>
        <v>Presente?</v>
      </c>
      <c r="F11" s="430" t="str">
        <f>IF('Insira Resultados IN2 '!D18="",'Passo2-Energia'!F11,'Insira Resultados IN2 '!D18)</f>
        <v>Presente?</v>
      </c>
      <c r="G11" s="430" t="str">
        <f>IF('Insira Resultados IN2 '!E18="",'Passo2-Energia'!G11,'Insira Resultados IN2 '!E18)</f>
        <v>Presente?</v>
      </c>
      <c r="H11" s="430" t="str">
        <f>IF('Insira Resultados IN2 '!F18="",'Passo2-Energia'!H11,'Insira Resultados IN2 '!F18)</f>
        <v>Presente?</v>
      </c>
      <c r="I11" s="430" t="str">
        <f>IF('Insira Resultados IN2 '!G18="",'Passo2-Energia'!I11,'Insira Resultados IN2 '!G18)</f>
        <v>Presente?</v>
      </c>
      <c r="J11" s="430" t="str">
        <f>IF('Insira Resultados IN2 '!H18="",'Passo2-Energia'!J11,'Insira Resultados IN2 '!H18)</f>
        <v>Presente?</v>
      </c>
      <c r="K11" s="430" t="str">
        <f>IF('Insira Resultados IN2 '!I18="",'Passo2-Energia'!K11,'Insira Resultados IN2 '!I18)</f>
        <v>Presente?</v>
      </c>
      <c r="L11" s="265" t="str">
        <f>'Passo2-Energia'!L11</f>
        <v>5.1.6</v>
      </c>
    </row>
    <row r="12" spans="1:12">
      <c r="A12" s="265" t="str">
        <f>'Passo2-Energia'!A12</f>
        <v>Combustão do carvão vegetal</v>
      </c>
      <c r="B12" s="270" t="str">
        <f>IF(OR('Passo2-Energia'!B12=yes,'Passo2-Energia'!B12=no,'Passo2-Energia'!B12=que),'Passo2-Energia'!B12,  pres)</f>
        <v>Presente?</v>
      </c>
      <c r="C12" s="429">
        <f>'Passo2-Energia'!C12</f>
        <v>0</v>
      </c>
      <c r="D12" s="265" t="str">
        <f>'Passo2-Energia'!D12</f>
        <v>Carvão vegetal queimado, t/ano</v>
      </c>
      <c r="E12" s="442" t="str">
        <f>IF('Insira Resultados IN2 '!C19="",'Passo2-Energia'!E12,'Insira Resultados IN2 '!C19)</f>
        <v>Presente?</v>
      </c>
      <c r="F12" s="430" t="str">
        <f>IF('Insira Resultados IN2 '!D19="",'Passo2-Energia'!F12,'Insira Resultados IN2 '!D19)</f>
        <v>Presente?</v>
      </c>
      <c r="G12" s="430" t="str">
        <f>IF('Insira Resultados IN2 '!E19="",'Passo2-Energia'!G12,'Insira Resultados IN2 '!E19)</f>
        <v>Presente?</v>
      </c>
      <c r="H12" s="430" t="str">
        <f>IF('Insira Resultados IN2 '!F19="",'Passo2-Energia'!H12,'Insira Resultados IN2 '!F19)</f>
        <v>Presente?</v>
      </c>
      <c r="I12" s="430" t="str">
        <f>IF('Insira Resultados IN2 '!G19="",'Passo2-Energia'!I12,'Insira Resultados IN2 '!G19)</f>
        <v>Presente?</v>
      </c>
      <c r="J12" s="430" t="str">
        <f>IF('Insira Resultados IN2 '!H19="",'Passo2-Energia'!J12,'Insira Resultados IN2 '!H19)</f>
        <v>Presente?</v>
      </c>
      <c r="K12" s="430" t="str">
        <f>IF('Insira Resultados IN2 '!I19="",'Passo2-Energia'!K12,'Insira Resultados IN2 '!I19)</f>
        <v>Presente?</v>
      </c>
      <c r="L12" s="265" t="str">
        <f>'Passo2-Energia'!L12</f>
        <v>5.1.6</v>
      </c>
    </row>
    <row r="13" spans="1:12">
      <c r="A13" s="394" t="str">
        <f>'Passo2-Energia'!A14</f>
        <v>Produção de combustíveis</v>
      </c>
      <c r="B13" s="303"/>
      <c r="C13" s="427"/>
      <c r="D13" s="371"/>
      <c r="E13" s="371"/>
      <c r="F13" s="371"/>
      <c r="G13" s="428"/>
      <c r="H13" s="428"/>
      <c r="I13" s="428"/>
      <c r="J13" s="428"/>
      <c r="K13" s="428"/>
      <c r="L13" s="371"/>
    </row>
    <row r="14" spans="1:12">
      <c r="A14" s="265" t="str">
        <f>'Passo2-Energia'!A15</f>
        <v>Extração de petróleo</v>
      </c>
      <c r="B14" s="270" t="str">
        <f>IF(OR('Passo2-Energia'!B15=yes,'Passo2-Energia'!B15=no,'Passo2-Energia'!B15=que),'Passo2-Energia'!B15,  pres)</f>
        <v>Presente?</v>
      </c>
      <c r="C14" s="429">
        <f>'Passo2-Energia'!C15</f>
        <v>0</v>
      </c>
      <c r="D14" s="265" t="str">
        <f>'Passo2-Energia'!D15</f>
        <v>Petróleo bruto produzido, t/ano</v>
      </c>
      <c r="E14" s="442" t="str">
        <f>IF('Insira Resultados IN2 '!C21="",'Passo2-Energia'!E15,'Insira Resultados IN2 '!C21)</f>
        <v>Presente?</v>
      </c>
      <c r="F14" s="430" t="str">
        <f>IF('Insira Resultados IN2 '!D21="",'Passo2-Energia'!F15,'Insira Resultados IN2 '!D21)</f>
        <v>Presente?</v>
      </c>
      <c r="G14" s="430" t="str">
        <f>IF('Insira Resultados IN2 '!E21="",'Passo2-Energia'!G15,'Insira Resultados IN2 '!E21)</f>
        <v>Presente?</v>
      </c>
      <c r="H14" s="430" t="str">
        <f>IF('Insira Resultados IN2 '!F21="",'Passo2-Energia'!H15,'Insira Resultados IN2 '!F21)</f>
        <v>Presente?</v>
      </c>
      <c r="I14" s="430" t="str">
        <f>IF('Insira Resultados IN2 '!G21="",'Passo2-Energia'!I15,'Insira Resultados IN2 '!G21)</f>
        <v>Presente?</v>
      </c>
      <c r="J14" s="430" t="str">
        <f>IF('Insira Resultados IN2 '!H21="",'Passo2-Energia'!J15,'Insira Resultados IN2 '!H21)</f>
        <v>Presente?</v>
      </c>
      <c r="K14" s="430" t="str">
        <f>IF('Insira Resultados IN2 '!I21="",'Passo2-Energia'!K15,'Insira Resultados IN2 '!I21)</f>
        <v>Presente?</v>
      </c>
      <c r="L14" s="265" t="str">
        <f>'Passo2-Energia'!L15</f>
        <v>5.1.3</v>
      </c>
    </row>
    <row r="15" spans="1:12">
      <c r="A15" s="265" t="str">
        <f>'Passo2-Energia'!A16</f>
        <v>Refinamento de petróleo</v>
      </c>
      <c r="B15" s="270" t="str">
        <f>IF(OR('Passo2-Energia'!B16=yes,'Passo2-Energia'!B16=no,'Passo2-Energia'!B16=que),'Passo2-Energia'!B16,  pres)</f>
        <v>Presente?</v>
      </c>
      <c r="C15" s="429">
        <f>'Passo2-Energia'!C16</f>
        <v>0</v>
      </c>
      <c r="D15" s="265" t="str">
        <f>'Passo2-Energia'!D16</f>
        <v>Petróleo bruto refinado, t/ano</v>
      </c>
      <c r="E15" s="442" t="str">
        <f>IF('Insira Resultados IN2 '!C22="",'Passo2-Energia'!E16,'Insira Resultados IN2 '!C22)</f>
        <v>Presente?</v>
      </c>
      <c r="F15" s="430" t="str">
        <f>IF('Insira Resultados IN2 '!D22="",'Passo2-Energia'!F16,'Insira Resultados IN2 '!D22)</f>
        <v>Presente?</v>
      </c>
      <c r="G15" s="430" t="str">
        <f>IF('Insira Resultados IN2 '!E22="",'Passo2-Energia'!G16,'Insira Resultados IN2 '!E22)</f>
        <v>Presente?</v>
      </c>
      <c r="H15" s="430" t="str">
        <f>IF('Insira Resultados IN2 '!F22="",'Passo2-Energia'!H16,'Insira Resultados IN2 '!F22)</f>
        <v>Presente?</v>
      </c>
      <c r="I15" s="430" t="str">
        <f>IF('Insira Resultados IN2 '!G22="",'Passo2-Energia'!I16,'Insira Resultados IN2 '!G22)</f>
        <v>Presente?</v>
      </c>
      <c r="J15" s="430" t="str">
        <f>IF('Insira Resultados IN2 '!H22="",'Passo2-Energia'!J16,'Insira Resultados IN2 '!H22)</f>
        <v>Presente?</v>
      </c>
      <c r="K15" s="430" t="str">
        <f>IF('Insira Resultados IN2 '!I22="",'Passo2-Energia'!K16,'Insira Resultados IN2 '!I22)</f>
        <v>Presente?</v>
      </c>
      <c r="L15" s="265" t="str">
        <f>'Passo2-Energia'!L16</f>
        <v>5.1.3</v>
      </c>
    </row>
    <row r="16" spans="1:12">
      <c r="A16" s="265" t="str">
        <f>'Passo2-Energia'!A17</f>
        <v>Extração e processamento de gás natural</v>
      </c>
      <c r="B16" s="270" t="str">
        <f>IF(OR('Passo2-Energia'!B17=yes,'Passo2-Energia'!B17=no,'Passo2-Energia'!B17=que),'Passo2-Energia'!B17,  pres)</f>
        <v>Presente?</v>
      </c>
      <c r="C16" s="429">
        <f>'Passo2-Energia'!C17</f>
        <v>0</v>
      </c>
      <c r="D16" s="265" t="str">
        <f>'Passo2-Energia'!D17</f>
        <v>Gás produzido Nm³/ano</v>
      </c>
      <c r="E16" s="442" t="str">
        <f>IF('Insira Resultados IN2 '!C23="",'Passo2-Energia'!E17,'Insira Resultados IN2 '!C23)</f>
        <v>Presente?</v>
      </c>
      <c r="F16" s="430" t="str">
        <f>IF('Insira Resultados IN2 '!D23="",'Passo2-Energia'!F17,'Insira Resultados IN2 '!D23)</f>
        <v>Presente?</v>
      </c>
      <c r="G16" s="430" t="str">
        <f>IF('Insira Resultados IN2 '!E23="",'Passo2-Energia'!G17,'Insira Resultados IN2 '!E23)</f>
        <v>Presente?</v>
      </c>
      <c r="H16" s="430" t="str">
        <f>IF('Insira Resultados IN2 '!F23="",'Passo2-Energia'!H17,'Insira Resultados IN2 '!F23)</f>
        <v>Presente?</v>
      </c>
      <c r="I16" s="430" t="str">
        <f>IF('Insira Resultados IN2 '!G23="",'Passo2-Energia'!I17,'Insira Resultados IN2 '!G23)</f>
        <v>Presente?</v>
      </c>
      <c r="J16" s="430" t="str">
        <f>IF('Insira Resultados IN2 '!H23="",'Passo2-Energia'!J17,'Insira Resultados IN2 '!H23)</f>
        <v>Presente?</v>
      </c>
      <c r="K16" s="430" t="str">
        <f>IF('Insira Resultados IN2 '!I23="",'Passo2-Energia'!K17,'Insira Resultados IN2 '!I23)</f>
        <v>Presente?</v>
      </c>
      <c r="L16" s="265" t="str">
        <f>'Passo2-Energia'!L17</f>
        <v>5.1.4</v>
      </c>
    </row>
    <row r="17" spans="1:12">
      <c r="A17" s="394" t="str">
        <f>'Passo3-Metais-MatPrima'!A5</f>
        <v>Produção de metais primários</v>
      </c>
      <c r="B17" s="303"/>
      <c r="C17" s="427"/>
      <c r="D17" s="371"/>
      <c r="E17" s="371"/>
      <c r="F17" s="428"/>
      <c r="G17" s="428"/>
      <c r="H17" s="428"/>
      <c r="I17" s="428"/>
      <c r="J17" s="428"/>
      <c r="K17" s="428"/>
      <c r="L17" s="371"/>
    </row>
    <row r="18" spans="1:12" ht="25.5">
      <c r="A18" s="265" t="str">
        <f>'Passo3-Metais-MatPrima'!A6</f>
        <v>Extração e processamento inicial de mercúrio (primário)</v>
      </c>
      <c r="B18" s="270" t="str">
        <f>IF(OR('Passo3-Metais-MatPrima'!B6=yes,'Passo3-Metais-MatPrima'!B6=no,'Passo3-Metais-MatPrima'!B6=que),'Passo3-Metais-MatPrima'!B6,  pres)</f>
        <v>Presente?</v>
      </c>
      <c r="C18" s="429">
        <f>'Passo3-Metais-MatPrima'!C6</f>
        <v>0</v>
      </c>
      <c r="D18" s="265" t="str">
        <f>'Passo3-Metais-MatPrima'!D6</f>
        <v>Mercúrio produzido, t/ano</v>
      </c>
      <c r="E18" s="442" t="str">
        <f>IF('Insira Resultados IN2 '!C25="",'Passo3-Metais-MatPrima'!E6,'Insira Resultados IN2 '!C25)</f>
        <v>Presente?</v>
      </c>
      <c r="F18" s="430" t="str">
        <f>IF('Insira Resultados IN2 '!D25="",'Passo3-Metais-MatPrima'!F6,'Insira Resultados IN2 '!D25)</f>
        <v>Presente?</v>
      </c>
      <c r="G18" s="430" t="str">
        <f>IF('Insira Resultados IN2 '!E25="",'Passo3-Metais-MatPrima'!G6,'Insira Resultados IN2 '!E25)</f>
        <v>Presente?</v>
      </c>
      <c r="H18" s="430" t="str">
        <f>IF('Insira Resultados IN2 '!F25="",'Passo3-Metais-MatPrima'!H6,'Insira Resultados IN2 '!F25)</f>
        <v>Presente?</v>
      </c>
      <c r="I18" s="430" t="str">
        <f>IF('Insira Resultados IN2 '!G25="",'Passo3-Metais-MatPrima'!I6,'Insira Resultados IN2 '!G25)</f>
        <v>Presente?</v>
      </c>
      <c r="J18" s="430" t="str">
        <f>IF('Insira Resultados IN2 '!H25="",'Passo3-Metais-MatPrima'!J6,'Insira Resultados IN2 '!H25)</f>
        <v>Presente?</v>
      </c>
      <c r="K18" s="430" t="str">
        <f>IF('Insira Resultados IN2 '!I25="",'Passo3-Metais-MatPrima'!K6,'Insira Resultados IN2 '!I25)</f>
        <v>Presente?</v>
      </c>
      <c r="L18" s="265" t="str">
        <f>'Passo3-Metais-MatPrima'!L6</f>
        <v>5.2.1</v>
      </c>
    </row>
    <row r="19" spans="1:12">
      <c r="A19" s="265" t="str">
        <f>'Passo3-Metais-MatPrima'!A7</f>
        <v>Produção de zinco a partir de concentrados</v>
      </c>
      <c r="B19" s="270" t="str">
        <f>IF(OR('Passo3-Metais-MatPrima'!B7=yes,'Passo3-Metais-MatPrima'!B7=no,'Passo3-Metais-MatPrima'!B7=que),'Passo3-Metais-MatPrima'!B7,  pres)</f>
        <v>Presente?</v>
      </c>
      <c r="C19" s="429">
        <f>'Passo3-Metais-MatPrima'!C7</f>
        <v>0</v>
      </c>
      <c r="D19" s="265" t="str">
        <f>'Passo3-Metais-MatPrima'!D7</f>
        <v>Concentrado utilizado, t/ano</v>
      </c>
      <c r="E19" s="442" t="str">
        <f>IF('Insira Resultados IN2 '!C26="",'Passo3-Metais-MatPrima'!E7,'Insira Resultados IN2 '!C26)</f>
        <v>Presente?</v>
      </c>
      <c r="F19" s="430" t="str">
        <f>IF('Insira Resultados IN2 '!D26="",'Passo3-Metais-MatPrima'!F7,'Insira Resultados IN2 '!D26)</f>
        <v>Presente?</v>
      </c>
      <c r="G19" s="430" t="str">
        <f>IF('Insira Resultados IN2 '!E26="",'Passo3-Metais-MatPrima'!G7,'Insira Resultados IN2 '!E26)</f>
        <v>Presente?</v>
      </c>
      <c r="H19" s="430" t="str">
        <f>IF('Insira Resultados IN2 '!F26="",'Passo3-Metais-MatPrima'!H7,'Insira Resultados IN2 '!F26)</f>
        <v>Presente?</v>
      </c>
      <c r="I19" s="430" t="str">
        <f>IF('Insira Resultados IN2 '!G26="",'Passo3-Metais-MatPrima'!I7,'Insira Resultados IN2 '!G26)</f>
        <v>Presente?</v>
      </c>
      <c r="J19" s="430" t="str">
        <f>IF('Insira Resultados IN2 '!H26="",'Passo3-Metais-MatPrima'!J7,'Insira Resultados IN2 '!H26)</f>
        <v>Presente?</v>
      </c>
      <c r="K19" s="430" t="str">
        <f>IF('Insira Resultados IN2 '!I26="",'Passo3-Metais-MatPrima'!K7,'Insira Resultados IN2 '!I26)</f>
        <v>Presente?</v>
      </c>
      <c r="L19" s="265" t="str">
        <f>'Passo3-Metais-MatPrima'!L7</f>
        <v>5.2.3</v>
      </c>
    </row>
    <row r="20" spans="1:12">
      <c r="A20" s="265" t="str">
        <f>'Passo3-Metais-MatPrima'!A8</f>
        <v>Produção de cobre a partir de concentrados</v>
      </c>
      <c r="B20" s="270" t="str">
        <f>IF(OR('Passo3-Metais-MatPrima'!B8=yes,'Passo3-Metais-MatPrima'!B8=no,'Passo3-Metais-MatPrima'!B8=que),'Passo3-Metais-MatPrima'!B8,  pres)</f>
        <v>Presente?</v>
      </c>
      <c r="C20" s="429">
        <f>'Passo3-Metais-MatPrima'!C8</f>
        <v>0</v>
      </c>
      <c r="D20" s="265" t="str">
        <f>'Passo3-Metais-MatPrima'!D8</f>
        <v>Concentrado utilizado, t/ano</v>
      </c>
      <c r="E20" s="442" t="str">
        <f>IF('Insira Resultados IN2 '!C27="",'Passo3-Metais-MatPrima'!E8,'Insira Resultados IN2 '!C27)</f>
        <v>Presente?</v>
      </c>
      <c r="F20" s="430" t="str">
        <f>IF('Insira Resultados IN2 '!D27="",'Passo3-Metais-MatPrima'!F8,'Insira Resultados IN2 '!D27)</f>
        <v>Presente?</v>
      </c>
      <c r="G20" s="430" t="str">
        <f>IF('Insira Resultados IN2 '!E27="",'Passo3-Metais-MatPrima'!G8,'Insira Resultados IN2 '!E27)</f>
        <v>Presente?</v>
      </c>
      <c r="H20" s="430" t="str">
        <f>IF('Insira Resultados IN2 '!F27="",'Passo3-Metais-MatPrima'!H8,'Insira Resultados IN2 '!F27)</f>
        <v>Presente?</v>
      </c>
      <c r="I20" s="430" t="str">
        <f>IF('Insira Resultados IN2 '!G27="",'Passo3-Metais-MatPrima'!I8,'Insira Resultados IN2 '!G27)</f>
        <v>Presente?</v>
      </c>
      <c r="J20" s="430" t="str">
        <f>IF('Insira Resultados IN2 '!H27="",'Passo3-Metais-MatPrima'!J8,'Insira Resultados IN2 '!H27)</f>
        <v>Presente?</v>
      </c>
      <c r="K20" s="430" t="str">
        <f>IF('Insira Resultados IN2 '!I27="",'Passo3-Metais-MatPrima'!K8,'Insira Resultados IN2 '!I27)</f>
        <v>Presente?</v>
      </c>
      <c r="L20" s="265" t="str">
        <f>'Passo3-Metais-MatPrima'!L8</f>
        <v>5.2.4</v>
      </c>
    </row>
    <row r="21" spans="1:12">
      <c r="A21" s="265" t="str">
        <f>'Passo3-Metais-MatPrima'!A9</f>
        <v>Produção de chumbo a partir de concentrados</v>
      </c>
      <c r="B21" s="270" t="str">
        <f>IF(OR('Passo3-Metais-MatPrima'!B9=yes,'Passo3-Metais-MatPrima'!B9=no,'Passo3-Metais-MatPrima'!B9=que),'Passo3-Metais-MatPrima'!B9,  pres)</f>
        <v>Presente?</v>
      </c>
      <c r="C21" s="429">
        <f>'Passo3-Metais-MatPrima'!C9</f>
        <v>0</v>
      </c>
      <c r="D21" s="265" t="str">
        <f>'Passo3-Metais-MatPrima'!D9</f>
        <v>Concentrado utilizado, t/ano</v>
      </c>
      <c r="E21" s="442" t="str">
        <f>IF('Insira Resultados IN2 '!C28="",'Passo3-Metais-MatPrima'!E9,'Insira Resultados IN2 '!C28)</f>
        <v>Presente?</v>
      </c>
      <c r="F21" s="430" t="str">
        <f>IF('Insira Resultados IN2 '!D28="",'Passo3-Metais-MatPrima'!F9,'Insira Resultados IN2 '!D28)</f>
        <v>Presente?</v>
      </c>
      <c r="G21" s="430" t="str">
        <f>IF('Insira Resultados IN2 '!E28="",'Passo3-Metais-MatPrima'!G9,'Insira Resultados IN2 '!E28)</f>
        <v>Presente?</v>
      </c>
      <c r="H21" s="430" t="str">
        <f>IF('Insira Resultados IN2 '!F28="",'Passo3-Metais-MatPrima'!H9,'Insira Resultados IN2 '!F28)</f>
        <v>Presente?</v>
      </c>
      <c r="I21" s="430" t="str">
        <f>IF('Insira Resultados IN2 '!G28="",'Passo3-Metais-MatPrima'!I9,'Insira Resultados IN2 '!G28)</f>
        <v>Presente?</v>
      </c>
      <c r="J21" s="430" t="str">
        <f>IF('Insira Resultados IN2 '!H28="",'Passo3-Metais-MatPrima'!J9,'Insira Resultados IN2 '!H28)</f>
        <v>Presente?</v>
      </c>
      <c r="K21" s="430" t="str">
        <f>IF('Insira Resultados IN2 '!I28="",'Passo3-Metais-MatPrima'!K9,'Insira Resultados IN2 '!I28)</f>
        <v>Presente?</v>
      </c>
      <c r="L21" s="265" t="str">
        <f>'Passo3-Metais-MatPrima'!L9</f>
        <v>5.2.5</v>
      </c>
    </row>
    <row r="22" spans="1:12" ht="25.5">
      <c r="A22" s="265" t="str">
        <f>'Passo3-Metais-MatPrima'!A10</f>
        <v>Extração de ouro por métodos sem amálgama de mercúrio</v>
      </c>
      <c r="B22" s="270" t="str">
        <f>IF(OR('Passo3-Metais-MatPrima'!B10=yes,'Passo3-Metais-MatPrima'!B10=no,'Passo3-Metais-MatPrima'!B10=que),'Passo3-Metais-MatPrima'!B10,  pres)</f>
        <v>Presente?</v>
      </c>
      <c r="C22" s="429">
        <f>'Passo3-Metais-MatPrima'!C10</f>
        <v>0</v>
      </c>
      <c r="D22" s="265" t="str">
        <f>'Passo3-Metais-MatPrima'!D10</f>
        <v>Minério de ouro usado, t/ano</v>
      </c>
      <c r="E22" s="442" t="str">
        <f>IF('Insira Resultados IN2 '!C29="",'Passo3-Metais-MatPrima'!E10,'Insira Resultados IN2 '!C29)</f>
        <v>Presente?</v>
      </c>
      <c r="F22" s="430" t="str">
        <f>IF('Insira Resultados IN2 '!D29="",'Passo3-Metais-MatPrima'!F10,'Insira Resultados IN2 '!D29)</f>
        <v>Presente?</v>
      </c>
      <c r="G22" s="430" t="str">
        <f>IF('Insira Resultados IN2 '!E29="",'Passo3-Metais-MatPrima'!G10,'Insira Resultados IN2 '!E29)</f>
        <v>Presente?</v>
      </c>
      <c r="H22" s="430" t="str">
        <f>IF('Insira Resultados IN2 '!F29="",'Passo3-Metais-MatPrima'!H10,'Insira Resultados IN2 '!F29)</f>
        <v>Presente?</v>
      </c>
      <c r="I22" s="430" t="str">
        <f>IF('Insira Resultados IN2 '!G29="",'Passo3-Metais-MatPrima'!I10,'Insira Resultados IN2 '!G29)</f>
        <v>Presente?</v>
      </c>
      <c r="J22" s="430" t="str">
        <f>IF('Insira Resultados IN2 '!H29="",'Passo3-Metais-MatPrima'!J10,'Insira Resultados IN2 '!H29)</f>
        <v>Presente?</v>
      </c>
      <c r="K22" s="430" t="str">
        <f>IF('Insira Resultados IN2 '!I29="",'Passo3-Metais-MatPrima'!K10,'Insira Resultados IN2 '!I29)</f>
        <v>Presente?</v>
      </c>
      <c r="L22" s="265" t="str">
        <f>'Passo3-Metais-MatPrima'!L10</f>
        <v>5.2.6</v>
      </c>
    </row>
    <row r="23" spans="1:12" ht="25.5">
      <c r="A23" s="265" t="str">
        <f>'Passo3-Metais-MatPrima'!A11</f>
        <v>Produção de alumina a partir da bauxita (produção de alumínio)</v>
      </c>
      <c r="B23" s="270" t="str">
        <f>IF(OR('Passo3-Metais-MatPrima'!B11=yes,'Passo3-Metais-MatPrima'!B11=no,'Passo3-Metais-MatPrima'!B11=que),'Passo3-Metais-MatPrima'!B11,  pres)</f>
        <v>Presente?</v>
      </c>
      <c r="C23" s="429">
        <f>'Passo3-Metais-MatPrima'!C11</f>
        <v>0</v>
      </c>
      <c r="D23" s="265" t="str">
        <f>'Passo3-Metais-MatPrima'!D11</f>
        <v>Bauxita processada, t/ano</v>
      </c>
      <c r="E23" s="442" t="str">
        <f>IF('Insira Resultados IN2 '!C30="",'Passo3-Metais-MatPrima'!E11,'Insira Resultados IN2 '!C30)</f>
        <v>Presente?</v>
      </c>
      <c r="F23" s="430" t="str">
        <f>IF('Insira Resultados IN2 '!D30="",'Passo3-Metais-MatPrima'!F11,'Insira Resultados IN2 '!D30)</f>
        <v>Presente?</v>
      </c>
      <c r="G23" s="430" t="str">
        <f>IF('Insira Resultados IN2 '!E30="",'Passo3-Metais-MatPrima'!G11,'Insira Resultados IN2 '!E30)</f>
        <v>Presente?</v>
      </c>
      <c r="H23" s="430" t="str">
        <f>IF('Insira Resultados IN2 '!F30="",'Passo3-Metais-MatPrima'!H11,'Insira Resultados IN2 '!F30)</f>
        <v>Presente?</v>
      </c>
      <c r="I23" s="430" t="str">
        <f>IF('Insira Resultados IN2 '!G30="",'Passo3-Metais-MatPrima'!I11,'Insira Resultados IN2 '!G30)</f>
        <v>Presente?</v>
      </c>
      <c r="J23" s="430" t="str">
        <f>IF('Insira Resultados IN2 '!H30="",'Passo3-Metais-MatPrima'!J11,'Insira Resultados IN2 '!H30)</f>
        <v>Presente?</v>
      </c>
      <c r="K23" s="430" t="str">
        <f>IF('Insira Resultados IN2 '!I30="",'Passo3-Metais-MatPrima'!K11,'Insira Resultados IN2 '!I30)</f>
        <v>Presente?</v>
      </c>
      <c r="L23" s="265" t="str">
        <f>'Passo3-Metais-MatPrima'!L11</f>
        <v>5.2.7</v>
      </c>
    </row>
    <row r="24" spans="1:12" ht="27.75" customHeight="1">
      <c r="A24" s="265" t="str">
        <f>'Passo3-Metais-MatPrima'!A12</f>
        <v>Produção de metais ferrosos primários (produção de ferro gusa)</v>
      </c>
      <c r="B24" s="270" t="str">
        <f>IF(OR('Passo3-Metais-MatPrima'!B12=yes,'Passo3-Metais-MatPrima'!B12=no,'Passo3-Metais-MatPrima'!B12=que),'Passo3-Metais-MatPrima'!B12,  pres)</f>
        <v>Presente?</v>
      </c>
      <c r="C24" s="429">
        <f>'Passo3-Metais-MatPrima'!C12</f>
        <v>0</v>
      </c>
      <c r="D24" s="265" t="str">
        <f>'Passo3-Metais-MatPrima'!D12</f>
        <v>Ferro-gusa produzido, t/ano</v>
      </c>
      <c r="E24" s="442" t="str">
        <f>IF('Insira Resultados IN2 '!C31="",'Passo3-Metais-MatPrima'!E12,'Insira Resultados IN2 '!C31)</f>
        <v>Presente?</v>
      </c>
      <c r="F24" s="430" t="str">
        <f>IF('Insira Resultados IN2 '!D31="",'Passo3-Metais-MatPrima'!F12,'Insira Resultados IN2 '!D31)</f>
        <v>Presente?</v>
      </c>
      <c r="G24" s="430" t="str">
        <f>IF('Insira Resultados IN2 '!E31="",'Passo3-Metais-MatPrima'!G12,'Insira Resultados IN2 '!E31)</f>
        <v>Presente?</v>
      </c>
      <c r="H24" s="430" t="str">
        <f>IF('Insira Resultados IN2 '!F31="",'Passo3-Metais-MatPrima'!H12,'Insira Resultados IN2 '!F31)</f>
        <v>Presente?</v>
      </c>
      <c r="I24" s="430" t="str">
        <f>IF('Insira Resultados IN2 '!G31="",'Passo3-Metais-MatPrima'!I12,'Insira Resultados IN2 '!G31)</f>
        <v>Presente?</v>
      </c>
      <c r="J24" s="430" t="str">
        <f>IF('Insira Resultados IN2 '!H31="",'Passo3-Metais-MatPrima'!J12,'Insira Resultados IN2 '!H31)</f>
        <v>Presente?</v>
      </c>
      <c r="K24" s="430" t="str">
        <f>IF('Insira Resultados IN2 '!I31="",'Passo3-Metais-MatPrima'!K12,'Insira Resultados IN2 '!I31)</f>
        <v>Presente?</v>
      </c>
      <c r="L24" s="265" t="str">
        <f>'Passo3-Metais-MatPrima'!L12</f>
        <v>5.2.9</v>
      </c>
    </row>
    <row r="25" spans="1:12" ht="25.5">
      <c r="A25" s="265" t="str">
        <f>'Passo3-Metais-MatPrima'!A13</f>
        <v>Extração de ouro com amálgama de mercúrio - sem o uso de retorta</v>
      </c>
      <c r="B25" s="270" t="str">
        <f>IF(OR('Passo3-Metais-MatPrima'!B13=yes,'Passo3-Metais-MatPrima'!B13=no,'Passo3-Metais-MatPrima'!B13=que),'Passo3-Metais-MatPrima'!B13,  pres)</f>
        <v>Presente?</v>
      </c>
      <c r="C25" s="429">
        <f>'Passo3-Metais-MatPrima'!C13</f>
        <v>0</v>
      </c>
      <c r="D25" s="265" t="str">
        <f>'Passo3-Metais-MatPrima'!D13</f>
        <v>Ouro produzido, kg/ano</v>
      </c>
      <c r="E25" s="442" t="str">
        <f>IF('Insira Resultados IN2 '!C32="",'Passo3-Metais-MatPrima'!E13,'Insira Resultados IN2 '!C32)</f>
        <v>Presente?</v>
      </c>
      <c r="F25" s="430" t="str">
        <f>IF('Insira Resultados IN2 '!D32="",'Passo3-Metais-MatPrima'!F13,'Insira Resultados IN2 '!D32)</f>
        <v>Presente?</v>
      </c>
      <c r="G25" s="430" t="str">
        <f>IF('Insira Resultados IN2 '!E32="",'Passo3-Metais-MatPrima'!G13,'Insira Resultados IN2 '!E32)</f>
        <v>Presente?</v>
      </c>
      <c r="H25" s="430" t="str">
        <f>IF('Insira Resultados IN2 '!F32="",'Passo3-Metais-MatPrima'!H13,'Insira Resultados IN2 '!F32)</f>
        <v>Presente?</v>
      </c>
      <c r="I25" s="430" t="str">
        <f>IF('Insira Resultados IN2 '!G32="",'Passo3-Metais-MatPrima'!I13,'Insira Resultados IN2 '!G32)</f>
        <v>Presente?</v>
      </c>
      <c r="J25" s="430" t="str">
        <f>IF('Insira Resultados IN2 '!H32="",'Passo3-Metais-MatPrima'!J13,'Insira Resultados IN2 '!H32)</f>
        <v>Presente?</v>
      </c>
      <c r="K25" s="430" t="str">
        <f>IF('Insira Resultados IN2 '!I32="",'Passo3-Metais-MatPrima'!K13,'Insira Resultados IN2 '!I32)</f>
        <v>Presente?</v>
      </c>
      <c r="L25" s="265" t="str">
        <f>'Passo3-Metais-MatPrima'!L13</f>
        <v>5.2.2</v>
      </c>
    </row>
    <row r="26" spans="1:12" ht="25.5">
      <c r="A26" s="265" t="str">
        <f>'Passo3-Metais-MatPrima'!A14</f>
        <v>Extração de ouro com amálgama de mercúrio - com uso de retortas</v>
      </c>
      <c r="B26" s="270" t="str">
        <f>IF(OR('Passo3-Metais-MatPrima'!B14=yes,'Passo3-Metais-MatPrima'!B14=no,'Passo3-Metais-MatPrima'!B14=que),'Passo3-Metais-MatPrima'!B14,  pres)</f>
        <v>Presente?</v>
      </c>
      <c r="C26" s="429">
        <f>'Passo3-Metais-MatPrima'!C14</f>
        <v>0</v>
      </c>
      <c r="D26" s="265" t="str">
        <f>'Passo3-Metais-MatPrima'!D14</f>
        <v>Ouro produzido, kg/ano</v>
      </c>
      <c r="E26" s="442" t="str">
        <f>IF('Insira Resultados IN2 '!C33="",'Passo3-Metais-MatPrima'!E14,'Insira Resultados IN2 '!C33)</f>
        <v>Presente?</v>
      </c>
      <c r="F26" s="430" t="str">
        <f>IF('Insira Resultados IN2 '!D33="",'Passo3-Metais-MatPrima'!F14,'Insira Resultados IN2 '!D33)</f>
        <v>Presente?</v>
      </c>
      <c r="G26" s="430" t="str">
        <f>IF('Insira Resultados IN2 '!E33="",'Passo3-Metais-MatPrima'!G14,'Insira Resultados IN2 '!E33)</f>
        <v>Presente?</v>
      </c>
      <c r="H26" s="430" t="str">
        <f>IF('Insira Resultados IN2 '!F33="",'Passo3-Metais-MatPrima'!H14,'Insira Resultados IN2 '!F33)</f>
        <v>Presente?</v>
      </c>
      <c r="I26" s="430" t="str">
        <f>IF('Insira Resultados IN2 '!G33="",'Passo3-Metais-MatPrima'!I14,'Insira Resultados IN2 '!G33)</f>
        <v>Presente?</v>
      </c>
      <c r="J26" s="430" t="str">
        <f>IF('Insira Resultados IN2 '!H33="",'Passo3-Metais-MatPrima'!J14,'Insira Resultados IN2 '!H33)</f>
        <v>Presente?</v>
      </c>
      <c r="K26" s="430" t="str">
        <f>IF('Insira Resultados IN2 '!I33="",'Passo3-Metais-MatPrima'!K14,'Insira Resultados IN2 '!I33)</f>
        <v>Presente?</v>
      </c>
      <c r="L26" s="265" t="str">
        <f>'Passo3-Metais-MatPrima'!L14</f>
        <v>5.2.2</v>
      </c>
    </row>
    <row r="27" spans="1:12" ht="17.25" customHeight="1">
      <c r="A27" s="394" t="str">
        <f>'Passo3-Metais-MatPrima'!A15</f>
        <v>Produção de outros materiais</v>
      </c>
      <c r="B27" s="303"/>
      <c r="C27" s="427"/>
      <c r="D27" s="371"/>
      <c r="E27" s="371"/>
      <c r="F27" s="371"/>
      <c r="G27" s="371"/>
      <c r="H27" s="371"/>
      <c r="I27" s="371"/>
      <c r="J27" s="371"/>
      <c r="K27" s="371"/>
      <c r="L27" s="371"/>
    </row>
    <row r="28" spans="1:12">
      <c r="A28" s="265" t="str">
        <f>'Passo3-Metais-MatPrima'!A16</f>
        <v>Produção de cimento</v>
      </c>
      <c r="B28" s="270" t="str">
        <f>IF(OR('Passo3-Metais-MatPrima'!B16=yes,'Passo3-Metais-MatPrima'!B16=no,'Passo3-Metais-MatPrima'!B16=que),'Passo3-Metais-MatPrima'!B16,  pres)</f>
        <v>Presente?</v>
      </c>
      <c r="C28" s="429">
        <f>'Passo3-Metais-MatPrima'!C16</f>
        <v>0</v>
      </c>
      <c r="D28" s="265" t="str">
        <f>'Passo3-Metais-MatPrima'!D16</f>
        <v>Cimento produzido, t/ano</v>
      </c>
      <c r="E28" s="442" t="str">
        <f>IF('Insira Resultados IN2 '!C35="",'Passo3-Metais-MatPrima'!E16,'Insira Resultados IN2 '!C35)</f>
        <v>Presente?</v>
      </c>
      <c r="F28" s="430" t="str">
        <f>IF('Insira Resultados IN2 '!D35="",'Passo3-Metais-MatPrima'!F16,'Insira Resultados IN2 '!D35)</f>
        <v>Presente?</v>
      </c>
      <c r="G28" s="430" t="str">
        <f>IF('Insira Resultados IN2 '!E35="",'Passo3-Metais-MatPrima'!G16,'Insira Resultados IN2 '!E35)</f>
        <v>Presente?</v>
      </c>
      <c r="H28" s="430" t="str">
        <f>IF('Insira Resultados IN2 '!F35="",'Passo3-Metais-MatPrima'!H16,'Insira Resultados IN2 '!F35)</f>
        <v>Presente?</v>
      </c>
      <c r="I28" s="430" t="str">
        <f>IF('Insira Resultados IN2 '!G35="",'Passo3-Metais-MatPrima'!I16,'Insira Resultados IN2 '!G35)</f>
        <v>Presente?</v>
      </c>
      <c r="J28" s="430" t="str">
        <f>IF('Insira Resultados IN2 '!H35="",'Passo3-Metais-MatPrima'!J16,'Insira Resultados IN2 '!H35)</f>
        <v>Presente?</v>
      </c>
      <c r="K28" s="430" t="str">
        <f>IF('Insira Resultados IN2 '!I35="",'Passo3-Metais-MatPrima'!K16,'Insira Resultados IN2 '!I35)</f>
        <v>Presente?</v>
      </c>
      <c r="L28" s="265" t="str">
        <f>'Passo3-Metais-MatPrima'!L16</f>
        <v>5.3.1</v>
      </c>
    </row>
    <row r="29" spans="1:12">
      <c r="A29" s="265" t="str">
        <f>'Passo3-Metais-MatPrima'!A17</f>
        <v>Produção de papel e celulose</v>
      </c>
      <c r="B29" s="270" t="str">
        <f>IF(OR('Passo3-Metais-MatPrima'!B17=yes,'Passo3-Metais-MatPrima'!B17=no,'Passo3-Metais-MatPrima'!B17=que),'Passo3-Metais-MatPrima'!B17,  pres)</f>
        <v>Presente?</v>
      </c>
      <c r="C29" s="429">
        <f>'Passo3-Metais-MatPrima'!C17</f>
        <v>0</v>
      </c>
      <c r="D29" s="265" t="str">
        <f>'Passo3-Metais-MatPrima'!D17</f>
        <v>Biomassa utilizada na produção, t/ano</v>
      </c>
      <c r="E29" s="442" t="str">
        <f>IF('Insira Resultados IN2 '!C36="",'Passo3-Metais-MatPrima'!E17,'Insira Resultados IN2 '!C36)</f>
        <v>Presente?</v>
      </c>
      <c r="F29" s="430" t="str">
        <f>IF('Insira Resultados IN2 '!D36="",'Passo3-Metais-MatPrima'!F17,'Insira Resultados IN2 '!D36)</f>
        <v>Presente?</v>
      </c>
      <c r="G29" s="430" t="str">
        <f>IF('Insira Resultados IN2 '!E36="",'Passo3-Metais-MatPrima'!G17,'Insira Resultados IN2 '!E36)</f>
        <v>Presente?</v>
      </c>
      <c r="H29" s="430" t="str">
        <f>IF('Insira Resultados IN2 '!F36="",'Passo3-Metais-MatPrima'!H17,'Insira Resultados IN2 '!F36)</f>
        <v>Presente?</v>
      </c>
      <c r="I29" s="430" t="str">
        <f>IF('Insira Resultados IN2 '!G36="",'Passo3-Metais-MatPrima'!I17,'Insira Resultados IN2 '!G36)</f>
        <v>Presente?</v>
      </c>
      <c r="J29" s="430" t="str">
        <f>IF('Insira Resultados IN2 '!H36="",'Passo3-Metais-MatPrima'!J17,'Insira Resultados IN2 '!H36)</f>
        <v>Presente?</v>
      </c>
      <c r="K29" s="430" t="str">
        <f>IF('Insira Resultados IN2 '!I36="",'Passo3-Metais-MatPrima'!K17,'Insira Resultados IN2 '!I36)</f>
        <v>Presente?</v>
      </c>
      <c r="L29" s="265" t="str">
        <f>'Passo3-Metais-MatPrima'!L17</f>
        <v>5.3.2</v>
      </c>
    </row>
    <row r="30" spans="1:12">
      <c r="A30" s="394" t="str">
        <f>'Passo4-Uso Industrial de Hg'!A4</f>
        <v>Produção de produtos químicos</v>
      </c>
      <c r="B30" s="303"/>
      <c r="C30" s="275"/>
      <c r="D30" s="304"/>
      <c r="E30" s="304"/>
      <c r="F30" s="440"/>
      <c r="G30" s="440"/>
      <c r="H30" s="440"/>
      <c r="I30" s="440"/>
      <c r="J30" s="440"/>
      <c r="K30" s="440"/>
      <c r="L30" s="305"/>
    </row>
    <row r="31" spans="1:12">
      <c r="A31" s="265" t="str">
        <f>'Passo4-Uso Industrial de Hg'!A5</f>
        <v>Produção de cloro e álcalis com células de mercúrio</v>
      </c>
      <c r="B31" s="270" t="str">
        <f>IF(OR('Passo4-Uso Industrial de Hg'!B5=yes,'Passo4-Uso Industrial de Hg'!B5=no,'Passo4-Uso Industrial de Hg'!B5=que),'Passo4-Uso Industrial de Hg'!B5,  pres)</f>
        <v>Presente?</v>
      </c>
      <c r="C31" s="375">
        <f>'Passo4-Uso Industrial de Hg'!C5</f>
        <v>0</v>
      </c>
      <c r="D31" s="273" t="str">
        <f>'Passo4-Uso Industrial de Hg'!D5</f>
        <v xml:space="preserve">Cl2 produzido, t/ano </v>
      </c>
      <c r="E31" s="442" t="str">
        <f>IF('Insira Resultados IN2 '!C38="",'Passo4-Uso Industrial de Hg'!E5,'Insira Resultados IN2 '!C38)</f>
        <v>Presente?</v>
      </c>
      <c r="F31" s="430" t="str">
        <f>IF('Insira Resultados IN2 '!D38="",'Passo4-Uso Industrial de Hg'!F5,'Insira Resultados IN2 '!D38)</f>
        <v>Presente?</v>
      </c>
      <c r="G31" s="430" t="str">
        <f>IF('Insira Resultados IN2 '!E38="",'Passo4-Uso Industrial de Hg'!G5,'Insira Resultados IN2 '!E38)</f>
        <v>Presente?</v>
      </c>
      <c r="H31" s="430" t="str">
        <f>IF('Insira Resultados IN2 '!F38="",'Passo4-Uso Industrial de Hg'!H5,'Insira Resultados IN2 '!F38)</f>
        <v>Presente?</v>
      </c>
      <c r="I31" s="430" t="str">
        <f>IF('Insira Resultados IN2 '!G38="",'Passo4-Uso Industrial de Hg'!I5,'Insira Resultados IN2 '!G38)</f>
        <v>Presente?</v>
      </c>
      <c r="J31" s="430" t="str">
        <f>IF('Insira Resultados IN2 '!H38="",'Passo4-Uso Industrial de Hg'!J5,'Insira Resultados IN2 '!H38)</f>
        <v>Presente?</v>
      </c>
      <c r="K31" s="430" t="str">
        <f>IF('Insira Resultados IN2 '!I38="",'Passo4-Uso Industrial de Hg'!K5,'Insira Resultados IN2 '!I38)</f>
        <v>Presente?</v>
      </c>
      <c r="L31" s="272" t="str">
        <f>'Passo4-Uso Industrial de Hg'!L5</f>
        <v>5.4.1</v>
      </c>
    </row>
    <row r="32" spans="1:12">
      <c r="A32" s="265" t="str">
        <f>'Passo4-Uso Industrial de Hg'!A6</f>
        <v>Produção de VCM com catalisador de mercúrio</v>
      </c>
      <c r="B32" s="270" t="str">
        <f>IF(OR('Passo4-Uso Industrial de Hg'!B6=yes,'Passo4-Uso Industrial de Hg'!B6=no,'Passo4-Uso Industrial de Hg'!B6=que),'Passo4-Uso Industrial de Hg'!B6,  pres)</f>
        <v>Presente?</v>
      </c>
      <c r="C32" s="375">
        <f>'Passo4-Uso Industrial de Hg'!C6</f>
        <v>0</v>
      </c>
      <c r="D32" s="273" t="str">
        <f>'Passo4-Uso Industrial de Hg'!D6</f>
        <v xml:space="preserve">VCM produzido, t/ano </v>
      </c>
      <c r="E32" s="442" t="str">
        <f>IF('Insira Resultados IN2 '!C39="",'Passo4-Uso Industrial de Hg'!E6,'Insira Resultados IN2 '!C39)</f>
        <v>Presente?</v>
      </c>
      <c r="F32" s="430" t="str">
        <f>IF('Insira Resultados IN2 '!D39="",'Passo4-Uso Industrial de Hg'!F6,'Insira Resultados IN2 '!D39)</f>
        <v>Presente?</v>
      </c>
      <c r="G32" s="430" t="str">
        <f>IF('Insira Resultados IN2 '!E39="",'Passo4-Uso Industrial de Hg'!G6,'Insira Resultados IN2 '!E39)</f>
        <v>Presente?</v>
      </c>
      <c r="H32" s="430" t="str">
        <f>IF('Insira Resultados IN2 '!F39="",'Passo4-Uso Industrial de Hg'!H6,'Insira Resultados IN2 '!F39)</f>
        <v>Presente?</v>
      </c>
      <c r="I32" s="430" t="str">
        <f>IF('Insira Resultados IN2 '!G39="",'Passo4-Uso Industrial de Hg'!I6,'Insira Resultados IN2 '!G39)</f>
        <v>Presente?</v>
      </c>
      <c r="J32" s="430" t="str">
        <f>IF('Insira Resultados IN2 '!H39="",'Passo4-Uso Industrial de Hg'!J6,'Insira Resultados IN2 '!H39)</f>
        <v>Presente?</v>
      </c>
      <c r="K32" s="430" t="str">
        <f>IF('Insira Resultados IN2 '!I39="",'Passo4-Uso Industrial de Hg'!K6,'Insira Resultados IN2 '!I39)</f>
        <v>Presente?</v>
      </c>
      <c r="L32" s="272" t="str">
        <f>'Passo4-Uso Industrial de Hg'!L6</f>
        <v>5.4.2</v>
      </c>
    </row>
    <row r="33" spans="1:13">
      <c r="A33" s="265" t="str">
        <f>'Passo4-Uso Industrial de Hg'!A7</f>
        <v>Produção de acetaldeído com catalisador de mercúrio</v>
      </c>
      <c r="B33" s="270" t="str">
        <f>IF(OR('Passo4-Uso Industrial de Hg'!B7=yes,'Passo4-Uso Industrial de Hg'!B7=no,'Passo4-Uso Industrial de Hg'!B7=que),'Passo4-Uso Industrial de Hg'!B7,  pres)</f>
        <v>Presente?</v>
      </c>
      <c r="C33" s="375">
        <f>'Passo4-Uso Industrial de Hg'!C7</f>
        <v>0</v>
      </c>
      <c r="D33" s="273" t="str">
        <f>'Passo4-Uso Industrial de Hg'!D7</f>
        <v>Acetaldeído produzido, t/ano</v>
      </c>
      <c r="E33" s="442" t="str">
        <f>IF('Insira Resultados IN2 '!C40="",'Passo4-Uso Industrial de Hg'!E7,'Insira Resultados IN2 '!C40)</f>
        <v>Presente?</v>
      </c>
      <c r="F33" s="430" t="str">
        <f>IF('Insira Resultados IN2 '!D40="",'Passo4-Uso Industrial de Hg'!F7,'Insira Resultados IN2 '!D40)</f>
        <v>Presente?</v>
      </c>
      <c r="G33" s="430" t="str">
        <f>IF('Insira Resultados IN2 '!E40="",'Passo4-Uso Industrial de Hg'!G7,'Insira Resultados IN2 '!E40)</f>
        <v>Presente?</v>
      </c>
      <c r="H33" s="430" t="str">
        <f>IF('Insira Resultados IN2 '!F40="",'Passo4-Uso Industrial de Hg'!H7,'Insira Resultados IN2 '!F40)</f>
        <v>Presente?</v>
      </c>
      <c r="I33" s="430" t="str">
        <f>IF('Insira Resultados IN2 '!G40="",'Passo4-Uso Industrial de Hg'!I7,'Insira Resultados IN2 '!G40)</f>
        <v>Presente?</v>
      </c>
      <c r="J33" s="430" t="str">
        <f>IF('Insira Resultados IN2 '!H40="",'Passo4-Uso Industrial de Hg'!J7,'Insira Resultados IN2 '!H40)</f>
        <v>Presente?</v>
      </c>
      <c r="K33" s="430" t="str">
        <f>IF('Insira Resultados IN2 '!I40="",'Passo4-Uso Industrial de Hg'!K7,'Insira Resultados IN2 '!I40)</f>
        <v>Presente?</v>
      </c>
      <c r="L33" s="272" t="str">
        <f>'Passo4-Uso Industrial de Hg'!L7</f>
        <v>5.4.3</v>
      </c>
    </row>
    <row r="34" spans="1:13">
      <c r="A34" s="394" t="s">
        <v>1001</v>
      </c>
      <c r="B34" s="303"/>
      <c r="C34" s="275"/>
      <c r="D34" s="304"/>
      <c r="E34" s="304"/>
      <c r="F34" s="440"/>
      <c r="G34" s="440"/>
      <c r="H34" s="440"/>
      <c r="I34" s="440"/>
      <c r="J34" s="440"/>
      <c r="K34" s="440"/>
      <c r="L34" s="305"/>
    </row>
    <row r="35" spans="1:13" ht="25.5">
      <c r="A35" s="265" t="str">
        <f>'Passo4-Uso Industrial de Hg'!A10</f>
        <v>Termômetros Hg (medicina, ar, laboratório, industrial etc.)</v>
      </c>
      <c r="B35" s="270" t="str">
        <f>IF(OR('Passo4-Uso Industrial de Hg'!B10=yes,'Passo4-Uso Industrial de Hg'!B10=no,'Passo4-Uso Industrial de Hg'!B10=que),'Passo4-Uso Industrial de Hg'!B10,  pres)</f>
        <v>Presente?</v>
      </c>
      <c r="C35" s="375">
        <f>'Passo4-Uso Industrial de Hg'!C10</f>
        <v>0</v>
      </c>
      <c r="D35" s="273" t="str">
        <f>'Passo4-Uso Industrial de Hg'!D10</f>
        <v>Mercúrio utilizado para a produção, kg/ano</v>
      </c>
      <c r="E35" s="442" t="str">
        <f>IF('Insira Resultados IN2 '!C42="",'Passo4-Uso Industrial de Hg'!E10,'Insira Resultados IN2 '!C42)</f>
        <v>Presente?</v>
      </c>
      <c r="F35" s="430" t="str">
        <f>IF('Insira Resultados IN2 '!D42="",'Passo4-Uso Industrial de Hg'!F10,'Insira Resultados IN2 '!D42)</f>
        <v>Presente?</v>
      </c>
      <c r="G35" s="430" t="str">
        <f>IF('Insira Resultados IN2 '!E42="",'Passo4-Uso Industrial de Hg'!G10,'Insira Resultados IN2 '!E42)</f>
        <v>Presente?</v>
      </c>
      <c r="H35" s="430" t="str">
        <f>IF('Insira Resultados IN2 '!F42="",'Passo4-Uso Industrial de Hg'!H10,'Insira Resultados IN2 '!F42)</f>
        <v>Presente?</v>
      </c>
      <c r="I35" s="430" t="str">
        <f>IF('Insira Resultados IN2 '!G42="",'Passo4-Uso Industrial de Hg'!I10,'Insira Resultados IN2 '!G42)</f>
        <v>Presente?</v>
      </c>
      <c r="J35" s="430" t="str">
        <f>IF('Insira Resultados IN2 '!H42="",'Passo4-Uso Industrial de Hg'!J10,'Insira Resultados IN2 '!H42)</f>
        <v>Presente?</v>
      </c>
      <c r="K35" s="430" t="str">
        <f>IF('Insira Resultados IN2 '!I42="",'Passo4-Uso Industrial de Hg'!K10,'Insira Resultados IN2 '!I42)</f>
        <v>Presente?</v>
      </c>
      <c r="L35" s="279" t="str">
        <f>'Passo4-Uso Industrial de Hg'!L10</f>
        <v>5.5.1</v>
      </c>
      <c r="M35" s="565"/>
    </row>
    <row r="36" spans="1:13">
      <c r="A36" s="265" t="str">
        <f>'Passo4-Uso Industrial de Hg'!A11</f>
        <v>Interruptores e relés elétricos com mercúrio</v>
      </c>
      <c r="B36" s="270" t="str">
        <f>IF(OR('Passo4-Uso Industrial de Hg'!B11=yes,'Passo4-Uso Industrial de Hg'!B11=no,'Passo4-Uso Industrial de Hg'!B11=que),'Passo4-Uso Industrial de Hg'!B11,  pres)</f>
        <v>Presente?</v>
      </c>
      <c r="C36" s="375">
        <f>'Passo4-Uso Industrial de Hg'!C11</f>
        <v>0</v>
      </c>
      <c r="D36" s="273" t="str">
        <f>'Passo4-Uso Industrial de Hg'!D11</f>
        <v>Mercúrio utilizado para a produção, kg/ano</v>
      </c>
      <c r="E36" s="442" t="str">
        <f>IF('Insira Resultados IN2 '!C43="",'Passo4-Uso Industrial de Hg'!E11,'Insira Resultados IN2 '!C43)</f>
        <v>Presente?</v>
      </c>
      <c r="F36" s="430" t="str">
        <f>IF('Insira Resultados IN2 '!D43="",'Passo4-Uso Industrial de Hg'!F11,'Insira Resultados IN2 '!D43)</f>
        <v>Presente?</v>
      </c>
      <c r="G36" s="430" t="str">
        <f>IF('Insira Resultados IN2 '!E43="",'Passo4-Uso Industrial de Hg'!G11,'Insira Resultados IN2 '!E43)</f>
        <v>Presente?</v>
      </c>
      <c r="H36" s="430" t="str">
        <f>IF('Insira Resultados IN2 '!F43="",'Passo4-Uso Industrial de Hg'!H11,'Insira Resultados IN2 '!F43)</f>
        <v>Presente?</v>
      </c>
      <c r="I36" s="430" t="str">
        <f>IF('Insira Resultados IN2 '!G43="",'Passo4-Uso Industrial de Hg'!I11,'Insira Resultados IN2 '!G43)</f>
        <v>Presente?</v>
      </c>
      <c r="J36" s="430" t="str">
        <f>IF('Insira Resultados IN2 '!H43="",'Passo4-Uso Industrial de Hg'!J11,'Insira Resultados IN2 '!H43)</f>
        <v>Presente?</v>
      </c>
      <c r="K36" s="430" t="str">
        <f>IF('Insira Resultados IN2 '!I43="",'Passo4-Uso Industrial de Hg'!K11,'Insira Resultados IN2 '!I43)</f>
        <v>Presente?</v>
      </c>
      <c r="L36" s="279" t="str">
        <f>'Passo4-Uso Industrial de Hg'!L11</f>
        <v>5.5.2</v>
      </c>
    </row>
    <row r="37" spans="1:13" ht="25.5">
      <c r="A37" s="265" t="str">
        <f>'Passo4-Uso Industrial de Hg'!A12</f>
        <v>Fontes de luz com mercúrio (fluorescentes, fluorescentes compactas e outros. Ver diretrizes)</v>
      </c>
      <c r="B37" s="270" t="str">
        <f>IF(OR('Passo4-Uso Industrial de Hg'!B12=yes,'Passo4-Uso Industrial de Hg'!B12=no,'Passo4-Uso Industrial de Hg'!B12=que),'Passo4-Uso Industrial de Hg'!B12,  pres)</f>
        <v>Presente?</v>
      </c>
      <c r="C37" s="375">
        <f>'Passo4-Uso Industrial de Hg'!C12</f>
        <v>0</v>
      </c>
      <c r="D37" s="273" t="str">
        <f>'Passo4-Uso Industrial de Hg'!D12</f>
        <v>Mercúrio utilizado para a produção, kg/ano</v>
      </c>
      <c r="E37" s="442" t="str">
        <f>IF('Insira Resultados IN2 '!C44="",'Passo4-Uso Industrial de Hg'!E12,'Insira Resultados IN2 '!C44)</f>
        <v>Presente?</v>
      </c>
      <c r="F37" s="430" t="str">
        <f>IF('Insira Resultados IN2 '!D44="",'Passo4-Uso Industrial de Hg'!F12,'Insira Resultados IN2 '!D44)</f>
        <v>Presente?</v>
      </c>
      <c r="G37" s="430" t="str">
        <f>IF('Insira Resultados IN2 '!E44="",'Passo4-Uso Industrial de Hg'!G12,'Insira Resultados IN2 '!E44)</f>
        <v>Presente?</v>
      </c>
      <c r="H37" s="430" t="str">
        <f>IF('Insira Resultados IN2 '!F44="",'Passo4-Uso Industrial de Hg'!H12,'Insira Resultados IN2 '!F44)</f>
        <v>Presente?</v>
      </c>
      <c r="I37" s="430" t="str">
        <f>IF('Insira Resultados IN2 '!G44="",'Passo4-Uso Industrial de Hg'!I12,'Insira Resultados IN2 '!G44)</f>
        <v>Presente?</v>
      </c>
      <c r="J37" s="430" t="str">
        <f>IF('Insira Resultados IN2 '!H44="",'Passo4-Uso Industrial de Hg'!J12,'Insira Resultados IN2 '!H44)</f>
        <v>Presente?</v>
      </c>
      <c r="K37" s="430" t="str">
        <f>IF('Insira Resultados IN2 '!I44="",'Passo4-Uso Industrial de Hg'!K12,'Insira Resultados IN2 '!I44)</f>
        <v>Presente?</v>
      </c>
      <c r="L37" s="279" t="str">
        <f>'Passo4-Uso Industrial de Hg'!L12</f>
        <v>5.5.3</v>
      </c>
      <c r="M37" s="562"/>
    </row>
    <row r="38" spans="1:13">
      <c r="A38" s="265" t="str">
        <f>'Passo4-Uso Industrial de Hg'!A13</f>
        <v>Baterias com mercúrio</v>
      </c>
      <c r="B38" s="270" t="str">
        <f>IF(OR('Passo4-Uso Industrial de Hg'!B13=yes,'Passo4-Uso Industrial de Hg'!B13=no,'Passo4-Uso Industrial de Hg'!B13=que),'Passo4-Uso Industrial de Hg'!B13,  pres)</f>
        <v>Presente?</v>
      </c>
      <c r="C38" s="375">
        <f>'Passo4-Uso Industrial de Hg'!C13</f>
        <v>0</v>
      </c>
      <c r="D38" s="273" t="str">
        <f>'Passo4-Uso Industrial de Hg'!D13</f>
        <v>Mercúrio utilizado para a produção, kg/ano</v>
      </c>
      <c r="E38" s="442" t="str">
        <f>IF('Insira Resultados IN2 '!C45="",'Passo4-Uso Industrial de Hg'!E13,'Insira Resultados IN2 '!C45)</f>
        <v>Presente?</v>
      </c>
      <c r="F38" s="430" t="str">
        <f>IF('Insira Resultados IN2 '!D45="",'Passo4-Uso Industrial de Hg'!F13,'Insira Resultados IN2 '!D45)</f>
        <v>Presente?</v>
      </c>
      <c r="G38" s="430" t="str">
        <f>IF('Insira Resultados IN2 '!E45="",'Passo4-Uso Industrial de Hg'!G13,'Insira Resultados IN2 '!E45)</f>
        <v>Presente?</v>
      </c>
      <c r="H38" s="430" t="str">
        <f>IF('Insira Resultados IN2 '!F45="",'Passo4-Uso Industrial de Hg'!H13,'Insira Resultados IN2 '!F45)</f>
        <v>Presente?</v>
      </c>
      <c r="I38" s="430" t="str">
        <f>IF('Insira Resultados IN2 '!G45="",'Passo4-Uso Industrial de Hg'!I13,'Insira Resultados IN2 '!G45)</f>
        <v>Presente?</v>
      </c>
      <c r="J38" s="430" t="str">
        <f>IF('Insira Resultados IN2 '!H45="",'Passo4-Uso Industrial de Hg'!J13,'Insira Resultados IN2 '!H45)</f>
        <v>Presente?</v>
      </c>
      <c r="K38" s="430" t="str">
        <f>IF('Insira Resultados IN2 '!I45="",'Passo4-Uso Industrial de Hg'!K13,'Insira Resultados IN2 '!I45)</f>
        <v>Presente?</v>
      </c>
      <c r="L38" s="279" t="str">
        <f>'Passo4-Uso Industrial de Hg'!L13</f>
        <v>5.5.4</v>
      </c>
      <c r="M38" s="477"/>
    </row>
    <row r="39" spans="1:13">
      <c r="A39" s="265" t="str">
        <f>'Passo4-Uso Industrial de Hg'!A14</f>
        <v xml:space="preserve">Manômetros e medidores com mercúrio </v>
      </c>
      <c r="B39" s="270" t="str">
        <f>IF(OR('Passo4-Uso Industrial de Hg'!B14=yes,'Passo4-Uso Industrial de Hg'!B14=no,'Passo4-Uso Industrial de Hg'!B14=que),'Passo4-Uso Industrial de Hg'!B14,  pres)</f>
        <v>Presente?</v>
      </c>
      <c r="C39" s="375">
        <f>'Passo4-Uso Industrial de Hg'!C14</f>
        <v>0</v>
      </c>
      <c r="D39" s="273" t="str">
        <f>'Passo4-Uso Industrial de Hg'!D14</f>
        <v>Mercúrio utilizado para a produção, kg/ano</v>
      </c>
      <c r="E39" s="442" t="str">
        <f>IF('Insira Resultados IN2 '!C46="",'Passo4-Uso Industrial de Hg'!E14,'Insira Resultados IN2 '!C46)</f>
        <v>Presente?</v>
      </c>
      <c r="F39" s="430" t="str">
        <f>IF('Insira Resultados IN2 '!D46="",'Passo4-Uso Industrial de Hg'!F14,'Insira Resultados IN2 '!D46)</f>
        <v>Presente?</v>
      </c>
      <c r="G39" s="430" t="str">
        <f>IF('Insira Resultados IN2 '!E46="",'Passo4-Uso Industrial de Hg'!G14,'Insira Resultados IN2 '!E46)</f>
        <v>Presente?</v>
      </c>
      <c r="H39" s="430" t="str">
        <f>IF('Insira Resultados IN2 '!F46="",'Passo4-Uso Industrial de Hg'!H14,'Insira Resultados IN2 '!F46)</f>
        <v>Presente?</v>
      </c>
      <c r="I39" s="430" t="str">
        <f>IF('Insira Resultados IN2 '!G46="",'Passo4-Uso Industrial de Hg'!I14,'Insira Resultados IN2 '!G46)</f>
        <v>Presente?</v>
      </c>
      <c r="J39" s="430" t="str">
        <f>IF('Insira Resultados IN2 '!H46="",'Passo4-Uso Industrial de Hg'!J14,'Insira Resultados IN2 '!H46)</f>
        <v>Presente?</v>
      </c>
      <c r="K39" s="430" t="str">
        <f>IF('Insira Resultados IN2 '!I46="",'Passo4-Uso Industrial de Hg'!K14,'Insira Resultados IN2 '!I46)</f>
        <v>Presente?</v>
      </c>
      <c r="L39" s="272" t="str">
        <f>'Passo4-Uso Industrial de Hg'!L14</f>
        <v>5.6.2</v>
      </c>
    </row>
    <row r="40" spans="1:13">
      <c r="A40" s="265" t="str">
        <f>'Passo4-Uso Industrial de Hg'!A15</f>
        <v>Biocidas e pesticidas com mercúrio</v>
      </c>
      <c r="B40" s="270" t="str">
        <f>IF(OR('Passo4-Uso Industrial de Hg'!B15=yes,'Passo4-Uso Industrial de Hg'!B15=no,'Passo4-Uso Industrial de Hg'!B15=que),'Passo4-Uso Industrial de Hg'!B15,  pres)</f>
        <v>Presente?</v>
      </c>
      <c r="C40" s="375">
        <f>'Passo4-Uso Industrial de Hg'!C15</f>
        <v>0</v>
      </c>
      <c r="D40" s="273" t="str">
        <f>'Passo4-Uso Industrial de Hg'!D15</f>
        <v>Mercúrio utilizado para a produção, kg/ano</v>
      </c>
      <c r="E40" s="442" t="str">
        <f>IF('Insira Resultados IN2 '!C47="",'Passo4-Uso Industrial de Hg'!E15,'Insira Resultados IN2 '!C47)</f>
        <v>Presente?</v>
      </c>
      <c r="F40" s="430" t="str">
        <f>IF('Insira Resultados IN2 '!D47="",'Passo4-Uso Industrial de Hg'!F15,'Insira Resultados IN2 '!D47)</f>
        <v>Presente?</v>
      </c>
      <c r="G40" s="430" t="str">
        <f>IF('Insira Resultados IN2 '!E47="",'Passo4-Uso Industrial de Hg'!G15,'Insira Resultados IN2 '!E47)</f>
        <v>Presente?</v>
      </c>
      <c r="H40" s="430" t="str">
        <f>IF('Insira Resultados IN2 '!F47="",'Passo4-Uso Industrial de Hg'!H15,'Insira Resultados IN2 '!F47)</f>
        <v>Presente?</v>
      </c>
      <c r="I40" s="430" t="str">
        <f>IF('Insira Resultados IN2 '!G47="",'Passo4-Uso Industrial de Hg'!I15,'Insira Resultados IN2 '!G47)</f>
        <v>Presente?</v>
      </c>
      <c r="J40" s="430" t="str">
        <f>IF('Insira Resultados IN2 '!H47="",'Passo4-Uso Industrial de Hg'!J15,'Insira Resultados IN2 '!H47)</f>
        <v>Presente?</v>
      </c>
      <c r="K40" s="430" t="str">
        <f>IF('Insira Resultados IN2 '!I47="",'Passo4-Uso Industrial de Hg'!K15,'Insira Resultados IN2 '!I47)</f>
        <v>Presente?</v>
      </c>
      <c r="L40" s="272" t="str">
        <f>'Passo4-Uso Industrial de Hg'!L15</f>
        <v>5.5.5</v>
      </c>
    </row>
    <row r="41" spans="1:13">
      <c r="A41" s="265" t="str">
        <f>'Passo4-Uso Industrial de Hg'!A16</f>
        <v xml:space="preserve">Tintas com mercúrio </v>
      </c>
      <c r="B41" s="270" t="str">
        <f>IF(OR('Passo4-Uso Industrial de Hg'!B16=yes,'Passo4-Uso Industrial de Hg'!B16=no,'Passo4-Uso Industrial de Hg'!B16=que),'Passo4-Uso Industrial de Hg'!B16,  pres)</f>
        <v>Presente?</v>
      </c>
      <c r="C41" s="375">
        <f>'Passo4-Uso Industrial de Hg'!C16</f>
        <v>0</v>
      </c>
      <c r="D41" s="273" t="str">
        <f>'Passo4-Uso Industrial de Hg'!D16</f>
        <v>Mercúrio utilizado para a produção, kg/ano</v>
      </c>
      <c r="E41" s="442" t="str">
        <f>IF('Insira Resultados IN2 '!C48="",'Passo4-Uso Industrial de Hg'!E16,'Insira Resultados IN2 '!C48)</f>
        <v>Presente?</v>
      </c>
      <c r="F41" s="430" t="str">
        <f>IF('Insira Resultados IN2 '!D48="",'Passo4-Uso Industrial de Hg'!F16,'Insira Resultados IN2 '!D48)</f>
        <v>Presente?</v>
      </c>
      <c r="G41" s="430" t="str">
        <f>IF('Insira Resultados IN2 '!E48="",'Passo4-Uso Industrial de Hg'!G16,'Insira Resultados IN2 '!E48)</f>
        <v>Presente?</v>
      </c>
      <c r="H41" s="430" t="str">
        <f>IF('Insira Resultados IN2 '!F48="",'Passo4-Uso Industrial de Hg'!H16,'Insira Resultados IN2 '!F48)</f>
        <v>Presente?</v>
      </c>
      <c r="I41" s="430" t="str">
        <f>IF('Insira Resultados IN2 '!G48="",'Passo4-Uso Industrial de Hg'!I16,'Insira Resultados IN2 '!G48)</f>
        <v>Presente?</v>
      </c>
      <c r="J41" s="430" t="str">
        <f>IF('Insira Resultados IN2 '!H48="",'Passo4-Uso Industrial de Hg'!J16,'Insira Resultados IN2 '!H48)</f>
        <v>Presente?</v>
      </c>
      <c r="K41" s="430" t="str">
        <f>IF('Insira Resultados IN2 '!I48="",'Passo4-Uso Industrial de Hg'!K16,'Insira Resultados IN2 '!I48)</f>
        <v>Presente?</v>
      </c>
      <c r="L41" s="272" t="str">
        <f>'Passo4-Uso Industrial de Hg'!L16</f>
        <v>5.5.6</v>
      </c>
    </row>
    <row r="42" spans="1:13" ht="25.5">
      <c r="A42" s="265" t="str">
        <f>'Passo4-Uso Industrial de Hg'!A17</f>
        <v xml:space="preserve">Cremes para clareamento de pele e sabonetes com substâncias químicas do mercúrio </v>
      </c>
      <c r="B42" s="270" t="str">
        <f>IF(OR('Passo4-Uso Industrial de Hg'!B17=yes,'Passo4-Uso Industrial de Hg'!B17=no,'Passo4-Uso Industrial de Hg'!B17=que),'Passo4-Uso Industrial de Hg'!B17,  pres)</f>
        <v>Presente?</v>
      </c>
      <c r="C42" s="375">
        <f>'Passo4-Uso Industrial de Hg'!C17</f>
        <v>0</v>
      </c>
      <c r="D42" s="273" t="str">
        <f>'Passo4-Uso Industrial de Hg'!D17</f>
        <v>Mercúrio utilizado para a produção, kg/ano</v>
      </c>
      <c r="E42" s="442" t="str">
        <f>IF('Insira Resultados IN2 '!C49="",'Passo4-Uso Industrial de Hg'!E17,'Insira Resultados IN2 '!C49)</f>
        <v>Presente?</v>
      </c>
      <c r="F42" s="430" t="str">
        <f>IF('Insira Resultados IN2 '!D49="",'Passo4-Uso Industrial de Hg'!F17,'Insira Resultados IN2 '!D49)</f>
        <v>Presente?</v>
      </c>
      <c r="G42" s="430" t="str">
        <f>IF('Insira Resultados IN2 '!E49="",'Passo4-Uso Industrial de Hg'!G17,'Insira Resultados IN2 '!E49)</f>
        <v>Presente?</v>
      </c>
      <c r="H42" s="430" t="str">
        <f>IF('Insira Resultados IN2 '!F49="",'Passo4-Uso Industrial de Hg'!H17,'Insira Resultados IN2 '!F49)</f>
        <v>Presente?</v>
      </c>
      <c r="I42" s="430" t="str">
        <f>IF('Insira Resultados IN2 '!G49="",'Passo4-Uso Industrial de Hg'!I17,'Insira Resultados IN2 '!G49)</f>
        <v>Presente?</v>
      </c>
      <c r="J42" s="430" t="str">
        <f>IF('Insira Resultados IN2 '!H49="",'Passo4-Uso Industrial de Hg'!J17,'Insira Resultados IN2 '!H49)</f>
        <v>Presente?</v>
      </c>
      <c r="K42" s="430" t="str">
        <f>IF('Insira Resultados IN2 '!I49="",'Passo4-Uso Industrial de Hg'!K17,'Insira Resultados IN2 '!I49)</f>
        <v>Presente?</v>
      </c>
      <c r="L42" s="272" t="str">
        <f>'Passo4-Uso Industrial de Hg'!L17</f>
        <v>5.5.7</v>
      </c>
    </row>
    <row r="43" spans="1:13" ht="14.25" customHeight="1">
      <c r="A43" s="394" t="e">
        <f>'[2]Step6-A47Hg products-substances'!A6</f>
        <v>#REF!</v>
      </c>
      <c r="B43" s="303"/>
      <c r="C43" s="275"/>
      <c r="D43" s="304"/>
      <c r="E43" s="304"/>
      <c r="F43" s="440"/>
      <c r="G43" s="440"/>
      <c r="H43" s="440"/>
      <c r="I43" s="440"/>
      <c r="J43" s="440"/>
      <c r="K43" s="440"/>
      <c r="L43" s="305"/>
    </row>
    <row r="44" spans="1:13">
      <c r="A44" s="265" t="str">
        <f>'Passo6-Produtos-Substâncias Hg'!A7</f>
        <v>Amálgama dental</v>
      </c>
      <c r="B44" s="270" t="str">
        <f>IF(OR('Passo6-Produtos-Substâncias Hg'!B7=yes,'Passo6-Produtos-Substâncias Hg'!B7=no,'Passo6-Produtos-Substâncias Hg'!B7=que),'Passo6-Produtos-Substâncias Hg'!B7,  pres)</f>
        <v>Presente?</v>
      </c>
      <c r="C44" s="375">
        <f>'Passo6-Produtos-Substâncias Hg'!C8</f>
        <v>0</v>
      </c>
      <c r="D44" s="375" t="str">
        <f>'Passo6-Produtos-Substâncias Hg'!D8</f>
        <v>Número de habitantes</v>
      </c>
      <c r="E44" s="442" t="str">
        <f>IF('Insira Resultados IN2 '!C51="",'Passo6-Produtos-Substâncias Hg'!E7,'Insira Resultados IN2 '!C51)</f>
        <v>Presente?</v>
      </c>
      <c r="F44" s="430" t="str">
        <f>IF('Insira Resultados IN2 '!D51="",'Passo6-Produtos-Substâncias Hg'!F7,'Insira Resultados IN2 '!D51)</f>
        <v>Presente?</v>
      </c>
      <c r="G44" s="430" t="str">
        <f>IF('Insira Resultados IN2 '!E51="",'Passo6-Produtos-Substâncias Hg'!G7,'Insira Resultados IN2 '!E51)</f>
        <v>Presente?</v>
      </c>
      <c r="H44" s="430" t="str">
        <f>IF('Insira Resultados IN2 '!F51="",'Passo6-Produtos-Substâncias Hg'!H7,'Insira Resultados IN2 '!F51)</f>
        <v>Presente?</v>
      </c>
      <c r="I44" s="430" t="str">
        <f>IF('Insira Resultados IN2 '!G51="",'Passo6-Produtos-Substâncias Hg'!I7,'Insira Resultados IN2 '!G51)</f>
        <v>Presente?</v>
      </c>
      <c r="J44" s="430" t="str">
        <f>IF('Insira Resultados IN2 '!H51="",'Passo6-Produtos-Substâncias Hg'!J7,'Insira Resultados IN2 '!H51)</f>
        <v>Presente?</v>
      </c>
      <c r="K44" s="430" t="str">
        <f>IF('Insira Resultados IN2 '!I51="",'Passo6-Produtos-Substâncias Hg'!K7,'Insira Resultados IN2 '!I51)</f>
        <v>Presente?</v>
      </c>
      <c r="L44" s="272" t="str">
        <f>'Passo6-Produtos-Substâncias Hg'!L7</f>
        <v>5.6.1</v>
      </c>
    </row>
    <row r="45" spans="1:13">
      <c r="A45" s="265" t="str">
        <f>'Passo6-Produtos-Substâncias Hg'!A13</f>
        <v>Termômetros</v>
      </c>
      <c r="B45" s="270" t="str">
        <f>IF(OR('Passo6-Produtos-Substâncias Hg'!B13=yes,'Passo6-Produtos-Substâncias Hg'!B13=no,'Passo6-Produtos-Substâncias Hg'!B13=que),'Passo6-Produtos-Substâncias Hg'!B13,  pres)</f>
        <v>Presente?</v>
      </c>
      <c r="C45" s="375">
        <f>'Passo6-Produtos-Substâncias Hg'!C13</f>
        <v>0</v>
      </c>
      <c r="D45" s="375" t="str">
        <f>'Passo6-Produtos-Substâncias Hg'!D14</f>
        <v>Itens vendidos/ano</v>
      </c>
      <c r="E45" s="442" t="str">
        <f>IF('Insira Resultados IN2 '!C52="",'Passo6-Produtos-Substâncias Hg'!E13,'Insira Resultados IN2 '!C52)</f>
        <v>Presente?</v>
      </c>
      <c r="F45" s="430" t="str">
        <f>IF('Insira Resultados IN2 '!D52="",'Passo6-Produtos-Substâncias Hg'!F13,'Insira Resultados IN2 '!D52)</f>
        <v>Presente?</v>
      </c>
      <c r="G45" s="430" t="str">
        <f>IF('Insira Resultados IN2 '!E52="",'Passo6-Produtos-Substâncias Hg'!G13,'Insira Resultados IN2 '!E52)</f>
        <v>Presente?</v>
      </c>
      <c r="H45" s="430" t="str">
        <f>IF('Insira Resultados IN2 '!F52="",'Passo6-Produtos-Substâncias Hg'!H13,'Insira Resultados IN2 '!F52)</f>
        <v>Presente?</v>
      </c>
      <c r="I45" s="430" t="str">
        <f>IF('Insira Resultados IN2 '!G52="",'Passo6-Produtos-Substâncias Hg'!I13,'Insira Resultados IN2 '!G52)</f>
        <v>Presente?</v>
      </c>
      <c r="J45" s="430" t="str">
        <f>IF('Insira Resultados IN2 '!H52="",'Passo6-Produtos-Substâncias Hg'!J13,'Insira Resultados IN2 '!H52)</f>
        <v>Presente?</v>
      </c>
      <c r="K45" s="430" t="str">
        <f>IF('Insira Resultados IN2 '!I52="",'Passo6-Produtos-Substâncias Hg'!K13,'Insira Resultados IN2 '!I52)</f>
        <v>Presente?</v>
      </c>
      <c r="L45" s="272" t="str">
        <f>'Passo6-Produtos-Substâncias Hg'!L13</f>
        <v>5.5.1</v>
      </c>
      <c r="M45" s="562"/>
    </row>
    <row r="46" spans="1:13" ht="25.5">
      <c r="A46" s="265" t="str">
        <f>'Passo6-Produtos-Substâncias Hg'!A18</f>
        <v>Interruptores e relés elétricos com mercúrio</v>
      </c>
      <c r="B46" s="270" t="str">
        <f>IF(OR('Passo6-Produtos-Substâncias Hg'!B18=yes,'Passo6-Produtos-Substâncias Hg'!B18=no,'Passo6-Produtos-Substâncias Hg'!B18=que),'Passo6-Produtos-Substâncias Hg'!B18,  pres)</f>
        <v>Presente?</v>
      </c>
      <c r="C46" s="375">
        <f>'Passo6-Produtos-Substâncias Hg'!C18</f>
        <v>0</v>
      </c>
      <c r="D46" s="273" t="str">
        <f>'Passo6-Produtos-Substâncias Hg'!D18</f>
        <v>Número de habitantes</v>
      </c>
      <c r="E46" s="442" t="str">
        <f>IF('Insira Resultados IN2 '!C53="",'Passo6-Produtos-Substâncias Hg'!E18,'Insira Resultados IN2 '!C53)</f>
        <v>Presente?</v>
      </c>
      <c r="F46" s="430" t="str">
        <f>IF('Insira Resultados IN2 '!D53="",'Passo6-Produtos-Substâncias Hg'!F18,'Insira Resultados IN2 '!D53)</f>
        <v>Ver Passo5 F4</v>
      </c>
      <c r="G46" s="430" t="str">
        <f>IF('Insira Resultados IN2 '!E53="",'Passo6-Produtos-Substâncias Hg'!G18,'Insira Resultados IN2 '!E53)</f>
        <v>Ver Passo5 F4</v>
      </c>
      <c r="H46" s="430" t="str">
        <f>IF('Insira Resultados IN2 '!F53="",'Passo6-Produtos-Substâncias Hg'!H18,'Insira Resultados IN2 '!F53)</f>
        <v>Ver Passo5 F4</v>
      </c>
      <c r="I46" s="430" t="str">
        <f>IF('Insira Resultados IN2 '!G53="",'Passo6-Produtos-Substâncias Hg'!I18,'Insira Resultados IN2 '!G53)</f>
        <v>Ver Passo5 F4</v>
      </c>
      <c r="J46" s="430" t="str">
        <f>IF('Insira Resultados IN2 '!H53="",'Passo6-Produtos-Substâncias Hg'!J18,'Insira Resultados IN2 '!H53)</f>
        <v>Ver Passo5 F4</v>
      </c>
      <c r="K46" s="430" t="str">
        <f>IF('Insira Resultados IN2 '!I53="",'Passo6-Produtos-Substâncias Hg'!K18,'Insira Resultados IN2 '!I53)</f>
        <v>Ver Passo5 F4</v>
      </c>
      <c r="L46" s="272" t="str">
        <f>'Passo6-Produtos-Substâncias Hg'!L18</f>
        <v>5.5.2</v>
      </c>
    </row>
    <row r="47" spans="1:13">
      <c r="A47" s="265" t="str">
        <f>'Passo6-Produtos-Substâncias Hg'!A21</f>
        <v>Fontes de luz com mercúrio</v>
      </c>
      <c r="B47" s="270" t="str">
        <f>IF(OR('Passo6-Produtos-Substâncias Hg'!B21=yes,'Passo6-Produtos-Substâncias Hg'!B21=no,'Passo6-Produtos-Substâncias Hg'!B21=que),'Passo6-Produtos-Substâncias Hg'!B21,  pres)</f>
        <v>Presente?</v>
      </c>
      <c r="C47" s="375">
        <f>'Passo6-Produtos-Substâncias Hg'!C21</f>
        <v>0</v>
      </c>
      <c r="D47" s="273" t="str">
        <f>'Passo6-Produtos-Substâncias Hg'!D21</f>
        <v>Itens vendidos/ano</v>
      </c>
      <c r="E47" s="442" t="str">
        <f>IF('Insira Resultados IN2 '!C54="",'Passo6-Produtos-Substâncias Hg'!E21,'Insira Resultados IN2 '!C54)</f>
        <v>Presente?</v>
      </c>
      <c r="F47" s="430" t="str">
        <f>IF('Insira Resultados IN2 '!D54="",'Passo6-Produtos-Substâncias Hg'!F21,'Insira Resultados IN2 '!D54)</f>
        <v>Presente?</v>
      </c>
      <c r="G47" s="430" t="str">
        <f>IF('Insira Resultados IN2 '!E54="",'Passo6-Produtos-Substâncias Hg'!G21,'Insira Resultados IN2 '!E54)</f>
        <v>Presente?</v>
      </c>
      <c r="H47" s="430" t="str">
        <f>IF('Insira Resultados IN2 '!F54="",'Passo6-Produtos-Substâncias Hg'!H21,'Insira Resultados IN2 '!F54)</f>
        <v>Presente?</v>
      </c>
      <c r="I47" s="430" t="str">
        <f>IF('Insira Resultados IN2 '!G54="",'Passo6-Produtos-Substâncias Hg'!I21,'Insira Resultados IN2 '!G54)</f>
        <v>Presente?</v>
      </c>
      <c r="J47" s="430" t="str">
        <f>IF('Insira Resultados IN2 '!H54="",'Passo6-Produtos-Substâncias Hg'!J21,'Insira Resultados IN2 '!H54)</f>
        <v>Presente?</v>
      </c>
      <c r="K47" s="430" t="str">
        <f>IF('Insira Resultados IN2 '!I54="",'Passo6-Produtos-Substâncias Hg'!K21,'Insira Resultados IN2 '!I54)</f>
        <v>Presente?</v>
      </c>
      <c r="L47" s="272" t="str">
        <f>'Passo6-Produtos-Substâncias Hg'!L21</f>
        <v>5.5.3</v>
      </c>
    </row>
    <row r="48" spans="1:13">
      <c r="A48" s="367" t="str">
        <f>'Passo6-Produtos-Substâncias Hg'!A26</f>
        <v>Baterias com mercúrio</v>
      </c>
      <c r="B48" s="270" t="str">
        <f>IF(OR('Passo6-Produtos-Substâncias Hg'!B26=yes,'Passo6-Produtos-Substâncias Hg'!B26=no,'Passo6-Produtos-Substâncias Hg'!B26=que),'Passo6-Produtos-Substâncias Hg'!B26,  pres)</f>
        <v>Presente?</v>
      </c>
      <c r="C48" s="375">
        <f>'Passo6-Produtos-Substâncias Hg'!C26</f>
        <v>0</v>
      </c>
      <c r="D48" s="273" t="str">
        <f>'Passo6-Produtos-Substâncias Hg'!D26</f>
        <v>Toneladas de baterias vendidas/ano</v>
      </c>
      <c r="E48" s="442" t="str">
        <f>IF('Insira Resultados IN2 '!C55="",'Passo6-Produtos-Substâncias Hg'!E26,'Insira Resultados IN2 '!C55)</f>
        <v>Presente?</v>
      </c>
      <c r="F48" s="430" t="str">
        <f>IF('Insira Resultados IN2 '!D55="",'Passo6-Produtos-Substâncias Hg'!F26,'Insira Resultados IN2 '!D55)</f>
        <v>Presente?</v>
      </c>
      <c r="G48" s="430" t="str">
        <f>IF('Insira Resultados IN2 '!E55="",'Passo6-Produtos-Substâncias Hg'!G26,'Insira Resultados IN2 '!E55)</f>
        <v>Presente?</v>
      </c>
      <c r="H48" s="430" t="str">
        <f>IF('Insira Resultados IN2 '!F55="",'Passo6-Produtos-Substâncias Hg'!H26,'Insira Resultados IN2 '!F55)</f>
        <v>Presente?</v>
      </c>
      <c r="I48" s="430" t="str">
        <f>IF('Insira Resultados IN2 '!G55="",'Passo6-Produtos-Substâncias Hg'!I26,'Insira Resultados IN2 '!G55)</f>
        <v>Presente?</v>
      </c>
      <c r="J48" s="430" t="str">
        <f>IF('Insira Resultados IN2 '!H55="",'Passo6-Produtos-Substâncias Hg'!J26,'Insira Resultados IN2 '!H55)</f>
        <v>Presente?</v>
      </c>
      <c r="K48" s="430" t="str">
        <f>IF('Insira Resultados IN2 '!I55="",'Passo6-Produtos-Substâncias Hg'!K26,'Insira Resultados IN2 '!I55)</f>
        <v>Presente?</v>
      </c>
      <c r="L48" s="272" t="str">
        <f>'Passo6-Produtos-Substâncias Hg'!L26</f>
        <v>5.5.4</v>
      </c>
    </row>
    <row r="49" spans="1:12" ht="25.5">
      <c r="A49" s="265" t="str">
        <f>'Passo6-Produtos-Substâncias Hg'!A31</f>
        <v>Poliuretano (PU, PUR) produzido com catalisador de mercúrio</v>
      </c>
      <c r="B49" s="270" t="str">
        <f>IF(OR('Passo6-Produtos-Substâncias Hg'!B31=yes,'Passo6-Produtos-Substâncias Hg'!B31=no,'Passo6-Produtos-Substâncias Hg'!B31=que),'Passo6-Produtos-Substâncias Hg'!B31,  pres)</f>
        <v>Presente?</v>
      </c>
      <c r="C49" s="375">
        <f>'Passo6-Produtos-Substâncias Hg'!C31</f>
        <v>0</v>
      </c>
      <c r="D49" s="273" t="str">
        <f>'Passo6-Produtos-Substâncias Hg'!D31</f>
        <v>Número de habitantes</v>
      </c>
      <c r="E49" s="442" t="str">
        <f>IF('Insira Resultados IN2 '!C56="",'Passo6-Produtos-Substâncias Hg'!E31,'Insira Resultados IN2 '!C56)</f>
        <v>Presente?</v>
      </c>
      <c r="F49" s="430" t="str">
        <f>IF('Insira Resultados IN2 '!D56="",'Passo6-Produtos-Substâncias Hg'!F31,'Insira Resultados IN2 '!D56)</f>
        <v>Ver Passo5 F4</v>
      </c>
      <c r="G49" s="430" t="str">
        <f>IF('Insira Resultados IN2 '!E56="",'Passo6-Produtos-Substâncias Hg'!G31,'Insira Resultados IN2 '!E56)</f>
        <v>Ver Passo5 F4</v>
      </c>
      <c r="H49" s="430" t="str">
        <f>IF('Insira Resultados IN2 '!F56="",'Passo6-Produtos-Substâncias Hg'!H31,'Insira Resultados IN2 '!F56)</f>
        <v>Ver Passo5 F4</v>
      </c>
      <c r="I49" s="430" t="str">
        <f>IF('Insira Resultados IN2 '!G56="",'Passo6-Produtos-Substâncias Hg'!I31,'Insira Resultados IN2 '!G56)</f>
        <v>Ver Passo5 F4</v>
      </c>
      <c r="J49" s="430" t="str">
        <f>IF('Insira Resultados IN2 '!H56="",'Passo6-Produtos-Substâncias Hg'!J31,'Insira Resultados IN2 '!H56)</f>
        <v>Ver Passo5 F4</v>
      </c>
      <c r="K49" s="430" t="str">
        <f>IF('Insira Resultados IN2 '!I56="",'Passo6-Produtos-Substâncias Hg'!K31,'Insira Resultados IN2 '!I56)</f>
        <v>Ver Passo5 F4</v>
      </c>
      <c r="L49" s="272" t="str">
        <f>'Passo6-Produtos-Substâncias Hg'!L31</f>
        <v>5.5.5.</v>
      </c>
    </row>
    <row r="50" spans="1:12" ht="25.5">
      <c r="A50" s="265" t="str">
        <f>'Passo6-Produtos-Substâncias Hg'!A34</f>
        <v>Tintas com conservantes de mercúrio</v>
      </c>
      <c r="B50" s="270" t="str">
        <f>IF(OR('Passo6-Produtos-Substâncias Hg'!B34=yes,'Passo6-Produtos-Substâncias Hg'!B34=no,'Passo6-Produtos-Substâncias Hg'!B34=que),'Passo6-Produtos-Substâncias Hg'!B34,  pres)</f>
        <v>Presente?</v>
      </c>
      <c r="C50" s="375">
        <f>'Passo6-Produtos-Substâncias Hg'!C34</f>
        <v>0</v>
      </c>
      <c r="D50" s="273" t="str">
        <f>'Passo6-Produtos-Substâncias Hg'!D34</f>
        <v>Tinta vendida, t/ano</v>
      </c>
      <c r="E50" s="442" t="str">
        <f>IF('Insira Resultados IN2 '!C57="",'Passo6-Produtos-Substâncias Hg'!E34,'Insira Resultados IN2 '!C57)</f>
        <v>Presente?</v>
      </c>
      <c r="F50" s="430" t="str">
        <f>IF('Insira Resultados IN2 '!D57="",'Passo6-Produtos-Substâncias Hg'!F34,'Insira Resultados IN2 '!D57)</f>
        <v>Ver Passo5 F4</v>
      </c>
      <c r="G50" s="430" t="str">
        <f>IF('Insira Resultados IN2 '!E57="",'Passo6-Produtos-Substâncias Hg'!G34,'Insira Resultados IN2 '!E57)</f>
        <v>Ver Passo5 F4</v>
      </c>
      <c r="H50" s="430" t="str">
        <f>IF('Insira Resultados IN2 '!F57="",'Passo6-Produtos-Substâncias Hg'!H34,'Insira Resultados IN2 '!F57)</f>
        <v>Ver Passo5 F4</v>
      </c>
      <c r="I50" s="430" t="str">
        <f>IF('Insira Resultados IN2 '!G57="",'Passo6-Produtos-Substâncias Hg'!I34,'Insira Resultados IN2 '!G57)</f>
        <v>Ver Passo5 F4</v>
      </c>
      <c r="J50" s="430" t="str">
        <f>IF('Insira Resultados IN2 '!H57="",'Passo6-Produtos-Substâncias Hg'!J34,'Insira Resultados IN2 '!H57)</f>
        <v>Ver Passo5 F4</v>
      </c>
      <c r="K50" s="430" t="str">
        <f>IF('Insira Resultados IN2 '!I57="",'Passo6-Produtos-Substâncias Hg'!K34,'Insira Resultados IN2 '!I57)</f>
        <v>Ver Passo5 F4</v>
      </c>
      <c r="L50" s="272" t="str">
        <f>'Passo6-Produtos-Substâncias Hg'!L34</f>
        <v>5.5.7</v>
      </c>
    </row>
    <row r="51" spans="1:12" ht="25.5">
      <c r="A51" s="265" t="str">
        <f>'Passo6-Produtos-Substâncias Hg'!A36</f>
        <v>Cremes para clareamento de pele e sabonetes com substâncias químicas do mercúrio</v>
      </c>
      <c r="B51" s="270" t="str">
        <f>IF(OR('Passo6-Produtos-Substâncias Hg'!B36=yes,'Passo6-Produtos-Substâncias Hg'!B36=no,'Passo6-Produtos-Substâncias Hg'!B36=que),'Passo6-Produtos-Substâncias Hg'!B36,  pres)</f>
        <v>S</v>
      </c>
      <c r="C51" s="375">
        <f>'Passo6-Produtos-Substâncias Hg'!C36</f>
        <v>0</v>
      </c>
      <c r="D51" s="273" t="str">
        <f>'Passo6-Produtos-Substâncias Hg'!D36</f>
        <v>Creme e sabonete vendidos, t/ano</v>
      </c>
      <c r="E51" s="442">
        <f>IF('Insira Resultados IN2 '!C58="",'Passo6-Produtos-Substâncias Hg'!E36,'Insira Resultados IN2 '!C58)</f>
        <v>0</v>
      </c>
      <c r="F51" s="430" t="str">
        <f>IF('Insira Resultados IN2 '!D58="",'Passo6-Produtos-Substâncias Hg'!F36,'Insira Resultados IN2 '!D58)</f>
        <v>Ver Passo5 F4</v>
      </c>
      <c r="G51" s="430" t="str">
        <f>IF('Insira Resultados IN2 '!E58="",'Passo6-Produtos-Substâncias Hg'!G36,'Insira Resultados IN2 '!E58)</f>
        <v>Ver Passo5 F4</v>
      </c>
      <c r="H51" s="430" t="str">
        <f>IF('Insira Resultados IN2 '!F58="",'Passo6-Produtos-Substâncias Hg'!H36,'Insira Resultados IN2 '!F58)</f>
        <v>Ver Passo5 F4</v>
      </c>
      <c r="I51" s="430" t="str">
        <f>IF('Insira Resultados IN2 '!G58="",'Passo6-Produtos-Substâncias Hg'!I36,'Insira Resultados IN2 '!G58)</f>
        <v>Ver Passo5 F4</v>
      </c>
      <c r="J51" s="430" t="str">
        <f>IF('Insira Resultados IN2 '!H58="",'Passo6-Produtos-Substâncias Hg'!J36,'Insira Resultados IN2 '!H58)</f>
        <v>Ver Passo5 F4</v>
      </c>
      <c r="K51" s="430" t="str">
        <f>IF('Insira Resultados IN2 '!I58="",'Passo6-Produtos-Substâncias Hg'!K36,'Insira Resultados IN2 '!I58)</f>
        <v>Ver Passo5 F4</v>
      </c>
      <c r="L51" s="272" t="str">
        <f>'Passo6-Produtos-Substâncias Hg'!L36</f>
        <v>5.5.8</v>
      </c>
    </row>
    <row r="52" spans="1:12" ht="29.25" customHeight="1">
      <c r="A52" s="265" t="str">
        <f>'Passo6-Produtos-Substâncias Hg'!A38</f>
        <v>Medidores de pressão arterial médicos (esfigmomanômetro com mercúrio)</v>
      </c>
      <c r="B52" s="270" t="str">
        <f>IF(OR('Passo6-Produtos-Substâncias Hg'!B38=yes,'Passo6-Produtos-Substâncias Hg'!B38=no,'Passo6-Produtos-Substâncias Hg'!B38=que),'Passo6-Produtos-Substâncias Hg'!B38,  pres)</f>
        <v>Presente?</v>
      </c>
      <c r="C52" s="375">
        <f>'Passo6-Produtos-Substâncias Hg'!C38</f>
        <v>0</v>
      </c>
      <c r="D52" s="273" t="str">
        <f>'Passo6-Produtos-Substâncias Hg'!D38</f>
        <v>Itens vendidos/ano</v>
      </c>
      <c r="E52" s="442" t="str">
        <f>IF('Insira Resultados IN2 '!C59="",'Passo6-Produtos-Substâncias Hg'!E38,'Insira Resultados IN2 '!C59)</f>
        <v>Presente?</v>
      </c>
      <c r="F52" s="430" t="str">
        <f>IF('Insira Resultados IN2 '!D59="",'Passo6-Produtos-Substâncias Hg'!F38,'Insira Resultados IN2 '!D59)</f>
        <v>Ver Passo5 F4</v>
      </c>
      <c r="G52" s="430" t="str">
        <f>IF('Insira Resultados IN2 '!E59="",'Passo6-Produtos-Substâncias Hg'!G38,'Insira Resultados IN2 '!E59)</f>
        <v>Ver Passo5 F4</v>
      </c>
      <c r="H52" s="430" t="str">
        <f>IF('Insira Resultados IN2 '!F59="",'Passo6-Produtos-Substâncias Hg'!H38,'Insira Resultados IN2 '!F59)</f>
        <v>Ver Passo5 F4</v>
      </c>
      <c r="I52" s="430" t="str">
        <f>IF('Insira Resultados IN2 '!G59="",'Passo6-Produtos-Substâncias Hg'!I38,'Insira Resultados IN2 '!G59)</f>
        <v>Ver Passo5 F4</v>
      </c>
      <c r="J52" s="430" t="str">
        <f>IF('Insira Resultados IN2 '!H59="",'Passo6-Produtos-Substâncias Hg'!J38,'Insira Resultados IN2 '!H59)</f>
        <v>Ver Passo5 F4</v>
      </c>
      <c r="K52" s="430" t="str">
        <f>IF('Insira Resultados IN2 '!I59="",'Passo6-Produtos-Substâncias Hg'!K38,'Insira Resultados IN2 '!I59)</f>
        <v>Ver Passo5 F4</v>
      </c>
      <c r="L52" s="272" t="str">
        <f>'Passo6-Produtos-Substâncias Hg'!L38</f>
        <v>5.6.2</v>
      </c>
    </row>
    <row r="53" spans="1:12" ht="25.5">
      <c r="A53" s="265" t="str">
        <f>'Passo6-Produtos-Substâncias Hg'!A40</f>
        <v>Outros manômetros e medidores com mercúrio</v>
      </c>
      <c r="B53" s="270" t="str">
        <f>IF(OR('Passo6-Produtos-Substâncias Hg'!B40=yes,'Passo6-Produtos-Substâncias Hg'!B40=no,'Passo6-Produtos-Substâncias Hg'!B40=que),'Passo6-Produtos-Substâncias Hg'!B40,  pres)</f>
        <v>Presente?</v>
      </c>
      <c r="C53" s="375">
        <f>'Passo6-Produtos-Substâncias Hg'!C40</f>
        <v>0</v>
      </c>
      <c r="D53" s="273" t="str">
        <f>'Passo6-Produtos-Substâncias Hg'!D40</f>
        <v>Número de habitantes</v>
      </c>
      <c r="E53" s="442" t="str">
        <f>IF('Insira Resultados IN2 '!C60="",'Passo6-Produtos-Substâncias Hg'!E40,'Insira Resultados IN2 '!C60)</f>
        <v>Presente?</v>
      </c>
      <c r="F53" s="430" t="str">
        <f>IF('Insira Resultados IN2 '!D60="",'Passo6-Produtos-Substâncias Hg'!F40,'Insira Resultados IN2 '!D60)</f>
        <v>Ver Passo5 F4</v>
      </c>
      <c r="G53" s="430" t="str">
        <f>IF('Insira Resultados IN2 '!E60="",'Passo6-Produtos-Substâncias Hg'!G40,'Insira Resultados IN2 '!E60)</f>
        <v>Ver Passo5 F4</v>
      </c>
      <c r="H53" s="430" t="str">
        <f>IF('Insira Resultados IN2 '!F60="",'Passo6-Produtos-Substâncias Hg'!H40,'Insira Resultados IN2 '!F60)</f>
        <v>Ver Passo5 F4</v>
      </c>
      <c r="I53" s="430" t="str">
        <f>IF('Insira Resultados IN2 '!G60="",'Passo6-Produtos-Substâncias Hg'!I40,'Insira Resultados IN2 '!G60)</f>
        <v>Ver Passo5 F4</v>
      </c>
      <c r="J53" s="430" t="str">
        <f>IF('Insira Resultados IN2 '!H60="",'Passo6-Produtos-Substâncias Hg'!J40,'Insira Resultados IN2 '!H60)</f>
        <v>Ver Passo5 F4</v>
      </c>
      <c r="K53" s="430" t="str">
        <f>IF('Insira Resultados IN2 '!I60="",'Passo6-Produtos-Substâncias Hg'!K40,'Insira Resultados IN2 '!I60)</f>
        <v>Ver Passo5 F4</v>
      </c>
      <c r="L53" s="272" t="str">
        <f>'Passo6-Produtos-Substâncias Hg'!L40</f>
        <v>5.6.2</v>
      </c>
    </row>
    <row r="54" spans="1:12" ht="25.5">
      <c r="A54" s="265" t="str">
        <f>'Passo6-Produtos-Substâncias Hg'!A43</f>
        <v>Produtos químicos de laboratório</v>
      </c>
      <c r="B54" s="270" t="str">
        <f>IF(OR('Passo6-Produtos-Substâncias Hg'!B43=yes,'Passo6-Produtos-Substâncias Hg'!B43=no,'Passo6-Produtos-Substâncias Hg'!B43=que),'Passo6-Produtos-Substâncias Hg'!B43,  pres)</f>
        <v>Presente?</v>
      </c>
      <c r="C54" s="375">
        <f>'Passo6-Produtos-Substâncias Hg'!C43</f>
        <v>0</v>
      </c>
      <c r="D54" s="273" t="str">
        <f>'Passo6-Produtos-Substâncias Hg'!D43</f>
        <v>Número de habitantes</v>
      </c>
      <c r="E54" s="442" t="str">
        <f>IF('Insira Resultados IN2 '!C61="",'Passo6-Produtos-Substâncias Hg'!E43,'Insira Resultados IN2 '!C61)</f>
        <v>Presente?</v>
      </c>
      <c r="F54" s="430" t="str">
        <f>IF('Insira Resultados IN2 '!D61="",'Passo6-Produtos-Substâncias Hg'!F43,'Insira Resultados IN2 '!D61)</f>
        <v>Ver Passo5 F4</v>
      </c>
      <c r="G54" s="430" t="str">
        <f>IF('Insira Resultados IN2 '!E61="",'Passo6-Produtos-Substâncias Hg'!G43,'Insira Resultados IN2 '!E61)</f>
        <v>Ver Passo5 F4</v>
      </c>
      <c r="H54" s="430" t="str">
        <f>IF('Insira Resultados IN2 '!F61="",'Passo6-Produtos-Substâncias Hg'!H43,'Insira Resultados IN2 '!F61)</f>
        <v>Ver Passo5 F4</v>
      </c>
      <c r="I54" s="430" t="str">
        <f>IF('Insira Resultados IN2 '!G61="",'Passo6-Produtos-Substâncias Hg'!I43,'Insira Resultados IN2 '!G61)</f>
        <v>Ver Passo5 F4</v>
      </c>
      <c r="J54" s="430" t="str">
        <f>IF('Insira Resultados IN2 '!H61="",'Passo6-Produtos-Substâncias Hg'!J43,'Insira Resultados IN2 '!H61)</f>
        <v>Ver Passo5 F4</v>
      </c>
      <c r="K54" s="430" t="str">
        <f>IF('Insira Resultados IN2 '!I61="",'Passo6-Produtos-Substâncias Hg'!K43,'Insira Resultados IN2 '!I61)</f>
        <v>Ver Passo5 F4</v>
      </c>
      <c r="L54" s="272" t="str">
        <f>'Passo6-Produtos-Substâncias Hg'!L43</f>
        <v>5.6.3</v>
      </c>
    </row>
    <row r="55" spans="1:12" ht="25.5">
      <c r="A55" s="265" t="str">
        <f>'Passo6-Produtos-Substâncias Hg'!A46</f>
        <v>Outros equipamentos laboratoriais e médicos com mercúrio</v>
      </c>
      <c r="B55" s="270" t="str">
        <f>IF(OR('Passo6-Produtos-Substâncias Hg'!B46=yes,'Passo6-Produtos-Substâncias Hg'!B46=no,'Passo6-Produtos-Substâncias Hg'!B46=que),'Passo6-Produtos-Substâncias Hg'!B46,  pres)</f>
        <v>Presente?</v>
      </c>
      <c r="C55" s="375">
        <f>'Passo6-Produtos-Substâncias Hg'!C46</f>
        <v>0</v>
      </c>
      <c r="D55" s="273" t="str">
        <f>'Passo6-Produtos-Substâncias Hg'!D46</f>
        <v>Número de habitantes</v>
      </c>
      <c r="E55" s="442" t="str">
        <f>IF('Insira Resultados IN2 '!C62="",'Passo6-Produtos-Substâncias Hg'!E46,'Insira Resultados IN2 '!C62)</f>
        <v>Presente?</v>
      </c>
      <c r="F55" s="430" t="str">
        <f>IF('Insira Resultados IN2 '!D62="",'Passo6-Produtos-Substâncias Hg'!F46,'Insira Resultados IN2 '!D62)</f>
        <v>Ver Passo5 F4</v>
      </c>
      <c r="G55" s="430" t="str">
        <f>IF('Insira Resultados IN2 '!E62="",'Passo6-Produtos-Substâncias Hg'!G46,'Insira Resultados IN2 '!E62)</f>
        <v>Ver Passo5 F4</v>
      </c>
      <c r="H55" s="430" t="str">
        <f>IF('Insira Resultados IN2 '!F62="",'Passo6-Produtos-Substâncias Hg'!H46,'Insira Resultados IN2 '!F62)</f>
        <v>Ver Passo5 F4</v>
      </c>
      <c r="I55" s="430" t="str">
        <f>IF('Insira Resultados IN2 '!G62="",'Passo6-Produtos-Substâncias Hg'!I46,'Insira Resultados IN2 '!G62)</f>
        <v>Ver Passo5 F4</v>
      </c>
      <c r="J55" s="430" t="str">
        <f>IF('Insira Resultados IN2 '!H62="",'Passo6-Produtos-Substâncias Hg'!J46,'Insira Resultados IN2 '!H62)</f>
        <v>Ver Passo5 F4</v>
      </c>
      <c r="K55" s="430" t="str">
        <f>IF('Insira Resultados IN2 '!I62="",'Passo6-Produtos-Substâncias Hg'!K46,'Insira Resultados IN2 '!I62)</f>
        <v>Ver Passo5 F4</v>
      </c>
      <c r="L55" s="272" t="str">
        <f>'Passo6-Produtos-Substâncias Hg'!L46</f>
        <v>5.6.3, 5.6.5</v>
      </c>
    </row>
    <row r="56" spans="1:12">
      <c r="A56" s="394" t="str">
        <f>'Passo5-TratResíduos+Reciclágem'!A8</f>
        <v>Produção de metais reciclados</v>
      </c>
      <c r="B56" s="303"/>
      <c r="C56" s="275"/>
      <c r="D56" s="304"/>
      <c r="E56" s="304"/>
      <c r="F56" s="440"/>
      <c r="G56" s="440"/>
      <c r="H56" s="440"/>
      <c r="I56" s="440"/>
      <c r="J56" s="440"/>
      <c r="K56" s="440"/>
      <c r="L56" s="305"/>
    </row>
    <row r="57" spans="1:12" ht="25.5">
      <c r="A57" s="265" t="str">
        <f>'Passo5-TratResíduos+Reciclágem'!A9</f>
        <v>Produção de mercúrio reciclado ("produção secundária")</v>
      </c>
      <c r="B57" s="270" t="str">
        <f>IF(OR('Passo5-TratResíduos+Reciclágem'!B9=yes,'Passo5-TratResíduos+Reciclágem'!B9=no,'Passo5-TratResíduos+Reciclágem'!B9=que),'Passo5-TratResíduos+Reciclágem'!B9,  pres)</f>
        <v>Presente?</v>
      </c>
      <c r="C57" s="375">
        <f>'Passo5-TratResíduos+Reciclágem'!C9</f>
        <v>0</v>
      </c>
      <c r="D57" s="273" t="str">
        <f>'Passo5-TratResíduos+Reciclágem'!D9</f>
        <v>Mercúrio produzido kg/ano</v>
      </c>
      <c r="E57" s="442" t="str">
        <f>IF('Insira Resultados IN2 '!C64="",'Passo5-TratResíduos+Reciclágem'!E9,'Insira Resultados IN2 '!C64)</f>
        <v>Presente?</v>
      </c>
      <c r="F57" s="430" t="str">
        <f>IF('Insira Resultados IN2 '!D64="",'Passo5-TratResíduos+Reciclágem'!F9,'Insira Resultados IN2 '!D64)</f>
        <v>Presente?</v>
      </c>
      <c r="G57" s="430" t="str">
        <f>IF('Insira Resultados IN2 '!E64="",'Passo5-TratResíduos+Reciclágem'!G9,'Insira Resultados IN2 '!E64)</f>
        <v>Presente?</v>
      </c>
      <c r="H57" s="430" t="str">
        <f>IF('Insira Resultados IN2 '!F64="",'Passo5-TratResíduos+Reciclágem'!H9,'Insira Resultados IN2 '!F64)</f>
        <v>Presente?</v>
      </c>
      <c r="I57" s="430" t="str">
        <f>IF('Insira Resultados IN2 '!G64="",'Passo5-TratResíduos+Reciclágem'!I9,'Insira Resultados IN2 '!G64)</f>
        <v>Presente?</v>
      </c>
      <c r="J57" s="430" t="str">
        <f>IF('Insira Resultados IN2 '!H64="",'Passo5-TratResíduos+Reciclágem'!J9,'Insira Resultados IN2 '!H64)</f>
        <v>Presente?</v>
      </c>
      <c r="K57" s="430" t="str">
        <f>IF('Insira Resultados IN2 '!I64="",'Passo5-TratResíduos+Reciclágem'!K9,'Insira Resultados IN2 '!I64)</f>
        <v>Presente?</v>
      </c>
      <c r="L57" s="272" t="str">
        <f>'Passo5-TratResíduos+Reciclágem'!L9</f>
        <v>5.7.1</v>
      </c>
    </row>
    <row r="58" spans="1:12">
      <c r="A58" s="265" t="str">
        <f>'Passo5-TratResíduos+Reciclágem'!A10</f>
        <v>Produção de metais ferrosos reciclados (ferro e aço)</v>
      </c>
      <c r="B58" s="270" t="str">
        <f>IF(OR('Passo5-TratResíduos+Reciclágem'!B10=yes,'Passo5-TratResíduos+Reciclágem'!B10=no,'Passo5-TratResíduos+Reciclágem'!B10=que),'Passo5-TratResíduos+Reciclágem'!B10,  pres)</f>
        <v>Presente?</v>
      </c>
      <c r="C58" s="375">
        <f>'Passo5-TratResíduos+Reciclágem'!C10</f>
        <v>0</v>
      </c>
      <c r="D58" s="273" t="str">
        <f>'Passo5-TratResíduos+Reciclágem'!D10</f>
        <v>Número de veículos reciclado/ano</v>
      </c>
      <c r="E58" s="442" t="str">
        <f>IF('Insira Resultados IN2 '!C65="",'Passo5-TratResíduos+Reciclágem'!E10,'Insira Resultados IN2 '!C65)</f>
        <v>Presente?</v>
      </c>
      <c r="F58" s="430" t="str">
        <f>IF('Insira Resultados IN2 '!D65="",'Passo5-TratResíduos+Reciclágem'!F10,'Insira Resultados IN2 '!D65)</f>
        <v>Presente?</v>
      </c>
      <c r="G58" s="430" t="str">
        <f>IF('Insira Resultados IN2 '!E65="",'Passo5-TratResíduos+Reciclágem'!G10,'Insira Resultados IN2 '!E65)</f>
        <v>Presente?</v>
      </c>
      <c r="H58" s="430" t="str">
        <f>IF('Insira Resultados IN2 '!F65="",'Passo5-TratResíduos+Reciclágem'!H10,'Insira Resultados IN2 '!F65)</f>
        <v>Presente?</v>
      </c>
      <c r="I58" s="430" t="str">
        <f>IF('Insira Resultados IN2 '!G65="",'Passo5-TratResíduos+Reciclágem'!I10,'Insira Resultados IN2 '!G65)</f>
        <v>Presente?</v>
      </c>
      <c r="J58" s="430" t="str">
        <f>IF('Insira Resultados IN2 '!H65="",'Passo5-TratResíduos+Reciclágem'!J10,'Insira Resultados IN2 '!H65)</f>
        <v>Presente?</v>
      </c>
      <c r="K58" s="430" t="str">
        <f>IF('Insira Resultados IN2 '!I65="",'Passo5-TratResíduos+Reciclágem'!K10,'Insira Resultados IN2 '!I65)</f>
        <v>Presente?</v>
      </c>
      <c r="L58" s="272" t="str">
        <f>'Passo5-TratResíduos+Reciclágem'!L10</f>
        <v>5.7.2</v>
      </c>
    </row>
    <row r="59" spans="1:12">
      <c r="A59" s="394" t="str">
        <f>'Passo5-TratResíduos+Reciclágem'!A12</f>
        <v>Incineração de resíduos</v>
      </c>
      <c r="B59" s="303"/>
      <c r="C59" s="275"/>
      <c r="D59" s="304"/>
      <c r="E59" s="442"/>
      <c r="F59" s="440"/>
      <c r="G59" s="440"/>
      <c r="H59" s="440"/>
      <c r="I59" s="440"/>
      <c r="J59" s="440"/>
      <c r="K59" s="440"/>
      <c r="L59" s="305"/>
    </row>
    <row r="60" spans="1:12">
      <c r="A60" s="694" t="s">
        <v>1065</v>
      </c>
      <c r="B60" s="270" t="str">
        <f>IF(OR('Passo5-TratResíduos+Reciclágem'!B13=yes,'Passo5-TratResíduos+Reciclágem'!B13=no,'Passo5-TratResíduos+Reciclágem'!B13=que),'Passo5-TratResíduos+Reciclágem'!B13,  pres)</f>
        <v>Presente?</v>
      </c>
      <c r="C60" s="375">
        <f>'Passo5-TratResíduos+Reciclágem'!C13</f>
        <v>0</v>
      </c>
      <c r="D60" s="273" t="str">
        <f>'Passo5-TratResíduos+Reciclágem'!D13</f>
        <v>Resíduos incinerados, t/ano</v>
      </c>
      <c r="E60" s="442" t="str">
        <f>IF('Insira Resultados IN2 '!C67="",'Passo5-TratResíduos+Reciclágem'!E13,'Insira Resultados IN2 '!C67)</f>
        <v>Presente?</v>
      </c>
      <c r="F60" s="430" t="str">
        <f>IF('Insira Resultados IN2 '!D67="",'Passo5-TratResíduos+Reciclágem'!F13,'Insira Resultados IN2 '!D67)</f>
        <v>Presente?</v>
      </c>
      <c r="G60" s="430" t="str">
        <f>IF('Insira Resultados IN2 '!E67="",'Passo5-TratResíduos+Reciclágem'!G13,'Insira Resultados IN2 '!E67)</f>
        <v>Presente?</v>
      </c>
      <c r="H60" s="430" t="str">
        <f>IF('Insira Resultados IN2 '!F67="",'Passo5-TratResíduos+Reciclágem'!H13,'Insira Resultados IN2 '!F67)</f>
        <v>Presente?</v>
      </c>
      <c r="I60" s="430" t="str">
        <f>IF('Insira Resultados IN2 '!G67="",'Passo5-TratResíduos+Reciclágem'!I13,'Insira Resultados IN2 '!G67)</f>
        <v>Presente?</v>
      </c>
      <c r="J60" s="430" t="str">
        <f>IF('Insira Resultados IN2 '!H67="",'Passo5-TratResíduos+Reciclágem'!J13,'Insira Resultados IN2 '!H67)</f>
        <v>Presente?</v>
      </c>
      <c r="K60" s="430" t="str">
        <f>IF('Insira Resultados IN2 '!I67="",'Passo5-TratResíduos+Reciclágem'!K13,'Insira Resultados IN2 '!I67)</f>
        <v>Presente?</v>
      </c>
      <c r="L60" s="272" t="str">
        <f>'Passo5-TratResíduos+Reciclágem'!L13</f>
        <v>5.8.1</v>
      </c>
    </row>
    <row r="61" spans="1:12">
      <c r="A61" s="694" t="s">
        <v>925</v>
      </c>
      <c r="B61" s="270" t="str">
        <f>IF(OR('Passo5-TratResíduos+Reciclágem'!B14=yes,'Passo5-TratResíduos+Reciclágem'!B14=no,'Passo5-TratResíduos+Reciclágem'!B14=que),'Passo5-TratResíduos+Reciclágem'!B14,  pres)</f>
        <v>Presente?</v>
      </c>
      <c r="C61" s="375">
        <f>'Passo5-TratResíduos+Reciclágem'!C14</f>
        <v>0</v>
      </c>
      <c r="D61" s="273" t="str">
        <f>'Passo5-TratResíduos+Reciclágem'!D14</f>
        <v>Resíduos incinerados, t/ano</v>
      </c>
      <c r="E61" s="442" t="str">
        <f>IF('Insira Resultados IN2 '!C68="",'Passo5-TratResíduos+Reciclágem'!E14,'Insira Resultados IN2 '!C68)</f>
        <v>Presente?</v>
      </c>
      <c r="F61" s="430" t="str">
        <f>IF('Insira Resultados IN2 '!D68="",'Passo5-TratResíduos+Reciclágem'!F14,'Insira Resultados IN2 '!D68)</f>
        <v>Presente?</v>
      </c>
      <c r="G61" s="430" t="str">
        <f>IF('Insira Resultados IN2 '!E68="",'Passo5-TratResíduos+Reciclágem'!G14,'Insira Resultados IN2 '!E68)</f>
        <v>Presente?</v>
      </c>
      <c r="H61" s="430" t="str">
        <f>IF('Insira Resultados IN2 '!F68="",'Passo5-TratResíduos+Reciclágem'!H14,'Insira Resultados IN2 '!F68)</f>
        <v>Presente?</v>
      </c>
      <c r="I61" s="430" t="str">
        <f>IF('Insira Resultados IN2 '!G68="",'Passo5-TratResíduos+Reciclágem'!I14,'Insira Resultados IN2 '!G68)</f>
        <v>Presente?</v>
      </c>
      <c r="J61" s="430" t="str">
        <f>IF('Insira Resultados IN2 '!H68="",'Passo5-TratResíduos+Reciclágem'!J14,'Insira Resultados IN2 '!H68)</f>
        <v>Presente?</v>
      </c>
      <c r="K61" s="430" t="str">
        <f>IF('Insira Resultados IN2 '!I68="",'Passo5-TratResíduos+Reciclágem'!K14,'Insira Resultados IN2 '!I68)</f>
        <v>Presente?</v>
      </c>
      <c r="L61" s="272" t="str">
        <f>'Passo5-TratResíduos+Reciclágem'!L14</f>
        <v>5.8.2</v>
      </c>
    </row>
    <row r="62" spans="1:12" ht="25.5">
      <c r="A62" s="694" t="s">
        <v>1002</v>
      </c>
      <c r="B62" s="270" t="str">
        <f>IF(OR('Passo5-TratResíduos+Reciclágem'!B15=yes,'Passo5-TratResíduos+Reciclágem'!B15=no,'Passo5-TratResíduos+Reciclágem'!B15=que),'Passo5-TratResíduos+Reciclágem'!B15,  pres)</f>
        <v>Presente?</v>
      </c>
      <c r="C62" s="375">
        <f>'Passo5-TratResíduos+Reciclágem'!C15</f>
        <v>0</v>
      </c>
      <c r="D62" s="273" t="str">
        <f>'Passo5-TratResíduos+Reciclágem'!D15</f>
        <v>Resíduos incinerados, t/ano</v>
      </c>
      <c r="E62" s="442" t="str">
        <f>IF('Insira Resultados IN2 '!C69="",'Passo5-TratResíduos+Reciclágem'!E15,'Insira Resultados IN2 '!C69)</f>
        <v>Presente?</v>
      </c>
      <c r="F62" s="430" t="str">
        <f>IF('Insira Resultados IN2 '!D69="",'Passo5-TratResíduos+Reciclágem'!F15,'Insira Resultados IN2 '!D69)</f>
        <v>Presente?</v>
      </c>
      <c r="G62" s="430" t="str">
        <f>IF('Insira Resultados IN2 '!E69="",'Passo5-TratResíduos+Reciclágem'!G15,'Insira Resultados IN2 '!E69)</f>
        <v>Presente?</v>
      </c>
      <c r="H62" s="430" t="str">
        <f>IF('Insira Resultados IN2 '!F69="",'Passo5-TratResíduos+Reciclágem'!H15,'Insira Resultados IN2 '!F69)</f>
        <v>Presente?</v>
      </c>
      <c r="I62" s="430" t="str">
        <f>IF('Insira Resultados IN2 '!G69="",'Passo5-TratResíduos+Reciclágem'!I15,'Insira Resultados IN2 '!G69)</f>
        <v>Presente?</v>
      </c>
      <c r="J62" s="430" t="str">
        <f>IF('Insira Resultados IN2 '!H69="",'Passo5-TratResíduos+Reciclágem'!J15,'Insira Resultados IN2 '!H69)</f>
        <v>Presente?</v>
      </c>
      <c r="K62" s="430" t="str">
        <f>IF('Insira Resultados IN2 '!I69="",'Passo5-TratResíduos+Reciclágem'!K15,'Insira Resultados IN2 '!I69)</f>
        <v>Presente?</v>
      </c>
      <c r="L62" s="272" t="str">
        <f>'Passo5-TratResíduos+Reciclágem'!L15</f>
        <v>5.8.3</v>
      </c>
    </row>
    <row r="63" spans="1:12" ht="25.5">
      <c r="A63" s="694" t="s">
        <v>927</v>
      </c>
      <c r="B63" s="270" t="str">
        <f>IF(OR('Passo5-TratResíduos+Reciclágem'!B16=yes,'Passo5-TratResíduos+Reciclágem'!B16=no,'Passo5-TratResíduos+Reciclágem'!B16=que),'Passo5-TratResíduos+Reciclágem'!B16,  pres)</f>
        <v>Presente?</v>
      </c>
      <c r="C63" s="375">
        <f>'Passo5-TratResíduos+Reciclágem'!C16</f>
        <v>0</v>
      </c>
      <c r="D63" s="273" t="str">
        <f>'Passo5-TratResíduos+Reciclágem'!D16</f>
        <v>Resíduos incinerados, t/ano</v>
      </c>
      <c r="E63" s="442" t="str">
        <f>IF('Insira Resultados IN2 '!C70="",'Passo5-TratResíduos+Reciclágem'!E16,'Insira Resultados IN2 '!C70)</f>
        <v>Presente?</v>
      </c>
      <c r="F63" s="430" t="str">
        <f>IF('Insira Resultados IN2 '!D70="",'Passo5-TratResíduos+Reciclágem'!F16,'Insira Resultados IN2 '!D70)</f>
        <v>Presente?</v>
      </c>
      <c r="G63" s="430" t="str">
        <f>IF('Insira Resultados IN2 '!E70="",'Passo5-TratResíduos+Reciclágem'!G16,'Insira Resultados IN2 '!E70)</f>
        <v>Presente?</v>
      </c>
      <c r="H63" s="430" t="str">
        <f>IF('Insira Resultados IN2 '!F70="",'Passo5-TratResíduos+Reciclágem'!H16,'Insira Resultados IN2 '!F70)</f>
        <v>Presente?</v>
      </c>
      <c r="I63" s="430" t="str">
        <f>IF('Insira Resultados IN2 '!G70="",'Passo5-TratResíduos+Reciclágem'!I16,'Insira Resultados IN2 '!G70)</f>
        <v>Presente?</v>
      </c>
      <c r="J63" s="430" t="str">
        <f>IF('Insira Resultados IN2 '!H70="",'Passo5-TratResíduos+Reciclágem'!J16,'Insira Resultados IN2 '!H70)</f>
        <v>Presente?</v>
      </c>
      <c r="K63" s="430" t="str">
        <f>IF('Insira Resultados IN2 '!I70="",'Passo5-TratResíduos+Reciclágem'!K16,'Insira Resultados IN2 '!I70)</f>
        <v>Presente?</v>
      </c>
      <c r="L63" s="272" t="str">
        <f>'Passo5-TratResíduos+Reciclágem'!L16</f>
        <v>5.8.4</v>
      </c>
    </row>
    <row r="64" spans="1:12">
      <c r="A64" s="694" t="s">
        <v>1090</v>
      </c>
      <c r="B64" s="270" t="str">
        <f>IF(OR('Passo5-TratResíduos+Reciclágem'!B17=yes,'Passo5-TratResíduos+Reciclágem'!B17=no,'Passo5-TratResíduos+Reciclágem'!B17=que),'Passo5-TratResíduos+Reciclágem'!B17,  pres)</f>
        <v>Presente?</v>
      </c>
      <c r="C64" s="375">
        <f>'Passo5-TratResíduos+Reciclágem'!C17</f>
        <v>0</v>
      </c>
      <c r="D64" s="273" t="str">
        <f>'Passo5-TratResíduos+Reciclágem'!D17</f>
        <v>Resíduos queimados t/ano</v>
      </c>
      <c r="E64" s="442" t="str">
        <f>IF('Insira Resultados IN2 '!C71="",'Passo5-TratResíduos+Reciclágem'!E17,'Insira Resultados IN2 '!C71)</f>
        <v>Presente?</v>
      </c>
      <c r="F64" s="430" t="str">
        <f>IF('Insira Resultados IN2 '!D71="",'Passo5-TratResíduos+Reciclágem'!F17,'Insira Resultados IN2 '!D71)</f>
        <v>Presente?</v>
      </c>
      <c r="G64" s="430" t="str">
        <f>IF('Insira Resultados IN2 '!E71="",'Passo5-TratResíduos+Reciclágem'!G17,'Insira Resultados IN2 '!E71)</f>
        <v>Presente?</v>
      </c>
      <c r="H64" s="430" t="str">
        <f>IF('Insira Resultados IN2 '!F71="",'Passo5-TratResíduos+Reciclágem'!H17,'Insira Resultados IN2 '!F71)</f>
        <v>Presente?</v>
      </c>
      <c r="I64" s="430" t="str">
        <f>IF('Insira Resultados IN2 '!G71="",'Passo5-TratResíduos+Reciclágem'!I17,'Insira Resultados IN2 '!G71)</f>
        <v>Presente?</v>
      </c>
      <c r="J64" s="430" t="str">
        <f>IF('Insira Resultados IN2 '!H71="",'Passo5-TratResíduos+Reciclágem'!J17,'Insira Resultados IN2 '!H71)</f>
        <v>Presente?</v>
      </c>
      <c r="K64" s="430" t="str">
        <f>IF('Insira Resultados IN2 '!I71="",'Passo5-TratResíduos+Reciclágem'!K17,'Insira Resultados IN2 '!I71)</f>
        <v>Presente?</v>
      </c>
      <c r="L64" s="272" t="str">
        <f>'Passo5-TratResíduos+Reciclágem'!L17</f>
        <v>5.8.5</v>
      </c>
    </row>
    <row r="65" spans="1:15" ht="25.5">
      <c r="A65" s="394" t="str">
        <f>'Passo5-TratResíduos+Reciclágem'!A19</f>
        <v>Deposição de resíduos /aterros e tratamento de águas residuais</v>
      </c>
      <c r="B65" s="303"/>
      <c r="C65" s="275"/>
      <c r="D65" s="304"/>
      <c r="E65" s="304"/>
      <c r="F65" s="440"/>
      <c r="G65" s="440"/>
      <c r="H65" s="440"/>
      <c r="I65" s="440"/>
      <c r="J65" s="440"/>
      <c r="K65" s="440"/>
      <c r="L65" s="305"/>
    </row>
    <row r="66" spans="1:15">
      <c r="A66" s="694" t="s">
        <v>928</v>
      </c>
      <c r="B66" s="270" t="str">
        <f>IF(OR('Passo5-TratResíduos+Reciclágem'!B20=yes,'Passo5-TratResíduos+Reciclágem'!B20=no,'Passo5-TratResíduos+Reciclágem'!B20=que),'Passo5-TratResíduos+Reciclágem'!B20,  pres)</f>
        <v>Presente?</v>
      </c>
      <c r="C66" s="375">
        <f>'Passo5-TratResíduos+Reciclágem'!C20</f>
        <v>0</v>
      </c>
      <c r="D66" s="273" t="str">
        <f>'Passo5-TratResíduos+Reciclágem'!D20</f>
        <v>Resíduos em aterro, t/ano</v>
      </c>
      <c r="E66" s="442" t="str">
        <f>IF('Insira Resultados IN2 '!C73="",'Passo5-TratResíduos+Reciclágem'!E20,'Insira Resultados IN2 '!C73)</f>
        <v>Presente?</v>
      </c>
      <c r="F66" s="430" t="str">
        <f>IF('Insira Resultados IN2 '!D73="",'Passo5-TratResíduos+Reciclágem'!F20,'Insira Resultados IN2 '!D73)</f>
        <v>Presente?</v>
      </c>
      <c r="G66" s="430" t="str">
        <f>IF('Insira Resultados IN2 '!E73="",'Passo5-TratResíduos+Reciclágem'!G20,'Insira Resultados IN2 '!E73)</f>
        <v>Presente?</v>
      </c>
      <c r="H66" s="430" t="str">
        <f>IF('Insira Resultados IN2 '!F73="",'Passo5-TratResíduos+Reciclágem'!H20,'Insira Resultados IN2 '!F73)</f>
        <v>Presente?</v>
      </c>
      <c r="I66" s="430" t="str">
        <f>IF('Insira Resultados IN2 '!G73="",'Passo5-TratResíduos+Reciclágem'!I20,'Insira Resultados IN2 '!G73)</f>
        <v>Presente?</v>
      </c>
      <c r="J66" s="430" t="str">
        <f>IF('Insira Resultados IN2 '!H73="",'Passo5-TratResíduos+Reciclágem'!J20,'Insira Resultados IN2 '!H73)</f>
        <v>Presente?</v>
      </c>
      <c r="K66" s="430" t="str">
        <f>IF('Insira Resultados IN2 '!I73="",'Passo5-TratResíduos+Reciclágem'!K20,'Insira Resultados IN2 '!I73)</f>
        <v>Presente?</v>
      </c>
      <c r="L66" s="272" t="str">
        <f>'Passo5-TratResíduos+Reciclágem'!L20</f>
        <v>5.9.1</v>
      </c>
    </row>
    <row r="67" spans="1:15">
      <c r="A67" s="694" t="s">
        <v>1084</v>
      </c>
      <c r="B67" s="270" t="str">
        <f>IF(OR('Passo5-TratResíduos+Reciclágem'!B21=yes,'Passo5-TratResíduos+Reciclágem'!B21=no,'Passo5-TratResíduos+Reciclágem'!B21=que),'Passo5-TratResíduos+Reciclágem'!B21,  pres)</f>
        <v>Presente?</v>
      </c>
      <c r="C67" s="375">
        <f>'Passo5-TratResíduos+Reciclágem'!C21</f>
        <v>0</v>
      </c>
      <c r="D67" s="273" t="str">
        <f>'Passo5-TratResíduos+Reciclágem'!D21</f>
        <v>Resíduos eliminados, t/ano</v>
      </c>
      <c r="E67" s="442" t="str">
        <f>IF('Insira Resultados IN2 '!C74="",'Passo5-TratResíduos+Reciclágem'!E21,'Insira Resultados IN2 '!C74)</f>
        <v>Presente?</v>
      </c>
      <c r="F67" s="430" t="str">
        <f>IF('Insira Resultados IN2 '!D74="",'Passo5-TratResíduos+Reciclágem'!F21,'Insira Resultados IN2 '!D74)</f>
        <v>Presente?</v>
      </c>
      <c r="G67" s="430" t="str">
        <f>IF('Insira Resultados IN2 '!E74="",'Passo5-TratResíduos+Reciclágem'!G21,'Insira Resultados IN2 '!E74)</f>
        <v>Presente?</v>
      </c>
      <c r="H67" s="430" t="str">
        <f>IF('Insira Resultados IN2 '!F74="",'Passo5-TratResíduos+Reciclágem'!H21,'Insira Resultados IN2 '!F74)</f>
        <v>Presente?</v>
      </c>
      <c r="I67" s="430" t="str">
        <f>IF('Insira Resultados IN2 '!G74="",'Passo5-TratResíduos+Reciclágem'!I21,'Insira Resultados IN2 '!G74)</f>
        <v>Presente?</v>
      </c>
      <c r="J67" s="430" t="str">
        <f>IF('Insira Resultados IN2 '!H74="",'Passo5-TratResíduos+Reciclágem'!J21,'Insira Resultados IN2 '!H74)</f>
        <v>Presente?</v>
      </c>
      <c r="K67" s="430" t="str">
        <f>IF('Insira Resultados IN2 '!I74="",'Passo5-TratResíduos+Reciclágem'!K21,'Insira Resultados IN2 '!I74)</f>
        <v>Presente?</v>
      </c>
      <c r="L67" s="272" t="str">
        <f>'Passo5-TratResíduos+Reciclágem'!L21</f>
        <v>5.9.4</v>
      </c>
      <c r="O67" s="340" t="s">
        <v>730</v>
      </c>
    </row>
    <row r="68" spans="1:15">
      <c r="A68" s="694" t="s">
        <v>1003</v>
      </c>
      <c r="B68" s="270" t="str">
        <f>IF(OR('Passo5-TratResíduos+Reciclágem'!B23=yes,'Passo5-TratResíduos+Reciclágem'!B23=no,'Passo5-TratResíduos+Reciclágem'!B23=que),'Passo5-TratResíduos+Reciclágem'!B23,  pres)</f>
        <v>Presente?</v>
      </c>
      <c r="C68" s="375">
        <f>'Passo5-TratResíduos+Reciclágem'!C23</f>
        <v>0</v>
      </c>
      <c r="D68" s="273" t="str">
        <f>'Passo5-TratResíduos+Reciclágem'!D23</f>
        <v xml:space="preserve">Águas residuais, m3/ano </v>
      </c>
      <c r="E68" s="442" t="str">
        <f>IF('Insira Resultados IN2 '!C75="",'Passo5-TratResíduos+Reciclágem'!E23,'Insira Resultados IN2 '!C75)</f>
        <v>Presente?</v>
      </c>
      <c r="F68" s="430" t="str">
        <f>IF('Insira Resultados IN2 '!D75="",'Passo5-TratResíduos+Reciclágem'!F23,'Insira Resultados IN2 '!D75)</f>
        <v>Presente?</v>
      </c>
      <c r="G68" s="430" t="str">
        <f>IF('Insira Resultados IN2 '!E75="",'Passo5-TratResíduos+Reciclágem'!G23,'Insira Resultados IN2 '!E75)</f>
        <v>Presente?</v>
      </c>
      <c r="H68" s="430" t="str">
        <f>IF('Insira Resultados IN2 '!F75="",'Passo5-TratResíduos+Reciclágem'!H23,'Insira Resultados IN2 '!F75)</f>
        <v>Presente?</v>
      </c>
      <c r="I68" s="430" t="str">
        <f>IF('Insira Resultados IN2 '!G75="",'Passo5-TratResíduos+Reciclágem'!I23,'Insira Resultados IN2 '!G75)</f>
        <v>Presente?</v>
      </c>
      <c r="J68" s="430" t="str">
        <f>IF('Insira Resultados IN2 '!H75="",'Passo5-TratResíduos+Reciclágem'!J23,'Insira Resultados IN2 '!H75)</f>
        <v>Presente?</v>
      </c>
      <c r="K68" s="430" t="str">
        <f>IF('Insira Resultados IN2 '!I75="",'Passo5-TratResíduos+Reciclágem'!K23,'Insira Resultados IN2 '!I75)</f>
        <v>Presente?</v>
      </c>
      <c r="L68" s="272" t="str">
        <f>'Passo5-TratResíduos+Reciclágem'!L23</f>
        <v>5.9.5</v>
      </c>
    </row>
    <row r="69" spans="1:15">
      <c r="A69" s="394" t="str">
        <f>'Passo7-Crematórios-cemitérios'!A4</f>
        <v>Crematórios e cemitérios</v>
      </c>
      <c r="B69" s="303"/>
      <c r="C69" s="275"/>
      <c r="D69" s="304"/>
      <c r="E69" s="304"/>
      <c r="F69" s="440"/>
      <c r="G69" s="440"/>
      <c r="H69" s="440"/>
      <c r="I69" s="440"/>
      <c r="J69" s="440"/>
      <c r="K69" s="440"/>
      <c r="L69" s="305"/>
    </row>
    <row r="70" spans="1:15">
      <c r="A70" s="265" t="str">
        <f>'Passo7-Crematórios-cemitérios'!A5</f>
        <v>Crematórios</v>
      </c>
      <c r="B70" s="270" t="str">
        <f>IF(OR('Passo7-Crematórios-cemitérios'!B5=yes,'Passo7-Crematórios-cemitérios'!B5=no,'Passo7-Crematórios-cemitérios'!B5=que),'Passo7-Crematórios-cemitérios'!B5,  pres)</f>
        <v>S</v>
      </c>
      <c r="C70" s="375">
        <f>'Passo7-Crematórios-cemitérios'!C5</f>
        <v>0</v>
      </c>
      <c r="D70" s="273" t="str">
        <f>'Passo7-Crematórios-cemitérios'!D5</f>
        <v>Cadáveres cremados/ano</v>
      </c>
      <c r="E70" s="442">
        <f>IF('Insira Resultados IN2 '!C77="",'Passo7-Crematórios-cemitérios'!E5,'Insira Resultados IN2 '!C77)</f>
        <v>0</v>
      </c>
      <c r="F70" s="430">
        <f>IF('Insira Resultados IN2 '!D77="",'Passo7-Crematórios-cemitérios'!F5,'Insira Resultados IN2 '!D77)</f>
        <v>0</v>
      </c>
      <c r="G70" s="430">
        <f>IF('Insira Resultados IN2 '!E77="",'Passo7-Crematórios-cemitérios'!G5,'Insira Resultados IN2 '!E77)</f>
        <v>0</v>
      </c>
      <c r="H70" s="430">
        <f>IF('Insira Resultados IN2 '!F77="",'Passo7-Crematórios-cemitérios'!H5,'Insira Resultados IN2 '!F77)</f>
        <v>0</v>
      </c>
      <c r="I70" s="430" t="str">
        <f>IF('Insira Resultados IN2 '!G77="",'Passo7-Crematórios-cemitérios'!I5,'Insira Resultados IN2 '!G77)</f>
        <v>-</v>
      </c>
      <c r="J70" s="430">
        <f>IF('Insira Resultados IN2 '!H77="",'Passo7-Crematórios-cemitérios'!J5,'Insira Resultados IN2 '!H77)</f>
        <v>0</v>
      </c>
      <c r="K70" s="430">
        <f>IF('Insira Resultados IN2 '!I77="",'Passo7-Crematórios-cemitérios'!K5,'Insira Resultados IN2 '!I77)</f>
        <v>0</v>
      </c>
      <c r="L70" s="272" t="str">
        <f>'Passo7-Crematórios-cemitérios'!L5</f>
        <v>5.10.1</v>
      </c>
    </row>
    <row r="71" spans="1:15">
      <c r="A71" s="265" t="str">
        <f>'Passo7-Crematórios-cemitérios'!A6</f>
        <v>Cemitérios</v>
      </c>
      <c r="B71" s="270" t="str">
        <f>IF(OR('Passo7-Crematórios-cemitérios'!B6=yes,'Passo7-Crematórios-cemitérios'!B6=no,'Passo7-Crematórios-cemitérios'!B6=que),'Passo7-Crematórios-cemitérios'!B6,  pres)</f>
        <v>Presente?</v>
      </c>
      <c r="C71" s="375">
        <f>'Passo7-Crematórios-cemitérios'!C6</f>
        <v>0</v>
      </c>
      <c r="D71" s="273" t="str">
        <f>'Passo7-Crematórios-cemitérios'!D6</f>
        <v>Cadáveres enterrados/ano</v>
      </c>
      <c r="E71" s="442" t="str">
        <f>IF('Insira Resultados IN2 '!C78="",'Passo7-Crematórios-cemitérios'!E6,'Insira Resultados IN2 '!C78)</f>
        <v>Presente?</v>
      </c>
      <c r="F71" s="430" t="str">
        <f>IF('Insira Resultados IN2 '!D78="",'Passo7-Crematórios-cemitérios'!F6,'Insira Resultados IN2 '!D78)</f>
        <v>Presente?</v>
      </c>
      <c r="G71" s="430" t="str">
        <f>IF('Insira Resultados IN2 '!E78="",'Passo7-Crematórios-cemitérios'!G6,'Insira Resultados IN2 '!E78)</f>
        <v>Presente?</v>
      </c>
      <c r="H71" s="430" t="str">
        <f>IF('Insira Resultados IN2 '!F78="",'Passo7-Crematórios-cemitérios'!H6,'Insira Resultados IN2 '!F78)</f>
        <v>Presente?</v>
      </c>
      <c r="I71" s="430" t="str">
        <f>IF('Insira Resultados IN2 '!G78="",'Passo7-Crematórios-cemitérios'!I6,'Insira Resultados IN2 '!G78)</f>
        <v>Presente?</v>
      </c>
      <c r="J71" s="430" t="str">
        <f>IF('Insira Resultados IN2 '!H78="",'Passo7-Crematórios-cemitérios'!J6,'Insira Resultados IN2 '!H78)</f>
        <v>Presente?</v>
      </c>
      <c r="K71" s="430" t="str">
        <f>IF('Insira Resultados IN2 '!I78="",'Passo7-Crematórios-cemitérios'!K6,'Insira Resultados IN2 '!I78)</f>
        <v>Presente?</v>
      </c>
      <c r="L71" s="272" t="str">
        <f>'Passo7-Crematórios-cemitérios'!L6</f>
        <v>5.10.2</v>
      </c>
    </row>
    <row r="72" spans="1:15" s="355" customFormat="1">
      <c r="A72" s="267" t="s">
        <v>1004</v>
      </c>
      <c r="B72" s="431"/>
      <c r="C72" s="375"/>
      <c r="D72" s="374"/>
      <c r="E72" s="433" t="e">
        <f>ROUND(SUM(E5:E71)-(0.9*IF(OR(E60="-",E60=que),0,E60))-(0.9*IF(OR(E61="-",E61=que),0,E61))-(0.9*IF(OR(E62="-",E62=que),0,E62))-(0.9*IF(OR(E63="-",E63=que),0,E63))-(0.9*IF(OR(E64="-",E64=que),0,E64))-(0.9*IF(OR(E66="-",E66=que),0,E66))-(0.9*IF(OR(E67="-",E67=que),0,E67))-IF(OR(E68="-",E68=que),0,E68)+(-IF(OR(E35="-",E35=que),0,E35)+SUM(F35:K35))+(-IF(OR(E36="-",E36=que),0,E36)+SUM(F36:K36))+(-IF(OR(E37="-",E37=que),0,E37)+SUM(F37:K37))+(-IF(OR(E38="-",E38=que),0,E38)+SUM(F38:K38))+(-IF(OR(E39="-",E39=que),0,E39)+SUM(F39:K39))+(-IF(OR(E40="-",E40=que),0,E40)+SUM(F40:K40))+(-IF(OR(E41="-",E41=que),0,E41)+SUM(F41:K41))+(-IF(OR(E42="-",E42=que),0,E42)+SUM(F42:K42))+(-IF(OR(E14="-",E14=que),0,E14)+SUM(F14:K14))+(-IF(OR(E15="-",E15=que),0,E15)+SUM(F15:K15))+(-IF(OR(E16="-",E16=que),0,E16)+SUM(F16:K16)),-1)</f>
        <v>#VALUE!</v>
      </c>
      <c r="F72" s="441">
        <f>ROUND(SUM(F5:F71),-1)</f>
        <v>0</v>
      </c>
      <c r="G72" s="441" t="e">
        <f>ROUND(SUM(G5:G71)-IF(OR(G68="-",G68=que),0,G68),-1)</f>
        <v>#VALUE!</v>
      </c>
      <c r="H72" s="441" t="e">
        <f>ROUND(SUM(H5:H71)-IF(OR(H67="-",H67=que),0,H67),-1)</f>
        <v>#VALUE!</v>
      </c>
      <c r="I72" s="441">
        <f>ROUND(SUM(I5:I71),-1)</f>
        <v>0</v>
      </c>
      <c r="J72" s="441">
        <f>ROUND(SUM(J5:J71),-1)</f>
        <v>0</v>
      </c>
      <c r="K72" s="441">
        <f>ROUND(SUM(K5:K71),-1)</f>
        <v>0</v>
      </c>
      <c r="L72" s="374"/>
    </row>
    <row r="73" spans="1:15">
      <c r="A73" s="625" t="s">
        <v>788</v>
      </c>
      <c r="B73" s="358"/>
      <c r="E73" s="3"/>
      <c r="F73" s="477"/>
    </row>
    <row r="74" spans="1:15">
      <c r="A74" s="625" t="s">
        <v>1085</v>
      </c>
    </row>
    <row r="75" spans="1:15">
      <c r="A75" s="340" t="s">
        <v>1005</v>
      </c>
    </row>
    <row r="76" spans="1:15">
      <c r="A76" s="340" t="s">
        <v>996</v>
      </c>
    </row>
    <row r="77" spans="1:15">
      <c r="A77" s="340" t="s">
        <v>1051</v>
      </c>
    </row>
    <row r="78" spans="1:15">
      <c r="A78" s="625" t="s">
        <v>1083</v>
      </c>
    </row>
    <row r="79" spans="1:15">
      <c r="A79" s="625" t="s">
        <v>1061</v>
      </c>
    </row>
    <row r="80" spans="1:15">
      <c r="A80" s="625" t="s">
        <v>1038</v>
      </c>
    </row>
    <row r="81" spans="1:1">
      <c r="A81" s="625" t="s">
        <v>1052</v>
      </c>
    </row>
    <row r="83" spans="1:1">
      <c r="A83" s="624" t="s">
        <v>1053</v>
      </c>
    </row>
    <row r="84" spans="1:1">
      <c r="A84" s="624" t="s">
        <v>747</v>
      </c>
    </row>
  </sheetData>
  <mergeCells count="1">
    <mergeCell ref="F2:K2"/>
  </mergeCells>
  <pageMargins left="0.39370078740157483" right="0.39370078740157483" top="0.74803149606299213" bottom="0.74803149606299213" header="0.31496062992125984" footer="0.31496062992125984"/>
  <pageSetup paperSize="9" scale="89" fitToHeight="2" orientation="landscape" r:id="rId1"/>
  <headerFooter>
    <oddFooter>&amp;L&amp;APrinted &amp;D</oddFooter>
  </headerFooter>
  <ignoredErrors>
    <ignoredError sqref="A43" evalError="1"/>
  </ignoredErrors>
  <extLst>
    <ext xmlns:x14="http://schemas.microsoft.com/office/spreadsheetml/2009/9/main" uri="{78C0D931-6437-407d-A8EE-F0AAD7539E65}">
      <x14:conditionalFormattings>
        <x14:conditionalFormatting xmlns:xm="http://schemas.microsoft.com/office/excel/2006/main">
          <x14:cfRule type="expression" priority="26" stopIfTrue="1" id="{38038F7B-76CB-41A7-8003-A795F54220A9}">
            <xm:f>'Insert IL2 results'!#REF!&lt;&gt;""</xm:f>
            <x14:dxf>
              <font>
                <color rgb="FF00B050"/>
              </font>
            </x14:dxf>
          </x14:cfRule>
          <xm:sqref>E5:K12 E57:E64 E14:K16 E18:K26 E28:K29 E31:K33 E35:K42 E44:K55 F57:K58 F60:K64 E66:K68 E70:K71</xm:sqref>
        </x14:conditionalFormatting>
      </x14:conditionalFormattings>
    </ext>
  </extLs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2"/>
  <sheetViews>
    <sheetView workbookViewId="0"/>
  </sheetViews>
  <sheetFormatPr defaultRowHeight="12.75"/>
  <cols>
    <col min="1" max="1" width="96.85546875" style="209" customWidth="1"/>
    <col min="2" max="16384" width="9.140625" style="204"/>
  </cols>
  <sheetData>
    <row r="1" spans="1:1" ht="18">
      <c r="A1" s="211" t="s">
        <v>387</v>
      </c>
    </row>
    <row r="2" spans="1:1" ht="63.75">
      <c r="A2" s="205" t="s">
        <v>3</v>
      </c>
    </row>
    <row r="4" spans="1:1" ht="25.5">
      <c r="A4" s="205" t="s">
        <v>4</v>
      </c>
    </row>
    <row r="6" spans="1:1" ht="25.5">
      <c r="A6" s="205" t="s">
        <v>5</v>
      </c>
    </row>
    <row r="7" spans="1:1">
      <c r="A7" s="205"/>
    </row>
    <row r="8" spans="1:1">
      <c r="A8" s="214" t="s">
        <v>26</v>
      </c>
    </row>
    <row r="9" spans="1:1" ht="63.75">
      <c r="A9" s="215" t="s">
        <v>27</v>
      </c>
    </row>
    <row r="10" spans="1:1" ht="38.25">
      <c r="A10" s="215" t="s">
        <v>28</v>
      </c>
    </row>
    <row r="12" spans="1:1" ht="15.75">
      <c r="A12" s="212" t="s">
        <v>0</v>
      </c>
    </row>
    <row r="13" spans="1:1">
      <c r="A13" s="205" t="s">
        <v>6</v>
      </c>
    </row>
    <row r="15" spans="1:1">
      <c r="A15" s="205" t="s">
        <v>7</v>
      </c>
    </row>
    <row r="17" spans="1:1" ht="25.5">
      <c r="A17" s="206" t="s">
        <v>8</v>
      </c>
    </row>
    <row r="19" spans="1:1" ht="38.25">
      <c r="A19" s="206" t="s">
        <v>9</v>
      </c>
    </row>
    <row r="20" spans="1:1" ht="38.25">
      <c r="A20" s="207" t="s">
        <v>10</v>
      </c>
    </row>
    <row r="22" spans="1:1" s="208" customFormat="1" ht="25.5">
      <c r="A22" s="206" t="s">
        <v>11</v>
      </c>
    </row>
    <row r="24" spans="1:1" ht="63.75">
      <c r="A24" s="205" t="s">
        <v>12</v>
      </c>
    </row>
    <row r="26" spans="1:1" ht="51">
      <c r="A26" s="205" t="s">
        <v>13</v>
      </c>
    </row>
    <row r="28" spans="1:1" ht="102">
      <c r="A28" s="205" t="s">
        <v>14</v>
      </c>
    </row>
    <row r="30" spans="1:1" ht="63.75">
      <c r="A30" s="205" t="s">
        <v>15</v>
      </c>
    </row>
    <row r="32" spans="1:1" ht="63.75">
      <c r="A32" s="205" t="s">
        <v>16</v>
      </c>
    </row>
    <row r="33" spans="1:1" ht="102">
      <c r="A33" s="210" t="s">
        <v>2</v>
      </c>
    </row>
    <row r="34" spans="1:1">
      <c r="A34" s="210"/>
    </row>
    <row r="35" spans="1:1" ht="102">
      <c r="A35" s="205" t="s">
        <v>17</v>
      </c>
    </row>
    <row r="37" spans="1:1" ht="63.75">
      <c r="A37" s="205" t="s">
        <v>18</v>
      </c>
    </row>
    <row r="39" spans="1:1" ht="38.25">
      <c r="A39" s="205" t="s">
        <v>19</v>
      </c>
    </row>
    <row r="41" spans="1:1" ht="15">
      <c r="A41" s="213" t="s">
        <v>1</v>
      </c>
    </row>
    <row r="42" spans="1:1" ht="51">
      <c r="A42" s="205" t="s">
        <v>20</v>
      </c>
    </row>
    <row r="44" spans="1:1" ht="76.5">
      <c r="A44" s="205" t="s">
        <v>21</v>
      </c>
    </row>
    <row r="46" spans="1:1" ht="63.75">
      <c r="A46" s="205" t="s">
        <v>22</v>
      </c>
    </row>
    <row r="48" spans="1:1" ht="63.75">
      <c r="A48" s="205" t="s">
        <v>23</v>
      </c>
    </row>
    <row r="50" spans="1:1" ht="51">
      <c r="A50" s="205" t="s">
        <v>24</v>
      </c>
    </row>
    <row r="52" spans="1:1" ht="51">
      <c r="A52" s="205" t="s">
        <v>25</v>
      </c>
    </row>
  </sheetData>
  <sheetProtection sheet="1" objects="1" scenarios="1"/>
  <phoneticPr fontId="2" type="noConversion"/>
  <pageMargins left="0.39370078740157483" right="0.39370078740157483" top="0.74803149606299213" bottom="0.74803149606299213" header="0.31496062992125984" footer="0.31496062992125984"/>
  <pageSetup paperSize="9" orientation="landscape" r:id="rId1"/>
  <headerFooter>
    <oddFooter>&amp;L&amp;APrinted &amp;D</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74"/>
  <sheetViews>
    <sheetView workbookViewId="0"/>
  </sheetViews>
  <sheetFormatPr defaultRowHeight="12.75"/>
  <cols>
    <col min="1" max="1" width="4.85546875" customWidth="1"/>
    <col min="2" max="2" width="7.140625" customWidth="1"/>
    <col min="3" max="3" width="56.5703125" customWidth="1"/>
    <col min="4" max="4" width="9.140625" style="44"/>
    <col min="5" max="5" width="12.7109375" customWidth="1"/>
    <col min="8" max="8" width="11" customWidth="1"/>
    <col min="10" max="10" width="22.28515625" customWidth="1"/>
    <col min="11" max="11" width="109.28515625" style="9" customWidth="1"/>
  </cols>
  <sheetData>
    <row r="1" spans="1:31" ht="18">
      <c r="A1" s="1" t="s">
        <v>34</v>
      </c>
      <c r="L1" s="48"/>
    </row>
    <row r="2" spans="1:31" ht="18">
      <c r="A2" s="1" t="s">
        <v>29</v>
      </c>
      <c r="L2" s="48"/>
    </row>
    <row r="3" spans="1:31">
      <c r="A3" t="s">
        <v>30</v>
      </c>
    </row>
    <row r="4" spans="1:31">
      <c r="A4" s="3"/>
      <c r="B4" s="2"/>
      <c r="C4" s="2"/>
    </row>
    <row r="5" spans="1:31">
      <c r="A5" t="s">
        <v>312</v>
      </c>
    </row>
    <row r="6" spans="1:31">
      <c r="A6" s="3"/>
      <c r="B6" s="2"/>
      <c r="C6" s="2"/>
    </row>
    <row r="7" spans="1:31">
      <c r="A7" s="6" t="s">
        <v>324</v>
      </c>
    </row>
    <row r="8" spans="1:31">
      <c r="A8" s="3"/>
      <c r="B8" s="2"/>
      <c r="C8" s="2"/>
    </row>
    <row r="9" spans="1:31" ht="25.5">
      <c r="A9" s="56" t="s">
        <v>52</v>
      </c>
      <c r="B9" s="56" t="s">
        <v>333</v>
      </c>
      <c r="C9" s="57" t="s">
        <v>323</v>
      </c>
      <c r="D9" s="216" t="s">
        <v>159</v>
      </c>
      <c r="E9" s="82" t="s">
        <v>54</v>
      </c>
      <c r="F9" s="80"/>
      <c r="G9" s="80"/>
      <c r="H9" s="81"/>
      <c r="I9" s="81"/>
      <c r="J9" s="83"/>
      <c r="K9" s="217" t="s">
        <v>89</v>
      </c>
    </row>
    <row r="10" spans="1:31" ht="38.25" customHeight="1">
      <c r="A10" s="58"/>
      <c r="B10" s="58"/>
      <c r="C10" s="58"/>
      <c r="D10" s="77"/>
      <c r="E10" s="78" t="s">
        <v>38</v>
      </c>
      <c r="F10" s="78" t="s">
        <v>39</v>
      </c>
      <c r="G10" s="78" t="s">
        <v>40</v>
      </c>
      <c r="H10" s="79" t="s">
        <v>371</v>
      </c>
      <c r="I10" s="79" t="s">
        <v>42</v>
      </c>
      <c r="J10" s="79" t="s">
        <v>237</v>
      </c>
      <c r="K10" s="218"/>
      <c r="M10" s="48"/>
      <c r="N10" s="48"/>
      <c r="O10" s="48"/>
      <c r="P10" s="48"/>
      <c r="Q10" s="48"/>
      <c r="R10" s="48"/>
      <c r="S10" s="48"/>
      <c r="T10" s="48"/>
      <c r="U10" s="48"/>
      <c r="V10" s="48"/>
      <c r="W10" s="48"/>
      <c r="X10" s="48"/>
      <c r="Y10" s="48"/>
      <c r="Z10" s="48"/>
      <c r="AA10" s="48"/>
      <c r="AB10" s="48"/>
      <c r="AC10" s="48"/>
      <c r="AD10" s="48"/>
      <c r="AE10" s="48"/>
    </row>
    <row r="11" spans="1:31" ht="25.5">
      <c r="A11" s="57" t="str">
        <f>'5-1 Fuels'!A5</f>
        <v>5.1</v>
      </c>
      <c r="B11" s="57"/>
      <c r="C11" s="57" t="str">
        <f>'5-1 Fuels'!C5</f>
        <v>Source category: Extraction and use of fuels/energy sources</v>
      </c>
      <c r="D11" s="77"/>
      <c r="E11" s="77"/>
      <c r="F11" s="77"/>
      <c r="G11" s="77"/>
      <c r="H11" s="77"/>
      <c r="I11" s="77"/>
      <c r="J11" s="77"/>
      <c r="K11" s="218"/>
      <c r="M11" s="48"/>
      <c r="N11" s="48"/>
      <c r="O11" s="48"/>
      <c r="P11" s="48"/>
      <c r="Q11" s="48"/>
      <c r="R11" s="48"/>
      <c r="S11" s="48"/>
      <c r="T11" s="48"/>
      <c r="U11" s="48"/>
      <c r="V11" s="48"/>
      <c r="W11" s="48"/>
      <c r="X11" s="48"/>
      <c r="Y11" s="48"/>
      <c r="Z11" s="48"/>
      <c r="AA11" s="48"/>
      <c r="AB11" s="48"/>
      <c r="AC11" s="48"/>
      <c r="AD11" s="48"/>
      <c r="AE11" s="48"/>
    </row>
    <row r="12" spans="1:31">
      <c r="A12" s="57"/>
      <c r="B12" s="280" t="str">
        <f>'5-1 Fuels'!B6</f>
        <v>5.1.1</v>
      </c>
      <c r="C12" s="280" t="str">
        <f>'5-1 Fuels'!C6</f>
        <v>Coal combustion in large power plants</v>
      </c>
      <c r="D12" s="77">
        <f>'5-1 Fuels'!D6</f>
        <v>0</v>
      </c>
      <c r="E12" s="87">
        <f>'5-1 Fuels'!V6</f>
        <v>0</v>
      </c>
      <c r="F12" s="85">
        <f>'5-1 Fuels'!W6</f>
        <v>0</v>
      </c>
      <c r="G12" s="85">
        <f>'5-1 Fuels'!X6</f>
        <v>0</v>
      </c>
      <c r="H12" s="85">
        <f>'5-1 Fuels'!Y6</f>
        <v>0</v>
      </c>
      <c r="I12" s="87">
        <f>'5-1 Fuels'!Z6</f>
        <v>0</v>
      </c>
      <c r="J12" s="85">
        <f>'5-1 Fuels'!AA6</f>
        <v>0</v>
      </c>
      <c r="K12" s="218"/>
      <c r="M12" s="48"/>
      <c r="N12" s="48"/>
      <c r="O12" s="48"/>
      <c r="P12" s="48"/>
      <c r="Q12" s="48"/>
      <c r="R12" s="48"/>
      <c r="S12" s="48"/>
      <c r="T12" s="48"/>
      <c r="U12" s="48"/>
      <c r="V12" s="48"/>
      <c r="W12" s="48"/>
      <c r="X12" s="48"/>
      <c r="Y12" s="48"/>
      <c r="Z12" s="48"/>
      <c r="AA12" s="48"/>
      <c r="AB12" s="48"/>
      <c r="AC12" s="48"/>
      <c r="AD12" s="48"/>
      <c r="AE12" s="48"/>
    </row>
    <row r="13" spans="1:31">
      <c r="A13" s="57"/>
      <c r="B13" s="280" t="str">
        <f>'5-1 Fuels'!B14</f>
        <v>5.1.2</v>
      </c>
      <c r="C13" s="280" t="str">
        <f>'5-1 Fuels'!C14</f>
        <v>Other coal use</v>
      </c>
      <c r="D13" s="77">
        <f>'5-1 Fuels'!D14</f>
        <v>0</v>
      </c>
      <c r="E13" s="85">
        <f>'5-1 Fuels'!V14</f>
        <v>0</v>
      </c>
      <c r="F13" s="85">
        <f>'5-1 Fuels'!W14</f>
        <v>0</v>
      </c>
      <c r="G13" s="85">
        <f>'5-1 Fuels'!X14</f>
        <v>0</v>
      </c>
      <c r="H13" s="85">
        <f>'5-1 Fuels'!Y14</f>
        <v>0</v>
      </c>
      <c r="I13" s="85">
        <f>'5-1 Fuels'!Z14</f>
        <v>0</v>
      </c>
      <c r="J13" s="85">
        <f>'5-1 Fuels'!AA14</f>
        <v>0</v>
      </c>
      <c r="K13" s="218"/>
      <c r="M13" s="48"/>
      <c r="N13" s="48"/>
      <c r="O13" s="48"/>
      <c r="P13" s="48"/>
      <c r="Q13" s="48"/>
      <c r="R13" s="48"/>
      <c r="S13" s="48"/>
      <c r="T13" s="48"/>
      <c r="U13" s="48"/>
      <c r="V13" s="48"/>
      <c r="W13" s="48"/>
      <c r="X13" s="48"/>
      <c r="Y13" s="48"/>
      <c r="Z13" s="48"/>
      <c r="AA13" s="48"/>
      <c r="AB13" s="48"/>
      <c r="AC13" s="48"/>
      <c r="AD13" s="48"/>
      <c r="AE13" s="48"/>
    </row>
    <row r="14" spans="1:31">
      <c r="A14" s="57"/>
      <c r="B14" s="280" t="str">
        <f>'5-1 Fuels'!B24</f>
        <v>5.1.3</v>
      </c>
      <c r="C14" s="280" t="str">
        <f>'5-1 Fuels'!C24</f>
        <v>Mineral oils - extraction, refining and use</v>
      </c>
      <c r="D14" s="77">
        <f>'5-1 Fuels'!D24</f>
        <v>0</v>
      </c>
      <c r="E14" s="85">
        <f>'5-1 Fuels'!V24</f>
        <v>0</v>
      </c>
      <c r="F14" s="85">
        <f>'5-1 Fuels'!W24</f>
        <v>0</v>
      </c>
      <c r="G14" s="85">
        <f>'5-1 Fuels'!X24</f>
        <v>0</v>
      </c>
      <c r="H14" s="85">
        <f>'5-1 Fuels'!Y24</f>
        <v>0</v>
      </c>
      <c r="I14" s="85">
        <f>'5-1 Fuels'!Z24</f>
        <v>0</v>
      </c>
      <c r="J14" s="85">
        <f>'5-1 Fuels'!AA24</f>
        <v>0</v>
      </c>
      <c r="K14" s="218"/>
      <c r="M14" s="48"/>
      <c r="N14" s="48"/>
      <c r="O14" s="48"/>
      <c r="P14" s="48"/>
      <c r="Q14" s="48"/>
      <c r="R14" s="48"/>
      <c r="S14" s="48"/>
      <c r="T14" s="48"/>
      <c r="U14" s="48"/>
      <c r="V14" s="48"/>
      <c r="W14" s="48"/>
      <c r="X14" s="48"/>
      <c r="Y14" s="48"/>
      <c r="Z14" s="48"/>
      <c r="AA14" s="48"/>
      <c r="AB14" s="48"/>
      <c r="AC14" s="48"/>
      <c r="AD14" s="48"/>
      <c r="AE14" s="48"/>
    </row>
    <row r="15" spans="1:31">
      <c r="A15" s="57"/>
      <c r="B15" s="280" t="str">
        <f>'5-1 Fuels'!B37</f>
        <v>5.1.4</v>
      </c>
      <c r="C15" s="280" t="str">
        <f>'5-1 Fuels'!C37</f>
        <v>Natural gas - extraction, refining and use</v>
      </c>
      <c r="D15" s="77">
        <f>'5-1 Fuels'!D37</f>
        <v>0</v>
      </c>
      <c r="E15" s="85">
        <f>'5-1 Fuels'!V37</f>
        <v>0</v>
      </c>
      <c r="F15" s="85">
        <f>'5-1 Fuels'!W37</f>
        <v>0</v>
      </c>
      <c r="G15" s="85">
        <f>'5-1 Fuels'!X37</f>
        <v>0</v>
      </c>
      <c r="H15" s="85">
        <f>'5-1 Fuels'!Y37</f>
        <v>0</v>
      </c>
      <c r="I15" s="85">
        <f>'5-1 Fuels'!Z37</f>
        <v>0</v>
      </c>
      <c r="J15" s="85">
        <f>'5-1 Fuels'!AA37</f>
        <v>0</v>
      </c>
      <c r="K15" s="218"/>
      <c r="M15" s="48"/>
      <c r="N15" s="48"/>
      <c r="O15" s="48"/>
      <c r="P15" s="48"/>
      <c r="Q15" s="48"/>
      <c r="R15" s="48"/>
      <c r="S15" s="48"/>
      <c r="T15" s="48"/>
      <c r="U15" s="48"/>
      <c r="V15" s="48"/>
      <c r="W15" s="48"/>
      <c r="X15" s="48"/>
      <c r="Y15" s="48"/>
      <c r="Z15" s="48"/>
      <c r="AA15" s="48"/>
      <c r="AB15" s="48"/>
      <c r="AC15" s="48"/>
      <c r="AD15" s="48"/>
      <c r="AE15" s="48"/>
    </row>
    <row r="16" spans="1:31">
      <c r="A16" s="57"/>
      <c r="B16" s="280" t="str">
        <f>'5-1 Fuels'!B44</f>
        <v>5.1.5</v>
      </c>
      <c r="C16" s="280" t="str">
        <f>'5-1 Fuels'!C44</f>
        <v>Other fossil fuels - extraction and use</v>
      </c>
      <c r="D16" s="77">
        <f>'5-1 Fuels'!D44</f>
        <v>0</v>
      </c>
      <c r="E16" s="85">
        <f>'5-1 Fuels'!V44</f>
        <v>0</v>
      </c>
      <c r="F16" s="85">
        <f>'5-1 Fuels'!W44</f>
        <v>0</v>
      </c>
      <c r="G16" s="85">
        <f>'5-1 Fuels'!X44</f>
        <v>0</v>
      </c>
      <c r="H16" s="85">
        <f>'5-1 Fuels'!Y44</f>
        <v>0</v>
      </c>
      <c r="I16" s="85">
        <f>'5-1 Fuels'!Z44</f>
        <v>0</v>
      </c>
      <c r="J16" s="85">
        <f>'5-1 Fuels'!AA44</f>
        <v>0</v>
      </c>
      <c r="K16" s="218"/>
      <c r="M16" s="48"/>
      <c r="N16" s="48"/>
      <c r="O16" s="48"/>
      <c r="P16" s="48"/>
      <c r="Q16" s="48"/>
      <c r="R16" s="48"/>
      <c r="S16" s="48"/>
      <c r="T16" s="48"/>
      <c r="U16" s="48"/>
      <c r="V16" s="48"/>
      <c r="W16" s="48"/>
      <c r="X16" s="48"/>
      <c r="Y16" s="48"/>
      <c r="Z16" s="48"/>
      <c r="AA16" s="48"/>
      <c r="AB16" s="48"/>
      <c r="AC16" s="48"/>
      <c r="AD16" s="48"/>
      <c r="AE16" s="48"/>
    </row>
    <row r="17" spans="1:31">
      <c r="A17" s="57"/>
      <c r="B17" s="280" t="str">
        <f>'5-1 Fuels'!B50</f>
        <v>5.1.6</v>
      </c>
      <c r="C17" s="280" t="str">
        <f>'5-1 Fuels'!C50</f>
        <v>Biomass fired power and heat production</v>
      </c>
      <c r="D17" s="77">
        <f>'5-1 Fuels'!D50</f>
        <v>0</v>
      </c>
      <c r="E17" s="85">
        <f>'5-1 Fuels'!V50</f>
        <v>0</v>
      </c>
      <c r="F17" s="85">
        <f>'5-1 Fuels'!W50</f>
        <v>0</v>
      </c>
      <c r="G17" s="85">
        <f>'5-1 Fuels'!X50</f>
        <v>0</v>
      </c>
      <c r="H17" s="85">
        <f>'5-1 Fuels'!Y50</f>
        <v>0</v>
      </c>
      <c r="I17" s="85">
        <f>'5-1 Fuels'!Z50</f>
        <v>0</v>
      </c>
      <c r="J17" s="85">
        <f>'5-1 Fuels'!AA50</f>
        <v>0</v>
      </c>
      <c r="K17" s="218"/>
      <c r="M17" s="48"/>
      <c r="N17" s="48"/>
      <c r="O17" s="48"/>
      <c r="P17" s="48"/>
      <c r="Q17" s="48"/>
      <c r="R17" s="48"/>
      <c r="S17" s="48"/>
      <c r="T17" s="48"/>
      <c r="U17" s="48"/>
      <c r="V17" s="48"/>
      <c r="W17" s="48"/>
      <c r="X17" s="48"/>
      <c r="Y17" s="48"/>
      <c r="Z17" s="48"/>
      <c r="AA17" s="48"/>
      <c r="AB17" s="48"/>
      <c r="AC17" s="48"/>
      <c r="AD17" s="48"/>
      <c r="AE17" s="48"/>
    </row>
    <row r="18" spans="1:31" s="55" customFormat="1">
      <c r="A18" s="57"/>
      <c r="B18" s="280" t="str">
        <f>'5-1 Fuels'!B53</f>
        <v>5.1.7</v>
      </c>
      <c r="C18" s="280" t="str">
        <f>'5-1 Fuels'!C53</f>
        <v>Geothermal power production</v>
      </c>
      <c r="D18" s="77">
        <f>'5-1 Fuels'!D53</f>
        <v>0</v>
      </c>
      <c r="E18" s="85">
        <f>'5-1 Fuels'!V53</f>
        <v>0</v>
      </c>
      <c r="F18" s="85">
        <f>'5-1 Fuels'!W53</f>
        <v>0</v>
      </c>
      <c r="G18" s="85">
        <f>'5-1 Fuels'!X53</f>
        <v>0</v>
      </c>
      <c r="H18" s="85">
        <f>'5-1 Fuels'!Y53</f>
        <v>0</v>
      </c>
      <c r="I18" s="85">
        <f>'5-1 Fuels'!Z53</f>
        <v>0</v>
      </c>
      <c r="J18" s="85">
        <f>'5-1 Fuels'!AA53</f>
        <v>0</v>
      </c>
      <c r="K18" s="218"/>
      <c r="L18" s="13"/>
      <c r="M18" s="48"/>
      <c r="N18" s="48"/>
      <c r="O18" s="48"/>
      <c r="P18" s="48"/>
      <c r="Q18" s="48"/>
      <c r="R18" s="48"/>
      <c r="S18" s="48"/>
      <c r="T18" s="48"/>
      <c r="U18" s="48"/>
      <c r="V18" s="48"/>
      <c r="W18" s="48"/>
      <c r="X18" s="48"/>
      <c r="Y18" s="48"/>
      <c r="Z18" s="48"/>
      <c r="AA18" s="48"/>
      <c r="AB18" s="48"/>
      <c r="AC18" s="48"/>
      <c r="AD18" s="48"/>
      <c r="AE18" s="48"/>
    </row>
    <row r="19" spans="1:31">
      <c r="A19" s="56" t="str">
        <f>'5-2 Prim metal'!A5</f>
        <v>5.2</v>
      </c>
      <c r="B19" s="56"/>
      <c r="C19" s="57" t="str">
        <f>'5-2 Prim metal'!C5</f>
        <v>Source category: Primary (virgin) metal production</v>
      </c>
      <c r="D19" s="77"/>
      <c r="E19" s="85"/>
      <c r="F19" s="85"/>
      <c r="G19" s="85"/>
      <c r="H19" s="85"/>
      <c r="I19" s="85"/>
      <c r="J19" s="85"/>
      <c r="K19" s="219"/>
      <c r="L19" s="13"/>
      <c r="M19" s="48"/>
      <c r="N19" s="48"/>
      <c r="O19" s="48"/>
      <c r="P19" s="48"/>
      <c r="Q19" s="48"/>
      <c r="R19" s="48"/>
      <c r="S19" s="48"/>
      <c r="T19" s="48"/>
      <c r="U19" s="48"/>
      <c r="V19" s="48"/>
      <c r="W19" s="48"/>
      <c r="X19" s="48"/>
      <c r="Y19" s="48"/>
      <c r="Z19" s="48"/>
      <c r="AA19" s="48"/>
      <c r="AB19" s="48"/>
      <c r="AC19" s="48"/>
      <c r="AD19" s="48"/>
      <c r="AE19" s="48"/>
    </row>
    <row r="20" spans="1:31">
      <c r="A20" s="56"/>
      <c r="B20" s="113" t="str">
        <f>'5-2 Prim metal'!B6</f>
        <v>5.2.1</v>
      </c>
      <c r="C20" s="280" t="str">
        <f>'5-2 Prim metal'!C6</f>
        <v>Mercury (primary) extraction and initial processing</v>
      </c>
      <c r="D20" s="77">
        <f>'5-2 Prim metal'!D6</f>
        <v>0</v>
      </c>
      <c r="E20" s="85">
        <f>'5-2 Prim metal'!V6</f>
        <v>0</v>
      </c>
      <c r="F20" s="85">
        <f>'5-2 Prim metal'!W6</f>
        <v>0</v>
      </c>
      <c r="G20" s="85">
        <f>'5-2 Prim metal'!X6</f>
        <v>0</v>
      </c>
      <c r="H20" s="85">
        <f>'5-2 Prim metal'!Y6</f>
        <v>0</v>
      </c>
      <c r="I20" s="85">
        <f>'5-2 Prim metal'!Z6</f>
        <v>0</v>
      </c>
      <c r="J20" s="85">
        <f>'5-2 Prim metal'!AA6</f>
        <v>0</v>
      </c>
      <c r="K20" s="220"/>
    </row>
    <row r="21" spans="1:31">
      <c r="A21" s="56"/>
      <c r="B21" s="113" t="str">
        <f>'5-2 Prim metal'!B8</f>
        <v>5.2.2</v>
      </c>
      <c r="C21" s="280" t="str">
        <f>'5-2 Prim metal'!C8</f>
        <v>Gold and silver extraction with mercury amalgamation processes</v>
      </c>
      <c r="D21" s="77">
        <f>'5-2 Prim metal'!D8</f>
        <v>0</v>
      </c>
      <c r="E21" s="85">
        <f>'5-2 Prim metal'!V8</f>
        <v>0</v>
      </c>
      <c r="F21" s="85">
        <f>'5-2 Prim metal'!W8</f>
        <v>0</v>
      </c>
      <c r="G21" s="85">
        <f>'5-2 Prim metal'!X8</f>
        <v>0</v>
      </c>
      <c r="H21" s="85">
        <f>'5-2 Prim metal'!Y8</f>
        <v>0</v>
      </c>
      <c r="I21" s="85">
        <f>'5-2 Prim metal'!Z8</f>
        <v>0</v>
      </c>
      <c r="J21" s="85">
        <f>'5-2 Prim metal'!AA8</f>
        <v>0</v>
      </c>
      <c r="K21" s="220"/>
    </row>
    <row r="22" spans="1:31">
      <c r="A22" s="56"/>
      <c r="B22" s="113" t="str">
        <f>'5-2 Prim metal'!B13</f>
        <v>5.3.3</v>
      </c>
      <c r="C22" s="280" t="str">
        <f>'5-2 Prim metal'!C13</f>
        <v>Zinc extraction and initial processing</v>
      </c>
      <c r="D22" s="77">
        <f>'5-2 Prim metal'!D13</f>
        <v>0</v>
      </c>
      <c r="E22" s="85">
        <f>'5-2 Prim metal'!V13</f>
        <v>0</v>
      </c>
      <c r="F22" s="85">
        <f>'5-2 Prim metal'!W13</f>
        <v>0</v>
      </c>
      <c r="G22" s="85">
        <f>'5-2 Prim metal'!X13</f>
        <v>0</v>
      </c>
      <c r="H22" s="85">
        <f>'5-2 Prim metal'!Y13</f>
        <v>0</v>
      </c>
      <c r="I22" s="85">
        <f>'5-2 Prim metal'!Z13</f>
        <v>0</v>
      </c>
      <c r="J22" s="85">
        <f>'5-2 Prim metal'!AA13</f>
        <v>0</v>
      </c>
      <c r="K22" s="220"/>
    </row>
    <row r="23" spans="1:31">
      <c r="A23" s="56"/>
      <c r="B23" s="113" t="str">
        <f>'5-2 Prim metal'!B17</f>
        <v>5.3.4</v>
      </c>
      <c r="C23" s="280" t="str">
        <f>'5-2 Prim metal'!C17</f>
        <v>Copper extraction and initial processing</v>
      </c>
      <c r="D23" s="77">
        <f>'5-2 Prim metal'!D17</f>
        <v>0</v>
      </c>
      <c r="E23" s="85">
        <f>'5-2 Prim metal'!V17</f>
        <v>0</v>
      </c>
      <c r="F23" s="85">
        <f>'5-2 Prim metal'!W17</f>
        <v>0</v>
      </c>
      <c r="G23" s="85">
        <f>'5-2 Prim metal'!X17</f>
        <v>0</v>
      </c>
      <c r="H23" s="85">
        <f>'5-2 Prim metal'!Y17</f>
        <v>0</v>
      </c>
      <c r="I23" s="85">
        <f>'5-2 Prim metal'!Z17</f>
        <v>0</v>
      </c>
      <c r="J23" s="85">
        <f>'5-2 Prim metal'!AA17</f>
        <v>0</v>
      </c>
      <c r="K23" s="220"/>
    </row>
    <row r="24" spans="1:31">
      <c r="A24" s="56"/>
      <c r="B24" s="113" t="str">
        <f>'5-2 Prim metal'!B21</f>
        <v>5.3.5</v>
      </c>
      <c r="C24" s="280" t="str">
        <f>'5-2 Prim metal'!C21</f>
        <v>Lead extraction and initial processing</v>
      </c>
      <c r="D24" s="77">
        <f>'5-2 Prim metal'!D21</f>
        <v>0</v>
      </c>
      <c r="E24" s="85">
        <f>'5-2 Prim metal'!V21</f>
        <v>0</v>
      </c>
      <c r="F24" s="85">
        <f>'5-2 Prim metal'!W21</f>
        <v>0</v>
      </c>
      <c r="G24" s="85">
        <f>'5-2 Prim metal'!X21</f>
        <v>0</v>
      </c>
      <c r="H24" s="85">
        <f>'5-2 Prim metal'!Y21</f>
        <v>0</v>
      </c>
      <c r="I24" s="85">
        <f>'5-2 Prim metal'!Z21</f>
        <v>0</v>
      </c>
      <c r="J24" s="85">
        <f>'5-2 Prim metal'!AA21</f>
        <v>0</v>
      </c>
      <c r="K24" s="220"/>
    </row>
    <row r="25" spans="1:31" ht="25.5">
      <c r="A25" s="56"/>
      <c r="B25" s="113" t="str">
        <f>'5-2 Prim metal'!B25</f>
        <v>5.3.6</v>
      </c>
      <c r="C25" s="280" t="str">
        <f>'5-2 Prim metal'!C25</f>
        <v>Gold extraction and initial processing by methods other than mercury amalgamation (a</v>
      </c>
      <c r="D25" s="77">
        <f>'5-2 Prim metal'!D25</f>
        <v>0</v>
      </c>
      <c r="E25" s="85">
        <f>'5-2 Prim metal'!V25</f>
        <v>0</v>
      </c>
      <c r="F25" s="85">
        <f>'5-2 Prim metal'!W25</f>
        <v>0</v>
      </c>
      <c r="G25" s="85">
        <f>'5-2 Prim metal'!X25</f>
        <v>0</v>
      </c>
      <c r="H25" s="85">
        <f>'5-2 Prim metal'!Y25</f>
        <v>0</v>
      </c>
      <c r="I25" s="85">
        <f>'5-2 Prim metal'!Z25</f>
        <v>0</v>
      </c>
      <c r="J25" s="85">
        <f>'5-2 Prim metal'!AA25</f>
        <v>0</v>
      </c>
      <c r="K25" s="220"/>
    </row>
    <row r="26" spans="1:31">
      <c r="A26" s="56"/>
      <c r="B26" s="113" t="str">
        <f>'5-2 Prim metal'!B27</f>
        <v>5.3.7</v>
      </c>
      <c r="C26" s="280" t="str">
        <f>'5-2 Prim metal'!C27</f>
        <v>Aliminium extraction and initial processing</v>
      </c>
      <c r="D26" s="77">
        <f>'5-2 Prim metal'!D27</f>
        <v>0</v>
      </c>
      <c r="E26" s="85">
        <f>'5-2 Prim metal'!V27</f>
        <v>0</v>
      </c>
      <c r="F26" s="85">
        <f>'5-2 Prim metal'!W27</f>
        <v>0</v>
      </c>
      <c r="G26" s="85">
        <f>'5-2 Prim metal'!X27</f>
        <v>0</v>
      </c>
      <c r="H26" s="85">
        <f>'5-2 Prim metal'!Y27</f>
        <v>0</v>
      </c>
      <c r="I26" s="85">
        <f>'5-2 Prim metal'!Z27</f>
        <v>0</v>
      </c>
      <c r="J26" s="85">
        <f>'5-2 Prim metal'!AA27</f>
        <v>0</v>
      </c>
      <c r="K26" s="220"/>
    </row>
    <row r="27" spans="1:31">
      <c r="A27" s="56"/>
      <c r="B27" s="113" t="str">
        <f>'5-2 Prim metal'!B31</f>
        <v>5.3.8</v>
      </c>
      <c r="C27" s="280" t="str">
        <f>'5-2 Prim metal'!C31</f>
        <v>Other non-ferrous metals - extraction and processing</v>
      </c>
      <c r="D27" s="77">
        <f>'5-2 Prim metal'!D31</f>
        <v>0</v>
      </c>
      <c r="E27" s="85">
        <f>'5-2 Prim metal'!V31</f>
        <v>0</v>
      </c>
      <c r="F27" s="85">
        <f>'5-2 Prim metal'!W31</f>
        <v>0</v>
      </c>
      <c r="G27" s="85">
        <f>'5-2 Prim metal'!X31</f>
        <v>0</v>
      </c>
      <c r="H27" s="85">
        <f>'5-2 Prim metal'!Y31</f>
        <v>0</v>
      </c>
      <c r="I27" s="85">
        <f>'5-2 Prim metal'!Z31</f>
        <v>0</v>
      </c>
      <c r="J27" s="85">
        <f>'5-2 Prim metal'!AA31</f>
        <v>0</v>
      </c>
      <c r="K27" s="220"/>
    </row>
    <row r="28" spans="1:31">
      <c r="A28" s="56"/>
      <c r="B28" s="113" t="str">
        <f>'5-2 Prim metal'!B33</f>
        <v>5.3.9</v>
      </c>
      <c r="C28" s="280" t="str">
        <f>'5-2 Prim metal'!C33</f>
        <v>Primary ferrous metal production</v>
      </c>
      <c r="D28" s="77">
        <f>'5-2 Prim metal'!D33</f>
        <v>0</v>
      </c>
      <c r="E28" s="85">
        <f>'5-2 Prim metal'!V33</f>
        <v>0</v>
      </c>
      <c r="F28" s="85">
        <f>'5-2 Prim metal'!W33</f>
        <v>0</v>
      </c>
      <c r="G28" s="85">
        <f>'5-2 Prim metal'!X33</f>
        <v>0</v>
      </c>
      <c r="H28" s="85">
        <f>'5-2 Prim metal'!Y33</f>
        <v>0</v>
      </c>
      <c r="I28" s="85">
        <f>'5-2 Prim metal'!Z33</f>
        <v>0</v>
      </c>
      <c r="J28" s="85">
        <f>'5-2 Prim metal'!AA33</f>
        <v>0</v>
      </c>
      <c r="K28" s="220"/>
    </row>
    <row r="29" spans="1:31" ht="25.5">
      <c r="A29" s="56" t="str">
        <f>'5-3 Other min + mat'!A5</f>
        <v>5.3</v>
      </c>
      <c r="B29" s="56"/>
      <c r="C29" s="57" t="str">
        <f>'5-3 Other min + mat'!C5</f>
        <v>Source category: Production of other minerals and materials with mercury impurities</v>
      </c>
      <c r="D29" s="77"/>
      <c r="E29" s="85"/>
      <c r="F29" s="85"/>
      <c r="G29" s="85"/>
      <c r="H29" s="85"/>
      <c r="I29" s="85"/>
      <c r="J29" s="85"/>
      <c r="K29" s="219"/>
    </row>
    <row r="30" spans="1:31">
      <c r="A30" s="56"/>
      <c r="B30" s="113" t="str">
        <f>'5-3 Other min + mat'!B6</f>
        <v>5.3.1</v>
      </c>
      <c r="C30" s="280" t="str">
        <f>'5-3 Other min + mat'!C6</f>
        <v>Cement production</v>
      </c>
      <c r="D30" s="77">
        <f>'5-3 Other min + mat'!D6</f>
        <v>0</v>
      </c>
      <c r="E30" s="85">
        <f>'5-3 Other min + mat'!V6</f>
        <v>0</v>
      </c>
      <c r="F30" s="85">
        <f>'5-3 Other min + mat'!W6</f>
        <v>0</v>
      </c>
      <c r="G30" s="85">
        <f>'5-3 Other min + mat'!X6</f>
        <v>0</v>
      </c>
      <c r="H30" s="85">
        <f>'5-3 Other min + mat'!Y6</f>
        <v>0</v>
      </c>
      <c r="I30" s="85">
        <f>'5-3 Other min + mat'!Z6</f>
        <v>0</v>
      </c>
      <c r="J30" s="85">
        <f>'5-3 Other min + mat'!AA6</f>
        <v>0</v>
      </c>
      <c r="K30" s="219"/>
    </row>
    <row r="31" spans="1:31">
      <c r="A31" s="56"/>
      <c r="B31" s="113" t="str">
        <f>'5-3 Other min + mat'!B11</f>
        <v>5.3.2</v>
      </c>
      <c r="C31" s="280" t="str">
        <f>'5-3 Other min + mat'!C11</f>
        <v>Pulp and paper production</v>
      </c>
      <c r="D31" s="77">
        <f>'5-3 Other min + mat'!D11</f>
        <v>0</v>
      </c>
      <c r="E31" s="85">
        <f>'5-3 Other min + mat'!V11</f>
        <v>0</v>
      </c>
      <c r="F31" s="85">
        <f>'5-3 Other min + mat'!W11</f>
        <v>0</v>
      </c>
      <c r="G31" s="85">
        <f>'5-3 Other min + mat'!X11</f>
        <v>0</v>
      </c>
      <c r="H31" s="85">
        <f>'5-3 Other min + mat'!Y11</f>
        <v>0</v>
      </c>
      <c r="I31" s="85">
        <f>'5-3 Other min + mat'!Z11</f>
        <v>0</v>
      </c>
      <c r="J31" s="85">
        <f>'5-3 Other min + mat'!AA11</f>
        <v>0</v>
      </c>
      <c r="K31" s="219"/>
    </row>
    <row r="32" spans="1:31">
      <c r="A32" s="56"/>
      <c r="B32" s="113" t="str">
        <f>'5-3 Other min + mat'!B13</f>
        <v>5.3.3</v>
      </c>
      <c r="C32" s="280" t="str">
        <f>'5-3 Other min + mat'!C13</f>
        <v>Production of lime and light weight aggregates</v>
      </c>
      <c r="D32" s="77">
        <f>'5-3 Other min + mat'!D13</f>
        <v>0</v>
      </c>
      <c r="E32" s="85" t="e">
        <f>'5-3 Other min + mat'!V13</f>
        <v>#VALUE!</v>
      </c>
      <c r="F32" s="85" t="e">
        <f>'5-3 Other min + mat'!W13</f>
        <v>#VALUE!</v>
      </c>
      <c r="G32" s="85" t="e">
        <f>'5-3 Other min + mat'!X13</f>
        <v>#VALUE!</v>
      </c>
      <c r="H32" s="85" t="e">
        <f>'5-3 Other min + mat'!Y13</f>
        <v>#VALUE!</v>
      </c>
      <c r="I32" s="85" t="e">
        <f>'5-3 Other min + mat'!Z13</f>
        <v>#VALUE!</v>
      </c>
      <c r="J32" s="85" t="e">
        <f>'5-3 Other min + mat'!AA13</f>
        <v>#VALUE!</v>
      </c>
      <c r="K32" s="219"/>
    </row>
    <row r="33" spans="1:11" ht="25.5">
      <c r="A33" s="56" t="str">
        <f>'5-4 Int Hg in Industry'!A5</f>
        <v>5.4</v>
      </c>
      <c r="B33" s="56"/>
      <c r="C33" s="57" t="str">
        <f>'5-4 Int Hg in Industry'!C5</f>
        <v>Source category: Intentional use of mercury in industrial processes</v>
      </c>
      <c r="D33" s="77"/>
      <c r="E33" s="85"/>
      <c r="F33" s="85"/>
      <c r="G33" s="85"/>
      <c r="H33" s="85"/>
      <c r="I33" s="85"/>
      <c r="J33" s="85"/>
      <c r="K33" s="219"/>
    </row>
    <row r="34" spans="1:11">
      <c r="A34" s="56"/>
      <c r="B34" s="113" t="str">
        <f>'5-4 Int Hg in Industry'!B6</f>
        <v>5.4.1</v>
      </c>
      <c r="C34" s="280" t="str">
        <f>'5-4 Int Hg in Industry'!C6</f>
        <v>Chlor-alkali production with mercury-technology</v>
      </c>
      <c r="D34" s="77">
        <f>'5-4 Int Hg in Industry'!D6</f>
        <v>0</v>
      </c>
      <c r="E34" s="85">
        <f>'5-4 Int Hg in Industry'!V6</f>
        <v>0</v>
      </c>
      <c r="F34" s="85">
        <f>'5-4 Int Hg in Industry'!W6</f>
        <v>0</v>
      </c>
      <c r="G34" s="85">
        <f>'5-4 Int Hg in Industry'!X6</f>
        <v>0</v>
      </c>
      <c r="H34" s="85">
        <f>'5-4 Int Hg in Industry'!Y6</f>
        <v>0</v>
      </c>
      <c r="I34" s="85">
        <f>'5-4 Int Hg in Industry'!Z6</f>
        <v>0</v>
      </c>
      <c r="J34" s="85">
        <f>'5-4 Int Hg in Industry'!AA6</f>
        <v>0</v>
      </c>
      <c r="K34" s="219"/>
    </row>
    <row r="35" spans="1:11">
      <c r="A35" s="56"/>
      <c r="B35" s="113" t="str">
        <f>'5-4 Int Hg in Industry'!B10</f>
        <v>5.4.2</v>
      </c>
      <c r="C35" s="280" t="str">
        <f>'5-4 Int Hg in Industry'!C10</f>
        <v>VCM production with mercury catalyst</v>
      </c>
      <c r="D35" s="77">
        <f>'5-4 Int Hg in Industry'!D10</f>
        <v>0</v>
      </c>
      <c r="E35" s="85">
        <f>'5-4 Int Hg in Industry'!V10</f>
        <v>0</v>
      </c>
      <c r="F35" s="85">
        <f>'5-4 Int Hg in Industry'!W10</f>
        <v>0</v>
      </c>
      <c r="G35" s="85">
        <f>'5-4 Int Hg in Industry'!X10</f>
        <v>0</v>
      </c>
      <c r="H35" s="85">
        <f>'5-4 Int Hg in Industry'!Y10</f>
        <v>0</v>
      </c>
      <c r="I35" s="85">
        <f>'5-4 Int Hg in Industry'!Z10</f>
        <v>0</v>
      </c>
      <c r="J35" s="85">
        <f>'5-4 Int Hg in Industry'!AA10</f>
        <v>0</v>
      </c>
      <c r="K35" s="219"/>
    </row>
    <row r="36" spans="1:11">
      <c r="A36" s="56"/>
      <c r="B36" s="113" t="str">
        <f>'5-4 Int Hg in Industry'!B12</f>
        <v>5.4.3</v>
      </c>
      <c r="C36" s="280" t="str">
        <f>'5-4 Int Hg in Industry'!C12</f>
        <v>Acetaldehyde production with mercury catalyst</v>
      </c>
      <c r="D36" s="77">
        <f>'5-4 Int Hg in Industry'!D12</f>
        <v>0</v>
      </c>
      <c r="E36" s="85">
        <f>'5-4 Int Hg in Industry'!V12</f>
        <v>0</v>
      </c>
      <c r="F36" s="85">
        <f>'5-4 Int Hg in Industry'!W12</f>
        <v>0</v>
      </c>
      <c r="G36" s="85">
        <f>'5-4 Int Hg in Industry'!X12</f>
        <v>0</v>
      </c>
      <c r="H36" s="85">
        <f>'5-4 Int Hg in Industry'!Y12</f>
        <v>0</v>
      </c>
      <c r="I36" s="85">
        <f>'5-4 Int Hg in Industry'!Z12</f>
        <v>0</v>
      </c>
      <c r="J36" s="85">
        <f>'5-4 Int Hg in Industry'!AA12</f>
        <v>0</v>
      </c>
      <c r="K36" s="219"/>
    </row>
    <row r="37" spans="1:11">
      <c r="A37" s="56"/>
      <c r="B37" s="113" t="str">
        <f>'5-4 Int Hg in Industry'!B14</f>
        <v>5.4.4</v>
      </c>
      <c r="C37" s="280" t="str">
        <f>'5-4 Int Hg in Industry'!C14</f>
        <v>Other production of chemicals and polymers with mercury</v>
      </c>
      <c r="D37" s="77">
        <f>'5-4 Int Hg in Industry'!D14</f>
        <v>0</v>
      </c>
      <c r="E37" s="85" t="e">
        <f>'5-4 Int Hg in Industry'!V14</f>
        <v>#VALUE!</v>
      </c>
      <c r="F37" s="85" t="e">
        <f>'5-4 Int Hg in Industry'!W14</f>
        <v>#VALUE!</v>
      </c>
      <c r="G37" s="85" t="e">
        <f>'5-4 Int Hg in Industry'!X14</f>
        <v>#VALUE!</v>
      </c>
      <c r="H37" s="85" t="e">
        <f>'5-4 Int Hg in Industry'!Y14</f>
        <v>#VALUE!</v>
      </c>
      <c r="I37" s="85" t="e">
        <f>'5-4 Int Hg in Industry'!Z14</f>
        <v>#VALUE!</v>
      </c>
      <c r="J37" s="85" t="e">
        <f>'5-4 Int Hg in Industry'!AA14</f>
        <v>#VALUE!</v>
      </c>
      <c r="K37" s="219"/>
    </row>
    <row r="38" spans="1:11" ht="25.5">
      <c r="A38" s="57" t="str">
        <f>'5-5 Cons prod'!A5</f>
        <v>5.5</v>
      </c>
      <c r="B38" s="57"/>
      <c r="C38" s="57" t="str">
        <f>'5-5 Cons prod'!C5</f>
        <v>Source category: Consumer products with intentional use of mercury</v>
      </c>
      <c r="D38" s="77"/>
      <c r="E38" s="85"/>
      <c r="F38" s="85"/>
      <c r="G38" s="85"/>
      <c r="H38" s="86"/>
      <c r="I38" s="85"/>
      <c r="J38" s="85"/>
      <c r="K38" s="219"/>
    </row>
    <row r="39" spans="1:11">
      <c r="A39" s="57"/>
      <c r="B39" s="280" t="str">
        <f>'5-5 Cons prod'!B6</f>
        <v>5.5.1</v>
      </c>
      <c r="C39" s="280" t="str">
        <f>'5-5 Cons prod'!C6</f>
        <v>Thermometers with mercury</v>
      </c>
      <c r="D39" s="77">
        <f>'5-5 Cons prod'!D6</f>
        <v>0</v>
      </c>
      <c r="E39" s="85">
        <f>'5-5 Cons prod'!V6</f>
        <v>0</v>
      </c>
      <c r="F39" s="85">
        <f>'5-5 Cons prod'!W6</f>
        <v>0</v>
      </c>
      <c r="G39" s="85">
        <f>'5-5 Cons prod'!X6</f>
        <v>0</v>
      </c>
      <c r="H39" s="86" t="s">
        <v>282</v>
      </c>
      <c r="I39" s="85">
        <f>'5-5 Cons prod'!Z6</f>
        <v>0</v>
      </c>
      <c r="J39" s="85">
        <f>'5-5 Cons prod'!AA6</f>
        <v>0</v>
      </c>
      <c r="K39" s="219"/>
    </row>
    <row r="40" spans="1:11">
      <c r="A40" s="57"/>
      <c r="B40" s="280" t="str">
        <f>'5-5 Cons prod'!B18</f>
        <v>5.5.2</v>
      </c>
      <c r="C40" s="280" t="str">
        <f>'5-5 Cons prod'!C18</f>
        <v>Electrical switches and relays with mercury</v>
      </c>
      <c r="D40" s="77">
        <f>'5-5 Cons prod'!D18</f>
        <v>0</v>
      </c>
      <c r="E40" s="85">
        <f>'5-5 Cons prod'!V18</f>
        <v>0</v>
      </c>
      <c r="F40" s="85">
        <f>'5-5 Cons prod'!W18</f>
        <v>0</v>
      </c>
      <c r="G40" s="85">
        <f>'5-5 Cons prod'!X18</f>
        <v>0</v>
      </c>
      <c r="H40" s="86" t="s">
        <v>282</v>
      </c>
      <c r="I40" s="85">
        <f>'5-5 Cons prod'!Z18</f>
        <v>0</v>
      </c>
      <c r="J40" s="85">
        <f>'5-5 Cons prod'!AA18</f>
        <v>0</v>
      </c>
      <c r="K40" s="219"/>
    </row>
    <row r="41" spans="1:11">
      <c r="A41" s="57"/>
      <c r="B41" s="280" t="str">
        <f>'5-5 Cons prod'!B25</f>
        <v>5.5.3</v>
      </c>
      <c r="C41" s="280" t="str">
        <f>'5-5 Cons prod'!C25</f>
        <v>Light sources with mercury</v>
      </c>
      <c r="D41" s="77">
        <f>'5-5 Cons prod'!D25</f>
        <v>0</v>
      </c>
      <c r="E41" s="85">
        <f>'5-5 Cons prod'!V25</f>
        <v>0</v>
      </c>
      <c r="F41" s="85">
        <f>'5-5 Cons prod'!W25</f>
        <v>0</v>
      </c>
      <c r="G41" s="85">
        <f>'5-5 Cons prod'!X25</f>
        <v>0</v>
      </c>
      <c r="H41" s="86" t="s">
        <v>282</v>
      </c>
      <c r="I41" s="85">
        <f>'5-5 Cons prod'!Z25</f>
        <v>0</v>
      </c>
      <c r="J41" s="85">
        <f>'5-5 Cons prod'!AA25</f>
        <v>0</v>
      </c>
      <c r="K41" s="219"/>
    </row>
    <row r="42" spans="1:11">
      <c r="A42" s="57"/>
      <c r="B42" s="280" t="str">
        <f>'5-5 Cons prod'!B35</f>
        <v>5.5.4</v>
      </c>
      <c r="C42" s="280" t="str">
        <f>'5-5 Cons prod'!C35</f>
        <v>Batteries with mercury</v>
      </c>
      <c r="D42" s="77">
        <f>'5-5 Cons prod'!D35</f>
        <v>0</v>
      </c>
      <c r="E42" s="85">
        <f>'5-5 Cons prod'!V35</f>
        <v>0</v>
      </c>
      <c r="F42" s="85">
        <f>'5-5 Cons prod'!W35</f>
        <v>0</v>
      </c>
      <c r="G42" s="85">
        <f>'5-5 Cons prod'!X35</f>
        <v>0</v>
      </c>
      <c r="H42" s="86" t="s">
        <v>282</v>
      </c>
      <c r="I42" s="85">
        <f>'5-5 Cons prod'!Z35</f>
        <v>0</v>
      </c>
      <c r="J42" s="85">
        <f>'5-5 Cons prod'!AA35</f>
        <v>0</v>
      </c>
      <c r="K42" s="219"/>
    </row>
    <row r="43" spans="1:11">
      <c r="A43" s="57"/>
      <c r="B43" s="280" t="str">
        <f>'5-5 Cons prod'!B54</f>
        <v>5.5.6</v>
      </c>
      <c r="C43" s="280" t="str">
        <f>'5-5 Cons prod'!C54</f>
        <v>Biocides and pesticides with mercury</v>
      </c>
      <c r="D43" s="77">
        <f>'5-5 Cons prod'!D54</f>
        <v>0</v>
      </c>
      <c r="E43" s="85">
        <f>'5-5 Cons prod'!V54</f>
        <v>0</v>
      </c>
      <c r="F43" s="85">
        <f>'5-5 Cons prod'!W54</f>
        <v>0</v>
      </c>
      <c r="G43" s="85">
        <f>'5-5 Cons prod'!X54</f>
        <v>0</v>
      </c>
      <c r="H43" s="86" t="s">
        <v>282</v>
      </c>
      <c r="I43" s="85">
        <f>'5-5 Cons prod'!Z54</f>
        <v>0</v>
      </c>
      <c r="J43" s="85">
        <f>'5-5 Cons prod'!AA54</f>
        <v>0</v>
      </c>
      <c r="K43" s="219"/>
    </row>
    <row r="44" spans="1:11">
      <c r="A44" s="57"/>
      <c r="B44" s="280" t="str">
        <f>'5-5 Cons prod'!B58</f>
        <v>5.5.7</v>
      </c>
      <c r="C44" s="280" t="str">
        <f>'5-5 Cons prod'!C58</f>
        <v>Paints with mercury</v>
      </c>
      <c r="D44" s="77">
        <f>'5-5 Cons prod'!D58</f>
        <v>0</v>
      </c>
      <c r="E44" s="85">
        <f>'5-5 Cons prod'!V58</f>
        <v>0</v>
      </c>
      <c r="F44" s="85">
        <f>'5-5 Cons prod'!W58</f>
        <v>0</v>
      </c>
      <c r="G44" s="85">
        <f>'5-5 Cons prod'!X58</f>
        <v>0</v>
      </c>
      <c r="H44" s="86" t="s">
        <v>282</v>
      </c>
      <c r="I44" s="85">
        <f>'5-5 Cons prod'!Z58</f>
        <v>0</v>
      </c>
      <c r="J44" s="85">
        <f>'5-5 Cons prod'!AA58</f>
        <v>0</v>
      </c>
      <c r="K44" s="219"/>
    </row>
    <row r="45" spans="1:11">
      <c r="A45" s="57"/>
      <c r="B45" s="280" t="str">
        <f>'5-5 Cons prod'!B62</f>
        <v>5.5.8</v>
      </c>
      <c r="C45" s="280" t="str">
        <f>'5-5 Cons prod'!C62</f>
        <v>Cosmetics and related products with mercury</v>
      </c>
      <c r="D45" s="77">
        <f>'5-5 Cons prod'!D62</f>
        <v>0</v>
      </c>
      <c r="E45" s="85">
        <f>'5-5 Cons prod'!V62</f>
        <v>0</v>
      </c>
      <c r="F45" s="85">
        <f>'5-5 Cons prod'!W62</f>
        <v>0</v>
      </c>
      <c r="G45" s="85">
        <f>'5-5 Cons prod'!X62</f>
        <v>0</v>
      </c>
      <c r="H45" s="86" t="s">
        <v>282</v>
      </c>
      <c r="I45" s="85">
        <f>'5-5 Cons prod'!Z62</f>
        <v>0</v>
      </c>
      <c r="J45" s="85">
        <f>'5-5 Cons prod'!AA62</f>
        <v>0</v>
      </c>
      <c r="K45" s="219"/>
    </row>
    <row r="46" spans="1:11">
      <c r="A46" s="57" t="str">
        <f>'5-6 Other int use'!A5</f>
        <v>5.6</v>
      </c>
      <c r="B46" s="57"/>
      <c r="C46" s="57" t="str">
        <f>'5-6 Other int use'!C5</f>
        <v>Source category: Other intentional product/process use</v>
      </c>
      <c r="D46" s="77"/>
      <c r="E46" s="85"/>
      <c r="F46" s="85"/>
      <c r="G46" s="85"/>
      <c r="H46" s="85"/>
      <c r="I46" s="85"/>
      <c r="J46" s="85"/>
      <c r="K46" s="219"/>
    </row>
    <row r="47" spans="1:11">
      <c r="A47" s="57"/>
      <c r="B47" s="280" t="str">
        <f>'5-6 Other int use'!B6</f>
        <v>5.6.1</v>
      </c>
      <c r="C47" s="280" t="str">
        <f>'5-6 Other int use'!C6</f>
        <v>Dental mercury-amalgam fillings (b</v>
      </c>
      <c r="D47" s="77">
        <f>'5-6 Other int use'!D6</f>
        <v>0</v>
      </c>
      <c r="E47" s="85">
        <f>'5-6 Other int use'!V6</f>
        <v>0</v>
      </c>
      <c r="F47" s="85">
        <f>'5-6 Other int use'!W6</f>
        <v>0</v>
      </c>
      <c r="G47" s="85">
        <f>'5-6 Other int use'!X6</f>
        <v>0</v>
      </c>
      <c r="H47" s="85">
        <f>'5-6 Other int use'!Y6</f>
        <v>0</v>
      </c>
      <c r="I47" s="85">
        <f>'5-6 Other int use'!Z6</f>
        <v>0</v>
      </c>
      <c r="J47" s="85">
        <f>'5-6 Other int use'!AA6</f>
        <v>0</v>
      </c>
      <c r="K47" s="219"/>
    </row>
    <row r="48" spans="1:11">
      <c r="A48" s="57"/>
      <c r="B48" s="280" t="str">
        <f>'5-6 Other int use'!B13</f>
        <v>5.6.2</v>
      </c>
      <c r="C48" s="280" t="str">
        <f>'5-6 Other int use'!C13</f>
        <v>Manometers and gauges with mercury</v>
      </c>
      <c r="D48" s="77">
        <f>'5-6 Other int use'!D13</f>
        <v>0</v>
      </c>
      <c r="E48" s="85">
        <f>'5-6 Other int use'!V13</f>
        <v>0</v>
      </c>
      <c r="F48" s="85">
        <f>'5-6 Other int use'!W13</f>
        <v>0</v>
      </c>
      <c r="G48" s="85">
        <f>'5-6 Other int use'!X13</f>
        <v>0</v>
      </c>
      <c r="H48" s="85">
        <f>'5-6 Other int use'!Y13</f>
        <v>0</v>
      </c>
      <c r="I48" s="85">
        <f>'5-6 Other int use'!Z13</f>
        <v>0</v>
      </c>
      <c r="J48" s="85">
        <f>'5-6 Other int use'!AA13</f>
        <v>0</v>
      </c>
      <c r="K48" s="219"/>
    </row>
    <row r="49" spans="1:11">
      <c r="A49" s="57"/>
      <c r="B49" s="280" t="str">
        <f>'5-6 Other int use'!B35</f>
        <v>5.6.3</v>
      </c>
      <c r="C49" s="280" t="str">
        <f>'5-6 Other int use'!C35</f>
        <v>Laboratory chemicals and equipment with mercury</v>
      </c>
      <c r="D49" s="77">
        <f>'5-6 Other int use'!D35</f>
        <v>0</v>
      </c>
      <c r="E49" s="85">
        <f>'5-6 Other int use'!V35</f>
        <v>0</v>
      </c>
      <c r="F49" s="85">
        <f>'5-6 Other int use'!W35</f>
        <v>0</v>
      </c>
      <c r="G49" s="85">
        <f>'5-6 Other int use'!X35</f>
        <v>0</v>
      </c>
      <c r="H49" s="85">
        <f>'5-6 Other int use'!Y35</f>
        <v>0</v>
      </c>
      <c r="I49" s="85">
        <f>'5-6 Other int use'!Z35</f>
        <v>0</v>
      </c>
      <c r="J49" s="85">
        <f>'5-6 Other int use'!AA35</f>
        <v>0</v>
      </c>
      <c r="K49" s="219"/>
    </row>
    <row r="50" spans="1:11">
      <c r="A50" s="57"/>
      <c r="B50" s="280" t="str">
        <f>'5-6 Other int use'!B51</f>
        <v>5.6.4</v>
      </c>
      <c r="C50" s="280" t="str">
        <f>'5-6 Other int use'!C51</f>
        <v>Mercury metal use in religious rituals and folklore medicine</v>
      </c>
      <c r="D50" s="77">
        <f>'5-6 Other int use'!D51</f>
        <v>0</v>
      </c>
      <c r="E50" s="85">
        <f>'5-6 Other int use'!V51</f>
        <v>0</v>
      </c>
      <c r="F50" s="85">
        <f>'5-6 Other int use'!W51</f>
        <v>0</v>
      </c>
      <c r="G50" s="85">
        <f>'5-6 Other int use'!X51</f>
        <v>0</v>
      </c>
      <c r="H50" s="85">
        <f>'5-6 Other int use'!Y51</f>
        <v>0</v>
      </c>
      <c r="I50" s="85">
        <f>'5-6 Other int use'!Z51</f>
        <v>0</v>
      </c>
      <c r="J50" s="85">
        <f>'5-6 Other int use'!AA51</f>
        <v>0</v>
      </c>
      <c r="K50" s="219"/>
    </row>
    <row r="51" spans="1:11" ht="25.5">
      <c r="A51" s="57"/>
      <c r="B51" s="280" t="str">
        <f>'5-6 Other int use'!B53</f>
        <v>5.6.5</v>
      </c>
      <c r="C51" s="280" t="str">
        <f>'5-6 Other int use'!C53</f>
        <v>Miscellaneous product uses, mercury metal uses, and other sources</v>
      </c>
      <c r="D51" s="77">
        <f>'5-6 Other int use'!D53</f>
        <v>0</v>
      </c>
      <c r="E51" s="85">
        <f>'5-6 Other int use'!V53</f>
        <v>0</v>
      </c>
      <c r="F51" s="85">
        <f>'5-6 Other int use'!W53</f>
        <v>0</v>
      </c>
      <c r="G51" s="85">
        <f>'5-6 Other int use'!X53</f>
        <v>0</v>
      </c>
      <c r="H51" s="85">
        <f>'5-6 Other int use'!Y53</f>
        <v>0</v>
      </c>
      <c r="I51" s="85">
        <f>'5-6 Other int use'!Z53</f>
        <v>0</v>
      </c>
      <c r="J51" s="85">
        <f>'5-6 Other int use'!AA53</f>
        <v>0</v>
      </c>
      <c r="K51" s="219"/>
    </row>
    <row r="52" spans="1:11" ht="25.5">
      <c r="A52" s="56" t="str">
        <f>'5-7 Recycl metals'!A5</f>
        <v>5.7</v>
      </c>
      <c r="B52" s="56"/>
      <c r="C52" s="57" t="str">
        <f>'5-7 Recycl metals'!C5</f>
        <v>Source category: Production of recycled metals ("secondary" metal production)</v>
      </c>
      <c r="D52" s="77"/>
      <c r="E52" s="85"/>
      <c r="F52" s="85"/>
      <c r="G52" s="85"/>
      <c r="H52" s="85"/>
      <c r="I52" s="85"/>
      <c r="J52" s="85"/>
      <c r="K52" s="219"/>
    </row>
    <row r="53" spans="1:11">
      <c r="A53" s="56"/>
      <c r="B53" s="113" t="str">
        <f>'5-7 Recycl metals'!B6</f>
        <v>5.7.1</v>
      </c>
      <c r="C53" s="280" t="str">
        <f>'5-7 Recycl metals'!C6</f>
        <v>Production of recycled mercury ("secondary production”)</v>
      </c>
      <c r="D53" s="77">
        <f>'5-7 Recycl metals'!D6</f>
        <v>0</v>
      </c>
      <c r="E53" s="85">
        <f>'5-7 Recycl metals'!V6</f>
        <v>0</v>
      </c>
      <c r="F53" s="85">
        <f>'5-7 Recycl metals'!W6</f>
        <v>0</v>
      </c>
      <c r="G53" s="85">
        <f>'5-7 Recycl metals'!X6</f>
        <v>0</v>
      </c>
      <c r="H53" s="85" t="str">
        <f>'5-7 Recycl metals'!Y6</f>
        <v>-</v>
      </c>
      <c r="I53" s="85">
        <f>'5-7 Recycl metals'!Z6</f>
        <v>0</v>
      </c>
      <c r="J53" s="85">
        <f>'5-7 Recycl metals'!AA6</f>
        <v>0</v>
      </c>
      <c r="K53" s="219"/>
    </row>
    <row r="54" spans="1:11">
      <c r="A54" s="56"/>
      <c r="B54" s="113" t="str">
        <f>'5-7 Recycl metals'!B8</f>
        <v>5.4.2</v>
      </c>
      <c r="C54" s="280" t="str">
        <f>'5-7 Recycl metals'!C8</f>
        <v>Production of recycled ferrous metals (iron and steel)</v>
      </c>
      <c r="D54" s="77">
        <f>'5-7 Recycl metals'!D8</f>
        <v>0</v>
      </c>
      <c r="E54" s="85">
        <f>'5-7 Recycl metals'!V8</f>
        <v>0</v>
      </c>
      <c r="F54" s="85">
        <f>'5-7 Recycl metals'!W8</f>
        <v>0</v>
      </c>
      <c r="G54" s="85">
        <f>'5-7 Recycl metals'!X8</f>
        <v>0</v>
      </c>
      <c r="H54" s="85">
        <f>'5-7 Recycl metals'!Y8</f>
        <v>0</v>
      </c>
      <c r="I54" s="85">
        <f>'5-7 Recycl metals'!Z8</f>
        <v>0</v>
      </c>
      <c r="J54" s="85">
        <f>'5-7 Recycl metals'!AA8</f>
        <v>0</v>
      </c>
      <c r="K54" s="219"/>
    </row>
    <row r="55" spans="1:11">
      <c r="A55" s="56"/>
      <c r="B55" s="113" t="str">
        <f>'5-7 Recycl metals'!B10</f>
        <v>5.4.2</v>
      </c>
      <c r="C55" s="280" t="str">
        <f>'5-7 Recycl metals'!C10</f>
        <v>Production of other recycled metals</v>
      </c>
      <c r="D55" s="77">
        <f>'5-7 Recycl metals'!D10</f>
        <v>0</v>
      </c>
      <c r="E55" s="85">
        <f>'5-7 Recycl metals'!V10</f>
        <v>0</v>
      </c>
      <c r="F55" s="85">
        <f>'5-7 Recycl metals'!W10</f>
        <v>0</v>
      </c>
      <c r="G55" s="85">
        <f>'5-7 Recycl metals'!X10</f>
        <v>0</v>
      </c>
      <c r="H55" s="85">
        <f>'5-7 Recycl metals'!Y10</f>
        <v>0</v>
      </c>
      <c r="I55" s="85">
        <f>'5-7 Recycl metals'!Z10</f>
        <v>0</v>
      </c>
      <c r="J55" s="85">
        <f>'5-7 Recycl metals'!AA10</f>
        <v>0</v>
      </c>
      <c r="K55" s="219"/>
    </row>
    <row r="56" spans="1:11">
      <c r="A56" s="56" t="str">
        <f>'5-8 Waste incin'!A5</f>
        <v>5.8</v>
      </c>
      <c r="B56" s="56"/>
      <c r="C56" s="56" t="str">
        <f>'5-8 Waste incin'!C5</f>
        <v>Source category: Waste incineration</v>
      </c>
      <c r="D56" s="77"/>
      <c r="E56" s="85"/>
      <c r="F56" s="85"/>
      <c r="G56" s="85"/>
      <c r="H56" s="85"/>
      <c r="I56" s="85"/>
      <c r="J56" s="85"/>
      <c r="K56" s="219"/>
    </row>
    <row r="57" spans="1:11">
      <c r="A57" s="56"/>
      <c r="B57" s="113" t="str">
        <f>'5-8 Waste incin'!B6</f>
        <v>5.8.1</v>
      </c>
      <c r="C57" s="113" t="str">
        <f>'5-8 Waste incin'!C6</f>
        <v>Incineration of municipal/general waste</v>
      </c>
      <c r="D57" s="77">
        <f>'5-8 Waste incin'!D6</f>
        <v>0</v>
      </c>
      <c r="E57" s="85">
        <f>'5-8 Waste incin'!V6</f>
        <v>0</v>
      </c>
      <c r="F57" s="85">
        <f>'5-8 Waste incin'!W6</f>
        <v>0</v>
      </c>
      <c r="G57" s="85">
        <f>'5-8 Waste incin'!X6</f>
        <v>0</v>
      </c>
      <c r="H57" s="85">
        <f>'5-8 Waste incin'!Y6</f>
        <v>0</v>
      </c>
      <c r="I57" s="85">
        <f>'5-8 Waste incin'!Z6</f>
        <v>0</v>
      </c>
      <c r="J57" s="85">
        <f>'5-8 Waste incin'!AA6</f>
        <v>0</v>
      </c>
      <c r="K57" s="219"/>
    </row>
    <row r="58" spans="1:11">
      <c r="A58" s="56"/>
      <c r="B58" s="113" t="str">
        <f>'5-8 Waste incin'!B12</f>
        <v>5.8.2</v>
      </c>
      <c r="C58" s="113" t="str">
        <f>'5-8 Waste incin'!C12</f>
        <v>Incineration of hazardous waste</v>
      </c>
      <c r="D58" s="77">
        <f>'5-8 Waste incin'!D12</f>
        <v>0</v>
      </c>
      <c r="E58" s="85">
        <f>'5-8 Waste incin'!V12</f>
        <v>0</v>
      </c>
      <c r="F58" s="85">
        <f>'5-8 Waste incin'!W12</f>
        <v>0</v>
      </c>
      <c r="G58" s="85">
        <f>'5-8 Waste incin'!X12</f>
        <v>0</v>
      </c>
      <c r="H58" s="85">
        <f>'5-8 Waste incin'!Y12</f>
        <v>0</v>
      </c>
      <c r="I58" s="85">
        <f>'5-8 Waste incin'!Z12</f>
        <v>0</v>
      </c>
      <c r="J58" s="85">
        <f>'5-8 Waste incin'!AA12</f>
        <v>0</v>
      </c>
      <c r="K58" s="219"/>
    </row>
    <row r="59" spans="1:11">
      <c r="A59" s="56"/>
      <c r="B59" s="113" t="str">
        <f>'5-8 Waste incin'!B18</f>
        <v>5.8.3</v>
      </c>
      <c r="C59" s="113" t="str">
        <f>'5-8 Waste incin'!C18</f>
        <v>Incineration of medical waste</v>
      </c>
      <c r="D59" s="77">
        <f>'5-8 Waste incin'!D18</f>
        <v>0</v>
      </c>
      <c r="E59" s="85">
        <f>'5-8 Waste incin'!V18</f>
        <v>0</v>
      </c>
      <c r="F59" s="85">
        <f>'5-8 Waste incin'!W18</f>
        <v>0</v>
      </c>
      <c r="G59" s="85">
        <f>'5-8 Waste incin'!X18</f>
        <v>0</v>
      </c>
      <c r="H59" s="85">
        <f>'5-8 Waste incin'!Y18</f>
        <v>0</v>
      </c>
      <c r="I59" s="85">
        <f>'5-8 Waste incin'!Z18</f>
        <v>0</v>
      </c>
      <c r="J59" s="85">
        <f>'5-8 Waste incin'!AA18</f>
        <v>0</v>
      </c>
      <c r="K59" s="219"/>
    </row>
    <row r="60" spans="1:11">
      <c r="A60" s="56"/>
      <c r="B60" s="113" t="str">
        <f>'5-8 Waste incin'!B24</f>
        <v>5.8.4</v>
      </c>
      <c r="C60" s="113" t="str">
        <f>'5-8 Waste incin'!C24</f>
        <v>Sewage sludge incineration</v>
      </c>
      <c r="D60" s="77">
        <f>'5-8 Waste incin'!D24</f>
        <v>0</v>
      </c>
      <c r="E60" s="85">
        <f>'5-8 Waste incin'!V24</f>
        <v>0</v>
      </c>
      <c r="F60" s="85">
        <f>'5-8 Waste incin'!W24</f>
        <v>0</v>
      </c>
      <c r="G60" s="85">
        <f>'5-8 Waste incin'!X24</f>
        <v>0</v>
      </c>
      <c r="H60" s="85">
        <f>'5-8 Waste incin'!Y24</f>
        <v>0</v>
      </c>
      <c r="I60" s="85">
        <f>'5-8 Waste incin'!Z24</f>
        <v>0</v>
      </c>
      <c r="J60" s="85">
        <f>'5-8 Waste incin'!AA24</f>
        <v>0</v>
      </c>
      <c r="K60" s="219"/>
    </row>
    <row r="61" spans="1:11">
      <c r="A61" s="56"/>
      <c r="B61" s="113" t="str">
        <f>'5-8 Waste incin'!B26</f>
        <v>5.8.5</v>
      </c>
      <c r="C61" s="113" t="str">
        <f>'5-8 Waste incin'!C26</f>
        <v>Informal waste burning</v>
      </c>
      <c r="D61" s="77">
        <f>'5-8 Waste incin'!D26</f>
        <v>0</v>
      </c>
      <c r="E61" s="85">
        <f>'5-8 Waste incin'!V26</f>
        <v>0</v>
      </c>
      <c r="F61" s="85">
        <f>'5-8 Waste incin'!W26</f>
        <v>0</v>
      </c>
      <c r="G61" s="85">
        <f>'5-8 Waste incin'!X26</f>
        <v>0</v>
      </c>
      <c r="H61" s="85">
        <f>'5-8 Waste incin'!Y26</f>
        <v>0</v>
      </c>
      <c r="I61" s="85">
        <f>'5-8 Waste incin'!Z26</f>
        <v>0</v>
      </c>
      <c r="J61" s="85">
        <f>'5-8 Waste incin'!AA26</f>
        <v>0</v>
      </c>
      <c r="K61" s="219"/>
    </row>
    <row r="62" spans="1:11" ht="25.5">
      <c r="A62" s="57" t="str">
        <f>'5-9 Waste depo and water treatm'!A5</f>
        <v>5.9</v>
      </c>
      <c r="B62" s="57"/>
      <c r="C62" s="57" t="str">
        <f>'5-9 Waste depo and water treatm'!C5</f>
        <v>Source category: Waste deposition/landfilling and waste water treatment</v>
      </c>
      <c r="D62" s="77"/>
      <c r="E62" s="85"/>
      <c r="F62" s="85"/>
      <c r="G62" s="85"/>
      <c r="H62" s="85"/>
      <c r="I62" s="85"/>
      <c r="J62" s="85"/>
      <c r="K62" s="219"/>
    </row>
    <row r="63" spans="1:11">
      <c r="A63" s="57"/>
      <c r="B63" s="280" t="str">
        <f>'5-9 Waste depo and water treatm'!B6</f>
        <v>5.9.1</v>
      </c>
      <c r="C63" s="280" t="str">
        <f>'5-9 Waste depo and water treatm'!C6</f>
        <v>Controlled landfills/deposits (a</v>
      </c>
      <c r="D63" s="77">
        <f>'5-9 Waste depo and water treatm'!D6</f>
        <v>0</v>
      </c>
      <c r="E63" s="85">
        <f>'5-9 Waste depo and water treatm'!V6</f>
        <v>0</v>
      </c>
      <c r="F63" s="85">
        <f>'5-9 Waste depo and water treatm'!W6</f>
        <v>0</v>
      </c>
      <c r="G63" s="85">
        <f>'5-9 Waste depo and water treatm'!X6</f>
        <v>0</v>
      </c>
      <c r="H63" s="85" t="str">
        <f>'5-9 Waste depo and water treatm'!Y6</f>
        <v>-</v>
      </c>
      <c r="I63" s="85" t="str">
        <f>'5-9 Waste depo and water treatm'!Z6</f>
        <v>-</v>
      </c>
      <c r="J63" s="85" t="str">
        <f>'5-9 Waste depo and water treatm'!AA6</f>
        <v>-</v>
      </c>
      <c r="K63" s="219"/>
    </row>
    <row r="64" spans="1:11" ht="38.25">
      <c r="A64" s="57"/>
      <c r="B64" s="280" t="str">
        <f>'5-9 Waste depo and water treatm'!B8</f>
        <v>5.9.2</v>
      </c>
      <c r="C64" s="280" t="str">
        <f>'5-9 Waste depo and water treatm'!C8</f>
        <v>Diffuse disposal under some control</v>
      </c>
      <c r="D64" s="77" t="str">
        <f>'5-9 Waste depo and water treatm'!D8</f>
        <v>-</v>
      </c>
      <c r="E64" s="85" t="str">
        <f>'5-9 Waste depo and water treatm'!V8</f>
        <v>-</v>
      </c>
      <c r="F64" s="85" t="str">
        <f>'5-9 Waste depo and water treatm'!W8</f>
        <v>-</v>
      </c>
      <c r="G64" s="85" t="str">
        <f>'5-9 Waste depo and water treatm'!X8</f>
        <v>-</v>
      </c>
      <c r="H64" s="85" t="str">
        <f>'5-9 Waste depo and water treatm'!Y8</f>
        <v>-</v>
      </c>
      <c r="I64" s="85" t="str">
        <f>'5-9 Waste depo and water treatm'!Z8</f>
        <v>-</v>
      </c>
      <c r="J64" s="85" t="str">
        <f>'5-9 Waste depo and water treatm'!AA8</f>
        <v>-</v>
      </c>
      <c r="K64" s="219" t="str">
        <f>'5-9 Waste depo and water treatm'!C9</f>
        <v>This source category is expected covered under the original sources of the mercury containing material, under det output path "sector specific treatment/disposal accompanied by a descriptive note; e.g. solid residues from waste incineration or metal extraction.</v>
      </c>
    </row>
    <row r="65" spans="1:11">
      <c r="A65" s="57"/>
      <c r="B65" s="280" t="str">
        <f>'5-9 Waste depo and water treatm'!B11</f>
        <v>5.9.3</v>
      </c>
      <c r="C65" s="280" t="str">
        <f>'5-9 Waste depo and water treatm'!C11</f>
        <v>Informal local disposal of industrial production waste</v>
      </c>
      <c r="D65" s="77">
        <f>'5-9 Waste depo and water treatm'!D11</f>
        <v>0</v>
      </c>
      <c r="E65" s="85" t="e">
        <f>'5-9 Waste depo and water treatm'!V11</f>
        <v>#VALUE!</v>
      </c>
      <c r="F65" s="85" t="e">
        <f>'5-9 Waste depo and water treatm'!W11</f>
        <v>#VALUE!</v>
      </c>
      <c r="G65" s="85" t="e">
        <f>'5-9 Waste depo and water treatm'!X11</f>
        <v>#VALUE!</v>
      </c>
      <c r="H65" s="85" t="str">
        <f>'5-9 Waste depo and water treatm'!Y11</f>
        <v>-</v>
      </c>
      <c r="I65" s="85" t="str">
        <f>'5-9 Waste depo and water treatm'!Z11</f>
        <v>-</v>
      </c>
      <c r="J65" s="85" t="str">
        <f>'5-9 Waste depo and water treatm'!AA11</f>
        <v>-</v>
      </c>
      <c r="K65" s="219"/>
    </row>
    <row r="66" spans="1:11">
      <c r="A66" s="57"/>
      <c r="B66" s="280" t="str">
        <f>'5-9 Waste depo and water treatm'!B13</f>
        <v>5.9.4</v>
      </c>
      <c r="C66" s="280" t="str">
        <f>'5-9 Waste depo and water treatm'!C13</f>
        <v>Informal dumping of general waste (b</v>
      </c>
      <c r="D66" s="77">
        <f>'5-9 Waste depo and water treatm'!D13</f>
        <v>0</v>
      </c>
      <c r="E66" s="85">
        <f>'5-9 Waste depo and water treatm'!V13</f>
        <v>0</v>
      </c>
      <c r="F66" s="85">
        <f>'5-9 Waste depo and water treatm'!W13</f>
        <v>0</v>
      </c>
      <c r="G66" s="85">
        <f>'5-9 Waste depo and water treatm'!X13</f>
        <v>0</v>
      </c>
      <c r="H66" s="85" t="str">
        <f>'5-9 Waste depo and water treatm'!Y13</f>
        <v>-</v>
      </c>
      <c r="I66" s="85" t="str">
        <f>'5-9 Waste depo and water treatm'!Z13</f>
        <v>-</v>
      </c>
      <c r="J66" s="85" t="str">
        <f>'5-9 Waste depo and water treatm'!AA13</f>
        <v>-</v>
      </c>
      <c r="K66" s="219"/>
    </row>
    <row r="67" spans="1:11">
      <c r="A67" s="57"/>
      <c r="B67" s="280" t="str">
        <f>'5-9 Waste depo and water treatm'!B15</f>
        <v>5.9.5</v>
      </c>
      <c r="C67" s="280" t="str">
        <f>'5-9 Waste depo and water treatm'!C15</f>
        <v>Waste water system/treatment</v>
      </c>
      <c r="D67" s="77">
        <f>'5-9 Waste depo and water treatm'!D15</f>
        <v>0</v>
      </c>
      <c r="E67" s="85">
        <f>'5-9 Waste depo and water treatm'!V15</f>
        <v>0</v>
      </c>
      <c r="F67" s="85">
        <f>'5-9 Waste depo and water treatm'!W15</f>
        <v>0</v>
      </c>
      <c r="G67" s="85">
        <f>'5-9 Waste depo and water treatm'!X15</f>
        <v>0</v>
      </c>
      <c r="H67" s="85">
        <f>'5-9 Waste depo and water treatm'!Y15</f>
        <v>0</v>
      </c>
      <c r="I67" s="85">
        <f>'5-9 Waste depo and water treatm'!Z15</f>
        <v>0</v>
      </c>
      <c r="J67" s="85">
        <f>'5-9 Waste depo and water treatm'!AA15</f>
        <v>0</v>
      </c>
      <c r="K67" s="219"/>
    </row>
    <row r="68" spans="1:11">
      <c r="A68" s="56" t="str">
        <f>'5-10 Cremat and cem'!A5</f>
        <v>5.10</v>
      </c>
      <c r="B68" s="56"/>
      <c r="C68" s="56" t="str">
        <f>'5-10 Cremat and cem'!C5</f>
        <v>Source category: Crematoria and cemetaries</v>
      </c>
      <c r="D68" s="77"/>
      <c r="E68" s="85"/>
      <c r="F68" s="85"/>
      <c r="G68" s="85"/>
      <c r="H68" s="85"/>
      <c r="I68" s="85"/>
      <c r="J68" s="85"/>
      <c r="K68" s="219"/>
    </row>
    <row r="69" spans="1:11">
      <c r="A69" s="56"/>
      <c r="B69" s="113" t="str">
        <f>'5-10 Cremat and cem'!B6</f>
        <v>5.10.1</v>
      </c>
      <c r="C69" s="113" t="str">
        <f>'5-10 Cremat and cem'!C6</f>
        <v>Crematoria</v>
      </c>
      <c r="D69" s="77">
        <f>'5-10 Cremat and cem'!D6</f>
        <v>0</v>
      </c>
      <c r="E69" s="85">
        <f>'5-10 Cremat and cem'!V6</f>
        <v>0</v>
      </c>
      <c r="F69" s="85">
        <f>'5-10 Cremat and cem'!W6</f>
        <v>0</v>
      </c>
      <c r="G69" s="85">
        <f>'5-10 Cremat and cem'!X6</f>
        <v>0</v>
      </c>
      <c r="H69" s="85" t="str">
        <f>'5-10 Cremat and cem'!Y6</f>
        <v>-</v>
      </c>
      <c r="I69" s="85">
        <f>'5-10 Cremat and cem'!Z6</f>
        <v>0</v>
      </c>
      <c r="J69" s="85">
        <f>'5-10 Cremat and cem'!AA6</f>
        <v>0</v>
      </c>
      <c r="K69" s="219"/>
    </row>
    <row r="70" spans="1:11" s="229" customFormat="1" ht="13.5" thickBot="1">
      <c r="A70" s="221"/>
      <c r="B70" s="281" t="str">
        <f>'5-10 Cremat and cem'!B8</f>
        <v>5.10.2</v>
      </c>
      <c r="C70" s="281" t="str">
        <f>'5-10 Cremat and cem'!C8</f>
        <v>Cemeteries</v>
      </c>
      <c r="D70" s="227">
        <f>'5-10 Cremat and cem'!D8</f>
        <v>0</v>
      </c>
      <c r="E70" s="227">
        <f>'5-10 Cremat and cem'!V8</f>
        <v>0</v>
      </c>
      <c r="F70" s="227">
        <f>'5-10 Cremat and cem'!W8</f>
        <v>0</v>
      </c>
      <c r="G70" s="227">
        <f>'5-10 Cremat and cem'!X8</f>
        <v>0</v>
      </c>
      <c r="H70" s="227" t="str">
        <f>'5-10 Cremat and cem'!Y8</f>
        <v>-</v>
      </c>
      <c r="I70" s="227">
        <f>'5-10 Cremat and cem'!Z8</f>
        <v>0</v>
      </c>
      <c r="J70" s="227">
        <f>'5-10 Cremat and cem'!AA8</f>
        <v>0</v>
      </c>
      <c r="K70" s="228"/>
    </row>
    <row r="71" spans="1:11" s="222" customFormat="1" ht="13.5" thickBot="1">
      <c r="A71" s="223" t="s">
        <v>31</v>
      </c>
      <c r="B71" s="224"/>
      <c r="C71" s="224"/>
      <c r="D71" s="230" t="s">
        <v>33</v>
      </c>
      <c r="E71" s="225" t="e">
        <f t="shared" ref="E71:J71" si="0">SUM(E11:E70)</f>
        <v>#VALUE!</v>
      </c>
      <c r="F71" s="225" t="e">
        <f t="shared" si="0"/>
        <v>#VALUE!</v>
      </c>
      <c r="G71" s="225" t="e">
        <f t="shared" si="0"/>
        <v>#VALUE!</v>
      </c>
      <c r="H71" s="225" t="e">
        <f t="shared" si="0"/>
        <v>#VALUE!</v>
      </c>
      <c r="I71" s="225" t="e">
        <f t="shared" si="0"/>
        <v>#VALUE!</v>
      </c>
      <c r="J71" s="225" t="e">
        <f t="shared" si="0"/>
        <v>#VALUE!</v>
      </c>
      <c r="K71" s="226"/>
    </row>
    <row r="73" spans="1:11">
      <c r="B73" t="s">
        <v>56</v>
      </c>
      <c r="C73" t="s">
        <v>32</v>
      </c>
    </row>
    <row r="74" spans="1:11">
      <c r="C74" s="231"/>
    </row>
  </sheetData>
  <sheetProtection sheet="1" objects="1" scenarios="1"/>
  <phoneticPr fontId="2" type="noConversion"/>
  <pageMargins left="0.39370078740157483" right="0.39370078740157483" top="0.74803149606299213" bottom="0.74803149606299213" header="0.31496062992125984" footer="0.31496062992125984"/>
  <pageSetup paperSize="9" orientation="landscape" r:id="rId1"/>
  <headerFooter>
    <oddFooter>&amp;L&amp;APrinted &amp;D</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0"/>
  <sheetViews>
    <sheetView workbookViewId="0">
      <selection activeCell="J6" sqref="J6"/>
    </sheetView>
  </sheetViews>
  <sheetFormatPr defaultRowHeight="12.75"/>
  <cols>
    <col min="1" max="1" width="3.42578125" customWidth="1"/>
    <col min="2" max="2" width="5.140625" customWidth="1"/>
    <col min="3" max="3" width="25.85546875" customWidth="1"/>
    <col min="4" max="4" width="7.42578125" customWidth="1"/>
    <col min="5" max="5" width="10.28515625" customWidth="1"/>
    <col min="6" max="6" width="16.28515625" customWidth="1"/>
    <col min="7" max="7" width="10.140625" customWidth="1"/>
    <col min="8" max="8" width="19.28515625" customWidth="1"/>
    <col min="9" max="9" width="18.28515625" style="242" customWidth="1"/>
    <col min="10" max="10" width="25.28515625" customWidth="1"/>
    <col min="11" max="11" width="10.28515625" bestFit="1" customWidth="1"/>
    <col min="13" max="13" width="27.5703125" style="13" customWidth="1"/>
    <col min="14" max="14" width="9.140625" style="242"/>
    <col min="21" max="21" width="16.5703125" customWidth="1"/>
    <col min="26" max="26" width="12.85546875" customWidth="1"/>
    <col min="27" max="27" width="17" customWidth="1"/>
    <col min="28" max="28" width="63.5703125" customWidth="1"/>
  </cols>
  <sheetData>
    <row r="1" spans="1:28" ht="18">
      <c r="A1" s="1" t="s">
        <v>34</v>
      </c>
      <c r="I1" s="232"/>
      <c r="N1" s="232"/>
      <c r="V1" s="3"/>
      <c r="W1" s="3"/>
      <c r="X1" s="3"/>
      <c r="Y1" s="3"/>
      <c r="Z1" s="3"/>
      <c r="AA1" s="3"/>
    </row>
    <row r="2" spans="1:28" ht="15">
      <c r="A2" s="54" t="s">
        <v>322</v>
      </c>
      <c r="I2" s="232"/>
      <c r="L2" s="48"/>
      <c r="M2" s="48"/>
      <c r="N2" s="232"/>
    </row>
    <row r="3" spans="1:28" s="5" customFormat="1">
      <c r="D3" s="7"/>
      <c r="E3" s="7"/>
      <c r="F3" s="7"/>
      <c r="G3" s="7"/>
      <c r="H3" s="7"/>
      <c r="I3" s="257"/>
      <c r="J3" s="7"/>
      <c r="K3" s="7"/>
      <c r="L3" s="30"/>
      <c r="M3" s="30"/>
      <c r="N3" s="257"/>
      <c r="O3" s="7"/>
      <c r="P3" s="65" t="s">
        <v>55</v>
      </c>
      <c r="Q3" s="65"/>
      <c r="R3" s="65"/>
      <c r="S3" s="65"/>
      <c r="T3" s="65"/>
      <c r="U3" s="65"/>
      <c r="V3" s="10" t="s">
        <v>54</v>
      </c>
      <c r="W3" s="103"/>
      <c r="X3" s="103"/>
      <c r="Y3" s="103"/>
      <c r="Z3" s="103"/>
      <c r="AA3" s="103"/>
      <c r="AB3" s="65"/>
    </row>
    <row r="4" spans="1:28" s="144" customFormat="1" ht="38.25">
      <c r="A4" s="144" t="s">
        <v>52</v>
      </c>
      <c r="B4" s="144" t="s">
        <v>50</v>
      </c>
      <c r="C4" s="134" t="s">
        <v>59</v>
      </c>
      <c r="D4" s="112" t="s">
        <v>159</v>
      </c>
      <c r="E4" s="134" t="s">
        <v>49</v>
      </c>
      <c r="F4" s="143" t="s">
        <v>35</v>
      </c>
      <c r="G4" s="112" t="s">
        <v>37</v>
      </c>
      <c r="H4" s="143" t="s">
        <v>35</v>
      </c>
      <c r="I4" s="247" t="s">
        <v>51</v>
      </c>
      <c r="J4" s="144" t="s">
        <v>35</v>
      </c>
      <c r="K4" s="84" t="s">
        <v>61</v>
      </c>
      <c r="L4" s="143" t="s">
        <v>35</v>
      </c>
      <c r="M4" s="146" t="s">
        <v>57</v>
      </c>
      <c r="N4" s="247" t="s">
        <v>94</v>
      </c>
      <c r="O4" s="143" t="s">
        <v>35</v>
      </c>
      <c r="P4" s="111" t="s">
        <v>38</v>
      </c>
      <c r="Q4" s="111" t="s">
        <v>39</v>
      </c>
      <c r="R4" s="111" t="s">
        <v>40</v>
      </c>
      <c r="S4" s="111" t="s">
        <v>384</v>
      </c>
      <c r="T4" s="112" t="s">
        <v>42</v>
      </c>
      <c r="U4" s="112" t="s">
        <v>237</v>
      </c>
      <c r="V4" s="56" t="s">
        <v>38</v>
      </c>
      <c r="W4" s="56" t="s">
        <v>39</v>
      </c>
      <c r="X4" s="56" t="s">
        <v>40</v>
      </c>
      <c r="Y4" s="56" t="s">
        <v>404</v>
      </c>
      <c r="Z4" s="57" t="s">
        <v>42</v>
      </c>
      <c r="AA4" s="57" t="s">
        <v>237</v>
      </c>
      <c r="AB4" s="111" t="s">
        <v>89</v>
      </c>
    </row>
    <row r="5" spans="1:28" s="129" customFormat="1" ht="38.25">
      <c r="A5" s="129" t="s">
        <v>90</v>
      </c>
      <c r="C5" s="134" t="s">
        <v>222</v>
      </c>
      <c r="D5" s="111"/>
      <c r="F5" s="128"/>
      <c r="G5" s="76"/>
      <c r="H5" s="128"/>
      <c r="I5" s="333"/>
      <c r="J5" s="658"/>
      <c r="K5" s="113"/>
      <c r="L5" s="128"/>
      <c r="M5" s="135"/>
      <c r="N5" s="249"/>
      <c r="O5" s="128"/>
      <c r="P5" s="76"/>
      <c r="Q5" s="76"/>
      <c r="R5" s="76"/>
      <c r="S5" s="76"/>
      <c r="T5" s="76"/>
      <c r="U5" s="76"/>
      <c r="V5" s="58"/>
      <c r="W5" s="58"/>
      <c r="X5" s="58"/>
      <c r="Y5" s="58"/>
      <c r="Z5" s="58"/>
      <c r="AA5" s="58"/>
      <c r="AB5" s="76"/>
    </row>
    <row r="6" spans="1:28" ht="25.5">
      <c r="B6" t="s">
        <v>91</v>
      </c>
      <c r="C6" s="12" t="s">
        <v>92</v>
      </c>
      <c r="D6" s="111"/>
      <c r="G6" s="76"/>
      <c r="I6" s="333"/>
      <c r="K6" s="114"/>
      <c r="L6" s="3"/>
      <c r="M6" s="14"/>
      <c r="N6" s="249"/>
      <c r="O6" s="3"/>
      <c r="P6" s="282"/>
      <c r="Q6" s="282"/>
      <c r="R6" s="282"/>
      <c r="S6" s="282"/>
      <c r="T6" s="282"/>
      <c r="U6" s="282"/>
      <c r="V6" s="114">
        <f t="shared" ref="V6:AA6" si="0">SUM(V7:V17)</f>
        <v>0</v>
      </c>
      <c r="W6" s="114">
        <f t="shared" si="0"/>
        <v>0</v>
      </c>
      <c r="X6" s="114">
        <f t="shared" si="0"/>
        <v>0</v>
      </c>
      <c r="Y6" s="114">
        <f t="shared" si="0"/>
        <v>0</v>
      </c>
      <c r="Z6" s="114">
        <f t="shared" si="0"/>
        <v>0</v>
      </c>
      <c r="AA6" s="114">
        <f t="shared" si="0"/>
        <v>0</v>
      </c>
      <c r="AB6" s="76"/>
    </row>
    <row r="7" spans="1:28">
      <c r="C7" s="12" t="s">
        <v>365</v>
      </c>
      <c r="D7" s="111"/>
      <c r="E7" s="6"/>
      <c r="F7" s="3"/>
      <c r="G7" s="76">
        <v>1</v>
      </c>
      <c r="H7" s="3"/>
      <c r="I7" s="334">
        <f>'Passo4-Uso Industrial de Hg'!C10</f>
        <v>0</v>
      </c>
      <c r="J7" s="8" t="s">
        <v>400</v>
      </c>
      <c r="K7" s="169">
        <f>I7*G7</f>
        <v>0</v>
      </c>
      <c r="L7" s="3" t="s">
        <v>36</v>
      </c>
      <c r="M7" s="14" t="s">
        <v>365</v>
      </c>
      <c r="N7" s="250">
        <f>K7</f>
        <v>0</v>
      </c>
      <c r="O7" s="3" t="s">
        <v>36</v>
      </c>
      <c r="P7" s="295">
        <v>0.01</v>
      </c>
      <c r="Q7" s="295">
        <v>5.0000000000000001E-3</v>
      </c>
      <c r="R7" s="295">
        <v>0.1</v>
      </c>
      <c r="S7" s="295"/>
      <c r="T7" s="295">
        <v>0.1</v>
      </c>
      <c r="U7" s="295">
        <v>0.01</v>
      </c>
      <c r="V7" s="116">
        <f t="shared" ref="V7:AA7" si="1">$N7*P7</f>
        <v>0</v>
      </c>
      <c r="W7" s="116">
        <f t="shared" si="1"/>
        <v>0</v>
      </c>
      <c r="X7" s="116">
        <f t="shared" si="1"/>
        <v>0</v>
      </c>
      <c r="Y7" s="116">
        <f t="shared" si="1"/>
        <v>0</v>
      </c>
      <c r="Z7" s="116">
        <f t="shared" si="1"/>
        <v>0</v>
      </c>
      <c r="AA7" s="116">
        <f t="shared" si="1"/>
        <v>0</v>
      </c>
      <c r="AB7" s="76"/>
    </row>
    <row r="8" spans="1:28">
      <c r="C8" s="53" t="s">
        <v>95</v>
      </c>
      <c r="D8" s="76"/>
      <c r="E8" s="6" t="s">
        <v>108</v>
      </c>
      <c r="F8" s="3" t="s">
        <v>112</v>
      </c>
      <c r="G8" s="76">
        <v>1</v>
      </c>
      <c r="H8" s="3" t="s">
        <v>112</v>
      </c>
      <c r="I8" s="250"/>
      <c r="J8" t="s">
        <v>113</v>
      </c>
      <c r="K8" s="115">
        <f>G8*I8/1000</f>
        <v>0</v>
      </c>
      <c r="L8" s="3" t="s">
        <v>36</v>
      </c>
      <c r="M8" s="15"/>
      <c r="N8" s="250"/>
      <c r="O8" s="3"/>
      <c r="P8" s="295"/>
      <c r="Q8" s="295"/>
      <c r="R8" s="295"/>
      <c r="S8" s="295"/>
      <c r="T8" s="295"/>
      <c r="U8" s="295"/>
      <c r="V8" s="116"/>
      <c r="W8" s="116"/>
      <c r="X8" s="116"/>
      <c r="Y8" s="116"/>
      <c r="Z8" s="116"/>
      <c r="AA8" s="116"/>
      <c r="AB8" s="76"/>
    </row>
    <row r="9" spans="1:28">
      <c r="C9" s="53" t="s">
        <v>96</v>
      </c>
      <c r="D9" s="76"/>
      <c r="E9" s="6" t="s">
        <v>110</v>
      </c>
      <c r="F9" s="3" t="s">
        <v>112</v>
      </c>
      <c r="G9" s="76">
        <v>3.5</v>
      </c>
      <c r="H9" s="3" t="s">
        <v>112</v>
      </c>
      <c r="I9" s="250"/>
      <c r="J9" t="s">
        <v>113</v>
      </c>
      <c r="K9" s="115">
        <f>G9*I9/1000</f>
        <v>0</v>
      </c>
      <c r="L9" s="3" t="s">
        <v>36</v>
      </c>
      <c r="M9" s="15"/>
      <c r="N9" s="250"/>
      <c r="O9" s="3"/>
      <c r="P9" s="295"/>
      <c r="Q9" s="295"/>
      <c r="R9" s="295"/>
      <c r="S9" s="295"/>
      <c r="T9" s="295"/>
      <c r="U9" s="295"/>
      <c r="V9" s="116"/>
      <c r="W9" s="116"/>
      <c r="X9" s="116"/>
      <c r="Y9" s="116"/>
      <c r="Z9" s="116"/>
      <c r="AA9" s="116"/>
      <c r="AB9" s="76"/>
    </row>
    <row r="10" spans="1:28">
      <c r="C10" s="53" t="s">
        <v>97</v>
      </c>
      <c r="D10" s="76"/>
      <c r="E10" s="6" t="s">
        <v>109</v>
      </c>
      <c r="F10" s="3" t="s">
        <v>112</v>
      </c>
      <c r="G10" s="76">
        <v>103</v>
      </c>
      <c r="H10" s="3" t="s">
        <v>112</v>
      </c>
      <c r="I10" s="250"/>
      <c r="J10" t="s">
        <v>113</v>
      </c>
      <c r="K10" s="115">
        <f>G10*I10/1000</f>
        <v>0</v>
      </c>
      <c r="L10" s="3" t="s">
        <v>36</v>
      </c>
      <c r="M10" s="15"/>
      <c r="N10" s="250"/>
      <c r="O10" s="3"/>
      <c r="P10" s="295"/>
      <c r="Q10" s="295"/>
      <c r="R10" s="295"/>
      <c r="S10" s="295"/>
      <c r="T10" s="295"/>
      <c r="U10" s="295"/>
      <c r="V10" s="116"/>
      <c r="W10" s="116"/>
      <c r="X10" s="116"/>
      <c r="Y10" s="116"/>
      <c r="Z10" s="116"/>
      <c r="AA10" s="116"/>
      <c r="AB10" s="76"/>
    </row>
    <row r="11" spans="1:28" ht="25.5">
      <c r="C11" s="53" t="s">
        <v>98</v>
      </c>
      <c r="D11" s="76"/>
      <c r="E11" s="6" t="s">
        <v>111</v>
      </c>
      <c r="F11" s="3" t="s">
        <v>112</v>
      </c>
      <c r="G11" s="76">
        <v>20.5</v>
      </c>
      <c r="H11" s="3" t="s">
        <v>112</v>
      </c>
      <c r="I11" s="250"/>
      <c r="J11" t="s">
        <v>113</v>
      </c>
      <c r="K11" s="115">
        <f>G11*I11/1000</f>
        <v>0</v>
      </c>
      <c r="L11" s="3" t="s">
        <v>36</v>
      </c>
      <c r="N11" s="250"/>
      <c r="O11" s="3"/>
      <c r="P11" s="295"/>
      <c r="Q11" s="295"/>
      <c r="R11" s="295"/>
      <c r="S11" s="295"/>
      <c r="T11" s="295"/>
      <c r="U11" s="295"/>
      <c r="V11" s="116"/>
      <c r="W11" s="116"/>
      <c r="X11" s="116"/>
      <c r="Y11" s="116"/>
      <c r="Z11" s="116"/>
      <c r="AA11" s="116"/>
      <c r="AB11" s="76"/>
    </row>
    <row r="12" spans="1:28">
      <c r="C12" s="67" t="s">
        <v>102</v>
      </c>
      <c r="D12" s="111"/>
      <c r="E12" s="6"/>
      <c r="F12" s="3"/>
      <c r="G12" s="76"/>
      <c r="H12" s="3"/>
      <c r="I12" s="250"/>
      <c r="J12" s="306" t="s">
        <v>403</v>
      </c>
      <c r="K12" s="169">
        <f>SUM(K13:K16)</f>
        <v>0</v>
      </c>
      <c r="L12" s="3" t="s">
        <v>36</v>
      </c>
      <c r="M12" s="16" t="s">
        <v>102</v>
      </c>
      <c r="N12" s="250"/>
      <c r="O12" s="3" t="s">
        <v>36</v>
      </c>
      <c r="P12" s="295"/>
      <c r="Q12" s="295"/>
      <c r="R12" s="295"/>
      <c r="S12" s="295"/>
      <c r="T12" s="295"/>
      <c r="U12" s="296"/>
      <c r="V12" s="116"/>
      <c r="W12" s="116"/>
      <c r="X12" s="116"/>
      <c r="Y12" s="116"/>
      <c r="Z12" s="116"/>
      <c r="AA12" s="116"/>
      <c r="AB12" s="76"/>
    </row>
    <row r="13" spans="1:28" ht="25.5">
      <c r="C13" s="53" t="s">
        <v>95</v>
      </c>
      <c r="D13" s="76"/>
      <c r="E13" s="6" t="s">
        <v>108</v>
      </c>
      <c r="F13" s="3" t="s">
        <v>112</v>
      </c>
      <c r="G13" s="76">
        <v>1</v>
      </c>
      <c r="H13" s="3" t="s">
        <v>112</v>
      </c>
      <c r="I13" s="250">
        <f>IF('Passo6-Produtos-Substâncias Hg'!B14=yes,'Passo6-Produtos-Substâncias Hg'!C14,0)</f>
        <v>0</v>
      </c>
      <c r="J13" t="s">
        <v>113</v>
      </c>
      <c r="K13" s="115">
        <f>G13*I13/1000</f>
        <v>0</v>
      </c>
      <c r="L13" s="3" t="s">
        <v>36</v>
      </c>
      <c r="M13" s="15" t="s">
        <v>99</v>
      </c>
      <c r="N13" s="250">
        <f>IF(OR('Passo5-TratResíduos+Reciclágem'!$B$4=yes,'Passo5-TratResíduos+Reciclágem'!$B$4=yes),K12,0)</f>
        <v>0</v>
      </c>
      <c r="O13" s="3" t="s">
        <v>36</v>
      </c>
      <c r="P13" s="295">
        <v>0.1</v>
      </c>
      <c r="Q13" s="295">
        <v>0.3</v>
      </c>
      <c r="R13" s="295"/>
      <c r="S13" s="295"/>
      <c r="T13" s="295">
        <v>0.6</v>
      </c>
      <c r="U13" s="295"/>
      <c r="V13" s="116">
        <f t="shared" ref="V13:Y15" si="2">$N13*P13</f>
        <v>0</v>
      </c>
      <c r="W13" s="116">
        <f t="shared" si="2"/>
        <v>0</v>
      </c>
      <c r="X13" s="116">
        <f t="shared" si="2"/>
        <v>0</v>
      </c>
      <c r="Y13" s="116">
        <f t="shared" si="2"/>
        <v>0</v>
      </c>
      <c r="Z13" s="116">
        <f t="shared" ref="Z13:AA15" si="3">$N13*T13</f>
        <v>0</v>
      </c>
      <c r="AA13" s="116">
        <f t="shared" si="3"/>
        <v>0</v>
      </c>
      <c r="AB13" s="76"/>
    </row>
    <row r="14" spans="1:28" ht="25.5">
      <c r="C14" s="53" t="s">
        <v>96</v>
      </c>
      <c r="D14" s="76"/>
      <c r="E14" s="6" t="s">
        <v>110</v>
      </c>
      <c r="F14" s="3" t="s">
        <v>112</v>
      </c>
      <c r="G14" s="76">
        <v>3.5</v>
      </c>
      <c r="H14" s="3" t="s">
        <v>112</v>
      </c>
      <c r="I14" s="250">
        <f>IF('Passo6-Produtos-Substâncias Hg'!B15=yes,0.5*'Passo6-Produtos-Substâncias Hg'!C15,0)</f>
        <v>0</v>
      </c>
      <c r="J14" t="s">
        <v>113</v>
      </c>
      <c r="K14" s="115">
        <f>G14*I14/1000</f>
        <v>0</v>
      </c>
      <c r="L14" s="3" t="s">
        <v>36</v>
      </c>
      <c r="M14" s="15" t="s">
        <v>114</v>
      </c>
      <c r="N14" s="250">
        <f>IF(OR('Passo5-TratResíduos+Reciclágem'!$B$4=no,'Passo5-TratResíduos+Reciclágem'!$B$4=no),K12,0)</f>
        <v>0</v>
      </c>
      <c r="O14" s="3" t="s">
        <v>36</v>
      </c>
      <c r="P14" s="295">
        <v>0.2</v>
      </c>
      <c r="Q14" s="295">
        <v>0.3</v>
      </c>
      <c r="R14" s="295">
        <v>0.2</v>
      </c>
      <c r="S14" s="295"/>
      <c r="T14" s="295">
        <v>0.3</v>
      </c>
      <c r="U14" s="295"/>
      <c r="V14" s="116">
        <f t="shared" si="2"/>
        <v>0</v>
      </c>
      <c r="W14" s="116">
        <f t="shared" si="2"/>
        <v>0</v>
      </c>
      <c r="X14" s="116">
        <f t="shared" si="2"/>
        <v>0</v>
      </c>
      <c r="Y14" s="116">
        <f t="shared" si="2"/>
        <v>0</v>
      </c>
      <c r="Z14" s="116">
        <f t="shared" si="3"/>
        <v>0</v>
      </c>
      <c r="AA14" s="116">
        <f t="shared" si="3"/>
        <v>0</v>
      </c>
      <c r="AB14" s="76"/>
    </row>
    <row r="15" spans="1:28" ht="25.5">
      <c r="C15" s="53" t="s">
        <v>97</v>
      </c>
      <c r="D15" s="76"/>
      <c r="E15" s="6" t="s">
        <v>109</v>
      </c>
      <c r="F15" s="3" t="s">
        <v>112</v>
      </c>
      <c r="G15" s="76">
        <v>103</v>
      </c>
      <c r="H15" s="3" t="s">
        <v>112</v>
      </c>
      <c r="I15" s="250">
        <f>IF('Passo6-Produtos-Substâncias Hg'!B16=yes,'Passo6-Produtos-Substâncias Hg'!C16,0)</f>
        <v>0</v>
      </c>
      <c r="J15" t="s">
        <v>113</v>
      </c>
      <c r="K15" s="115">
        <f>G15*I15/1000</f>
        <v>0</v>
      </c>
      <c r="L15" s="3" t="s">
        <v>36</v>
      </c>
      <c r="M15" s="15" t="s">
        <v>100</v>
      </c>
      <c r="N15" s="250"/>
      <c r="O15" s="3" t="s">
        <v>36</v>
      </c>
      <c r="P15" s="295">
        <v>0.1</v>
      </c>
      <c r="Q15" s="295">
        <v>0.3</v>
      </c>
      <c r="R15" s="295"/>
      <c r="S15" s="295"/>
      <c r="T15" s="295">
        <v>0.3</v>
      </c>
      <c r="U15" s="295">
        <v>0.3</v>
      </c>
      <c r="V15" s="116">
        <f t="shared" si="2"/>
        <v>0</v>
      </c>
      <c r="W15" s="116">
        <f t="shared" si="2"/>
        <v>0</v>
      </c>
      <c r="X15" s="116">
        <f t="shared" si="2"/>
        <v>0</v>
      </c>
      <c r="Y15" s="116">
        <f t="shared" si="2"/>
        <v>0</v>
      </c>
      <c r="Z15" s="116">
        <f t="shared" si="3"/>
        <v>0</v>
      </c>
      <c r="AA15" s="116">
        <f t="shared" si="3"/>
        <v>0</v>
      </c>
      <c r="AB15" s="76"/>
    </row>
    <row r="16" spans="1:28" ht="25.5">
      <c r="C16" s="53" t="s">
        <v>98</v>
      </c>
      <c r="D16" s="76"/>
      <c r="E16" s="27" t="s">
        <v>111</v>
      </c>
      <c r="F16" s="3" t="s">
        <v>112</v>
      </c>
      <c r="G16" s="76">
        <v>20.5</v>
      </c>
      <c r="H16" s="3" t="s">
        <v>112</v>
      </c>
      <c r="I16" s="250">
        <f>IF('Passo6-Produtos-Substâncias Hg'!B15=yes,0.5*'Passo6-Produtos-Substâncias Hg'!C15,0)</f>
        <v>0</v>
      </c>
      <c r="J16" t="s">
        <v>113</v>
      </c>
      <c r="K16" s="115">
        <f>G16*I16/1000</f>
        <v>0</v>
      </c>
      <c r="L16" s="3" t="s">
        <v>36</v>
      </c>
      <c r="N16" s="250"/>
      <c r="O16" s="3"/>
      <c r="P16" s="295"/>
      <c r="Q16" s="295"/>
      <c r="R16" s="295"/>
      <c r="S16" s="295"/>
      <c r="T16" s="295"/>
      <c r="U16" s="296"/>
      <c r="V16" s="116"/>
      <c r="W16" s="116"/>
      <c r="X16" s="116"/>
      <c r="Y16" s="116"/>
      <c r="Z16" s="116"/>
      <c r="AA16" s="116"/>
      <c r="AB16" s="76"/>
    </row>
    <row r="17" spans="2:28" s="55" customFormat="1">
      <c r="C17" s="162"/>
      <c r="D17" s="76"/>
      <c r="E17" s="106"/>
      <c r="F17" s="104"/>
      <c r="G17" s="76"/>
      <c r="H17" s="104"/>
      <c r="I17" s="250"/>
      <c r="K17" s="115"/>
      <c r="L17" s="104"/>
      <c r="M17" s="163"/>
      <c r="N17" s="250"/>
      <c r="O17" s="104"/>
      <c r="P17" s="295"/>
      <c r="Q17" s="295"/>
      <c r="R17" s="295"/>
      <c r="S17" s="295"/>
      <c r="T17" s="295"/>
      <c r="U17" s="296"/>
      <c r="V17" s="116"/>
      <c r="W17" s="116"/>
      <c r="X17" s="116"/>
      <c r="Y17" s="116"/>
      <c r="Z17" s="116"/>
      <c r="AA17" s="116"/>
      <c r="AB17" s="76"/>
    </row>
    <row r="18" spans="2:28" ht="25.5">
      <c r="B18" t="s">
        <v>116</v>
      </c>
      <c r="C18" s="12" t="s">
        <v>115</v>
      </c>
      <c r="D18" s="111"/>
      <c r="G18" s="76"/>
      <c r="I18" s="249"/>
      <c r="K18" s="114"/>
      <c r="L18" s="3"/>
      <c r="M18" s="14"/>
      <c r="N18" s="250"/>
      <c r="O18" s="3"/>
      <c r="P18" s="296"/>
      <c r="Q18" s="296"/>
      <c r="R18" s="296"/>
      <c r="S18" s="296"/>
      <c r="T18" s="296"/>
      <c r="U18" s="296"/>
      <c r="V18" s="114">
        <f t="shared" ref="V18:AA18" si="4">SUM(V19:V23)</f>
        <v>0</v>
      </c>
      <c r="W18" s="114">
        <f t="shared" si="4"/>
        <v>0</v>
      </c>
      <c r="X18" s="114">
        <f t="shared" si="4"/>
        <v>0</v>
      </c>
      <c r="Y18" s="114">
        <f t="shared" si="4"/>
        <v>0</v>
      </c>
      <c r="Z18" s="114">
        <f t="shared" si="4"/>
        <v>0</v>
      </c>
      <c r="AA18" s="114">
        <f t="shared" si="4"/>
        <v>0</v>
      </c>
      <c r="AB18" s="76"/>
    </row>
    <row r="19" spans="2:28">
      <c r="C19" s="12" t="s">
        <v>101</v>
      </c>
      <c r="D19" s="111"/>
      <c r="F19" s="3"/>
      <c r="G19" s="76">
        <v>1</v>
      </c>
      <c r="H19" s="3"/>
      <c r="I19" s="250">
        <f>'Passo4-Uso Industrial de Hg'!C11</f>
        <v>0</v>
      </c>
      <c r="J19" s="8" t="s">
        <v>400</v>
      </c>
      <c r="K19" s="115">
        <f>I19*G19</f>
        <v>0</v>
      </c>
      <c r="L19" s="3"/>
      <c r="M19" s="14" t="s">
        <v>101</v>
      </c>
      <c r="N19" s="250">
        <f>K19</f>
        <v>0</v>
      </c>
      <c r="O19" s="3"/>
      <c r="P19" s="295">
        <v>0.01</v>
      </c>
      <c r="Q19" s="295">
        <v>5.0000000000000001E-3</v>
      </c>
      <c r="R19" s="295">
        <v>0.1</v>
      </c>
      <c r="S19" s="295"/>
      <c r="T19" s="295">
        <v>0.1</v>
      </c>
      <c r="U19" s="295">
        <v>0.01</v>
      </c>
      <c r="V19" s="116">
        <f t="shared" ref="V19:AA19" si="5">$N19*P19</f>
        <v>0</v>
      </c>
      <c r="W19" s="116">
        <f t="shared" si="5"/>
        <v>0</v>
      </c>
      <c r="X19" s="116">
        <f t="shared" si="5"/>
        <v>0</v>
      </c>
      <c r="Y19" s="116">
        <f t="shared" si="5"/>
        <v>0</v>
      </c>
      <c r="Z19" s="116">
        <f t="shared" si="5"/>
        <v>0</v>
      </c>
      <c r="AA19" s="116">
        <f t="shared" si="5"/>
        <v>0</v>
      </c>
      <c r="AB19" s="76"/>
    </row>
    <row r="20" spans="2:28">
      <c r="C20" s="67" t="s">
        <v>102</v>
      </c>
      <c r="D20" s="111"/>
      <c r="E20" t="s">
        <v>117</v>
      </c>
      <c r="F20" s="3" t="s">
        <v>120</v>
      </c>
      <c r="G20" s="282">
        <v>0.14000000000000001</v>
      </c>
      <c r="H20" s="3" t="s">
        <v>120</v>
      </c>
      <c r="I20" s="250">
        <f>'Passo1-Dados do país'!B6</f>
        <v>0</v>
      </c>
      <c r="J20" s="3" t="s">
        <v>119</v>
      </c>
      <c r="K20" s="170">
        <f>(G20*I20/1000)*'Passo6-Produtos-Substâncias Hg'!$C$19/100</f>
        <v>0</v>
      </c>
      <c r="L20" s="3" t="s">
        <v>36</v>
      </c>
      <c r="M20" s="16" t="s">
        <v>102</v>
      </c>
      <c r="N20" s="250"/>
      <c r="O20" s="3"/>
      <c r="P20" s="295"/>
      <c r="Q20" s="295"/>
      <c r="R20" s="295"/>
      <c r="S20" s="295"/>
      <c r="T20" s="295"/>
      <c r="U20" s="296"/>
      <c r="V20" s="116"/>
      <c r="W20" s="116"/>
      <c r="X20" s="116"/>
      <c r="Y20" s="116"/>
      <c r="Z20" s="116"/>
      <c r="AA20" s="116"/>
      <c r="AB20" s="76"/>
    </row>
    <row r="21" spans="2:28" ht="25.5">
      <c r="C21" s="53"/>
      <c r="D21" s="76"/>
      <c r="E21" s="6"/>
      <c r="F21" s="3"/>
      <c r="G21" s="76"/>
      <c r="H21" s="3"/>
      <c r="I21" s="250"/>
      <c r="K21" s="115"/>
      <c r="L21" s="3"/>
      <c r="M21" s="15" t="s">
        <v>99</v>
      </c>
      <c r="N21" s="250">
        <f>IF(OR('Passo5-TratResíduos+Reciclágem'!$B$4=yes,'Passo5-TratResíduos+Reciclágem'!$B$4=yes),K20,0)</f>
        <v>0</v>
      </c>
      <c r="O21" s="3"/>
      <c r="P21" s="295">
        <v>0.1</v>
      </c>
      <c r="Q21" s="295"/>
      <c r="R21" s="295">
        <v>0.1</v>
      </c>
      <c r="S21" s="295"/>
      <c r="T21" s="295">
        <v>0.8</v>
      </c>
      <c r="U21" s="295"/>
      <c r="V21" s="116">
        <f t="shared" ref="V21:Y23" si="6">$N21*P21</f>
        <v>0</v>
      </c>
      <c r="W21" s="116">
        <f t="shared" si="6"/>
        <v>0</v>
      </c>
      <c r="X21" s="116">
        <f t="shared" si="6"/>
        <v>0</v>
      </c>
      <c r="Y21" s="116">
        <f t="shared" si="6"/>
        <v>0</v>
      </c>
      <c r="Z21" s="116">
        <f t="shared" ref="Z21:AA23" si="7">$N21*T21</f>
        <v>0</v>
      </c>
      <c r="AA21" s="116">
        <f t="shared" si="7"/>
        <v>0</v>
      </c>
      <c r="AB21" s="76"/>
    </row>
    <row r="22" spans="2:28" ht="25.5">
      <c r="C22" s="53"/>
      <c r="D22" s="76"/>
      <c r="E22" s="6"/>
      <c r="F22" s="3"/>
      <c r="G22" s="76"/>
      <c r="H22" s="3"/>
      <c r="I22" s="250"/>
      <c r="K22" s="115"/>
      <c r="L22" s="3"/>
      <c r="M22" s="15" t="s">
        <v>114</v>
      </c>
      <c r="N22" s="250">
        <f>IF(OR('Passo5-TratResíduos+Reciclágem'!$B$4=no,'Passo5-TratResíduos+Reciclágem'!$B$4=no),K20,0)</f>
        <v>0</v>
      </c>
      <c r="O22" s="3"/>
      <c r="P22" s="295">
        <v>0.3</v>
      </c>
      <c r="Q22" s="295"/>
      <c r="R22" s="295">
        <v>0.4</v>
      </c>
      <c r="S22" s="295"/>
      <c r="T22" s="295">
        <v>0.3</v>
      </c>
      <c r="U22" s="295"/>
      <c r="V22" s="116">
        <f t="shared" si="6"/>
        <v>0</v>
      </c>
      <c r="W22" s="116">
        <f t="shared" si="6"/>
        <v>0</v>
      </c>
      <c r="X22" s="116">
        <f t="shared" si="6"/>
        <v>0</v>
      </c>
      <c r="Y22" s="116">
        <f t="shared" si="6"/>
        <v>0</v>
      </c>
      <c r="Z22" s="116">
        <f t="shared" si="7"/>
        <v>0</v>
      </c>
      <c r="AA22" s="116">
        <f t="shared" si="7"/>
        <v>0</v>
      </c>
      <c r="AB22" s="76"/>
    </row>
    <row r="23" spans="2:28" ht="25.5">
      <c r="C23" s="53"/>
      <c r="D23" s="76"/>
      <c r="E23" s="6"/>
      <c r="F23" s="3"/>
      <c r="G23" s="76"/>
      <c r="H23" s="3"/>
      <c r="I23" s="250"/>
      <c r="K23" s="115"/>
      <c r="L23" s="3"/>
      <c r="M23" s="15" t="s">
        <v>100</v>
      </c>
      <c r="N23" s="250"/>
      <c r="O23" s="3"/>
      <c r="P23" s="295">
        <v>0.1</v>
      </c>
      <c r="Q23" s="295"/>
      <c r="R23" s="295">
        <v>0.1</v>
      </c>
      <c r="S23" s="295"/>
      <c r="T23" s="295">
        <v>0.4</v>
      </c>
      <c r="U23" s="295">
        <v>0.4</v>
      </c>
      <c r="V23" s="116">
        <f t="shared" si="6"/>
        <v>0</v>
      </c>
      <c r="W23" s="116">
        <f t="shared" si="6"/>
        <v>0</v>
      </c>
      <c r="X23" s="116">
        <f t="shared" si="6"/>
        <v>0</v>
      </c>
      <c r="Y23" s="116">
        <f t="shared" si="6"/>
        <v>0</v>
      </c>
      <c r="Z23" s="116">
        <f t="shared" si="7"/>
        <v>0</v>
      </c>
      <c r="AA23" s="116">
        <f t="shared" si="7"/>
        <v>0</v>
      </c>
      <c r="AB23" s="76"/>
    </row>
    <row r="24" spans="2:28" s="55" customFormat="1">
      <c r="C24" s="162"/>
      <c r="D24" s="76"/>
      <c r="E24" s="106"/>
      <c r="F24" s="104"/>
      <c r="G24" s="76"/>
      <c r="H24" s="104"/>
      <c r="I24" s="250"/>
      <c r="K24" s="115"/>
      <c r="L24" s="104"/>
      <c r="M24" s="107"/>
      <c r="N24" s="250"/>
      <c r="O24" s="104"/>
      <c r="P24" s="295"/>
      <c r="Q24" s="295"/>
      <c r="R24" s="295"/>
      <c r="S24" s="295"/>
      <c r="T24" s="295"/>
      <c r="U24" s="295"/>
      <c r="V24" s="116"/>
      <c r="W24" s="116"/>
      <c r="X24" s="116"/>
      <c r="Y24" s="116"/>
      <c r="Z24" s="116"/>
      <c r="AA24" s="116"/>
      <c r="AB24" s="76"/>
    </row>
    <row r="25" spans="2:28">
      <c r="B25" t="s">
        <v>121</v>
      </c>
      <c r="C25" s="5" t="s">
        <v>332</v>
      </c>
      <c r="D25" s="111"/>
      <c r="G25" s="76"/>
      <c r="I25" s="249"/>
      <c r="K25" s="114"/>
      <c r="L25" s="3"/>
      <c r="M25" s="14"/>
      <c r="N25" s="250"/>
      <c r="O25" s="3"/>
      <c r="P25" s="296"/>
      <c r="Q25" s="296"/>
      <c r="R25" s="296"/>
      <c r="S25" s="296"/>
      <c r="T25" s="296"/>
      <c r="U25" s="296"/>
      <c r="V25" s="114">
        <f t="shared" ref="V25:AA25" si="8">SUM(V26:V33)</f>
        <v>0</v>
      </c>
      <c r="W25" s="114">
        <f t="shared" si="8"/>
        <v>0</v>
      </c>
      <c r="X25" s="114">
        <f t="shared" si="8"/>
        <v>0</v>
      </c>
      <c r="Y25" s="114">
        <f t="shared" si="8"/>
        <v>0</v>
      </c>
      <c r="Z25" s="114">
        <f t="shared" si="8"/>
        <v>0</v>
      </c>
      <c r="AA25" s="114">
        <f t="shared" si="8"/>
        <v>0</v>
      </c>
      <c r="AB25" s="76"/>
    </row>
    <row r="26" spans="2:28">
      <c r="C26" s="12" t="s">
        <v>101</v>
      </c>
      <c r="D26" s="111"/>
      <c r="F26" s="3"/>
      <c r="G26" s="76">
        <v>1</v>
      </c>
      <c r="H26" s="3"/>
      <c r="I26" s="250">
        <f>'Passo4-Uso Industrial de Hg'!C12</f>
        <v>0</v>
      </c>
      <c r="J26" s="8" t="s">
        <v>400</v>
      </c>
      <c r="K26" s="115">
        <f>I26*G26</f>
        <v>0</v>
      </c>
      <c r="L26" s="3" t="s">
        <v>36</v>
      </c>
      <c r="M26" s="14" t="s">
        <v>101</v>
      </c>
      <c r="N26" s="250">
        <f>K26</f>
        <v>0</v>
      </c>
      <c r="O26" s="3"/>
      <c r="P26" s="295">
        <v>0.01</v>
      </c>
      <c r="Q26" s="295">
        <v>5.0000000000000001E-3</v>
      </c>
      <c r="R26" s="295">
        <v>0.1</v>
      </c>
      <c r="S26" s="295"/>
      <c r="T26" s="295">
        <v>0.1</v>
      </c>
      <c r="U26" s="295">
        <v>0.01</v>
      </c>
      <c r="V26" s="116">
        <f t="shared" ref="V26:AA26" si="9">$N26*P26</f>
        <v>0</v>
      </c>
      <c r="W26" s="116">
        <f t="shared" si="9"/>
        <v>0</v>
      </c>
      <c r="X26" s="116">
        <f t="shared" si="9"/>
        <v>0</v>
      </c>
      <c r="Y26" s="116">
        <f t="shared" si="9"/>
        <v>0</v>
      </c>
      <c r="Z26" s="116">
        <f t="shared" si="9"/>
        <v>0</v>
      </c>
      <c r="AA26" s="116">
        <f t="shared" si="9"/>
        <v>0</v>
      </c>
      <c r="AB26" s="76"/>
    </row>
    <row r="27" spans="2:28">
      <c r="C27" s="67" t="s">
        <v>102</v>
      </c>
      <c r="D27" s="111"/>
      <c r="E27" s="6"/>
      <c r="F27" s="3"/>
      <c r="G27" s="76"/>
      <c r="H27" s="3"/>
      <c r="I27" s="250"/>
      <c r="K27" s="169">
        <f>SUM(K28:K33)</f>
        <v>0</v>
      </c>
      <c r="L27" s="3" t="s">
        <v>36</v>
      </c>
      <c r="M27" s="16" t="s">
        <v>102</v>
      </c>
      <c r="N27" s="250"/>
      <c r="O27" s="3"/>
      <c r="P27" s="295"/>
      <c r="Q27" s="295"/>
      <c r="R27" s="295"/>
      <c r="S27" s="295"/>
      <c r="T27" s="295"/>
      <c r="U27" s="296"/>
      <c r="V27" s="116"/>
      <c r="W27" s="116"/>
      <c r="X27" s="116"/>
      <c r="Y27" s="116"/>
      <c r="Z27" s="116"/>
      <c r="AA27" s="116"/>
      <c r="AB27" s="76"/>
    </row>
    <row r="28" spans="2:28" ht="25.5">
      <c r="C28" s="53" t="s">
        <v>122</v>
      </c>
      <c r="D28" s="167"/>
      <c r="E28" t="s">
        <v>128</v>
      </c>
      <c r="F28" s="3" t="s">
        <v>134</v>
      </c>
      <c r="G28" s="76">
        <v>25</v>
      </c>
      <c r="H28" s="3" t="s">
        <v>134</v>
      </c>
      <c r="I28" s="250">
        <f>IF('Passo6-Produtos-Substâncias Hg'!B22=yes,'Passo6-Produtos-Substâncias Hg'!C22,0)</f>
        <v>0</v>
      </c>
      <c r="J28" t="s">
        <v>113</v>
      </c>
      <c r="K28" s="115">
        <f t="shared" ref="K28:K33" si="10">G28*I28/1000000</f>
        <v>0</v>
      </c>
      <c r="L28" s="3" t="s">
        <v>36</v>
      </c>
      <c r="M28" s="15" t="s">
        <v>99</v>
      </c>
      <c r="N28" s="250">
        <f>IF(OR('Passo5-TratResíduos+Reciclágem'!$B$4=yes,'Passo5-TratResíduos+Reciclágem'!$B$4=yes),K27,0)</f>
        <v>0</v>
      </c>
      <c r="O28" s="3"/>
      <c r="P28" s="295">
        <v>0.05</v>
      </c>
      <c r="Q28" s="295"/>
      <c r="R28" s="295"/>
      <c r="S28" s="295"/>
      <c r="T28" s="295">
        <v>0.95</v>
      </c>
      <c r="U28" s="295"/>
      <c r="V28" s="116">
        <f t="shared" ref="V28:Y30" si="11">$N28*P28</f>
        <v>0</v>
      </c>
      <c r="W28" s="116">
        <f t="shared" si="11"/>
        <v>0</v>
      </c>
      <c r="X28" s="116">
        <f t="shared" si="11"/>
        <v>0</v>
      </c>
      <c r="Y28" s="116">
        <f t="shared" si="11"/>
        <v>0</v>
      </c>
      <c r="Z28" s="116">
        <f t="shared" ref="Z28:AA30" si="12">$N28*T28</f>
        <v>0</v>
      </c>
      <c r="AA28" s="116">
        <f t="shared" si="12"/>
        <v>0</v>
      </c>
      <c r="AB28" s="76"/>
    </row>
    <row r="29" spans="2:28" ht="25.5">
      <c r="C29" s="53" t="s">
        <v>123</v>
      </c>
      <c r="D29" s="167"/>
      <c r="E29" t="s">
        <v>129</v>
      </c>
      <c r="F29" s="3" t="s">
        <v>134</v>
      </c>
      <c r="G29" s="76">
        <v>10</v>
      </c>
      <c r="H29" s="3" t="s">
        <v>134</v>
      </c>
      <c r="I29" s="250">
        <f>IF('Passo6-Produtos-Substâncias Hg'!B23=yes,'Passo6-Produtos-Substâncias Hg'!C23,0)</f>
        <v>0</v>
      </c>
      <c r="J29" t="s">
        <v>113</v>
      </c>
      <c r="K29" s="115">
        <f t="shared" si="10"/>
        <v>0</v>
      </c>
      <c r="L29" s="3" t="s">
        <v>36</v>
      </c>
      <c r="M29" s="15" t="s">
        <v>114</v>
      </c>
      <c r="N29" s="250">
        <f>IF(OR('Passo5-TratResíduos+Reciclágem'!$B$4=no,'Passo5-TratResíduos+Reciclágem'!$B$4=no),K27,0)</f>
        <v>0</v>
      </c>
      <c r="O29" s="3"/>
      <c r="P29" s="295">
        <v>0.3</v>
      </c>
      <c r="Q29" s="295"/>
      <c r="R29" s="295">
        <v>0.3</v>
      </c>
      <c r="S29" s="295"/>
      <c r="T29" s="295">
        <v>0.4</v>
      </c>
      <c r="U29" s="295"/>
      <c r="V29" s="116">
        <f t="shared" si="11"/>
        <v>0</v>
      </c>
      <c r="W29" s="116">
        <f t="shared" si="11"/>
        <v>0</v>
      </c>
      <c r="X29" s="116">
        <f t="shared" si="11"/>
        <v>0</v>
      </c>
      <c r="Y29" s="116">
        <f t="shared" si="11"/>
        <v>0</v>
      </c>
      <c r="Z29" s="116">
        <f t="shared" si="12"/>
        <v>0</v>
      </c>
      <c r="AA29" s="116">
        <f t="shared" si="12"/>
        <v>0</v>
      </c>
      <c r="AB29" s="76"/>
    </row>
    <row r="30" spans="2:28" ht="25.5">
      <c r="C30" s="53" t="s">
        <v>124</v>
      </c>
      <c r="D30" s="130"/>
      <c r="E30" t="s">
        <v>130</v>
      </c>
      <c r="F30" s="3" t="s">
        <v>134</v>
      </c>
      <c r="G30" s="76">
        <v>30</v>
      </c>
      <c r="H30" s="3" t="s">
        <v>134</v>
      </c>
      <c r="I30" s="250">
        <f>IF('Passo6-Produtos-Substâncias Hg'!B24=yes,'Passo6-Produtos-Substâncias Hg'!C24/4,0)</f>
        <v>0</v>
      </c>
      <c r="J30" t="s">
        <v>113</v>
      </c>
      <c r="K30" s="115">
        <f t="shared" si="10"/>
        <v>0</v>
      </c>
      <c r="L30" s="3" t="s">
        <v>36</v>
      </c>
      <c r="M30" s="15" t="s">
        <v>100</v>
      </c>
      <c r="N30" s="250"/>
      <c r="O30" s="3"/>
      <c r="P30" s="295">
        <v>0.05</v>
      </c>
      <c r="Q30" s="295"/>
      <c r="R30" s="295"/>
      <c r="S30" s="295"/>
      <c r="T30" s="295">
        <v>0.8</v>
      </c>
      <c r="U30" s="295">
        <v>0.15</v>
      </c>
      <c r="V30" s="116">
        <f t="shared" si="11"/>
        <v>0</v>
      </c>
      <c r="W30" s="116">
        <f t="shared" si="11"/>
        <v>0</v>
      </c>
      <c r="X30" s="116">
        <f t="shared" si="11"/>
        <v>0</v>
      </c>
      <c r="Y30" s="116">
        <f t="shared" si="11"/>
        <v>0</v>
      </c>
      <c r="Z30" s="116">
        <f t="shared" si="12"/>
        <v>0</v>
      </c>
      <c r="AA30" s="116">
        <f t="shared" si="12"/>
        <v>0</v>
      </c>
      <c r="AB30" s="76"/>
    </row>
    <row r="31" spans="2:28">
      <c r="C31" s="53" t="s">
        <v>125</v>
      </c>
      <c r="D31" s="167"/>
      <c r="E31" t="s">
        <v>131</v>
      </c>
      <c r="F31" s="3" t="s">
        <v>134</v>
      </c>
      <c r="G31" s="76">
        <v>20</v>
      </c>
      <c r="H31" s="3" t="s">
        <v>134</v>
      </c>
      <c r="I31" s="250">
        <f>IF('Passo6-Produtos-Substâncias Hg'!B24=yes,'Passo6-Produtos-Substâncias Hg'!C24/4,0)</f>
        <v>0</v>
      </c>
      <c r="J31" t="s">
        <v>113</v>
      </c>
      <c r="K31" s="115">
        <f t="shared" si="10"/>
        <v>0</v>
      </c>
      <c r="L31" s="3" t="s">
        <v>36</v>
      </c>
      <c r="N31" s="250"/>
      <c r="O31" s="3"/>
      <c r="P31" s="295"/>
      <c r="Q31" s="295"/>
      <c r="R31" s="295"/>
      <c r="S31" s="295"/>
      <c r="T31" s="295"/>
      <c r="U31" s="296"/>
      <c r="V31" s="116"/>
      <c r="W31" s="116"/>
      <c r="X31" s="116"/>
      <c r="Y31" s="116"/>
      <c r="Z31" s="116"/>
      <c r="AA31" s="116"/>
      <c r="AB31" s="76"/>
    </row>
    <row r="32" spans="2:28">
      <c r="C32" s="53" t="s">
        <v>126</v>
      </c>
      <c r="D32" s="167"/>
      <c r="E32" t="s">
        <v>132</v>
      </c>
      <c r="F32" s="3" t="s">
        <v>134</v>
      </c>
      <c r="G32" s="76">
        <v>15</v>
      </c>
      <c r="H32" s="3" t="s">
        <v>134</v>
      </c>
      <c r="I32" s="250">
        <f>IF('Passo6-Produtos-Substâncias Hg'!B24=yes,'Passo6-Produtos-Substâncias Hg'!C24/4,0)</f>
        <v>0</v>
      </c>
      <c r="J32" t="s">
        <v>113</v>
      </c>
      <c r="K32" s="115">
        <f t="shared" si="10"/>
        <v>0</v>
      </c>
      <c r="L32" s="3" t="s">
        <v>36</v>
      </c>
      <c r="M32" s="15"/>
      <c r="N32" s="250"/>
      <c r="O32" s="3"/>
      <c r="P32" s="295"/>
      <c r="Q32" s="295"/>
      <c r="R32" s="295"/>
      <c r="S32" s="295"/>
      <c r="T32" s="295"/>
      <c r="U32" s="295"/>
      <c r="V32" s="116"/>
      <c r="W32" s="116"/>
      <c r="X32" s="116"/>
      <c r="Y32" s="116"/>
      <c r="Z32" s="116"/>
      <c r="AA32" s="116"/>
      <c r="AB32" s="76"/>
    </row>
    <row r="33" spans="2:28">
      <c r="C33" s="53" t="s">
        <v>127</v>
      </c>
      <c r="D33" s="130"/>
      <c r="E33" t="s">
        <v>133</v>
      </c>
      <c r="F33" s="3" t="s">
        <v>134</v>
      </c>
      <c r="G33" s="76">
        <v>25</v>
      </c>
      <c r="H33" s="3" t="s">
        <v>134</v>
      </c>
      <c r="I33" s="250">
        <f>IF('Passo6-Produtos-Substâncias Hg'!B24=yes,'Passo6-Produtos-Substâncias Hg'!C24/4,0)</f>
        <v>0</v>
      </c>
      <c r="J33" t="s">
        <v>113</v>
      </c>
      <c r="K33" s="115">
        <f t="shared" si="10"/>
        <v>0</v>
      </c>
      <c r="L33" s="3" t="s">
        <v>36</v>
      </c>
      <c r="M33" s="15"/>
      <c r="N33" s="250"/>
      <c r="O33" s="3"/>
      <c r="P33" s="295"/>
      <c r="Q33" s="295"/>
      <c r="R33" s="295"/>
      <c r="S33" s="295"/>
      <c r="T33" s="295"/>
      <c r="U33" s="295"/>
      <c r="V33" s="116"/>
      <c r="W33" s="116"/>
      <c r="X33" s="116"/>
      <c r="Y33" s="116"/>
      <c r="Z33" s="116"/>
      <c r="AA33" s="116"/>
      <c r="AB33" s="76"/>
    </row>
    <row r="34" spans="2:28" s="55" customFormat="1">
      <c r="C34" s="162"/>
      <c r="D34" s="76"/>
      <c r="E34"/>
      <c r="F34" s="104"/>
      <c r="G34" s="76"/>
      <c r="H34" s="104"/>
      <c r="I34" s="250"/>
      <c r="K34" s="115"/>
      <c r="L34" s="104"/>
      <c r="M34" s="107"/>
      <c r="N34" s="250"/>
      <c r="O34" s="104"/>
      <c r="P34" s="295"/>
      <c r="Q34" s="295"/>
      <c r="R34" s="295"/>
      <c r="S34" s="295"/>
      <c r="T34" s="295"/>
      <c r="U34" s="295"/>
      <c r="V34" s="116"/>
      <c r="W34" s="116"/>
      <c r="X34" s="116"/>
      <c r="Y34" s="116"/>
      <c r="Z34" s="116"/>
      <c r="AA34" s="116"/>
      <c r="AB34" s="76"/>
    </row>
    <row r="35" spans="2:28">
      <c r="B35" t="s">
        <v>137</v>
      </c>
      <c r="C35" s="12" t="s">
        <v>138</v>
      </c>
      <c r="D35" s="111"/>
      <c r="G35" s="76"/>
      <c r="I35" s="249"/>
      <c r="K35" s="114"/>
      <c r="L35" s="3"/>
      <c r="M35" s="14"/>
      <c r="N35" s="250"/>
      <c r="O35" s="3"/>
      <c r="P35" s="296"/>
      <c r="Q35" s="296"/>
      <c r="R35" s="296"/>
      <c r="S35" s="296"/>
      <c r="T35" s="296"/>
      <c r="U35" s="296"/>
      <c r="V35" s="114">
        <f t="shared" ref="V35:AA35" si="13">SUM(V36:V47)</f>
        <v>0</v>
      </c>
      <c r="W35" s="114">
        <f t="shared" si="13"/>
        <v>0</v>
      </c>
      <c r="X35" s="114">
        <f t="shared" si="13"/>
        <v>0</v>
      </c>
      <c r="Y35" s="114">
        <f t="shared" si="13"/>
        <v>0</v>
      </c>
      <c r="Z35" s="114">
        <f t="shared" si="13"/>
        <v>0</v>
      </c>
      <c r="AA35" s="114">
        <f t="shared" si="13"/>
        <v>0</v>
      </c>
      <c r="AB35" s="76"/>
    </row>
    <row r="36" spans="2:28">
      <c r="C36" s="12" t="s">
        <v>365</v>
      </c>
      <c r="D36" s="111"/>
      <c r="F36" s="3"/>
      <c r="G36" s="76">
        <v>1</v>
      </c>
      <c r="H36" s="3"/>
      <c r="I36" s="250">
        <f>'Passo4-Uso Industrial de Hg'!C13</f>
        <v>0</v>
      </c>
      <c r="J36" s="8" t="s">
        <v>400</v>
      </c>
      <c r="K36" s="115">
        <f>I36*G36</f>
        <v>0</v>
      </c>
      <c r="L36" s="3"/>
      <c r="M36" s="14" t="s">
        <v>365</v>
      </c>
      <c r="N36" s="250">
        <f>K36</f>
        <v>0</v>
      </c>
      <c r="O36" s="3" t="s">
        <v>36</v>
      </c>
      <c r="P36" s="295">
        <v>5.0000000000000001E-3</v>
      </c>
      <c r="Q36" s="295">
        <v>5.0000000000000001E-3</v>
      </c>
      <c r="R36" s="295">
        <v>0.1</v>
      </c>
      <c r="S36" s="295"/>
      <c r="T36" s="295">
        <v>0.1</v>
      </c>
      <c r="U36" s="295">
        <v>0.01</v>
      </c>
      <c r="V36" s="116">
        <f t="shared" ref="V36:AA36" si="14">$N36*P36</f>
        <v>0</v>
      </c>
      <c r="W36" s="116">
        <f t="shared" si="14"/>
        <v>0</v>
      </c>
      <c r="X36" s="116">
        <f t="shared" si="14"/>
        <v>0</v>
      </c>
      <c r="Y36" s="116">
        <f t="shared" si="14"/>
        <v>0</v>
      </c>
      <c r="Z36" s="116">
        <f t="shared" si="14"/>
        <v>0</v>
      </c>
      <c r="AA36" s="116">
        <f t="shared" si="14"/>
        <v>0</v>
      </c>
      <c r="AB36" s="76"/>
    </row>
    <row r="37" spans="2:28" ht="38.25">
      <c r="C37" s="53" t="s">
        <v>139</v>
      </c>
      <c r="D37" s="130"/>
      <c r="E37" s="451">
        <v>320</v>
      </c>
      <c r="F37" s="3" t="s">
        <v>350</v>
      </c>
      <c r="G37" s="168">
        <v>320</v>
      </c>
      <c r="H37" s="3" t="s">
        <v>350</v>
      </c>
      <c r="I37" s="250"/>
      <c r="J37" t="s">
        <v>342</v>
      </c>
      <c r="K37" s="115">
        <f>G37*I37</f>
        <v>0</v>
      </c>
      <c r="L37" s="3" t="s">
        <v>36</v>
      </c>
      <c r="M37" s="15"/>
      <c r="N37" s="250"/>
      <c r="O37" s="3"/>
      <c r="P37" s="295"/>
      <c r="Q37" s="295"/>
      <c r="R37" s="295"/>
      <c r="S37" s="295"/>
      <c r="T37" s="295"/>
      <c r="U37" s="295"/>
      <c r="V37" s="116"/>
      <c r="W37" s="116"/>
      <c r="X37" s="116"/>
      <c r="Y37" s="116"/>
      <c r="Z37" s="116"/>
      <c r="AA37" s="116"/>
      <c r="AB37" s="76"/>
    </row>
    <row r="38" spans="2:28">
      <c r="C38" s="53" t="s">
        <v>140</v>
      </c>
      <c r="D38" s="130"/>
      <c r="E38" s="451">
        <v>12</v>
      </c>
      <c r="F38" s="3" t="s">
        <v>350</v>
      </c>
      <c r="G38" s="168">
        <v>12</v>
      </c>
      <c r="H38" s="3" t="s">
        <v>350</v>
      </c>
      <c r="I38" s="250"/>
      <c r="J38" t="s">
        <v>342</v>
      </c>
      <c r="K38" s="115">
        <f>G38*I38</f>
        <v>0</v>
      </c>
      <c r="L38" s="3" t="s">
        <v>36</v>
      </c>
      <c r="M38" s="15"/>
      <c r="N38" s="250"/>
      <c r="O38" s="3"/>
      <c r="P38" s="295"/>
      <c r="Q38" s="295"/>
      <c r="R38" s="295"/>
      <c r="S38" s="295"/>
      <c r="T38" s="295"/>
      <c r="U38" s="295"/>
      <c r="V38" s="116"/>
      <c r="W38" s="116"/>
      <c r="X38" s="116"/>
      <c r="Y38" s="116"/>
      <c r="Z38" s="116"/>
      <c r="AA38" s="116"/>
      <c r="AB38" s="76"/>
    </row>
    <row r="39" spans="2:28">
      <c r="C39" s="53" t="s">
        <v>141</v>
      </c>
      <c r="D39" s="130"/>
      <c r="E39" s="451">
        <v>5</v>
      </c>
      <c r="F39" s="3" t="s">
        <v>350</v>
      </c>
      <c r="G39" s="168">
        <v>5</v>
      </c>
      <c r="H39" s="3" t="s">
        <v>350</v>
      </c>
      <c r="I39" s="250"/>
      <c r="J39" t="s">
        <v>342</v>
      </c>
      <c r="K39" s="115">
        <f>G39*I39</f>
        <v>0</v>
      </c>
      <c r="L39" s="3" t="s">
        <v>36</v>
      </c>
      <c r="M39" s="15"/>
      <c r="N39" s="250"/>
      <c r="O39" s="3"/>
      <c r="P39" s="295"/>
      <c r="Q39" s="295"/>
      <c r="R39" s="295"/>
      <c r="S39" s="295"/>
      <c r="T39" s="295"/>
      <c r="U39" s="295"/>
      <c r="V39" s="116"/>
      <c r="W39" s="116"/>
      <c r="X39" s="116"/>
      <c r="Y39" s="116"/>
      <c r="Z39" s="116"/>
      <c r="AA39" s="116"/>
      <c r="AB39" s="76"/>
    </row>
    <row r="40" spans="2:28">
      <c r="C40" s="53" t="s">
        <v>142</v>
      </c>
      <c r="D40" s="130"/>
      <c r="E40" s="451">
        <v>4</v>
      </c>
      <c r="F40" s="3" t="s">
        <v>350</v>
      </c>
      <c r="G40" s="168">
        <v>4</v>
      </c>
      <c r="H40" s="3" t="s">
        <v>350</v>
      </c>
      <c r="I40" s="250"/>
      <c r="J40" t="s">
        <v>342</v>
      </c>
      <c r="K40" s="115">
        <f>G40*I40</f>
        <v>0</v>
      </c>
      <c r="L40" s="3" t="s">
        <v>36</v>
      </c>
      <c r="N40" s="250"/>
      <c r="O40" s="3"/>
      <c r="P40" s="295"/>
      <c r="Q40" s="295"/>
      <c r="R40" s="295"/>
      <c r="S40" s="295"/>
      <c r="T40" s="295"/>
      <c r="U40" s="296"/>
      <c r="V40" s="116"/>
      <c r="W40" s="116"/>
      <c r="X40" s="116"/>
      <c r="Y40" s="116"/>
      <c r="Z40" s="116"/>
      <c r="AA40" s="116"/>
      <c r="AB40" s="76"/>
    </row>
    <row r="41" spans="2:28" ht="25.5">
      <c r="C41" s="53" t="s">
        <v>143</v>
      </c>
      <c r="D41" s="130"/>
      <c r="E41" s="451" t="s">
        <v>118</v>
      </c>
      <c r="F41" s="3" t="s">
        <v>350</v>
      </c>
      <c r="G41" s="168">
        <v>0.25</v>
      </c>
      <c r="H41" s="3" t="s">
        <v>350</v>
      </c>
      <c r="I41" s="250"/>
      <c r="J41" t="s">
        <v>342</v>
      </c>
      <c r="K41" s="115">
        <f>G41*I41</f>
        <v>0</v>
      </c>
      <c r="L41" s="3" t="s">
        <v>36</v>
      </c>
      <c r="N41" s="250"/>
      <c r="O41" s="3"/>
      <c r="P41" s="295"/>
      <c r="Q41" s="295"/>
      <c r="R41" s="295"/>
      <c r="S41" s="295"/>
      <c r="T41" s="295"/>
      <c r="U41" s="296"/>
      <c r="V41" s="172"/>
      <c r="W41" s="172"/>
      <c r="X41" s="172"/>
      <c r="Y41" s="172"/>
      <c r="Z41" s="172"/>
      <c r="AA41" s="172"/>
      <c r="AB41" s="76"/>
    </row>
    <row r="42" spans="2:28">
      <c r="C42" s="12" t="s">
        <v>102</v>
      </c>
      <c r="D42" s="111"/>
      <c r="E42" s="451"/>
      <c r="F42" s="3"/>
      <c r="G42" s="76"/>
      <c r="H42" s="3"/>
      <c r="I42" s="250"/>
      <c r="K42" s="169">
        <f>SUM(K43:K47)</f>
        <v>0</v>
      </c>
      <c r="L42" s="3" t="s">
        <v>36</v>
      </c>
      <c r="M42" s="16" t="s">
        <v>102</v>
      </c>
      <c r="N42" s="250"/>
      <c r="O42" s="3"/>
      <c r="P42" s="295"/>
      <c r="Q42" s="295"/>
      <c r="R42" s="295"/>
      <c r="S42" s="295"/>
      <c r="T42" s="295"/>
      <c r="U42" s="296"/>
      <c r="V42" s="172"/>
      <c r="W42" s="172"/>
      <c r="X42" s="172"/>
      <c r="Y42" s="172"/>
      <c r="Z42" s="172"/>
      <c r="AA42" s="172"/>
      <c r="AB42" s="76"/>
    </row>
    <row r="43" spans="2:28" ht="38.25">
      <c r="C43" s="53" t="s">
        <v>139</v>
      </c>
      <c r="D43" s="130"/>
      <c r="E43" s="451">
        <v>320</v>
      </c>
      <c r="F43" s="3" t="s">
        <v>350</v>
      </c>
      <c r="G43" s="168">
        <v>320</v>
      </c>
      <c r="H43" s="3" t="s">
        <v>350</v>
      </c>
      <c r="I43" s="250">
        <f>IF('Passo6-Produtos-Substâncias Hg'!B27=yes,'Passo6-Produtos-Substâncias Hg'!C27,0)</f>
        <v>0</v>
      </c>
      <c r="J43" t="s">
        <v>342</v>
      </c>
      <c r="K43" s="115">
        <f>G43*I43</f>
        <v>0</v>
      </c>
      <c r="L43" s="3" t="s">
        <v>36</v>
      </c>
      <c r="M43" s="15" t="s">
        <v>99</v>
      </c>
      <c r="N43" s="250">
        <f>IF(OR('Passo5-TratResíduos+Reciclágem'!$B$4=yes,'Passo5-TratResíduos+Reciclágem'!$B$4=yes),K42,0)</f>
        <v>0</v>
      </c>
      <c r="O43" s="3"/>
      <c r="P43" s="295"/>
      <c r="Q43" s="295"/>
      <c r="R43" s="295"/>
      <c r="S43" s="295"/>
      <c r="T43" s="295">
        <v>1</v>
      </c>
      <c r="U43" s="295"/>
      <c r="V43" s="116">
        <f t="shared" ref="V43:Y45" si="15">$N43*P43</f>
        <v>0</v>
      </c>
      <c r="W43" s="116">
        <f t="shared" si="15"/>
        <v>0</v>
      </c>
      <c r="X43" s="116">
        <f t="shared" si="15"/>
        <v>0</v>
      </c>
      <c r="Y43" s="116">
        <f t="shared" si="15"/>
        <v>0</v>
      </c>
      <c r="Z43" s="116">
        <f t="shared" ref="Z43:AA45" si="16">$N43*T43</f>
        <v>0</v>
      </c>
      <c r="AA43" s="116">
        <f t="shared" si="16"/>
        <v>0</v>
      </c>
      <c r="AB43" s="76"/>
    </row>
    <row r="44" spans="2:28" ht="25.5">
      <c r="C44" s="53" t="s">
        <v>140</v>
      </c>
      <c r="D44" s="130"/>
      <c r="E44" s="451">
        <v>12</v>
      </c>
      <c r="F44" s="3" t="s">
        <v>350</v>
      </c>
      <c r="G44" s="168">
        <v>12</v>
      </c>
      <c r="H44" s="3" t="s">
        <v>350</v>
      </c>
      <c r="I44" s="250">
        <f>IF('Passo6-Produtos-Substâncias Hg'!B28=yes,'Passo6-Produtos-Substâncias Hg'!C28/3,0)</f>
        <v>0</v>
      </c>
      <c r="J44" t="s">
        <v>342</v>
      </c>
      <c r="K44" s="115">
        <f>G44*I44</f>
        <v>0</v>
      </c>
      <c r="L44" s="3" t="s">
        <v>36</v>
      </c>
      <c r="M44" s="15" t="s">
        <v>114</v>
      </c>
      <c r="N44" s="250">
        <f>IF(OR('Passo5-TratResíduos+Reciclágem'!$B$4=no,'Passo5-TratResíduos+Reciclágem'!$B$4=no),K42,0)</f>
        <v>0</v>
      </c>
      <c r="O44" s="3"/>
      <c r="P44" s="295">
        <v>0.25</v>
      </c>
      <c r="Q44" s="295"/>
      <c r="R44" s="295">
        <v>0.25</v>
      </c>
      <c r="S44" s="295"/>
      <c r="T44" s="295">
        <v>0.5</v>
      </c>
      <c r="U44" s="295"/>
      <c r="V44" s="116">
        <f t="shared" si="15"/>
        <v>0</v>
      </c>
      <c r="W44" s="116">
        <f t="shared" si="15"/>
        <v>0</v>
      </c>
      <c r="X44" s="116">
        <f t="shared" si="15"/>
        <v>0</v>
      </c>
      <c r="Y44" s="116">
        <f t="shared" si="15"/>
        <v>0</v>
      </c>
      <c r="Z44" s="116">
        <f t="shared" si="16"/>
        <v>0</v>
      </c>
      <c r="AA44" s="116">
        <f t="shared" si="16"/>
        <v>0</v>
      </c>
      <c r="AB44" s="76"/>
    </row>
    <row r="45" spans="2:28" ht="25.5">
      <c r="C45" s="53" t="s">
        <v>141</v>
      </c>
      <c r="D45" s="130"/>
      <c r="E45" s="451">
        <v>5</v>
      </c>
      <c r="F45" s="3" t="s">
        <v>350</v>
      </c>
      <c r="G45" s="168">
        <v>5</v>
      </c>
      <c r="H45" s="3" t="s">
        <v>350</v>
      </c>
      <c r="I45" s="250">
        <f>IF('Passo6-Produtos-Substâncias Hg'!B28=yes,'Passo6-Produtos-Substâncias Hg'!C28/3,0)</f>
        <v>0</v>
      </c>
      <c r="J45" t="s">
        <v>342</v>
      </c>
      <c r="K45" s="115">
        <f>G45*I45</f>
        <v>0</v>
      </c>
      <c r="L45" s="3" t="s">
        <v>36</v>
      </c>
      <c r="M45" s="15" t="s">
        <v>100</v>
      </c>
      <c r="N45" s="250"/>
      <c r="O45" s="3"/>
      <c r="P45" s="295"/>
      <c r="Q45" s="295"/>
      <c r="R45" s="295"/>
      <c r="S45" s="295"/>
      <c r="T45" s="295">
        <v>0.6</v>
      </c>
      <c r="U45" s="295">
        <v>0.4</v>
      </c>
      <c r="V45" s="116">
        <f t="shared" si="15"/>
        <v>0</v>
      </c>
      <c r="W45" s="116">
        <f t="shared" si="15"/>
        <v>0</v>
      </c>
      <c r="X45" s="116">
        <f t="shared" si="15"/>
        <v>0</v>
      </c>
      <c r="Y45" s="116">
        <f t="shared" si="15"/>
        <v>0</v>
      </c>
      <c r="Z45" s="116">
        <f t="shared" si="16"/>
        <v>0</v>
      </c>
      <c r="AA45" s="116">
        <f t="shared" si="16"/>
        <v>0</v>
      </c>
      <c r="AB45" s="76"/>
    </row>
    <row r="46" spans="2:28">
      <c r="C46" s="53" t="s">
        <v>142</v>
      </c>
      <c r="D46" s="130"/>
      <c r="E46">
        <v>4</v>
      </c>
      <c r="F46" s="3" t="s">
        <v>350</v>
      </c>
      <c r="G46" s="168">
        <v>4</v>
      </c>
      <c r="H46" s="3" t="s">
        <v>350</v>
      </c>
      <c r="I46" s="250">
        <f>IF('Passo6-Produtos-Substâncias Hg'!B28=yes,'Passo6-Produtos-Substâncias Hg'!C28/3,0)</f>
        <v>0</v>
      </c>
      <c r="J46" t="s">
        <v>342</v>
      </c>
      <c r="K46" s="115">
        <f>G46*I46</f>
        <v>0</v>
      </c>
      <c r="L46" s="3" t="s">
        <v>36</v>
      </c>
      <c r="N46" s="250"/>
      <c r="O46" s="3"/>
      <c r="P46" s="295"/>
      <c r="Q46" s="295"/>
      <c r="R46" s="295"/>
      <c r="S46" s="295"/>
      <c r="T46" s="295"/>
      <c r="U46" s="296"/>
      <c r="V46" s="116"/>
      <c r="W46" s="116"/>
      <c r="X46" s="116"/>
      <c r="Y46" s="116"/>
      <c r="Z46" s="116"/>
      <c r="AA46" s="116"/>
      <c r="AB46" s="76"/>
    </row>
    <row r="47" spans="2:28" ht="25.5">
      <c r="C47" s="53" t="s">
        <v>143</v>
      </c>
      <c r="D47" s="130"/>
      <c r="E47" t="s">
        <v>118</v>
      </c>
      <c r="F47" s="3" t="s">
        <v>350</v>
      </c>
      <c r="G47" s="168">
        <v>0.25</v>
      </c>
      <c r="H47" s="3" t="s">
        <v>350</v>
      </c>
      <c r="I47" s="250">
        <f>IF('Passo6-Produtos-Substâncias Hg'!B29=yes,'Passo6-Produtos-Substâncias Hg'!C29,0)</f>
        <v>0</v>
      </c>
      <c r="J47" t="s">
        <v>342</v>
      </c>
      <c r="K47" s="115">
        <f>G47*I47</f>
        <v>0</v>
      </c>
      <c r="L47" s="3" t="s">
        <v>36</v>
      </c>
      <c r="N47" s="250"/>
      <c r="O47" s="3"/>
      <c r="P47" s="295"/>
      <c r="Q47" s="295"/>
      <c r="R47" s="295"/>
      <c r="S47" s="295"/>
      <c r="T47" s="295"/>
      <c r="U47" s="296"/>
      <c r="V47" s="116"/>
      <c r="W47" s="116"/>
      <c r="X47" s="116"/>
      <c r="Y47" s="116"/>
      <c r="Z47" s="116"/>
      <c r="AA47" s="116"/>
      <c r="AB47" s="76"/>
    </row>
    <row r="48" spans="2:28" s="55" customFormat="1">
      <c r="C48" s="105"/>
      <c r="D48" s="76"/>
      <c r="G48" s="76"/>
      <c r="I48" s="249"/>
      <c r="K48" s="58"/>
      <c r="M48" s="163"/>
      <c r="N48" s="250"/>
      <c r="O48" s="104"/>
      <c r="P48" s="296"/>
      <c r="Q48" s="296"/>
      <c r="R48" s="296"/>
      <c r="S48" s="296"/>
      <c r="T48" s="296"/>
      <c r="U48" s="296"/>
      <c r="V48" s="58"/>
      <c r="W48" s="58"/>
      <c r="X48" s="58"/>
      <c r="Y48" s="58"/>
      <c r="Z48" s="58"/>
      <c r="AA48" s="58"/>
      <c r="AB48" s="76"/>
    </row>
    <row r="49" spans="1:28" s="48" customFormat="1" ht="25.5">
      <c r="B49" s="8" t="s">
        <v>136</v>
      </c>
      <c r="C49" s="12" t="s">
        <v>412</v>
      </c>
      <c r="D49" s="76"/>
      <c r="G49" s="76"/>
      <c r="I49" s="249"/>
      <c r="K49" s="58"/>
      <c r="M49" s="13"/>
      <c r="N49" s="250"/>
      <c r="O49" s="28"/>
      <c r="P49" s="296"/>
      <c r="Q49" s="296"/>
      <c r="R49" s="296"/>
      <c r="S49" s="296"/>
      <c r="T49" s="296"/>
      <c r="U49" s="296"/>
      <c r="V49" s="325">
        <f t="shared" ref="V49:AA49" si="17">SUM(V50:V53)</f>
        <v>0</v>
      </c>
      <c r="W49" s="325">
        <f t="shared" si="17"/>
        <v>0</v>
      </c>
      <c r="X49" s="325">
        <f t="shared" si="17"/>
        <v>0</v>
      </c>
      <c r="Y49" s="325">
        <f t="shared" si="17"/>
        <v>0</v>
      </c>
      <c r="Z49" s="325">
        <f t="shared" si="17"/>
        <v>0</v>
      </c>
      <c r="AA49" s="325">
        <f t="shared" si="17"/>
        <v>0</v>
      </c>
      <c r="AB49" s="76"/>
    </row>
    <row r="50" spans="1:28" s="48" customFormat="1">
      <c r="C50" s="12" t="s">
        <v>365</v>
      </c>
      <c r="D50" s="76"/>
      <c r="G50" s="76"/>
      <c r="I50" s="249"/>
      <c r="K50" s="58"/>
      <c r="M50" s="14" t="s">
        <v>101</v>
      </c>
      <c r="N50" s="250"/>
      <c r="O50" s="28"/>
      <c r="P50" s="296"/>
      <c r="Q50" s="296"/>
      <c r="R50" s="296"/>
      <c r="S50" s="296"/>
      <c r="T50" s="296"/>
      <c r="U50" s="296"/>
      <c r="V50" s="58"/>
      <c r="W50" s="58"/>
      <c r="X50" s="58"/>
      <c r="Y50" s="58"/>
      <c r="Z50" s="58"/>
      <c r="AA50" s="58"/>
      <c r="AB50" s="76"/>
    </row>
    <row r="51" spans="1:28" s="48" customFormat="1">
      <c r="C51" s="67" t="s">
        <v>93</v>
      </c>
      <c r="D51" s="76"/>
      <c r="E51" s="48" t="s">
        <v>434</v>
      </c>
      <c r="F51" s="36" t="s">
        <v>120</v>
      </c>
      <c r="G51" s="76">
        <v>0.03</v>
      </c>
      <c r="H51" s="36" t="s">
        <v>120</v>
      </c>
      <c r="I51" s="324">
        <f>'Passo6-Produtos-Substâncias Hg'!C31</f>
        <v>0</v>
      </c>
      <c r="J51" s="51" t="s">
        <v>119</v>
      </c>
      <c r="K51" s="505">
        <f>(I51*G51/1000)*'Passo6-Produtos-Substâncias Hg'!$C$32/100</f>
        <v>0</v>
      </c>
      <c r="L51" s="3" t="s">
        <v>36</v>
      </c>
      <c r="M51" s="16" t="s">
        <v>102</v>
      </c>
      <c r="N51" s="250"/>
      <c r="O51" s="28"/>
      <c r="P51" s="296"/>
      <c r="Q51" s="296"/>
      <c r="R51" s="296"/>
      <c r="S51" s="296"/>
      <c r="T51" s="296"/>
      <c r="U51" s="296"/>
      <c r="V51" s="58"/>
      <c r="W51" s="58"/>
      <c r="X51" s="58"/>
      <c r="Y51" s="58"/>
      <c r="Z51" s="58"/>
      <c r="AA51" s="58"/>
      <c r="AB51" s="76"/>
    </row>
    <row r="52" spans="1:28" s="48" customFormat="1" ht="25.5">
      <c r="C52" s="96"/>
      <c r="D52" s="76"/>
      <c r="G52" s="76"/>
      <c r="I52" s="249"/>
      <c r="K52" s="58"/>
      <c r="M52" s="15" t="s">
        <v>99</v>
      </c>
      <c r="N52" s="250">
        <f>IF(OR('Passo5-TratResíduos+Reciclágem'!$B$4=yes,'Passo5-TratResíduos+Reciclágem'!$B$4=yes),K51,0)</f>
        <v>0</v>
      </c>
      <c r="O52" s="28"/>
      <c r="P52" s="296">
        <v>0.1</v>
      </c>
      <c r="Q52" s="296">
        <v>0.05</v>
      </c>
      <c r="R52" s="296"/>
      <c r="S52" s="296"/>
      <c r="T52" s="296">
        <v>0.85</v>
      </c>
      <c r="U52" s="296"/>
      <c r="V52" s="116">
        <f t="shared" ref="V52:AA53" si="18">$N52*P52</f>
        <v>0</v>
      </c>
      <c r="W52" s="116">
        <f t="shared" si="18"/>
        <v>0</v>
      </c>
      <c r="X52" s="116">
        <f t="shared" si="18"/>
        <v>0</v>
      </c>
      <c r="Y52" s="116">
        <f t="shared" si="18"/>
        <v>0</v>
      </c>
      <c r="Z52" s="116">
        <f t="shared" si="18"/>
        <v>0</v>
      </c>
      <c r="AA52" s="116">
        <f t="shared" si="18"/>
        <v>0</v>
      </c>
      <c r="AB52" s="76"/>
    </row>
    <row r="53" spans="1:28" s="48" customFormat="1" ht="25.5">
      <c r="C53" s="96"/>
      <c r="D53" s="287"/>
      <c r="G53" s="287"/>
      <c r="I53" s="326"/>
      <c r="K53" s="327"/>
      <c r="M53" s="15" t="s">
        <v>114</v>
      </c>
      <c r="N53" s="328">
        <f>IF(OR('Passo5-TratResíduos+Reciclágem'!$B$4=no,'Passo5-TratResíduos+Reciclágem'!$B$4=no),K51,0)</f>
        <v>0</v>
      </c>
      <c r="O53" s="28"/>
      <c r="P53" s="436">
        <v>0.2</v>
      </c>
      <c r="Q53" s="436">
        <v>0.1</v>
      </c>
      <c r="R53" s="436">
        <v>0.4</v>
      </c>
      <c r="S53" s="436"/>
      <c r="T53" s="436">
        <v>0.3</v>
      </c>
      <c r="U53" s="436"/>
      <c r="V53" s="329">
        <f t="shared" si="18"/>
        <v>0</v>
      </c>
      <c r="W53" s="329">
        <f t="shared" si="18"/>
        <v>0</v>
      </c>
      <c r="X53" s="329">
        <f t="shared" si="18"/>
        <v>0</v>
      </c>
      <c r="Y53" s="329">
        <f t="shared" si="18"/>
        <v>0</v>
      </c>
      <c r="Z53" s="329">
        <f t="shared" si="18"/>
        <v>0</v>
      </c>
      <c r="AA53" s="329">
        <f t="shared" si="18"/>
        <v>0</v>
      </c>
      <c r="AB53" s="76"/>
    </row>
    <row r="54" spans="1:28" ht="25.5">
      <c r="A54" s="91"/>
      <c r="B54" s="330" t="s">
        <v>145</v>
      </c>
      <c r="C54" s="97" t="s">
        <v>135</v>
      </c>
      <c r="D54" s="111"/>
      <c r="E54" s="91"/>
      <c r="F54" s="91"/>
      <c r="G54" s="76"/>
      <c r="H54" s="91"/>
      <c r="I54" s="249"/>
      <c r="J54" s="91"/>
      <c r="K54" s="114"/>
      <c r="L54" s="88"/>
      <c r="M54" s="331"/>
      <c r="N54" s="250"/>
      <c r="O54" s="88"/>
      <c r="P54" s="296"/>
      <c r="Q54" s="296"/>
      <c r="R54" s="296"/>
      <c r="S54" s="296"/>
      <c r="T54" s="296"/>
      <c r="U54" s="296"/>
      <c r="V54" s="114">
        <f t="shared" ref="V54:AA54" si="19">SUM(V55:V56)</f>
        <v>0</v>
      </c>
      <c r="W54" s="114">
        <f t="shared" si="19"/>
        <v>0</v>
      </c>
      <c r="X54" s="114">
        <f t="shared" si="19"/>
        <v>0</v>
      </c>
      <c r="Y54" s="114">
        <f t="shared" si="19"/>
        <v>0</v>
      </c>
      <c r="Z54" s="114">
        <f t="shared" si="19"/>
        <v>0</v>
      </c>
      <c r="AA54" s="114">
        <f t="shared" si="19"/>
        <v>0</v>
      </c>
      <c r="AB54" s="76"/>
    </row>
    <row r="55" spans="1:28">
      <c r="C55" s="12" t="s">
        <v>365</v>
      </c>
      <c r="D55" s="111"/>
      <c r="E55" t="s">
        <v>43</v>
      </c>
      <c r="F55" s="3"/>
      <c r="G55" s="76">
        <v>1</v>
      </c>
      <c r="H55" s="3"/>
      <c r="I55" s="250">
        <f>'Passo4-Uso Industrial de Hg'!C15</f>
        <v>0</v>
      </c>
      <c r="J55" s="8" t="s">
        <v>400</v>
      </c>
      <c r="K55" s="115">
        <f>I55*G55</f>
        <v>0</v>
      </c>
      <c r="L55" s="3" t="s">
        <v>36</v>
      </c>
      <c r="M55" s="14" t="s">
        <v>101</v>
      </c>
      <c r="N55" s="250">
        <f>K55</f>
        <v>0</v>
      </c>
      <c r="O55" s="3" t="s">
        <v>36</v>
      </c>
      <c r="P55" s="295">
        <v>0.01</v>
      </c>
      <c r="Q55" s="295">
        <v>5.0000000000000001E-3</v>
      </c>
      <c r="R55" s="295">
        <v>0.1</v>
      </c>
      <c r="S55" s="295"/>
      <c r="T55" s="295">
        <v>0.1</v>
      </c>
      <c r="U55" s="295">
        <v>0.01</v>
      </c>
      <c r="V55" s="116">
        <f t="shared" ref="V55:AA56" si="20">$N55*P55</f>
        <v>0</v>
      </c>
      <c r="W55" s="116">
        <f t="shared" si="20"/>
        <v>0</v>
      </c>
      <c r="X55" s="116">
        <f t="shared" si="20"/>
        <v>0</v>
      </c>
      <c r="Y55" s="116">
        <f t="shared" si="20"/>
        <v>0</v>
      </c>
      <c r="Z55" s="116">
        <f t="shared" si="20"/>
        <v>0</v>
      </c>
      <c r="AA55" s="116">
        <f t="shared" si="20"/>
        <v>0</v>
      </c>
      <c r="AB55" s="76"/>
    </row>
    <row r="56" spans="1:28">
      <c r="C56" s="67" t="s">
        <v>93</v>
      </c>
      <c r="D56" s="111"/>
      <c r="E56" t="s">
        <v>43</v>
      </c>
      <c r="F56" s="3"/>
      <c r="G56" s="76" t="s">
        <v>43</v>
      </c>
      <c r="H56" s="3"/>
      <c r="I56" s="250"/>
      <c r="K56" s="115" t="s">
        <v>43</v>
      </c>
      <c r="L56" s="3"/>
      <c r="M56" s="16" t="s">
        <v>102</v>
      </c>
      <c r="N56" s="250"/>
      <c r="O56" s="3"/>
      <c r="P56" s="295"/>
      <c r="Q56" s="295"/>
      <c r="R56" s="295"/>
      <c r="S56" s="295"/>
      <c r="T56" s="295"/>
      <c r="U56" s="295"/>
      <c r="V56" s="116">
        <f t="shared" si="20"/>
        <v>0</v>
      </c>
      <c r="W56" s="116">
        <f t="shared" si="20"/>
        <v>0</v>
      </c>
      <c r="X56" s="116">
        <f t="shared" si="20"/>
        <v>0</v>
      </c>
      <c r="Y56" s="116">
        <f t="shared" si="20"/>
        <v>0</v>
      </c>
      <c r="Z56" s="116">
        <f t="shared" si="20"/>
        <v>0</v>
      </c>
      <c r="AA56" s="116">
        <f t="shared" si="20"/>
        <v>0</v>
      </c>
      <c r="AB56" s="76"/>
    </row>
    <row r="57" spans="1:28" s="55" customFormat="1">
      <c r="C57" s="164"/>
      <c r="D57" s="111"/>
      <c r="F57" s="104"/>
      <c r="G57" s="76"/>
      <c r="H57" s="104"/>
      <c r="I57" s="250"/>
      <c r="K57" s="115"/>
      <c r="L57" s="104"/>
      <c r="M57" s="165"/>
      <c r="N57" s="250"/>
      <c r="O57" s="104"/>
      <c r="P57" s="295"/>
      <c r="Q57" s="295"/>
      <c r="R57" s="295"/>
      <c r="S57" s="295"/>
      <c r="T57" s="295"/>
      <c r="U57" s="295"/>
      <c r="V57" s="116"/>
      <c r="W57" s="116"/>
      <c r="X57" s="116"/>
      <c r="Y57" s="116"/>
      <c r="Z57" s="116"/>
      <c r="AA57" s="116"/>
      <c r="AB57" s="76"/>
    </row>
    <row r="58" spans="1:28">
      <c r="B58" s="8" t="s">
        <v>382</v>
      </c>
      <c r="C58" s="12" t="s">
        <v>144</v>
      </c>
      <c r="D58" s="111"/>
      <c r="G58" s="76"/>
      <c r="I58" s="249"/>
      <c r="K58" s="114"/>
      <c r="L58" s="3"/>
      <c r="M58" s="14"/>
      <c r="N58" s="250"/>
      <c r="O58" s="3"/>
      <c r="P58" s="296"/>
      <c r="Q58" s="296"/>
      <c r="R58" s="296"/>
      <c r="S58" s="296"/>
      <c r="T58" s="296"/>
      <c r="U58" s="296"/>
      <c r="V58" s="114">
        <f t="shared" ref="V58:AA58" si="21">SUM(V59:V60)</f>
        <v>0</v>
      </c>
      <c r="W58" s="114">
        <f t="shared" si="21"/>
        <v>0</v>
      </c>
      <c r="X58" s="114">
        <f t="shared" si="21"/>
        <v>0</v>
      </c>
      <c r="Y58" s="114">
        <f t="shared" si="21"/>
        <v>0</v>
      </c>
      <c r="Z58" s="114">
        <f t="shared" si="21"/>
        <v>0</v>
      </c>
      <c r="AA58" s="114">
        <f t="shared" si="21"/>
        <v>0</v>
      </c>
      <c r="AB58" s="76"/>
    </row>
    <row r="59" spans="1:28">
      <c r="C59" s="12" t="s">
        <v>365</v>
      </c>
      <c r="D59" s="111"/>
      <c r="E59" s="6"/>
      <c r="F59" s="3"/>
      <c r="G59" s="76">
        <v>1</v>
      </c>
      <c r="H59" s="3"/>
      <c r="I59" s="250">
        <f>'Passo4-Uso Industrial de Hg'!C16</f>
        <v>0</v>
      </c>
      <c r="J59" t="s">
        <v>399</v>
      </c>
      <c r="K59" s="115">
        <f>I59*G59</f>
        <v>0</v>
      </c>
      <c r="L59" s="3" t="s">
        <v>36</v>
      </c>
      <c r="M59" s="14" t="s">
        <v>101</v>
      </c>
      <c r="N59" s="250">
        <f>K59</f>
        <v>0</v>
      </c>
      <c r="O59" s="3" t="s">
        <v>36</v>
      </c>
      <c r="P59" s="295">
        <v>0.01</v>
      </c>
      <c r="Q59" s="295">
        <v>5.0000000000000001E-3</v>
      </c>
      <c r="R59" s="295">
        <v>0.1</v>
      </c>
      <c r="S59" s="295"/>
      <c r="T59" s="295">
        <v>0.1</v>
      </c>
      <c r="U59" s="295">
        <v>0.01</v>
      </c>
      <c r="V59" s="116">
        <f t="shared" ref="V59:AA60" si="22">$N59*P59</f>
        <v>0</v>
      </c>
      <c r="W59" s="116">
        <f t="shared" si="22"/>
        <v>0</v>
      </c>
      <c r="X59" s="116">
        <f t="shared" si="22"/>
        <v>0</v>
      </c>
      <c r="Y59" s="116">
        <f t="shared" si="22"/>
        <v>0</v>
      </c>
      <c r="Z59" s="116">
        <f t="shared" si="22"/>
        <v>0</v>
      </c>
      <c r="AA59" s="116">
        <f t="shared" si="22"/>
        <v>0</v>
      </c>
      <c r="AB59" s="76"/>
    </row>
    <row r="60" spans="1:28">
      <c r="C60" s="67" t="s">
        <v>93</v>
      </c>
      <c r="D60" s="111"/>
      <c r="E60" s="6" t="s">
        <v>146</v>
      </c>
      <c r="F60" s="3" t="s">
        <v>351</v>
      </c>
      <c r="G60" s="76">
        <v>2.6</v>
      </c>
      <c r="H60" s="3" t="s">
        <v>351</v>
      </c>
      <c r="I60" s="250">
        <f>'Passo6-Produtos-Substâncias Hg'!C34</f>
        <v>0</v>
      </c>
      <c r="J60" t="s">
        <v>343</v>
      </c>
      <c r="K60" s="115">
        <f>G60*I60</f>
        <v>0</v>
      </c>
      <c r="L60" s="3" t="s">
        <v>36</v>
      </c>
      <c r="M60" s="16" t="s">
        <v>147</v>
      </c>
      <c r="N60" s="250">
        <f>K60</f>
        <v>0</v>
      </c>
      <c r="O60" s="17"/>
      <c r="P60" s="295">
        <v>0.92</v>
      </c>
      <c r="Q60" s="295">
        <v>0.05</v>
      </c>
      <c r="R60" s="295"/>
      <c r="S60" s="295"/>
      <c r="T60" s="295">
        <v>0.03</v>
      </c>
      <c r="U60" s="295"/>
      <c r="V60" s="116">
        <f t="shared" si="22"/>
        <v>0</v>
      </c>
      <c r="W60" s="116">
        <f t="shared" si="22"/>
        <v>0</v>
      </c>
      <c r="X60" s="116">
        <f t="shared" si="22"/>
        <v>0</v>
      </c>
      <c r="Y60" s="116">
        <f t="shared" si="22"/>
        <v>0</v>
      </c>
      <c r="Z60" s="116">
        <f t="shared" si="22"/>
        <v>0</v>
      </c>
      <c r="AA60" s="116">
        <f t="shared" si="22"/>
        <v>0</v>
      </c>
      <c r="AB60" s="76"/>
    </row>
    <row r="61" spans="1:28" s="55" customFormat="1">
      <c r="C61" s="164"/>
      <c r="D61" s="111"/>
      <c r="F61" s="104"/>
      <c r="G61" s="76"/>
      <c r="H61" s="104"/>
      <c r="I61" s="250"/>
      <c r="K61" s="115"/>
      <c r="L61" s="104"/>
      <c r="M61" s="165"/>
      <c r="N61" s="250"/>
      <c r="O61" s="104"/>
      <c r="P61" s="295"/>
      <c r="Q61" s="295"/>
      <c r="R61" s="295"/>
      <c r="S61" s="295"/>
      <c r="T61" s="295"/>
      <c r="U61" s="295"/>
      <c r="V61" s="116"/>
      <c r="W61" s="116"/>
      <c r="X61" s="116"/>
      <c r="Y61" s="116"/>
      <c r="Z61" s="116"/>
      <c r="AA61" s="116"/>
      <c r="AB61" s="76"/>
    </row>
    <row r="62" spans="1:28" ht="25.5">
      <c r="B62" s="36" t="s">
        <v>410</v>
      </c>
      <c r="C62" s="12" t="s">
        <v>148</v>
      </c>
      <c r="D62" s="111"/>
      <c r="G62" s="282"/>
      <c r="I62" s="249"/>
      <c r="K62" s="114"/>
      <c r="L62" s="3"/>
      <c r="M62" s="14"/>
      <c r="N62" s="250"/>
      <c r="O62" s="3"/>
      <c r="P62" s="296"/>
      <c r="Q62" s="296"/>
      <c r="R62" s="296"/>
      <c r="S62" s="296"/>
      <c r="T62" s="296"/>
      <c r="U62" s="296"/>
      <c r="V62" s="114">
        <f t="shared" ref="V62:AA62" si="23">SUM(V63:V64)</f>
        <v>0</v>
      </c>
      <c r="W62" s="114">
        <f t="shared" si="23"/>
        <v>0</v>
      </c>
      <c r="X62" s="114">
        <f t="shared" si="23"/>
        <v>0</v>
      </c>
      <c r="Y62" s="114">
        <f t="shared" si="23"/>
        <v>0</v>
      </c>
      <c r="Z62" s="114">
        <f t="shared" si="23"/>
        <v>0</v>
      </c>
      <c r="AA62" s="114">
        <f t="shared" si="23"/>
        <v>0</v>
      </c>
      <c r="AB62" s="76"/>
    </row>
    <row r="63" spans="1:28">
      <c r="C63" s="12" t="s">
        <v>365</v>
      </c>
      <c r="D63" s="111"/>
      <c r="E63" s="18"/>
      <c r="F63" s="3" t="s">
        <v>351</v>
      </c>
      <c r="G63" s="282">
        <v>1</v>
      </c>
      <c r="I63" s="297">
        <f>'Passo4-Uso Industrial de Hg'!C17</f>
        <v>0</v>
      </c>
      <c r="J63" s="8" t="s">
        <v>400</v>
      </c>
      <c r="K63" s="115">
        <f>I63*G63</f>
        <v>0</v>
      </c>
      <c r="L63" s="3" t="s">
        <v>36</v>
      </c>
      <c r="M63" s="14" t="s">
        <v>101</v>
      </c>
      <c r="N63" s="250">
        <f>K63</f>
        <v>0</v>
      </c>
      <c r="O63" s="3" t="s">
        <v>36</v>
      </c>
      <c r="P63" s="295">
        <v>0.01</v>
      </c>
      <c r="Q63" s="295">
        <v>5.0000000000000001E-3</v>
      </c>
      <c r="R63" s="295">
        <v>0.1</v>
      </c>
      <c r="S63" s="295"/>
      <c r="T63" s="295">
        <v>0.1</v>
      </c>
      <c r="U63" s="295">
        <v>0.01</v>
      </c>
      <c r="V63" s="116">
        <f t="shared" ref="V63:AA64" si="24">$N63*P63</f>
        <v>0</v>
      </c>
      <c r="W63" s="116">
        <f t="shared" si="24"/>
        <v>0</v>
      </c>
      <c r="X63" s="116">
        <f t="shared" si="24"/>
        <v>0</v>
      </c>
      <c r="Y63" s="116">
        <f t="shared" si="24"/>
        <v>0</v>
      </c>
      <c r="Z63" s="116">
        <f t="shared" si="24"/>
        <v>0</v>
      </c>
      <c r="AA63" s="116">
        <f t="shared" si="24"/>
        <v>0</v>
      </c>
      <c r="AB63" s="76"/>
    </row>
    <row r="64" spans="1:28">
      <c r="C64" s="67" t="s">
        <v>93</v>
      </c>
      <c r="D64" s="111"/>
      <c r="E64" s="18" t="s">
        <v>149</v>
      </c>
      <c r="F64" s="3" t="s">
        <v>351</v>
      </c>
      <c r="G64" s="76">
        <v>30</v>
      </c>
      <c r="H64" s="3" t="s">
        <v>351</v>
      </c>
      <c r="I64" s="250">
        <f>'Passo6-Produtos-Substâncias Hg'!C36</f>
        <v>0</v>
      </c>
      <c r="J64" t="s">
        <v>344</v>
      </c>
      <c r="K64" s="115">
        <f>G64*I64</f>
        <v>0</v>
      </c>
      <c r="L64" s="3" t="s">
        <v>36</v>
      </c>
      <c r="M64" s="16" t="s">
        <v>147</v>
      </c>
      <c r="N64" s="250">
        <f>K64</f>
        <v>0</v>
      </c>
      <c r="O64" s="17"/>
      <c r="P64" s="295"/>
      <c r="Q64" s="295">
        <v>0.95</v>
      </c>
      <c r="R64" s="295">
        <v>0.05</v>
      </c>
      <c r="S64" s="295"/>
      <c r="T64" s="295"/>
      <c r="U64" s="295"/>
      <c r="V64" s="116">
        <f t="shared" si="24"/>
        <v>0</v>
      </c>
      <c r="W64" s="116">
        <f t="shared" si="24"/>
        <v>0</v>
      </c>
      <c r="X64" s="116">
        <f t="shared" si="24"/>
        <v>0</v>
      </c>
      <c r="Y64" s="116">
        <f t="shared" si="24"/>
        <v>0</v>
      </c>
      <c r="Z64" s="116">
        <f t="shared" si="24"/>
        <v>0</v>
      </c>
      <c r="AA64" s="116">
        <f t="shared" si="24"/>
        <v>0</v>
      </c>
      <c r="AB64" s="76"/>
    </row>
    <row r="65" spans="3:28" s="55" customFormat="1">
      <c r="C65" s="166"/>
      <c r="D65" s="111"/>
      <c r="F65" s="104"/>
      <c r="G65" s="76"/>
      <c r="H65" s="104"/>
      <c r="I65" s="250"/>
      <c r="K65" s="115"/>
      <c r="L65" s="104"/>
      <c r="M65" s="165"/>
      <c r="N65" s="249"/>
      <c r="O65" s="104"/>
      <c r="P65" s="283"/>
      <c r="Q65" s="283"/>
      <c r="R65" s="283"/>
      <c r="S65" s="283"/>
      <c r="T65" s="283"/>
      <c r="U65" s="283"/>
      <c r="V65" s="116"/>
      <c r="W65" s="116"/>
      <c r="X65" s="116"/>
      <c r="Y65" s="116"/>
      <c r="Z65" s="116"/>
      <c r="AA65" s="116"/>
      <c r="AB65" s="76"/>
    </row>
    <row r="66" spans="3:28" s="3" customFormat="1">
      <c r="C66" s="40"/>
      <c r="D66" s="7"/>
      <c r="I66" s="251"/>
      <c r="K66" s="21"/>
      <c r="M66" s="59"/>
      <c r="N66" s="241"/>
      <c r="P66" s="60"/>
      <c r="Q66" s="60"/>
      <c r="R66" s="60"/>
      <c r="S66" s="60"/>
      <c r="T66" s="60"/>
      <c r="U66" s="60"/>
      <c r="V66" s="22"/>
      <c r="W66" s="22"/>
      <c r="X66" s="22"/>
      <c r="Y66" s="22"/>
      <c r="Z66" s="22"/>
      <c r="AA66" s="22"/>
    </row>
    <row r="67" spans="3:28" s="3" customFormat="1">
      <c r="C67" s="7" t="s">
        <v>56</v>
      </c>
      <c r="D67" s="36" t="s">
        <v>364</v>
      </c>
      <c r="I67" s="251"/>
      <c r="K67" s="21"/>
      <c r="M67" s="59"/>
      <c r="N67" s="241"/>
      <c r="P67" s="60"/>
      <c r="Q67" s="60"/>
      <c r="R67" s="60"/>
      <c r="S67" s="60"/>
      <c r="T67" s="60"/>
      <c r="U67" s="60"/>
      <c r="V67" s="22"/>
      <c r="W67" s="22"/>
      <c r="X67" s="22"/>
      <c r="Y67" s="22"/>
      <c r="Z67" s="22"/>
      <c r="AA67" s="22"/>
    </row>
    <row r="68" spans="3:28" s="3" customFormat="1">
      <c r="C68" s="40"/>
      <c r="D68" s="7"/>
      <c r="I68" s="251"/>
      <c r="K68" s="21"/>
      <c r="M68" s="59"/>
      <c r="N68" s="241"/>
      <c r="P68" s="60"/>
      <c r="Q68" s="60"/>
      <c r="R68" s="60"/>
      <c r="S68" s="60"/>
      <c r="T68" s="60"/>
      <c r="U68" s="60"/>
      <c r="V68" s="22"/>
      <c r="W68" s="22"/>
      <c r="X68" s="22"/>
      <c r="Y68" s="22"/>
      <c r="Z68" s="22"/>
      <c r="AA68" s="22"/>
    </row>
    <row r="69" spans="3:28" s="3" customFormat="1">
      <c r="C69" s="40"/>
      <c r="D69" s="7"/>
      <c r="I69" s="251"/>
      <c r="K69" s="21"/>
      <c r="M69" s="59"/>
      <c r="N69" s="241"/>
      <c r="P69" s="60"/>
      <c r="Q69" s="60"/>
      <c r="R69" s="60"/>
      <c r="S69" s="60"/>
      <c r="T69" s="60"/>
      <c r="U69" s="60"/>
      <c r="V69" s="22"/>
      <c r="W69" s="22"/>
      <c r="X69" s="22"/>
      <c r="Y69" s="22"/>
      <c r="Z69" s="22"/>
      <c r="AA69" s="22"/>
    </row>
    <row r="70" spans="3:28" s="3" customFormat="1">
      <c r="C70" s="40"/>
      <c r="D70" s="7"/>
      <c r="I70" s="251"/>
      <c r="K70" s="21"/>
      <c r="M70" s="59"/>
      <c r="N70" s="241"/>
      <c r="P70" s="60"/>
      <c r="Q70" s="60"/>
      <c r="R70" s="60"/>
      <c r="S70" s="60"/>
      <c r="T70" s="60"/>
      <c r="U70" s="60"/>
      <c r="V70" s="22"/>
      <c r="W70" s="22"/>
      <c r="X70" s="22"/>
      <c r="Y70" s="22"/>
      <c r="Z70" s="22"/>
      <c r="AA70" s="22"/>
    </row>
    <row r="71" spans="3:28" s="3" customFormat="1">
      <c r="C71" s="40"/>
      <c r="D71" s="7"/>
      <c r="I71" s="251"/>
      <c r="K71" s="21"/>
      <c r="M71" s="59"/>
      <c r="N71" s="241"/>
      <c r="P71" s="60"/>
      <c r="Q71" s="60"/>
      <c r="R71" s="60"/>
      <c r="S71" s="60"/>
      <c r="T71" s="60"/>
      <c r="U71" s="60"/>
      <c r="V71" s="22"/>
      <c r="W71" s="22"/>
      <c r="X71" s="22"/>
      <c r="Y71" s="22"/>
      <c r="Z71" s="22"/>
      <c r="AA71" s="22"/>
    </row>
    <row r="72" spans="3:28" s="3" customFormat="1">
      <c r="C72" s="40"/>
      <c r="D72" s="7"/>
      <c r="I72" s="251"/>
      <c r="K72" s="21"/>
      <c r="M72" s="59"/>
      <c r="N72" s="241"/>
      <c r="P72" s="60"/>
      <c r="Q72" s="60"/>
      <c r="R72" s="60"/>
      <c r="S72" s="60"/>
      <c r="T72" s="60"/>
      <c r="U72" s="60"/>
      <c r="V72" s="22"/>
      <c r="W72" s="22"/>
      <c r="X72" s="22"/>
      <c r="Y72" s="22"/>
      <c r="Z72" s="22"/>
      <c r="AA72" s="22"/>
    </row>
    <row r="73" spans="3:28" s="3" customFormat="1">
      <c r="C73" s="36"/>
      <c r="E73" s="11"/>
      <c r="I73" s="251"/>
      <c r="K73" s="21"/>
      <c r="M73" s="62"/>
      <c r="N73" s="241"/>
      <c r="P73" s="60"/>
      <c r="Q73" s="60"/>
      <c r="R73" s="60"/>
      <c r="S73" s="60"/>
      <c r="T73" s="60"/>
      <c r="U73" s="60"/>
      <c r="V73" s="22"/>
      <c r="W73" s="22"/>
      <c r="X73" s="22"/>
      <c r="Y73" s="22"/>
      <c r="Z73" s="22"/>
      <c r="AA73" s="22"/>
    </row>
    <row r="74" spans="3:28" s="3" customFormat="1">
      <c r="C74" s="36"/>
      <c r="E74" s="11"/>
      <c r="I74" s="251"/>
      <c r="K74" s="21"/>
      <c r="M74" s="62"/>
      <c r="N74" s="241"/>
      <c r="P74" s="60"/>
      <c r="Q74" s="60"/>
      <c r="R74" s="60"/>
      <c r="S74" s="60"/>
      <c r="T74" s="60"/>
      <c r="U74" s="60"/>
      <c r="V74" s="22"/>
      <c r="W74" s="22"/>
      <c r="X74" s="22"/>
      <c r="Y74" s="22"/>
      <c r="Z74" s="22"/>
      <c r="AA74" s="22"/>
    </row>
    <row r="75" spans="3:28" s="3" customFormat="1">
      <c r="C75" s="36"/>
      <c r="E75" s="11"/>
      <c r="I75" s="251"/>
      <c r="K75" s="21"/>
      <c r="M75" s="62"/>
      <c r="N75" s="241"/>
      <c r="P75" s="60"/>
      <c r="Q75" s="60"/>
      <c r="R75" s="60"/>
      <c r="S75" s="60"/>
      <c r="T75" s="60"/>
      <c r="U75" s="60"/>
      <c r="V75" s="22"/>
      <c r="W75" s="22"/>
      <c r="X75" s="22"/>
      <c r="Y75" s="22"/>
      <c r="Z75" s="22"/>
      <c r="AA75" s="22"/>
    </row>
    <row r="76" spans="3:28" s="3" customFormat="1">
      <c r="C76" s="36"/>
      <c r="E76" s="11"/>
      <c r="I76" s="251"/>
      <c r="K76" s="21"/>
      <c r="M76" s="63"/>
      <c r="N76" s="241"/>
      <c r="P76" s="23"/>
      <c r="Q76" s="23"/>
      <c r="R76" s="24"/>
      <c r="S76" s="24"/>
      <c r="T76" s="23"/>
      <c r="V76" s="22"/>
      <c r="W76" s="22"/>
      <c r="X76" s="22"/>
      <c r="Y76" s="22"/>
      <c r="Z76" s="22"/>
      <c r="AA76" s="22"/>
    </row>
    <row r="77" spans="3:28" s="3" customFormat="1">
      <c r="I77" s="241"/>
      <c r="M77" s="63"/>
      <c r="N77" s="241"/>
    </row>
    <row r="78" spans="3:28" s="3" customFormat="1">
      <c r="I78" s="241"/>
      <c r="M78" s="63"/>
      <c r="N78" s="241"/>
    </row>
    <row r="79" spans="3:28" s="3" customFormat="1">
      <c r="C79" s="7"/>
      <c r="D79" s="7"/>
      <c r="I79" s="241"/>
      <c r="M79" s="64"/>
      <c r="N79" s="241"/>
      <c r="V79" s="25"/>
      <c r="W79" s="25"/>
      <c r="X79" s="25"/>
      <c r="Y79" s="25"/>
      <c r="Z79" s="25"/>
      <c r="AA79" s="25"/>
    </row>
    <row r="80" spans="3:28" s="3" customFormat="1">
      <c r="C80" s="7"/>
      <c r="D80" s="7"/>
      <c r="I80" s="251"/>
      <c r="K80" s="21"/>
      <c r="M80" s="64"/>
      <c r="N80" s="251"/>
      <c r="P80" s="60"/>
      <c r="Q80" s="60"/>
      <c r="R80" s="60"/>
      <c r="S80" s="60"/>
      <c r="T80" s="60"/>
      <c r="U80" s="60"/>
      <c r="V80" s="22"/>
      <c r="W80" s="22"/>
      <c r="X80" s="22"/>
      <c r="Y80" s="22"/>
      <c r="Z80" s="22"/>
      <c r="AA80" s="22"/>
    </row>
  </sheetData>
  <sheetProtection sheet="1" objects="1" scenarios="1"/>
  <phoneticPr fontId="2" type="noConversion"/>
  <pageMargins left="0.39370078740157483" right="0.39370078740157483" top="0.74803149606299213" bottom="0.74803149606299213" header="0.31496062992125984" footer="0.31496062992125984"/>
  <pageSetup paperSize="9" orientation="landscape" r:id="rId1"/>
  <headerFooter>
    <oddFooter>&amp;L&amp;APrinted &amp;D</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1"/>
  <sheetViews>
    <sheetView workbookViewId="0">
      <selection activeCell="B10" sqref="B10"/>
    </sheetView>
  </sheetViews>
  <sheetFormatPr defaultRowHeight="12.75"/>
  <cols>
    <col min="1" max="1" width="40" style="9" customWidth="1"/>
    <col min="2" max="2" width="40.42578125" style="9" customWidth="1"/>
  </cols>
  <sheetData>
    <row r="1" spans="1:5">
      <c r="A1" s="457"/>
      <c r="B1" s="457"/>
    </row>
    <row r="2" spans="1:5">
      <c r="A2" s="458" t="s">
        <v>447</v>
      </c>
      <c r="B2" s="458" t="s">
        <v>454</v>
      </c>
    </row>
    <row r="3" spans="1:5">
      <c r="A3" s="459" t="s">
        <v>453</v>
      </c>
      <c r="B3" s="659" t="s">
        <v>750</v>
      </c>
    </row>
    <row r="4" spans="1:5">
      <c r="A4" s="459" t="s">
        <v>446</v>
      </c>
      <c r="B4" s="659" t="s">
        <v>751</v>
      </c>
    </row>
    <row r="5" spans="1:5">
      <c r="A5" s="459" t="s">
        <v>448</v>
      </c>
      <c r="B5" s="373" t="s">
        <v>448</v>
      </c>
    </row>
    <row r="6" spans="1:5">
      <c r="A6" s="459" t="s">
        <v>43</v>
      </c>
      <c r="B6" s="373" t="s">
        <v>43</v>
      </c>
    </row>
    <row r="7" spans="1:5">
      <c r="A7" s="459" t="s">
        <v>372</v>
      </c>
      <c r="B7" s="458" t="str">
        <f>yes&amp;"/"&amp;no&amp;"/"&amp;que</f>
        <v>S/N/?</v>
      </c>
    </row>
    <row r="8" spans="1:5">
      <c r="A8" s="459" t="s">
        <v>455</v>
      </c>
      <c r="B8" s="458" t="str">
        <f>yes&amp;"/"&amp;no</f>
        <v>S/N</v>
      </c>
    </row>
    <row r="9" spans="1:5">
      <c r="A9" s="458"/>
      <c r="B9" s="458"/>
    </row>
    <row r="10" spans="1:5" ht="51">
      <c r="A10" s="459" t="s">
        <v>704</v>
      </c>
      <c r="B10" s="659" t="s">
        <v>752</v>
      </c>
      <c r="E10" s="8"/>
    </row>
    <row r="11" spans="1:5" ht="51">
      <c r="A11" s="459" t="s">
        <v>705</v>
      </c>
      <c r="B11" s="659" t="s">
        <v>753</v>
      </c>
      <c r="E11" s="8"/>
    </row>
    <row r="12" spans="1:5" ht="38.25">
      <c r="A12" s="459" t="s">
        <v>449</v>
      </c>
      <c r="B12" s="659" t="s">
        <v>754</v>
      </c>
    </row>
    <row r="13" spans="1:5">
      <c r="A13" s="459" t="s">
        <v>580</v>
      </c>
      <c r="B13" s="659" t="s">
        <v>755</v>
      </c>
    </row>
    <row r="15" spans="1:5">
      <c r="A15" s="12" t="s">
        <v>458</v>
      </c>
    </row>
    <row r="16" spans="1:5">
      <c r="A16" s="53" t="s">
        <v>456</v>
      </c>
      <c r="B16" s="9" t="s">
        <v>450</v>
      </c>
    </row>
    <row r="17" spans="1:2">
      <c r="A17" s="53" t="s">
        <v>457</v>
      </c>
      <c r="B17" s="9" t="s">
        <v>451</v>
      </c>
    </row>
    <row r="19" spans="1:2" ht="25.5" customHeight="1">
      <c r="A19" s="746" t="s">
        <v>452</v>
      </c>
      <c r="B19" s="746"/>
    </row>
    <row r="21" spans="1:2" ht="51">
      <c r="A21" s="467" t="s">
        <v>459</v>
      </c>
    </row>
  </sheetData>
  <mergeCells count="1">
    <mergeCell ref="A19:B19"/>
  </mergeCells>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74"/>
  <sheetViews>
    <sheetView topLeftCell="D1" workbookViewId="0">
      <selection activeCell="V8" sqref="V8:AA8"/>
    </sheetView>
  </sheetViews>
  <sheetFormatPr defaultRowHeight="12.75"/>
  <cols>
    <col min="1" max="1" width="3" customWidth="1"/>
    <col min="2" max="2" width="6.140625" customWidth="1"/>
    <col min="3" max="3" width="32.5703125" customWidth="1"/>
    <col min="4" max="4" width="7.28515625" customWidth="1"/>
    <col min="5" max="5" width="11" customWidth="1"/>
    <col min="6" max="6" width="12.28515625" customWidth="1"/>
    <col min="7" max="7" width="10.28515625" customWidth="1"/>
    <col min="8" max="8" width="16.85546875" customWidth="1"/>
    <col min="9" max="9" width="12.5703125" style="242" customWidth="1"/>
    <col min="10" max="10" width="16" customWidth="1"/>
    <col min="11" max="11" width="11.28515625" customWidth="1"/>
    <col min="12" max="12" width="11.5703125" customWidth="1"/>
    <col min="13" max="13" width="10.85546875" style="13" customWidth="1"/>
    <col min="14" max="14" width="9.140625" style="242"/>
    <col min="15" max="15" width="8" customWidth="1"/>
    <col min="16" max="16" width="5.85546875" customWidth="1"/>
    <col min="17" max="17" width="6" customWidth="1"/>
    <col min="18" max="19" width="7.5703125" customWidth="1"/>
    <col min="21" max="21" width="18.5703125" customWidth="1"/>
    <col min="22" max="22" width="12.5703125" customWidth="1"/>
    <col min="24" max="25" width="9.7109375" customWidth="1"/>
    <col min="26" max="26" width="11.5703125" customWidth="1"/>
    <col min="27" max="27" width="18.42578125" customWidth="1"/>
    <col min="28" max="28" width="63.42578125" customWidth="1"/>
  </cols>
  <sheetData>
    <row r="1" spans="1:28" ht="18">
      <c r="A1" s="1" t="s">
        <v>34</v>
      </c>
      <c r="I1" s="232"/>
      <c r="N1" s="232"/>
    </row>
    <row r="2" spans="1:28" ht="15">
      <c r="A2" s="54" t="s">
        <v>322</v>
      </c>
      <c r="I2" s="232"/>
      <c r="N2" s="232"/>
    </row>
    <row r="3" spans="1:28" s="181" customFormat="1">
      <c r="D3" s="182"/>
      <c r="E3" s="182"/>
      <c r="F3" s="182"/>
      <c r="G3" s="182"/>
      <c r="H3" s="182"/>
      <c r="I3" s="260"/>
      <c r="J3" s="182"/>
      <c r="K3" s="182"/>
      <c r="L3" s="182"/>
      <c r="M3" s="183"/>
      <c r="N3" s="260"/>
      <c r="O3" s="182"/>
      <c r="P3" s="111" t="s">
        <v>55</v>
      </c>
      <c r="Q3" s="111"/>
      <c r="R3" s="111"/>
      <c r="S3" s="111"/>
      <c r="T3" s="111"/>
      <c r="U3" s="111"/>
      <c r="V3" s="192" t="s">
        <v>54</v>
      </c>
      <c r="W3" s="56"/>
      <c r="X3" s="56"/>
      <c r="Y3" s="56"/>
      <c r="Z3" s="56"/>
      <c r="AA3" s="56"/>
      <c r="AB3" s="111"/>
    </row>
    <row r="4" spans="1:28" s="187" customFormat="1" ht="51">
      <c r="A4" s="187" t="s">
        <v>52</v>
      </c>
      <c r="B4" s="187" t="s">
        <v>50</v>
      </c>
      <c r="C4" s="136" t="s">
        <v>59</v>
      </c>
      <c r="D4" s="112" t="s">
        <v>159</v>
      </c>
      <c r="E4" s="136" t="s">
        <v>49</v>
      </c>
      <c r="F4" s="139" t="s">
        <v>35</v>
      </c>
      <c r="G4" s="112" t="s">
        <v>37</v>
      </c>
      <c r="H4" s="139" t="s">
        <v>35</v>
      </c>
      <c r="I4" s="247" t="s">
        <v>51</v>
      </c>
      <c r="J4" s="187" t="s">
        <v>35</v>
      </c>
      <c r="K4" s="84" t="s">
        <v>61</v>
      </c>
      <c r="L4" s="139" t="s">
        <v>35</v>
      </c>
      <c r="M4" s="157" t="s">
        <v>289</v>
      </c>
      <c r="N4" s="247" t="s">
        <v>94</v>
      </c>
      <c r="O4" s="139" t="s">
        <v>35</v>
      </c>
      <c r="P4" s="111" t="s">
        <v>38</v>
      </c>
      <c r="Q4" s="111" t="s">
        <v>39</v>
      </c>
      <c r="R4" s="111" t="s">
        <v>40</v>
      </c>
      <c r="S4" s="111" t="s">
        <v>41</v>
      </c>
      <c r="T4" s="112" t="s">
        <v>42</v>
      </c>
      <c r="U4" s="112" t="s">
        <v>237</v>
      </c>
      <c r="V4" s="56" t="s">
        <v>38</v>
      </c>
      <c r="W4" s="56" t="s">
        <v>39</v>
      </c>
      <c r="X4" s="56" t="s">
        <v>40</v>
      </c>
      <c r="Y4" s="56" t="s">
        <v>41</v>
      </c>
      <c r="Z4" s="57" t="s">
        <v>42</v>
      </c>
      <c r="AA4" s="57" t="s">
        <v>237</v>
      </c>
      <c r="AB4" s="111" t="s">
        <v>89</v>
      </c>
    </row>
    <row r="5" spans="1:28" s="129" customFormat="1" ht="38.25">
      <c r="A5" s="129" t="s">
        <v>283</v>
      </c>
      <c r="C5" s="134" t="s">
        <v>285</v>
      </c>
      <c r="D5" s="111"/>
      <c r="F5" s="128"/>
      <c r="G5" s="76"/>
      <c r="H5" s="128"/>
      <c r="I5" s="249"/>
      <c r="K5" s="190"/>
      <c r="L5" s="128"/>
      <c r="M5" s="135"/>
      <c r="N5" s="249"/>
      <c r="O5" s="128"/>
      <c r="P5" s="127"/>
      <c r="Q5" s="127"/>
      <c r="R5" s="127"/>
      <c r="S5" s="127"/>
      <c r="T5" s="127"/>
      <c r="U5" s="127"/>
      <c r="V5" s="58"/>
      <c r="W5" s="58"/>
      <c r="X5" s="58"/>
      <c r="Y5" s="58"/>
      <c r="Z5" s="58"/>
      <c r="AA5" s="58"/>
      <c r="AB5" s="76"/>
    </row>
    <row r="6" spans="1:28" ht="25.5">
      <c r="B6" t="s">
        <v>284</v>
      </c>
      <c r="C6" s="12" t="s">
        <v>286</v>
      </c>
      <c r="D6" s="111"/>
      <c r="E6" s="45" t="s">
        <v>282</v>
      </c>
      <c r="F6" s="46" t="s">
        <v>282</v>
      </c>
      <c r="G6" s="189">
        <v>1.0045200000000001</v>
      </c>
      <c r="H6" s="298" t="s">
        <v>445</v>
      </c>
      <c r="I6" s="254">
        <f>'Passo5-TratResíduos+Reciclágem'!C9</f>
        <v>0</v>
      </c>
      <c r="J6" s="298" t="s">
        <v>401</v>
      </c>
      <c r="K6" s="190">
        <f>I6*G6</f>
        <v>0</v>
      </c>
      <c r="L6" s="7" t="s">
        <v>366</v>
      </c>
      <c r="M6" s="39" t="s">
        <v>368</v>
      </c>
      <c r="N6" s="447">
        <f>K6</f>
        <v>0</v>
      </c>
      <c r="O6" s="3" t="s">
        <v>36</v>
      </c>
      <c r="P6" s="131">
        <v>2E-3</v>
      </c>
      <c r="Q6" s="131">
        <v>2.3999999999999998E-3</v>
      </c>
      <c r="R6" s="131"/>
      <c r="S6" s="193" t="s">
        <v>282</v>
      </c>
      <c r="T6" s="131"/>
      <c r="U6" s="131">
        <v>1.2E-4</v>
      </c>
      <c r="V6" s="114">
        <f t="shared" ref="V6:AA6" si="0">$N6*P6</f>
        <v>0</v>
      </c>
      <c r="W6" s="114">
        <f t="shared" si="0"/>
        <v>0</v>
      </c>
      <c r="X6" s="114">
        <f t="shared" si="0"/>
        <v>0</v>
      </c>
      <c r="Y6" s="200" t="s">
        <v>282</v>
      </c>
      <c r="Z6" s="114">
        <f t="shared" si="0"/>
        <v>0</v>
      </c>
      <c r="AA6" s="114">
        <f t="shared" si="0"/>
        <v>0</v>
      </c>
      <c r="AB6" s="76"/>
    </row>
    <row r="7" spans="1:28" s="55" customFormat="1">
      <c r="B7" s="104"/>
      <c r="C7" s="136"/>
      <c r="D7" s="76"/>
      <c r="G7" s="76"/>
      <c r="I7" s="249"/>
      <c r="K7" s="190"/>
      <c r="M7" s="107"/>
      <c r="N7" s="250"/>
      <c r="P7" s="127"/>
      <c r="Q7" s="127"/>
      <c r="R7" s="127"/>
      <c r="S7" s="127"/>
      <c r="T7" s="127"/>
      <c r="U7" s="127"/>
      <c r="V7" s="114"/>
      <c r="W7" s="114"/>
      <c r="X7" s="114"/>
      <c r="Y7" s="114"/>
      <c r="Z7" s="114"/>
      <c r="AA7" s="114"/>
      <c r="AB7" s="76"/>
    </row>
    <row r="8" spans="1:28" ht="25.5">
      <c r="A8" s="3"/>
      <c r="B8" s="3" t="s">
        <v>154</v>
      </c>
      <c r="C8" s="12" t="s">
        <v>287</v>
      </c>
      <c r="D8" s="111"/>
      <c r="E8" s="44" t="s">
        <v>437</v>
      </c>
      <c r="F8" s="44" t="s">
        <v>438</v>
      </c>
      <c r="G8" s="127">
        <v>1.1000000000000001</v>
      </c>
      <c r="H8" s="44" t="s">
        <v>438</v>
      </c>
      <c r="I8" s="254">
        <f>'Passo5-TratResíduos+Reciclágem'!C10</f>
        <v>0</v>
      </c>
      <c r="J8" s="298" t="s">
        <v>439</v>
      </c>
      <c r="K8" s="190">
        <f>I8*G8/1000</f>
        <v>0</v>
      </c>
      <c r="L8" s="3" t="s">
        <v>36</v>
      </c>
      <c r="M8" s="14"/>
      <c r="N8" s="250">
        <f>K8</f>
        <v>0</v>
      </c>
      <c r="O8" s="3" t="s">
        <v>36</v>
      </c>
      <c r="P8" s="283">
        <v>0.33</v>
      </c>
      <c r="Q8" s="283"/>
      <c r="R8" s="283">
        <v>0.34</v>
      </c>
      <c r="S8" s="283"/>
      <c r="T8" s="283">
        <v>0.33</v>
      </c>
      <c r="U8" s="283"/>
      <c r="V8" s="114">
        <f t="shared" ref="V8:AA8" si="1">$N8*P8</f>
        <v>0</v>
      </c>
      <c r="W8" s="114">
        <f t="shared" si="1"/>
        <v>0</v>
      </c>
      <c r="X8" s="114">
        <f t="shared" si="1"/>
        <v>0</v>
      </c>
      <c r="Y8" s="114">
        <f t="shared" si="1"/>
        <v>0</v>
      </c>
      <c r="Z8" s="114">
        <f t="shared" si="1"/>
        <v>0</v>
      </c>
      <c r="AA8" s="114">
        <f t="shared" si="1"/>
        <v>0</v>
      </c>
      <c r="AB8" s="76"/>
    </row>
    <row r="9" spans="1:28" s="55" customFormat="1">
      <c r="A9" s="152"/>
      <c r="B9" s="104"/>
      <c r="C9" s="137"/>
      <c r="D9" s="111"/>
      <c r="E9" s="106"/>
      <c r="F9" s="104"/>
      <c r="G9" s="76"/>
      <c r="H9" s="104"/>
      <c r="I9" s="250"/>
      <c r="K9" s="191"/>
      <c r="L9" s="104"/>
      <c r="M9" s="163"/>
      <c r="N9" s="250"/>
      <c r="O9" s="104"/>
      <c r="P9" s="343"/>
      <c r="Q9" s="343"/>
      <c r="R9" s="343"/>
      <c r="S9" s="343"/>
      <c r="T9" s="343"/>
      <c r="U9" s="343"/>
      <c r="V9" s="114"/>
      <c r="W9" s="114"/>
      <c r="X9" s="114"/>
      <c r="Y9" s="114"/>
      <c r="Z9" s="114"/>
      <c r="AA9" s="114"/>
      <c r="AB9" s="76"/>
    </row>
    <row r="10" spans="1:28" s="128" customFormat="1" ht="25.5">
      <c r="B10" s="128" t="s">
        <v>154</v>
      </c>
      <c r="C10" s="134" t="s">
        <v>288</v>
      </c>
      <c r="D10" s="111"/>
      <c r="E10" s="188" t="s">
        <v>43</v>
      </c>
      <c r="F10" s="188" t="s">
        <v>43</v>
      </c>
      <c r="G10" s="343">
        <v>0.6</v>
      </c>
      <c r="H10" s="188" t="s">
        <v>43</v>
      </c>
      <c r="I10" s="254"/>
      <c r="J10" s="188" t="s">
        <v>43</v>
      </c>
      <c r="K10" s="190">
        <f>I10*G10/1000</f>
        <v>0</v>
      </c>
      <c r="L10" s="128" t="s">
        <v>36</v>
      </c>
      <c r="M10" s="135"/>
      <c r="N10" s="250">
        <f>K10</f>
        <v>0</v>
      </c>
      <c r="O10" s="128" t="s">
        <v>36</v>
      </c>
      <c r="P10" s="283">
        <v>0.3</v>
      </c>
      <c r="Q10" s="283">
        <v>0.1</v>
      </c>
      <c r="R10" s="283"/>
      <c r="S10" s="283"/>
      <c r="T10" s="283">
        <v>0.3</v>
      </c>
      <c r="U10" s="283">
        <v>0.3</v>
      </c>
      <c r="V10" s="114">
        <f t="shared" ref="V10:AA10" si="2">$N10*P10</f>
        <v>0</v>
      </c>
      <c r="W10" s="114">
        <f t="shared" si="2"/>
        <v>0</v>
      </c>
      <c r="X10" s="114">
        <f t="shared" si="2"/>
        <v>0</v>
      </c>
      <c r="Y10" s="114">
        <f t="shared" si="2"/>
        <v>0</v>
      </c>
      <c r="Z10" s="114">
        <f t="shared" si="2"/>
        <v>0</v>
      </c>
      <c r="AA10" s="114">
        <f t="shared" si="2"/>
        <v>0</v>
      </c>
      <c r="AB10" s="76"/>
    </row>
    <row r="11" spans="1:28" s="3" customFormat="1">
      <c r="E11" s="11"/>
      <c r="I11" s="251"/>
      <c r="K11" s="21"/>
      <c r="M11" s="29"/>
      <c r="N11" s="258"/>
      <c r="O11" s="28"/>
      <c r="P11" s="23"/>
      <c r="Q11" s="23"/>
      <c r="R11" s="24"/>
      <c r="S11" s="24"/>
      <c r="T11" s="23"/>
      <c r="V11" s="25"/>
      <c r="W11" s="25"/>
      <c r="X11" s="25"/>
      <c r="Y11" s="25"/>
      <c r="Z11" s="25"/>
      <c r="AA11" s="25"/>
    </row>
    <row r="12" spans="1:28" s="3" customFormat="1">
      <c r="C12" s="3" t="s">
        <v>290</v>
      </c>
      <c r="D12" s="3" t="s">
        <v>291</v>
      </c>
      <c r="E12" s="11"/>
      <c r="I12" s="251"/>
      <c r="K12" s="21"/>
      <c r="M12" s="28"/>
      <c r="N12" s="258"/>
      <c r="O12" s="28"/>
      <c r="P12" s="23"/>
      <c r="Q12" s="23"/>
      <c r="R12" s="24"/>
      <c r="S12" s="24"/>
      <c r="T12" s="23"/>
      <c r="V12" s="22"/>
      <c r="W12" s="22"/>
      <c r="X12" s="22"/>
      <c r="Y12" s="22"/>
      <c r="Z12" s="22"/>
      <c r="AA12" s="22"/>
    </row>
    <row r="13" spans="1:28" s="3" customFormat="1">
      <c r="D13" s="3" t="s">
        <v>360</v>
      </c>
      <c r="E13" s="11"/>
      <c r="I13" s="251"/>
      <c r="K13" s="21"/>
      <c r="M13" s="28"/>
      <c r="N13" s="258"/>
      <c r="O13" s="28"/>
      <c r="P13" s="23"/>
      <c r="Q13" s="23"/>
      <c r="R13" s="24"/>
      <c r="S13" s="24"/>
      <c r="T13" s="23"/>
      <c r="V13" s="22"/>
      <c r="W13" s="22"/>
      <c r="X13" s="22"/>
      <c r="Y13" s="22"/>
      <c r="Z13" s="22"/>
      <c r="AA13" s="22"/>
    </row>
    <row r="14" spans="1:28" s="3" customFormat="1">
      <c r="D14" s="36" t="s">
        <v>367</v>
      </c>
      <c r="E14" s="11"/>
      <c r="I14" s="251"/>
      <c r="K14" s="21"/>
      <c r="M14" s="30"/>
      <c r="N14" s="258"/>
      <c r="O14" s="28"/>
      <c r="P14" s="23"/>
      <c r="Q14" s="23"/>
      <c r="R14" s="24"/>
      <c r="S14" s="24"/>
      <c r="T14" s="23"/>
      <c r="V14" s="22"/>
      <c r="W14" s="22"/>
      <c r="X14" s="22"/>
      <c r="Y14" s="22"/>
      <c r="Z14" s="22"/>
      <c r="AA14" s="22"/>
    </row>
    <row r="15" spans="1:28" s="3" customFormat="1">
      <c r="E15" s="11"/>
      <c r="I15" s="251"/>
      <c r="K15" s="21"/>
      <c r="M15" s="30"/>
      <c r="N15" s="258"/>
      <c r="O15" s="28"/>
      <c r="P15" s="23"/>
      <c r="Q15" s="23"/>
      <c r="R15" s="24"/>
      <c r="S15" s="24"/>
      <c r="T15" s="23"/>
      <c r="V15" s="22"/>
      <c r="W15" s="22"/>
      <c r="X15" s="22"/>
      <c r="Y15" s="22"/>
      <c r="Z15" s="22"/>
      <c r="AA15" s="22"/>
    </row>
    <row r="16" spans="1:28" s="3" customFormat="1">
      <c r="E16" s="11"/>
      <c r="F16" s="448"/>
      <c r="G16" s="448"/>
      <c r="H16" s="450"/>
      <c r="I16" s="251"/>
      <c r="K16" s="21"/>
      <c r="M16" s="31"/>
      <c r="N16" s="258"/>
      <c r="O16" s="28"/>
      <c r="P16" s="23"/>
      <c r="Q16" s="23"/>
      <c r="R16" s="24"/>
      <c r="S16" s="24"/>
      <c r="T16" s="23"/>
      <c r="V16" s="22"/>
      <c r="W16" s="22"/>
      <c r="X16" s="22"/>
      <c r="Y16" s="22"/>
      <c r="Z16" s="22"/>
      <c r="AA16" s="22"/>
    </row>
    <row r="17" spans="3:27" s="3" customFormat="1">
      <c r="C17" s="7"/>
      <c r="D17" s="7"/>
      <c r="E17" s="11"/>
      <c r="F17" s="448"/>
      <c r="G17" s="448"/>
      <c r="H17" s="450"/>
      <c r="I17" s="449"/>
      <c r="K17" s="21"/>
      <c r="M17" s="29"/>
      <c r="N17" s="258"/>
      <c r="O17" s="28"/>
      <c r="P17" s="23"/>
      <c r="Q17" s="23"/>
      <c r="R17" s="24"/>
      <c r="S17" s="24"/>
      <c r="T17" s="23"/>
      <c r="V17" s="25"/>
      <c r="W17" s="25"/>
      <c r="X17" s="25"/>
      <c r="Y17" s="25"/>
      <c r="Z17" s="25"/>
      <c r="AA17" s="25"/>
    </row>
    <row r="18" spans="3:27" s="3" customFormat="1">
      <c r="C18" s="7"/>
      <c r="D18" s="7"/>
      <c r="E18" s="11"/>
      <c r="F18" s="448"/>
      <c r="G18" s="448"/>
      <c r="H18" s="450"/>
      <c r="I18" s="449"/>
      <c r="K18" s="21"/>
      <c r="M18" s="29"/>
      <c r="N18" s="258"/>
      <c r="O18" s="28"/>
      <c r="P18" s="23"/>
      <c r="Q18" s="23"/>
      <c r="R18" s="24"/>
      <c r="S18" s="24"/>
      <c r="T18" s="23"/>
      <c r="V18" s="22"/>
      <c r="W18" s="22"/>
      <c r="X18" s="22"/>
      <c r="Y18" s="22"/>
      <c r="Z18" s="22"/>
      <c r="AA18" s="22"/>
    </row>
    <row r="19" spans="3:27" s="3" customFormat="1">
      <c r="C19" s="7"/>
      <c r="D19" s="7"/>
      <c r="E19" s="11"/>
      <c r="F19" s="448"/>
      <c r="G19" s="448"/>
      <c r="H19" s="450"/>
      <c r="I19" s="449"/>
      <c r="K19" s="22"/>
      <c r="M19" s="29"/>
      <c r="N19" s="258"/>
      <c r="O19" s="28"/>
      <c r="P19" s="23"/>
      <c r="Q19" s="23"/>
      <c r="R19" s="24"/>
      <c r="S19" s="24"/>
      <c r="T19" s="23"/>
      <c r="V19" s="22"/>
      <c r="W19" s="22"/>
      <c r="X19" s="22"/>
      <c r="Y19" s="22"/>
      <c r="Z19" s="22"/>
      <c r="AA19" s="22"/>
    </row>
    <row r="20" spans="3:27" s="3" customFormat="1">
      <c r="E20" s="11"/>
      <c r="F20" s="448"/>
      <c r="G20" s="448"/>
      <c r="H20" s="450"/>
      <c r="I20" s="449"/>
      <c r="K20" s="22"/>
      <c r="M20" s="29"/>
      <c r="N20" s="258"/>
      <c r="O20" s="28"/>
      <c r="P20" s="23"/>
      <c r="Q20" s="23"/>
      <c r="R20" s="24"/>
      <c r="S20" s="24"/>
      <c r="T20" s="23"/>
      <c r="V20" s="22"/>
      <c r="W20" s="22"/>
      <c r="X20" s="22"/>
      <c r="Y20" s="22"/>
      <c r="Z20" s="22"/>
      <c r="AA20" s="22"/>
    </row>
    <row r="21" spans="3:27" s="3" customFormat="1">
      <c r="E21" s="11"/>
      <c r="F21" s="448"/>
      <c r="G21" s="448"/>
      <c r="H21" s="448"/>
      <c r="I21" s="449"/>
      <c r="K21" s="22"/>
      <c r="M21" s="30"/>
      <c r="N21" s="258"/>
      <c r="O21" s="28"/>
      <c r="P21" s="23"/>
      <c r="Q21" s="23"/>
      <c r="R21" s="24"/>
      <c r="S21" s="24"/>
      <c r="T21" s="23"/>
      <c r="V21" s="22"/>
      <c r="W21" s="22"/>
      <c r="X21" s="22"/>
      <c r="Y21" s="22"/>
      <c r="Z21" s="22"/>
      <c r="AA21" s="22"/>
    </row>
    <row r="22" spans="3:27" s="3" customFormat="1">
      <c r="E22" s="11"/>
      <c r="I22" s="251"/>
      <c r="K22" s="22"/>
      <c r="M22" s="30"/>
      <c r="N22" s="258"/>
      <c r="O22" s="28"/>
      <c r="P22" s="23"/>
      <c r="Q22" s="23"/>
      <c r="R22" s="24"/>
      <c r="S22" s="24"/>
      <c r="T22" s="23"/>
      <c r="V22" s="22"/>
      <c r="W22" s="22"/>
      <c r="X22" s="22"/>
      <c r="Y22" s="22"/>
      <c r="Z22" s="22"/>
      <c r="AA22" s="22"/>
    </row>
    <row r="23" spans="3:27" s="3" customFormat="1">
      <c r="C23" s="7"/>
      <c r="D23" s="7"/>
      <c r="E23" s="11"/>
      <c r="I23" s="251"/>
      <c r="K23" s="22"/>
      <c r="M23" s="31"/>
      <c r="N23" s="258"/>
      <c r="O23" s="28"/>
      <c r="P23" s="23"/>
      <c r="Q23" s="23"/>
      <c r="R23" s="24"/>
      <c r="S23" s="24"/>
      <c r="T23" s="23"/>
      <c r="V23" s="22"/>
      <c r="W23" s="22"/>
      <c r="X23" s="22"/>
      <c r="Y23" s="22"/>
      <c r="Z23" s="22"/>
      <c r="AA23" s="22"/>
    </row>
    <row r="24" spans="3:27" s="3" customFormat="1">
      <c r="C24" s="26"/>
      <c r="D24" s="26"/>
      <c r="E24" s="11"/>
      <c r="I24" s="251"/>
      <c r="K24" s="22"/>
      <c r="M24" s="29"/>
      <c r="N24" s="258"/>
      <c r="O24" s="28"/>
      <c r="P24" s="23"/>
      <c r="Q24" s="23"/>
      <c r="R24" s="24"/>
      <c r="S24" s="24"/>
      <c r="T24" s="23"/>
      <c r="V24" s="22"/>
      <c r="W24" s="22"/>
      <c r="X24" s="22"/>
      <c r="Y24" s="22"/>
      <c r="Z24" s="22"/>
      <c r="AA24" s="22"/>
    </row>
    <row r="25" spans="3:27" s="3" customFormat="1">
      <c r="E25" s="11"/>
      <c r="I25" s="251"/>
      <c r="K25" s="22"/>
      <c r="M25" s="29"/>
      <c r="N25" s="258"/>
      <c r="O25" s="28"/>
      <c r="P25" s="23"/>
      <c r="Q25" s="23"/>
      <c r="R25" s="24"/>
      <c r="S25" s="24"/>
      <c r="T25" s="23"/>
      <c r="V25" s="22"/>
      <c r="W25" s="22"/>
      <c r="X25" s="22"/>
      <c r="Y25" s="22"/>
      <c r="Z25" s="22"/>
      <c r="AA25" s="22"/>
    </row>
    <row r="26" spans="3:27" s="3" customFormat="1">
      <c r="E26" s="11"/>
      <c r="I26" s="251"/>
      <c r="K26" s="22"/>
      <c r="M26" s="29"/>
      <c r="N26" s="258"/>
      <c r="O26" s="28"/>
      <c r="P26" s="23"/>
      <c r="Q26" s="23"/>
      <c r="R26" s="24"/>
      <c r="S26" s="24"/>
      <c r="T26" s="23"/>
      <c r="V26" s="22"/>
      <c r="W26" s="22"/>
      <c r="X26" s="22"/>
      <c r="Y26" s="22"/>
      <c r="Z26" s="22"/>
      <c r="AA26" s="22"/>
    </row>
    <row r="27" spans="3:27" s="3" customFormat="1">
      <c r="E27" s="11"/>
      <c r="I27" s="251"/>
      <c r="K27" s="22"/>
      <c r="M27" s="28"/>
      <c r="N27" s="258"/>
      <c r="O27" s="28"/>
      <c r="P27" s="23"/>
      <c r="Q27" s="23"/>
      <c r="R27" s="24"/>
      <c r="S27" s="24"/>
      <c r="T27" s="23"/>
      <c r="V27" s="22"/>
      <c r="W27" s="22"/>
      <c r="X27" s="22"/>
      <c r="Y27" s="22"/>
      <c r="Z27" s="22"/>
      <c r="AA27" s="22"/>
    </row>
    <row r="28" spans="3:27" s="3" customFormat="1">
      <c r="E28" s="11"/>
      <c r="I28" s="251"/>
      <c r="K28" s="21"/>
      <c r="M28" s="29"/>
      <c r="N28" s="258"/>
      <c r="O28" s="28"/>
      <c r="P28" s="23"/>
      <c r="Q28" s="23"/>
      <c r="R28" s="24"/>
      <c r="S28" s="24"/>
      <c r="T28" s="23"/>
      <c r="V28" s="22"/>
      <c r="W28" s="22"/>
      <c r="X28" s="22"/>
      <c r="Y28" s="22"/>
      <c r="Z28" s="22"/>
      <c r="AA28" s="22"/>
    </row>
    <row r="29" spans="3:27" s="3" customFormat="1">
      <c r="E29" s="11"/>
      <c r="I29" s="251"/>
      <c r="K29" s="21"/>
      <c r="M29" s="29"/>
      <c r="N29" s="258"/>
      <c r="O29" s="28"/>
      <c r="P29" s="23"/>
      <c r="Q29" s="23"/>
      <c r="R29" s="24"/>
      <c r="S29" s="24"/>
      <c r="T29" s="23"/>
      <c r="V29" s="22"/>
      <c r="W29" s="22"/>
      <c r="X29" s="22"/>
      <c r="Y29" s="22"/>
      <c r="Z29" s="22"/>
      <c r="AA29" s="22"/>
    </row>
    <row r="30" spans="3:27" s="3" customFormat="1">
      <c r="C30" s="7"/>
      <c r="D30" s="7"/>
      <c r="E30" s="11"/>
      <c r="I30" s="251"/>
      <c r="K30" s="21"/>
      <c r="M30" s="29"/>
      <c r="N30" s="258"/>
      <c r="O30" s="28"/>
      <c r="P30" s="23"/>
      <c r="Q30" s="23"/>
      <c r="R30" s="24"/>
      <c r="S30" s="24"/>
      <c r="T30" s="23"/>
      <c r="V30" s="25"/>
      <c r="W30" s="25"/>
      <c r="X30" s="25"/>
      <c r="Y30" s="25"/>
      <c r="Z30" s="25"/>
      <c r="AA30" s="25"/>
    </row>
    <row r="31" spans="3:27" s="3" customFormat="1">
      <c r="C31" s="7"/>
      <c r="D31" s="7"/>
      <c r="E31" s="11"/>
      <c r="I31" s="251"/>
      <c r="K31" s="21"/>
      <c r="M31" s="30"/>
      <c r="N31" s="258"/>
      <c r="O31" s="28"/>
      <c r="P31" s="23"/>
      <c r="Q31" s="23"/>
      <c r="R31" s="23"/>
      <c r="S31" s="23"/>
      <c r="T31" s="23"/>
      <c r="U31" s="23"/>
      <c r="V31" s="22"/>
      <c r="W31" s="22"/>
      <c r="X31" s="22"/>
      <c r="Y31" s="22"/>
      <c r="Z31" s="22"/>
      <c r="AA31" s="22"/>
    </row>
    <row r="32" spans="3:27" s="3" customFormat="1">
      <c r="C32" s="7"/>
      <c r="D32" s="7"/>
      <c r="E32" s="11"/>
      <c r="I32" s="251"/>
      <c r="K32" s="21"/>
      <c r="M32" s="30"/>
      <c r="N32" s="258"/>
      <c r="O32" s="28"/>
      <c r="P32" s="23"/>
      <c r="Q32" s="23"/>
      <c r="R32" s="24"/>
      <c r="S32" s="24"/>
      <c r="T32" s="23"/>
      <c r="V32" s="22"/>
      <c r="W32" s="22"/>
      <c r="X32" s="22"/>
      <c r="Y32" s="22"/>
      <c r="Z32" s="22"/>
      <c r="AA32" s="22"/>
    </row>
    <row r="33" spans="3:27" s="3" customFormat="1">
      <c r="C33" s="7"/>
      <c r="D33" s="7"/>
      <c r="E33" s="11"/>
      <c r="I33" s="251"/>
      <c r="K33" s="21"/>
      <c r="M33" s="29"/>
      <c r="N33" s="258"/>
      <c r="O33" s="28"/>
      <c r="P33" s="23"/>
      <c r="Q33" s="23"/>
      <c r="R33" s="24"/>
      <c r="S33" s="24"/>
      <c r="T33" s="23"/>
      <c r="V33" s="22"/>
      <c r="W33" s="22"/>
      <c r="X33" s="22"/>
      <c r="Y33" s="22"/>
      <c r="Z33" s="22"/>
      <c r="AA33" s="22"/>
    </row>
    <row r="34" spans="3:27" s="3" customFormat="1">
      <c r="E34" s="11"/>
      <c r="I34" s="251"/>
      <c r="K34" s="21"/>
      <c r="M34" s="29"/>
      <c r="N34" s="258"/>
      <c r="O34" s="28"/>
      <c r="P34" s="23"/>
      <c r="Q34" s="23"/>
      <c r="R34" s="24"/>
      <c r="S34" s="24"/>
      <c r="T34" s="23"/>
      <c r="V34" s="22"/>
      <c r="W34" s="22"/>
      <c r="X34" s="22"/>
      <c r="Y34" s="22"/>
      <c r="Z34" s="22"/>
      <c r="AA34" s="22"/>
    </row>
    <row r="35" spans="3:27" s="3" customFormat="1">
      <c r="E35" s="11"/>
      <c r="I35" s="251"/>
      <c r="K35" s="21"/>
      <c r="M35" s="29"/>
      <c r="N35" s="258"/>
      <c r="O35" s="28"/>
      <c r="P35" s="23"/>
      <c r="Q35" s="23"/>
      <c r="R35" s="24"/>
      <c r="S35" s="24"/>
      <c r="T35" s="23"/>
      <c r="V35" s="22"/>
      <c r="W35" s="22"/>
      <c r="X35" s="22"/>
      <c r="Y35" s="22"/>
      <c r="Z35" s="22"/>
      <c r="AA35" s="22"/>
    </row>
    <row r="36" spans="3:27" s="3" customFormat="1">
      <c r="C36" s="7"/>
      <c r="D36" s="7"/>
      <c r="E36" s="11"/>
      <c r="I36" s="251"/>
      <c r="K36" s="21"/>
      <c r="M36" s="28"/>
      <c r="N36" s="258"/>
      <c r="O36" s="28"/>
      <c r="P36" s="23"/>
      <c r="Q36" s="23"/>
      <c r="R36" s="24"/>
      <c r="S36" s="24"/>
      <c r="T36" s="23"/>
      <c r="V36" s="25"/>
      <c r="W36" s="25"/>
      <c r="X36" s="25"/>
      <c r="Y36" s="25"/>
      <c r="Z36" s="25"/>
      <c r="AA36" s="25"/>
    </row>
    <row r="37" spans="3:27" s="3" customFormat="1">
      <c r="C37" s="7"/>
      <c r="D37" s="7"/>
      <c r="E37" s="11"/>
      <c r="I37" s="251"/>
      <c r="K37" s="21"/>
      <c r="M37" s="28"/>
      <c r="N37" s="258"/>
      <c r="O37" s="28"/>
      <c r="P37" s="23"/>
      <c r="Q37" s="23"/>
      <c r="R37" s="24"/>
      <c r="S37" s="24"/>
      <c r="T37" s="23"/>
      <c r="V37" s="22"/>
      <c r="W37" s="22"/>
      <c r="X37" s="22"/>
      <c r="Y37" s="22"/>
      <c r="Z37" s="22"/>
      <c r="AA37" s="22"/>
    </row>
    <row r="38" spans="3:27" s="3" customFormat="1">
      <c r="C38" s="7"/>
      <c r="D38" s="7"/>
      <c r="I38" s="241"/>
      <c r="M38" s="31"/>
      <c r="N38" s="258"/>
      <c r="O38" s="28"/>
      <c r="P38" s="23"/>
      <c r="Q38" s="23"/>
      <c r="R38" s="24"/>
      <c r="S38" s="24"/>
      <c r="T38" s="23"/>
      <c r="V38" s="22"/>
      <c r="W38" s="22"/>
      <c r="X38" s="22"/>
      <c r="Y38" s="22"/>
      <c r="Z38" s="22"/>
      <c r="AA38" s="22"/>
    </row>
    <row r="39" spans="3:27" s="3" customFormat="1">
      <c r="C39" s="7"/>
      <c r="D39" s="7"/>
      <c r="I39" s="241"/>
      <c r="M39" s="29"/>
      <c r="N39" s="258"/>
      <c r="O39" s="28"/>
    </row>
    <row r="40" spans="3:27" s="3" customFormat="1">
      <c r="I40" s="241"/>
      <c r="M40" s="29"/>
      <c r="N40" s="258"/>
      <c r="O40" s="28"/>
    </row>
    <row r="41" spans="3:27" s="3" customFormat="1">
      <c r="I41" s="241"/>
      <c r="M41" s="29"/>
      <c r="N41" s="258"/>
      <c r="O41" s="28"/>
    </row>
    <row r="42" spans="3:27" s="3" customFormat="1">
      <c r="C42" s="7"/>
      <c r="D42" s="7"/>
      <c r="I42" s="241"/>
      <c r="M42" s="28"/>
      <c r="N42" s="258"/>
      <c r="O42" s="28"/>
    </row>
    <row r="43" spans="3:27" s="3" customFormat="1">
      <c r="I43" s="241"/>
      <c r="M43" s="28"/>
      <c r="N43" s="258"/>
      <c r="O43" s="28"/>
    </row>
    <row r="44" spans="3:27" s="3" customFormat="1">
      <c r="I44" s="241"/>
      <c r="M44" s="28"/>
      <c r="N44" s="258"/>
      <c r="O44" s="28"/>
    </row>
    <row r="45" spans="3:27" s="3" customFormat="1">
      <c r="I45" s="241"/>
      <c r="M45" s="30"/>
      <c r="N45" s="258"/>
      <c r="O45" s="28"/>
    </row>
    <row r="46" spans="3:27" s="3" customFormat="1">
      <c r="C46" s="7"/>
      <c r="D46" s="7"/>
      <c r="I46" s="241"/>
      <c r="M46" s="30"/>
      <c r="N46" s="258"/>
      <c r="O46" s="28"/>
    </row>
    <row r="47" spans="3:27" s="3" customFormat="1">
      <c r="I47" s="241"/>
      <c r="M47" s="31"/>
      <c r="N47" s="258"/>
      <c r="O47" s="28"/>
    </row>
    <row r="48" spans="3:27" s="3" customFormat="1">
      <c r="I48" s="241"/>
      <c r="M48" s="31"/>
      <c r="N48" s="258"/>
      <c r="O48" s="28"/>
    </row>
    <row r="49" spans="9:15" s="3" customFormat="1">
      <c r="I49" s="241"/>
      <c r="M49" s="30"/>
      <c r="N49" s="258"/>
      <c r="O49" s="28"/>
    </row>
    <row r="50" spans="9:15" s="3" customFormat="1">
      <c r="I50" s="241"/>
      <c r="M50" s="30"/>
      <c r="N50" s="258"/>
      <c r="O50" s="28"/>
    </row>
    <row r="51" spans="9:15" s="3" customFormat="1">
      <c r="I51" s="241"/>
      <c r="M51" s="31"/>
      <c r="N51" s="258"/>
      <c r="O51" s="17"/>
    </row>
    <row r="52" spans="9:15" s="3" customFormat="1">
      <c r="I52" s="241"/>
      <c r="M52" s="31"/>
      <c r="N52" s="258"/>
      <c r="O52" s="28"/>
    </row>
    <row r="53" spans="9:15" s="3" customFormat="1">
      <c r="I53" s="241"/>
      <c r="M53" s="30"/>
      <c r="N53" s="258"/>
      <c r="O53" s="28"/>
    </row>
    <row r="54" spans="9:15" s="3" customFormat="1">
      <c r="I54" s="241"/>
      <c r="M54" s="30"/>
      <c r="N54" s="258"/>
      <c r="O54" s="28"/>
    </row>
    <row r="55" spans="9:15" s="3" customFormat="1">
      <c r="I55" s="241"/>
      <c r="M55" s="31"/>
      <c r="N55" s="258"/>
      <c r="O55" s="17"/>
    </row>
    <row r="56" spans="9:15" s="3" customFormat="1">
      <c r="I56" s="241"/>
      <c r="M56" s="31"/>
      <c r="N56" s="259"/>
      <c r="O56" s="28"/>
    </row>
    <row r="57" spans="9:15" s="3" customFormat="1">
      <c r="I57" s="241"/>
      <c r="M57" s="31"/>
      <c r="N57" s="259"/>
      <c r="O57" s="28"/>
    </row>
    <row r="58" spans="9:15" s="3" customFormat="1">
      <c r="I58" s="241"/>
      <c r="M58" s="31"/>
      <c r="N58" s="259"/>
      <c r="O58" s="28"/>
    </row>
    <row r="59" spans="9:15" s="3" customFormat="1">
      <c r="I59" s="241"/>
      <c r="M59" s="31"/>
      <c r="N59" s="259"/>
      <c r="O59" s="28"/>
    </row>
    <row r="60" spans="9:15" s="3" customFormat="1">
      <c r="I60" s="241"/>
      <c r="M60" s="31"/>
      <c r="N60" s="259"/>
      <c r="O60" s="28"/>
    </row>
    <row r="61" spans="9:15" s="3" customFormat="1">
      <c r="I61" s="241"/>
      <c r="M61" s="31"/>
      <c r="N61" s="259"/>
      <c r="O61" s="28"/>
    </row>
    <row r="62" spans="9:15" s="3" customFormat="1">
      <c r="I62" s="241"/>
      <c r="M62" s="31"/>
      <c r="N62" s="259"/>
      <c r="O62" s="28"/>
    </row>
    <row r="63" spans="9:15" s="3" customFormat="1">
      <c r="I63" s="241"/>
      <c r="M63" s="31"/>
      <c r="N63" s="259"/>
      <c r="O63" s="28"/>
    </row>
    <row r="64" spans="9:15" s="3" customFormat="1">
      <c r="I64" s="241"/>
      <c r="M64" s="29"/>
      <c r="N64" s="259"/>
      <c r="O64" s="28"/>
    </row>
    <row r="65" spans="3:15" s="3" customFormat="1">
      <c r="I65" s="241"/>
      <c r="M65" s="29"/>
      <c r="N65" s="259"/>
      <c r="O65" s="28"/>
    </row>
    <row r="66" spans="3:15" s="3" customFormat="1">
      <c r="C66" s="7"/>
      <c r="D66" s="7"/>
      <c r="I66" s="241"/>
      <c r="M66" s="29"/>
      <c r="N66" s="259"/>
      <c r="O66" s="28"/>
    </row>
    <row r="67" spans="3:15" s="3" customFormat="1">
      <c r="I67" s="241"/>
      <c r="M67" s="28"/>
      <c r="N67" s="259"/>
      <c r="O67" s="28"/>
    </row>
    <row r="68" spans="3:15" s="3" customFormat="1">
      <c r="I68" s="241"/>
      <c r="M68" s="28"/>
      <c r="N68" s="259"/>
      <c r="O68" s="28"/>
    </row>
    <row r="69" spans="3:15">
      <c r="M69" s="28"/>
      <c r="N69" s="259"/>
      <c r="O69" s="28"/>
    </row>
    <row r="70" spans="3:15">
      <c r="M70" s="30"/>
      <c r="N70" s="259"/>
      <c r="O70" s="28"/>
    </row>
    <row r="71" spans="3:15">
      <c r="M71" s="30"/>
      <c r="N71" s="258"/>
      <c r="O71" s="28"/>
    </row>
    <row r="72" spans="3:15">
      <c r="M72" s="28"/>
      <c r="N72" s="259"/>
      <c r="O72" s="28"/>
    </row>
    <row r="73" spans="3:15">
      <c r="M73" s="28"/>
      <c r="N73" s="259"/>
      <c r="O73" s="28"/>
    </row>
    <row r="74" spans="3:15">
      <c r="M74" s="28"/>
      <c r="N74" s="259"/>
      <c r="O74" s="28"/>
    </row>
  </sheetData>
  <sheetProtection sheet="1" objects="1" scenarios="1"/>
  <phoneticPr fontId="2" type="noConversion"/>
  <pageMargins left="0.39370078740157483" right="0.39370078740157483" top="0.74803149606299213" bottom="0.74803149606299213" header="0.31496062992125984" footer="0.31496062992125984"/>
  <pageSetup paperSize="9" orientation="landscape" r:id="rId1"/>
  <headerFooter>
    <oddFooter>&amp;L&amp;APrinted &amp;D</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T31"/>
  <sheetViews>
    <sheetView topLeftCell="D7" workbookViewId="0">
      <selection activeCell="O30" sqref="O30"/>
    </sheetView>
  </sheetViews>
  <sheetFormatPr defaultRowHeight="12.75"/>
  <cols>
    <col min="1" max="1" width="3" customWidth="1"/>
    <col min="2" max="2" width="6.140625" customWidth="1"/>
    <col min="3" max="3" width="31.140625" customWidth="1"/>
    <col min="4" max="4" width="8.140625" customWidth="1"/>
    <col min="5" max="5" width="14.42578125" customWidth="1"/>
    <col min="6" max="6" width="12" customWidth="1"/>
    <col min="7" max="7" width="10.28515625" customWidth="1"/>
    <col min="8" max="8" width="22.7109375" customWidth="1"/>
    <col min="9" max="9" width="12.5703125" style="242" customWidth="1"/>
    <col min="10" max="10" width="11.42578125" customWidth="1"/>
    <col min="11" max="11" width="11.28515625" customWidth="1"/>
    <col min="12" max="12" width="11.5703125" customWidth="1"/>
    <col min="13" max="13" width="25.7109375" style="13" customWidth="1"/>
    <col min="14" max="14" width="9.140625" style="242"/>
    <col min="16" max="16" width="4.5703125" customWidth="1"/>
    <col min="17" max="17" width="5.28515625" customWidth="1"/>
    <col min="18" max="18" width="5" customWidth="1"/>
    <col min="19" max="19" width="8.42578125" customWidth="1"/>
    <col min="21" max="21" width="17.5703125" customWidth="1"/>
    <col min="22" max="22" width="12.5703125" customWidth="1"/>
    <col min="24" max="24" width="9.7109375" customWidth="1"/>
    <col min="25" max="25" width="11.140625" customWidth="1"/>
    <col min="26" max="26" width="11.5703125" customWidth="1"/>
    <col min="27" max="27" width="17" customWidth="1"/>
    <col min="28" max="28" width="63.42578125" customWidth="1"/>
  </cols>
  <sheetData>
    <row r="1" spans="1:28" ht="18">
      <c r="A1" s="1" t="s">
        <v>34</v>
      </c>
      <c r="I1" s="232"/>
      <c r="N1" s="232"/>
    </row>
    <row r="2" spans="1:28" ht="15">
      <c r="A2" s="54" t="s">
        <v>322</v>
      </c>
      <c r="I2" s="232"/>
      <c r="N2" s="232"/>
    </row>
    <row r="3" spans="1:28" s="5" customFormat="1">
      <c r="C3" s="7"/>
      <c r="D3" s="7"/>
      <c r="E3" s="7"/>
      <c r="F3" s="7"/>
      <c r="G3" s="7"/>
      <c r="H3" s="7"/>
      <c r="I3" s="257"/>
      <c r="J3" s="7"/>
      <c r="K3" s="7"/>
      <c r="L3" s="7"/>
      <c r="M3" s="64"/>
      <c r="N3" s="257"/>
      <c r="O3" s="7"/>
      <c r="P3" s="65" t="s">
        <v>55</v>
      </c>
      <c r="Q3" s="65"/>
      <c r="R3" s="65"/>
      <c r="S3" s="65"/>
      <c r="T3" s="65"/>
      <c r="U3" s="65"/>
      <c r="V3" s="10" t="s">
        <v>54</v>
      </c>
      <c r="W3" s="103"/>
      <c r="X3" s="103"/>
      <c r="Y3" s="103"/>
      <c r="Z3" s="103"/>
      <c r="AA3" s="103"/>
      <c r="AB3" s="65"/>
    </row>
    <row r="4" spans="1:28" s="144" customFormat="1" ht="38.25">
      <c r="A4" s="144" t="s">
        <v>52</v>
      </c>
      <c r="B4" s="144" t="s">
        <v>50</v>
      </c>
      <c r="C4" s="134" t="s">
        <v>59</v>
      </c>
      <c r="D4" s="112" t="s">
        <v>159</v>
      </c>
      <c r="E4" s="134" t="s">
        <v>49</v>
      </c>
      <c r="F4" s="143" t="s">
        <v>35</v>
      </c>
      <c r="G4" s="112" t="s">
        <v>37</v>
      </c>
      <c r="H4" s="143" t="s">
        <v>35</v>
      </c>
      <c r="I4" s="247" t="s">
        <v>51</v>
      </c>
      <c r="J4" s="144" t="s">
        <v>35</v>
      </c>
      <c r="K4" s="84" t="s">
        <v>61</v>
      </c>
      <c r="L4" s="143" t="s">
        <v>35</v>
      </c>
      <c r="M4" s="146" t="s">
        <v>219</v>
      </c>
      <c r="N4" s="247" t="s">
        <v>94</v>
      </c>
      <c r="O4" s="143" t="s">
        <v>35</v>
      </c>
      <c r="P4" s="111" t="s">
        <v>38</v>
      </c>
      <c r="Q4" s="111" t="s">
        <v>39</v>
      </c>
      <c r="R4" s="111" t="s">
        <v>40</v>
      </c>
      <c r="S4" s="111" t="s">
        <v>41</v>
      </c>
      <c r="T4" s="112" t="s">
        <v>42</v>
      </c>
      <c r="U4" s="112" t="s">
        <v>237</v>
      </c>
      <c r="V4" s="56" t="s">
        <v>38</v>
      </c>
      <c r="W4" s="56" t="s">
        <v>39</v>
      </c>
      <c r="X4" s="56" t="s">
        <v>40</v>
      </c>
      <c r="Y4" s="56" t="s">
        <v>41</v>
      </c>
      <c r="Z4" s="57" t="s">
        <v>42</v>
      </c>
      <c r="AA4" s="57" t="s">
        <v>237</v>
      </c>
      <c r="AB4" s="111" t="s">
        <v>89</v>
      </c>
    </row>
    <row r="5" spans="1:28" s="129" customFormat="1" ht="25.5">
      <c r="A5" s="129" t="s">
        <v>202</v>
      </c>
      <c r="C5" s="134" t="s">
        <v>203</v>
      </c>
      <c r="D5" s="111"/>
      <c r="F5" s="128"/>
      <c r="G5" s="76"/>
      <c r="H5" s="128"/>
      <c r="I5" s="249"/>
      <c r="K5" s="113"/>
      <c r="L5" s="128"/>
      <c r="M5" s="135"/>
      <c r="N5" s="249"/>
      <c r="O5" s="128"/>
      <c r="P5" s="76"/>
      <c r="Q5" s="76"/>
      <c r="R5" s="76"/>
      <c r="S5" s="76"/>
      <c r="T5" s="76"/>
      <c r="U5" s="76"/>
      <c r="V5" s="58"/>
      <c r="W5" s="58"/>
      <c r="X5" s="58"/>
      <c r="Y5" s="58"/>
      <c r="Z5" s="58"/>
      <c r="AA5" s="58"/>
      <c r="AB5" s="76"/>
    </row>
    <row r="6" spans="1:28" ht="25.5">
      <c r="B6" s="3" t="s">
        <v>204</v>
      </c>
      <c r="C6" s="12" t="s">
        <v>205</v>
      </c>
      <c r="D6" s="111"/>
      <c r="F6" s="3"/>
      <c r="G6" s="76"/>
      <c r="H6" s="3"/>
      <c r="I6" s="249"/>
      <c r="K6" s="169"/>
      <c r="L6" s="3"/>
      <c r="M6" s="14"/>
      <c r="N6" s="249"/>
      <c r="O6" s="3"/>
      <c r="P6" s="76"/>
      <c r="Q6" s="76"/>
      <c r="R6" s="76"/>
      <c r="S6" s="76"/>
      <c r="T6" s="76"/>
      <c r="U6" s="76"/>
      <c r="V6" s="114">
        <f t="shared" ref="V6:AA6" si="0">SUM(V7:V10)</f>
        <v>0</v>
      </c>
      <c r="W6" s="114">
        <f t="shared" si="0"/>
        <v>0</v>
      </c>
      <c r="X6" s="114">
        <f t="shared" si="0"/>
        <v>0</v>
      </c>
      <c r="Y6" s="114">
        <f t="shared" si="0"/>
        <v>0</v>
      </c>
      <c r="Z6" s="114">
        <f t="shared" si="0"/>
        <v>0</v>
      </c>
      <c r="AA6" s="114">
        <f t="shared" si="0"/>
        <v>0</v>
      </c>
      <c r="AB6" s="76"/>
    </row>
    <row r="7" spans="1:28">
      <c r="A7" s="3"/>
      <c r="C7" s="9"/>
      <c r="D7" s="76"/>
      <c r="E7" s="6" t="s">
        <v>206</v>
      </c>
      <c r="F7" s="3" t="s">
        <v>348</v>
      </c>
      <c r="G7" s="76">
        <v>5</v>
      </c>
      <c r="H7" s="3" t="s">
        <v>348</v>
      </c>
      <c r="I7" s="262">
        <f>'Passo5-TratResíduos+Reciclágem'!C13</f>
        <v>0</v>
      </c>
      <c r="J7" s="3" t="s">
        <v>349</v>
      </c>
      <c r="K7" s="115">
        <f>G7*I7/1000</f>
        <v>0</v>
      </c>
      <c r="L7" s="3" t="s">
        <v>36</v>
      </c>
      <c r="M7" s="15" t="s">
        <v>210</v>
      </c>
      <c r="N7" s="250"/>
      <c r="O7" s="3" t="s">
        <v>36</v>
      </c>
      <c r="P7" s="203">
        <v>1</v>
      </c>
      <c r="Q7" s="203"/>
      <c r="R7" s="203"/>
      <c r="S7" s="203"/>
      <c r="T7" s="203"/>
      <c r="U7" s="203"/>
      <c r="V7" s="116">
        <f t="shared" ref="V7:AA10" si="1">$N7*P7</f>
        <v>0</v>
      </c>
      <c r="W7" s="116">
        <f t="shared" si="1"/>
        <v>0</v>
      </c>
      <c r="X7" s="116">
        <f t="shared" si="1"/>
        <v>0</v>
      </c>
      <c r="Y7" s="116">
        <f t="shared" si="1"/>
        <v>0</v>
      </c>
      <c r="Z7" s="116">
        <f t="shared" si="1"/>
        <v>0</v>
      </c>
      <c r="AA7" s="116">
        <f t="shared" si="1"/>
        <v>0</v>
      </c>
      <c r="AB7" s="76"/>
    </row>
    <row r="8" spans="1:28" ht="25.5">
      <c r="A8" s="3"/>
      <c r="B8" s="3"/>
      <c r="C8" s="9"/>
      <c r="D8" s="76"/>
      <c r="E8" s="6"/>
      <c r="F8" s="3"/>
      <c r="G8" s="76"/>
      <c r="H8" s="3"/>
      <c r="I8" s="250"/>
      <c r="K8" s="115"/>
      <c r="L8" s="3"/>
      <c r="M8" s="15" t="s">
        <v>211</v>
      </c>
      <c r="N8" s="250">
        <f>K7</f>
        <v>0</v>
      </c>
      <c r="O8" s="3" t="s">
        <v>36</v>
      </c>
      <c r="P8" s="203">
        <v>0.9</v>
      </c>
      <c r="Q8" s="203"/>
      <c r="R8" s="203"/>
      <c r="S8" s="203"/>
      <c r="T8" s="203"/>
      <c r="U8" s="203">
        <v>0.1</v>
      </c>
      <c r="V8" s="116">
        <f t="shared" si="1"/>
        <v>0</v>
      </c>
      <c r="W8" s="116">
        <f t="shared" si="1"/>
        <v>0</v>
      </c>
      <c r="X8" s="116">
        <f t="shared" si="1"/>
        <v>0</v>
      </c>
      <c r="Y8" s="116">
        <f t="shared" si="1"/>
        <v>0</v>
      </c>
      <c r="Z8" s="116">
        <f t="shared" si="1"/>
        <v>0</v>
      </c>
      <c r="AA8" s="116">
        <f t="shared" si="1"/>
        <v>0</v>
      </c>
      <c r="AB8" s="76"/>
    </row>
    <row r="9" spans="1:28" ht="63.75">
      <c r="A9" s="3"/>
      <c r="B9" s="3"/>
      <c r="C9" s="9"/>
      <c r="D9" s="76"/>
      <c r="E9" s="6"/>
      <c r="F9" s="3"/>
      <c r="G9" s="76"/>
      <c r="H9" s="3"/>
      <c r="I9" s="250"/>
      <c r="K9" s="115"/>
      <c r="L9" s="3"/>
      <c r="M9" s="15" t="s">
        <v>207</v>
      </c>
      <c r="N9" s="250"/>
      <c r="O9" s="3" t="s">
        <v>36</v>
      </c>
      <c r="P9" s="203">
        <v>0.5</v>
      </c>
      <c r="Q9" s="203"/>
      <c r="R9" s="203"/>
      <c r="S9" s="203"/>
      <c r="T9" s="203"/>
      <c r="U9" s="203">
        <v>0.5</v>
      </c>
      <c r="V9" s="116">
        <f t="shared" si="1"/>
        <v>0</v>
      </c>
      <c r="W9" s="116">
        <f t="shared" si="1"/>
        <v>0</v>
      </c>
      <c r="X9" s="116">
        <f t="shared" si="1"/>
        <v>0</v>
      </c>
      <c r="Y9" s="116">
        <f t="shared" si="1"/>
        <v>0</v>
      </c>
      <c r="Z9" s="116">
        <f t="shared" si="1"/>
        <v>0</v>
      </c>
      <c r="AA9" s="116">
        <f t="shared" si="1"/>
        <v>0</v>
      </c>
      <c r="AB9" s="76"/>
    </row>
    <row r="10" spans="1:28" ht="25.5">
      <c r="A10" s="3"/>
      <c r="B10" s="3"/>
      <c r="C10" s="9"/>
      <c r="D10" s="76"/>
      <c r="E10" s="6"/>
      <c r="F10" s="3"/>
      <c r="G10" s="76"/>
      <c r="H10" s="3"/>
      <c r="I10" s="250"/>
      <c r="K10" s="115"/>
      <c r="L10" s="3"/>
      <c r="M10" s="15" t="s">
        <v>208</v>
      </c>
      <c r="N10" s="250"/>
      <c r="O10" s="3" t="s">
        <v>36</v>
      </c>
      <c r="P10" s="203">
        <v>0.1</v>
      </c>
      <c r="Q10" s="203"/>
      <c r="R10" s="203"/>
      <c r="S10" s="203"/>
      <c r="T10" s="203"/>
      <c r="U10" s="203">
        <v>0.9</v>
      </c>
      <c r="V10" s="116">
        <f t="shared" si="1"/>
        <v>0</v>
      </c>
      <c r="W10" s="116">
        <f t="shared" si="1"/>
        <v>0</v>
      </c>
      <c r="X10" s="116">
        <f t="shared" si="1"/>
        <v>0</v>
      </c>
      <c r="Y10" s="116">
        <f t="shared" si="1"/>
        <v>0</v>
      </c>
      <c r="Z10" s="116">
        <f t="shared" si="1"/>
        <v>0</v>
      </c>
      <c r="AA10" s="116">
        <f t="shared" si="1"/>
        <v>0</v>
      </c>
      <c r="AB10" s="76"/>
    </row>
    <row r="11" spans="1:28" s="55" customFormat="1">
      <c r="A11" s="104"/>
      <c r="B11" s="104"/>
      <c r="C11" s="136"/>
      <c r="D11" s="111"/>
      <c r="E11" s="106"/>
      <c r="F11" s="104"/>
      <c r="G11" s="76"/>
      <c r="H11" s="104"/>
      <c r="I11" s="250"/>
      <c r="K11" s="115"/>
      <c r="L11" s="104"/>
      <c r="M11" s="107"/>
      <c r="N11" s="250"/>
      <c r="O11" s="104"/>
      <c r="P11" s="117"/>
      <c r="Q11" s="117"/>
      <c r="R11" s="118"/>
      <c r="S11" s="118"/>
      <c r="T11" s="117"/>
      <c r="U11" s="117"/>
      <c r="V11" s="116"/>
      <c r="W11" s="116"/>
      <c r="X11" s="116"/>
      <c r="Y11" s="116"/>
      <c r="Z11" s="116"/>
      <c r="AA11" s="116"/>
      <c r="AB11" s="76"/>
    </row>
    <row r="12" spans="1:28">
      <c r="B12" s="3" t="s">
        <v>209</v>
      </c>
      <c r="C12" s="12" t="s">
        <v>212</v>
      </c>
      <c r="D12" s="111"/>
      <c r="F12" s="3"/>
      <c r="G12" s="76"/>
      <c r="H12" s="3"/>
      <c r="I12" s="249"/>
      <c r="K12" s="169"/>
      <c r="L12" s="3"/>
      <c r="M12" s="14"/>
      <c r="N12" s="249"/>
      <c r="O12" s="3"/>
      <c r="P12" s="76"/>
      <c r="Q12" s="76"/>
      <c r="R12" s="76"/>
      <c r="S12" s="76"/>
      <c r="T12" s="76"/>
      <c r="U12" s="76"/>
      <c r="V12" s="114">
        <f t="shared" ref="V12:AA12" si="2">SUM(V13:V16)</f>
        <v>0</v>
      </c>
      <c r="W12" s="114">
        <f t="shared" si="2"/>
        <v>0</v>
      </c>
      <c r="X12" s="114">
        <f t="shared" si="2"/>
        <v>0</v>
      </c>
      <c r="Y12" s="114">
        <f t="shared" si="2"/>
        <v>0</v>
      </c>
      <c r="Z12" s="114">
        <f t="shared" si="2"/>
        <v>0</v>
      </c>
      <c r="AA12" s="114">
        <f t="shared" si="2"/>
        <v>0</v>
      </c>
      <c r="AB12" s="76"/>
    </row>
    <row r="13" spans="1:28">
      <c r="A13" s="3"/>
      <c r="C13" s="9"/>
      <c r="D13" s="76"/>
      <c r="E13" s="18" t="s">
        <v>215</v>
      </c>
      <c r="F13" s="3" t="s">
        <v>348</v>
      </c>
      <c r="G13" s="76">
        <v>24</v>
      </c>
      <c r="H13" s="3" t="s">
        <v>348</v>
      </c>
      <c r="I13" s="262">
        <f>'Passo5-TratResíduos+Reciclágem'!C14</f>
        <v>0</v>
      </c>
      <c r="J13" s="3" t="s">
        <v>349</v>
      </c>
      <c r="K13" s="115">
        <f>G13*I13/1000</f>
        <v>0</v>
      </c>
      <c r="L13" s="3" t="s">
        <v>36</v>
      </c>
      <c r="M13" s="15" t="s">
        <v>210</v>
      </c>
      <c r="N13" s="250"/>
      <c r="O13" s="3" t="s">
        <v>36</v>
      </c>
      <c r="P13" s="203">
        <v>1</v>
      </c>
      <c r="Q13" s="203"/>
      <c r="R13" s="203"/>
      <c r="S13" s="203"/>
      <c r="T13" s="203"/>
      <c r="U13" s="203"/>
      <c r="V13" s="116">
        <f t="shared" ref="V13:AA16" si="3">$N13*P13</f>
        <v>0</v>
      </c>
      <c r="W13" s="116">
        <f t="shared" si="3"/>
        <v>0</v>
      </c>
      <c r="X13" s="116">
        <f t="shared" si="3"/>
        <v>0</v>
      </c>
      <c r="Y13" s="116">
        <f t="shared" si="3"/>
        <v>0</v>
      </c>
      <c r="Z13" s="116">
        <f t="shared" si="3"/>
        <v>0</v>
      </c>
      <c r="AA13" s="116">
        <f t="shared" si="3"/>
        <v>0</v>
      </c>
      <c r="AB13" s="76"/>
    </row>
    <row r="14" spans="1:28" ht="25.5">
      <c r="A14" s="3"/>
      <c r="B14" s="3"/>
      <c r="C14" s="9"/>
      <c r="D14" s="76"/>
      <c r="E14" s="6"/>
      <c r="F14" s="3"/>
      <c r="G14" s="76"/>
      <c r="H14" s="3"/>
      <c r="I14" s="250"/>
      <c r="K14" s="115"/>
      <c r="L14" s="3"/>
      <c r="M14" s="15" t="s">
        <v>211</v>
      </c>
      <c r="N14" s="250">
        <f>K13</f>
        <v>0</v>
      </c>
      <c r="O14" s="3" t="s">
        <v>36</v>
      </c>
      <c r="P14" s="203">
        <v>0.9</v>
      </c>
      <c r="Q14" s="203"/>
      <c r="R14" s="203"/>
      <c r="S14" s="203"/>
      <c r="T14" s="203"/>
      <c r="U14" s="203">
        <v>0.1</v>
      </c>
      <c r="V14" s="116">
        <f t="shared" si="3"/>
        <v>0</v>
      </c>
      <c r="W14" s="116">
        <f t="shared" si="3"/>
        <v>0</v>
      </c>
      <c r="X14" s="116">
        <f t="shared" si="3"/>
        <v>0</v>
      </c>
      <c r="Y14" s="116">
        <f t="shared" si="3"/>
        <v>0</v>
      </c>
      <c r="Z14" s="116">
        <f t="shared" si="3"/>
        <v>0</v>
      </c>
      <c r="AA14" s="116">
        <f t="shared" si="3"/>
        <v>0</v>
      </c>
      <c r="AB14" s="76"/>
    </row>
    <row r="15" spans="1:28" ht="63.75">
      <c r="A15" s="3"/>
      <c r="B15" s="3"/>
      <c r="C15" s="9"/>
      <c r="D15" s="76"/>
      <c r="E15" s="6"/>
      <c r="F15" s="3"/>
      <c r="G15" s="76"/>
      <c r="H15" s="3"/>
      <c r="I15" s="250"/>
      <c r="K15" s="115"/>
      <c r="L15" s="3"/>
      <c r="M15" s="15" t="s">
        <v>207</v>
      </c>
      <c r="N15" s="250"/>
      <c r="O15" s="3" t="s">
        <v>36</v>
      </c>
      <c r="P15" s="203">
        <v>0.5</v>
      </c>
      <c r="Q15" s="203"/>
      <c r="R15" s="203"/>
      <c r="S15" s="203"/>
      <c r="T15" s="203"/>
      <c r="U15" s="203">
        <v>0.5</v>
      </c>
      <c r="V15" s="116">
        <f t="shared" si="3"/>
        <v>0</v>
      </c>
      <c r="W15" s="116">
        <f t="shared" si="3"/>
        <v>0</v>
      </c>
      <c r="X15" s="116">
        <f t="shared" si="3"/>
        <v>0</v>
      </c>
      <c r="Y15" s="116">
        <f t="shared" si="3"/>
        <v>0</v>
      </c>
      <c r="Z15" s="116">
        <f t="shared" si="3"/>
        <v>0</v>
      </c>
      <c r="AA15" s="116">
        <f t="shared" si="3"/>
        <v>0</v>
      </c>
      <c r="AB15" s="76"/>
    </row>
    <row r="16" spans="1:28" ht="25.5">
      <c r="A16" s="3"/>
      <c r="B16" s="3"/>
      <c r="C16" s="9"/>
      <c r="D16" s="76"/>
      <c r="E16" s="6"/>
      <c r="F16" s="3"/>
      <c r="G16" s="76"/>
      <c r="H16" s="3"/>
      <c r="I16" s="250"/>
      <c r="K16" s="115"/>
      <c r="L16" s="3"/>
      <c r="M16" s="15" t="s">
        <v>208</v>
      </c>
      <c r="N16" s="250"/>
      <c r="O16" s="3" t="s">
        <v>36</v>
      </c>
      <c r="P16" s="203">
        <v>0.1</v>
      </c>
      <c r="Q16" s="203"/>
      <c r="R16" s="203"/>
      <c r="S16" s="203"/>
      <c r="T16" s="203"/>
      <c r="U16" s="203">
        <v>0.9</v>
      </c>
      <c r="V16" s="116">
        <f t="shared" si="3"/>
        <v>0</v>
      </c>
      <c r="W16" s="116">
        <f t="shared" si="3"/>
        <v>0</v>
      </c>
      <c r="X16" s="116">
        <f t="shared" si="3"/>
        <v>0</v>
      </c>
      <c r="Y16" s="116">
        <f t="shared" si="3"/>
        <v>0</v>
      </c>
      <c r="Z16" s="116">
        <f t="shared" si="3"/>
        <v>0</v>
      </c>
      <c r="AA16" s="116">
        <f t="shared" si="3"/>
        <v>0</v>
      </c>
      <c r="AB16" s="76"/>
    </row>
    <row r="17" spans="1:46" s="55" customFormat="1">
      <c r="A17" s="104"/>
      <c r="B17" s="104"/>
      <c r="C17" s="105"/>
      <c r="D17" s="76"/>
      <c r="E17" s="106"/>
      <c r="F17" s="104"/>
      <c r="G17" s="76"/>
      <c r="H17" s="104"/>
      <c r="I17" s="250"/>
      <c r="K17" s="115"/>
      <c r="L17" s="104"/>
      <c r="M17" s="107"/>
      <c r="N17" s="250"/>
      <c r="O17" s="104"/>
      <c r="P17" s="117"/>
      <c r="Q17" s="117"/>
      <c r="R17" s="118"/>
      <c r="S17" s="118"/>
      <c r="T17" s="117"/>
      <c r="U17" s="76"/>
      <c r="V17" s="116"/>
      <c r="W17" s="116"/>
      <c r="X17" s="116"/>
      <c r="Y17" s="116"/>
      <c r="Z17" s="116"/>
      <c r="AA17" s="116"/>
      <c r="AB17" s="76"/>
    </row>
    <row r="18" spans="1:46">
      <c r="B18" s="3" t="s">
        <v>214</v>
      </c>
      <c r="C18" s="12" t="s">
        <v>213</v>
      </c>
      <c r="D18" s="111"/>
      <c r="F18" s="3"/>
      <c r="G18" s="76"/>
      <c r="H18" s="3"/>
      <c r="I18" s="249"/>
      <c r="K18" s="169"/>
      <c r="L18" s="3"/>
      <c r="M18" s="14"/>
      <c r="N18" s="249"/>
      <c r="O18" s="3"/>
      <c r="P18" s="76"/>
      <c r="Q18" s="76"/>
      <c r="R18" s="76"/>
      <c r="S18" s="76"/>
      <c r="T18" s="76"/>
      <c r="U18" s="76"/>
      <c r="V18" s="114">
        <f t="shared" ref="V18:AA18" si="4">SUM(V19:V22)</f>
        <v>0</v>
      </c>
      <c r="W18" s="114">
        <f t="shared" si="4"/>
        <v>0</v>
      </c>
      <c r="X18" s="114">
        <f t="shared" si="4"/>
        <v>0</v>
      </c>
      <c r="Y18" s="114">
        <f t="shared" si="4"/>
        <v>0</v>
      </c>
      <c r="Z18" s="114">
        <f t="shared" si="4"/>
        <v>0</v>
      </c>
      <c r="AA18" s="114">
        <f t="shared" si="4"/>
        <v>0</v>
      </c>
      <c r="AB18" s="76"/>
    </row>
    <row r="19" spans="1:46">
      <c r="A19" s="3"/>
      <c r="C19" s="9"/>
      <c r="D19" s="76"/>
      <c r="E19" s="6" t="s">
        <v>215</v>
      </c>
      <c r="F19" s="3" t="s">
        <v>348</v>
      </c>
      <c r="G19" s="76">
        <v>24</v>
      </c>
      <c r="H19" s="3" t="s">
        <v>348</v>
      </c>
      <c r="I19" s="262">
        <f>'Passo5-TratResíduos+Reciclágem'!C15</f>
        <v>0</v>
      </c>
      <c r="J19" s="3" t="s">
        <v>349</v>
      </c>
      <c r="K19" s="115">
        <f>G19*I19/1000</f>
        <v>0</v>
      </c>
      <c r="L19" s="3" t="s">
        <v>36</v>
      </c>
      <c r="M19" s="15" t="s">
        <v>210</v>
      </c>
      <c r="N19" s="250"/>
      <c r="O19" s="3" t="s">
        <v>36</v>
      </c>
      <c r="P19" s="203">
        <v>1</v>
      </c>
      <c r="Q19" s="203"/>
      <c r="R19" s="203"/>
      <c r="S19" s="203"/>
      <c r="T19" s="203"/>
      <c r="U19" s="203"/>
      <c r="V19" s="116">
        <f t="shared" ref="V19:AA22" si="5">$N19*P19</f>
        <v>0</v>
      </c>
      <c r="W19" s="116">
        <f t="shared" si="5"/>
        <v>0</v>
      </c>
      <c r="X19" s="116">
        <f t="shared" si="5"/>
        <v>0</v>
      </c>
      <c r="Y19" s="116">
        <f t="shared" si="5"/>
        <v>0</v>
      </c>
      <c r="Z19" s="116">
        <f t="shared" si="5"/>
        <v>0</v>
      </c>
      <c r="AA19" s="116">
        <f t="shared" si="5"/>
        <v>0</v>
      </c>
      <c r="AB19" s="76"/>
    </row>
    <row r="20" spans="1:46" ht="25.5">
      <c r="A20" s="3"/>
      <c r="B20" s="3"/>
      <c r="C20" s="9"/>
      <c r="D20" s="76"/>
      <c r="E20" s="6"/>
      <c r="F20" s="3"/>
      <c r="G20" s="76"/>
      <c r="H20" s="3"/>
      <c r="I20" s="250"/>
      <c r="K20" s="115"/>
      <c r="L20" s="3"/>
      <c r="M20" s="15" t="s">
        <v>211</v>
      </c>
      <c r="N20" s="250">
        <f>K19</f>
        <v>0</v>
      </c>
      <c r="O20" s="3" t="s">
        <v>36</v>
      </c>
      <c r="P20" s="203">
        <v>0.9</v>
      </c>
      <c r="Q20" s="203"/>
      <c r="R20" s="203"/>
      <c r="S20" s="203"/>
      <c r="T20" s="203"/>
      <c r="U20" s="203">
        <v>0.1</v>
      </c>
      <c r="V20" s="116">
        <f t="shared" si="5"/>
        <v>0</v>
      </c>
      <c r="W20" s="116">
        <f t="shared" si="5"/>
        <v>0</v>
      </c>
      <c r="X20" s="116">
        <f t="shared" si="5"/>
        <v>0</v>
      </c>
      <c r="Y20" s="116">
        <f t="shared" si="5"/>
        <v>0</v>
      </c>
      <c r="Z20" s="116">
        <f t="shared" si="5"/>
        <v>0</v>
      </c>
      <c r="AA20" s="116">
        <f t="shared" si="5"/>
        <v>0</v>
      </c>
      <c r="AB20" s="76"/>
    </row>
    <row r="21" spans="1:46" ht="63.75">
      <c r="A21" s="3"/>
      <c r="B21" s="3"/>
      <c r="C21" s="9"/>
      <c r="D21" s="76"/>
      <c r="E21" s="6"/>
      <c r="F21" s="3"/>
      <c r="G21" s="76"/>
      <c r="H21" s="3"/>
      <c r="I21" s="250"/>
      <c r="K21" s="115"/>
      <c r="L21" s="3"/>
      <c r="M21" s="15" t="s">
        <v>207</v>
      </c>
      <c r="N21" s="250"/>
      <c r="O21" s="3" t="s">
        <v>36</v>
      </c>
      <c r="P21" s="203">
        <v>0.5</v>
      </c>
      <c r="Q21" s="203"/>
      <c r="R21" s="203"/>
      <c r="S21" s="203"/>
      <c r="T21" s="203"/>
      <c r="U21" s="203">
        <v>0.5</v>
      </c>
      <c r="V21" s="116">
        <f t="shared" si="5"/>
        <v>0</v>
      </c>
      <c r="W21" s="116">
        <f t="shared" si="5"/>
        <v>0</v>
      </c>
      <c r="X21" s="116">
        <f t="shared" si="5"/>
        <v>0</v>
      </c>
      <c r="Y21" s="116">
        <f t="shared" si="5"/>
        <v>0</v>
      </c>
      <c r="Z21" s="116">
        <f t="shared" si="5"/>
        <v>0</v>
      </c>
      <c r="AA21" s="116">
        <f t="shared" si="5"/>
        <v>0</v>
      </c>
      <c r="AB21" s="76"/>
    </row>
    <row r="22" spans="1:46" ht="25.5">
      <c r="A22" s="3"/>
      <c r="B22" s="3"/>
      <c r="C22" s="9"/>
      <c r="D22" s="76"/>
      <c r="E22" s="6"/>
      <c r="F22" s="3"/>
      <c r="G22" s="76"/>
      <c r="H22" s="3"/>
      <c r="I22" s="250"/>
      <c r="K22" s="115"/>
      <c r="L22" s="3"/>
      <c r="M22" s="15" t="s">
        <v>208</v>
      </c>
      <c r="N22" s="250"/>
      <c r="O22" s="3" t="s">
        <v>36</v>
      </c>
      <c r="P22" s="203">
        <v>0.1</v>
      </c>
      <c r="Q22" s="203"/>
      <c r="R22" s="203"/>
      <c r="S22" s="203"/>
      <c r="T22" s="203"/>
      <c r="U22" s="203">
        <v>0.9</v>
      </c>
      <c r="V22" s="116">
        <f t="shared" si="5"/>
        <v>0</v>
      </c>
      <c r="W22" s="116">
        <f t="shared" si="5"/>
        <v>0</v>
      </c>
      <c r="X22" s="116">
        <f t="shared" si="5"/>
        <v>0</v>
      </c>
      <c r="Y22" s="116">
        <f t="shared" si="5"/>
        <v>0</v>
      </c>
      <c r="Z22" s="116">
        <f t="shared" si="5"/>
        <v>0</v>
      </c>
      <c r="AA22" s="116">
        <f t="shared" si="5"/>
        <v>0</v>
      </c>
      <c r="AB22" s="76"/>
    </row>
    <row r="23" spans="1:46" s="55" customFormat="1">
      <c r="A23" s="104"/>
      <c r="B23" s="104"/>
      <c r="C23" s="136"/>
      <c r="D23" s="76"/>
      <c r="E23" s="106"/>
      <c r="F23" s="104"/>
      <c r="G23" s="76"/>
      <c r="H23" s="104"/>
      <c r="I23" s="250"/>
      <c r="K23" s="115"/>
      <c r="L23" s="104"/>
      <c r="M23" s="107"/>
      <c r="N23" s="250"/>
      <c r="O23" s="104"/>
      <c r="P23" s="117"/>
      <c r="Q23" s="117"/>
      <c r="R23" s="118"/>
      <c r="S23" s="118"/>
      <c r="T23" s="117"/>
      <c r="U23" s="76"/>
      <c r="V23" s="116"/>
      <c r="W23" s="116"/>
      <c r="X23" s="116"/>
      <c r="Y23" s="116"/>
      <c r="Z23" s="116"/>
      <c r="AA23" s="116"/>
      <c r="AB23" s="76"/>
    </row>
    <row r="24" spans="1:46">
      <c r="A24" s="3"/>
      <c r="B24" s="3" t="s">
        <v>216</v>
      </c>
      <c r="C24" s="12" t="s">
        <v>217</v>
      </c>
      <c r="D24" s="76"/>
      <c r="E24" t="s">
        <v>43</v>
      </c>
      <c r="F24" s="3" t="s">
        <v>43</v>
      </c>
      <c r="G24" s="76">
        <v>2</v>
      </c>
      <c r="H24" s="3" t="s">
        <v>402</v>
      </c>
      <c r="I24" s="250">
        <f>'Passo5-TratResíduos+Reciclágem'!C16</f>
        <v>0</v>
      </c>
      <c r="J24" s="3" t="s">
        <v>43</v>
      </c>
      <c r="K24" s="115">
        <f>G24*I24/1000</f>
        <v>0</v>
      </c>
      <c r="L24" s="3" t="s">
        <v>36</v>
      </c>
      <c r="M24" s="15"/>
      <c r="N24" s="250">
        <f>K24</f>
        <v>0</v>
      </c>
      <c r="O24" s="3" t="s">
        <v>36</v>
      </c>
      <c r="P24" s="203">
        <v>0.9</v>
      </c>
      <c r="Q24" s="203"/>
      <c r="R24" s="203"/>
      <c r="S24" s="203"/>
      <c r="T24" s="203"/>
      <c r="U24" s="203">
        <v>0.1</v>
      </c>
      <c r="V24" s="114">
        <f t="shared" ref="V24:AA24" si="6">$N24*P24</f>
        <v>0</v>
      </c>
      <c r="W24" s="114">
        <f t="shared" si="6"/>
        <v>0</v>
      </c>
      <c r="X24" s="114">
        <f t="shared" si="6"/>
        <v>0</v>
      </c>
      <c r="Y24" s="114">
        <f t="shared" si="6"/>
        <v>0</v>
      </c>
      <c r="Z24" s="114">
        <f t="shared" si="6"/>
        <v>0</v>
      </c>
      <c r="AA24" s="114">
        <f t="shared" si="6"/>
        <v>0</v>
      </c>
      <c r="AB24" s="76"/>
    </row>
    <row r="25" spans="1:46" s="55" customFormat="1">
      <c r="A25" s="104"/>
      <c r="B25" s="104"/>
      <c r="C25" s="136"/>
      <c r="D25" s="111"/>
      <c r="E25" s="149"/>
      <c r="F25" s="104"/>
      <c r="G25" s="76"/>
      <c r="H25" s="104"/>
      <c r="I25" s="250"/>
      <c r="K25" s="173"/>
      <c r="L25" s="104"/>
      <c r="M25" s="138"/>
      <c r="N25" s="250"/>
      <c r="O25" s="104"/>
      <c r="P25" s="117"/>
      <c r="Q25" s="117"/>
      <c r="R25" s="118"/>
      <c r="S25" s="118"/>
      <c r="T25" s="117"/>
      <c r="U25" s="76"/>
      <c r="V25" s="116"/>
      <c r="W25" s="116"/>
      <c r="X25" s="116"/>
      <c r="Y25" s="116"/>
      <c r="Z25" s="116"/>
      <c r="AA25" s="116"/>
      <c r="AB25" s="76"/>
    </row>
    <row r="26" spans="1:46">
      <c r="A26" s="3"/>
      <c r="B26" s="3" t="s">
        <v>218</v>
      </c>
      <c r="C26" s="12" t="s">
        <v>386</v>
      </c>
      <c r="D26" s="111"/>
      <c r="E26" s="6" t="s">
        <v>206</v>
      </c>
      <c r="F26" s="3" t="s">
        <v>348</v>
      </c>
      <c r="G26" s="76">
        <v>5</v>
      </c>
      <c r="H26" s="3" t="s">
        <v>348</v>
      </c>
      <c r="I26" s="262">
        <f>'Passo5-TratResíduos+Reciclágem'!C17</f>
        <v>0</v>
      </c>
      <c r="J26" s="3" t="s">
        <v>349</v>
      </c>
      <c r="K26" s="115">
        <f>G26*I26/1000</f>
        <v>0</v>
      </c>
      <c r="L26" s="3" t="s">
        <v>36</v>
      </c>
      <c r="M26" s="15"/>
      <c r="N26" s="250">
        <f>K26</f>
        <v>0</v>
      </c>
      <c r="O26" s="3" t="s">
        <v>36</v>
      </c>
      <c r="P26" s="203">
        <v>1</v>
      </c>
      <c r="Q26" s="203"/>
      <c r="R26" s="203"/>
      <c r="S26" s="203"/>
      <c r="T26" s="203"/>
      <c r="U26" s="203"/>
      <c r="V26" s="114">
        <f t="shared" ref="V26:AA26" si="7">$N26*P26</f>
        <v>0</v>
      </c>
      <c r="W26" s="114">
        <f t="shared" si="7"/>
        <v>0</v>
      </c>
      <c r="X26" s="114">
        <f t="shared" si="7"/>
        <v>0</v>
      </c>
      <c r="Y26" s="114">
        <f t="shared" si="7"/>
        <v>0</v>
      </c>
      <c r="Z26" s="114">
        <f t="shared" si="7"/>
        <v>0</v>
      </c>
      <c r="AA26" s="114">
        <f t="shared" si="7"/>
        <v>0</v>
      </c>
      <c r="AB26" s="76"/>
    </row>
    <row r="27" spans="1:46" s="55" customFormat="1">
      <c r="C27" s="187"/>
      <c r="D27" s="111"/>
      <c r="G27" s="76"/>
      <c r="I27" s="250"/>
      <c r="K27" s="58"/>
      <c r="M27" s="110"/>
      <c r="N27" s="250"/>
      <c r="O27" s="104"/>
      <c r="P27" s="76"/>
      <c r="Q27" s="76"/>
      <c r="R27" s="76"/>
      <c r="S27" s="76"/>
      <c r="T27" s="76"/>
      <c r="U27" s="76"/>
      <c r="V27" s="58"/>
      <c r="W27" s="58"/>
      <c r="X27" s="58"/>
      <c r="Y27" s="58"/>
      <c r="Z27" s="58"/>
      <c r="AA27" s="58"/>
      <c r="AB27" s="76"/>
    </row>
    <row r="28" spans="1:46">
      <c r="D28" s="3"/>
      <c r="E28" s="3"/>
      <c r="F28" s="3"/>
      <c r="G28" s="3"/>
      <c r="H28" s="3"/>
      <c r="I28" s="241"/>
      <c r="J28" s="3"/>
      <c r="K28" s="3"/>
      <c r="L28" s="3"/>
      <c r="M28" s="63"/>
      <c r="N28" s="241"/>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row>
    <row r="29" spans="1:46">
      <c r="M29" s="14"/>
      <c r="N29" s="241"/>
      <c r="O29" s="3"/>
    </row>
    <row r="30" spans="1:46">
      <c r="M30" s="14"/>
      <c r="N30" s="251"/>
      <c r="O30" s="3"/>
    </row>
    <row r="31" spans="1:46">
      <c r="C31" s="5"/>
      <c r="D31" s="5"/>
    </row>
  </sheetData>
  <sheetProtection sheet="1" objects="1" scenarios="1"/>
  <phoneticPr fontId="2" type="noConversion"/>
  <pageMargins left="0.39370078740157483" right="0.39370078740157483" top="0.74803149606299213" bottom="0.74803149606299213" header="0.31496062992125984" footer="0.31496062992125984"/>
  <pageSetup paperSize="9" orientation="landscape" r:id="rId1"/>
  <headerFooter>
    <oddFooter>&amp;L&amp;APrinted &amp;D</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76"/>
  <sheetViews>
    <sheetView topLeftCell="A16" zoomScale="80" zoomScaleNormal="80" workbookViewId="0">
      <selection activeCell="J35" sqref="J35"/>
    </sheetView>
  </sheetViews>
  <sheetFormatPr defaultRowHeight="12.75"/>
  <cols>
    <col min="1" max="1" width="3" customWidth="1"/>
    <col min="2" max="2" width="6.140625" customWidth="1"/>
    <col min="3" max="3" width="29.5703125" customWidth="1"/>
    <col min="4" max="4" width="7.28515625" customWidth="1"/>
    <col min="5" max="5" width="16.28515625" customWidth="1"/>
    <col min="6" max="6" width="10.42578125" customWidth="1"/>
    <col min="7" max="7" width="10.28515625" customWidth="1"/>
    <col min="8" max="8" width="17.42578125" customWidth="1"/>
    <col min="9" max="9" width="14.140625" style="242" customWidth="1"/>
    <col min="10" max="10" width="25.85546875" customWidth="1"/>
    <col min="11" max="11" width="11.28515625" style="242" customWidth="1"/>
    <col min="12" max="12" width="11.5703125" customWidth="1"/>
    <col min="13" max="13" width="28.140625" style="13" customWidth="1"/>
    <col min="14" max="14" width="9.140625" style="242"/>
    <col min="16" max="16" width="5.7109375" customWidth="1"/>
    <col min="17" max="17" width="7.42578125" customWidth="1"/>
    <col min="18" max="18" width="5" customWidth="1"/>
    <col min="19" max="19" width="8.42578125" customWidth="1"/>
    <col min="21" max="21" width="17.5703125" customWidth="1"/>
    <col min="22" max="22" width="12.5703125" customWidth="1"/>
    <col min="24" max="24" width="9.7109375" customWidth="1"/>
    <col min="25" max="25" width="11.140625" customWidth="1"/>
    <col min="26" max="26" width="11.5703125" customWidth="1"/>
    <col min="27" max="27" width="17" customWidth="1"/>
    <col min="28" max="28" width="63.42578125" customWidth="1"/>
  </cols>
  <sheetData>
    <row r="1" spans="1:28" ht="18">
      <c r="A1" s="1" t="s">
        <v>34</v>
      </c>
      <c r="I1" s="232"/>
      <c r="K1" s="232"/>
      <c r="L1" s="48"/>
      <c r="M1" s="48"/>
      <c r="N1" s="232"/>
    </row>
    <row r="2" spans="1:28" ht="15">
      <c r="A2" s="54" t="s">
        <v>322</v>
      </c>
      <c r="I2" s="232"/>
      <c r="K2" s="232"/>
      <c r="L2" s="48"/>
      <c r="M2" s="48"/>
      <c r="N2" s="232"/>
      <c r="U2" s="48"/>
    </row>
    <row r="3" spans="1:28">
      <c r="C3" s="102"/>
      <c r="D3" s="3"/>
      <c r="E3" s="3"/>
      <c r="F3" s="3"/>
      <c r="G3" s="3"/>
      <c r="H3" s="3"/>
      <c r="I3" s="233"/>
      <c r="J3" s="3"/>
      <c r="K3" s="233"/>
      <c r="L3" s="55"/>
      <c r="M3" s="55"/>
      <c r="N3" s="233"/>
      <c r="O3" s="3"/>
      <c r="P3" s="94" t="s">
        <v>55</v>
      </c>
      <c r="Q3" s="49"/>
      <c r="R3" s="49"/>
      <c r="S3" s="49"/>
      <c r="T3" s="49"/>
      <c r="U3" s="49"/>
      <c r="V3" s="10" t="s">
        <v>54</v>
      </c>
      <c r="W3" s="4"/>
      <c r="X3" s="4"/>
      <c r="Y3" s="4"/>
      <c r="Z3" s="4"/>
      <c r="AA3" s="4"/>
      <c r="AB3" s="2"/>
    </row>
    <row r="4" spans="1:28" s="123" customFormat="1" ht="38.25">
      <c r="A4" s="123" t="s">
        <v>52</v>
      </c>
      <c r="B4" s="123" t="s">
        <v>50</v>
      </c>
      <c r="C4" s="124" t="s">
        <v>59</v>
      </c>
      <c r="D4" s="112" t="s">
        <v>159</v>
      </c>
      <c r="E4" s="124" t="s">
        <v>49</v>
      </c>
      <c r="F4" s="125" t="s">
        <v>35</v>
      </c>
      <c r="G4" s="112" t="s">
        <v>37</v>
      </c>
      <c r="H4" s="125" t="s">
        <v>35</v>
      </c>
      <c r="I4" s="247" t="s">
        <v>51</v>
      </c>
      <c r="J4" s="123" t="s">
        <v>35</v>
      </c>
      <c r="K4" s="243" t="s">
        <v>61</v>
      </c>
      <c r="L4" s="154" t="s">
        <v>35</v>
      </c>
      <c r="M4" s="155" t="s">
        <v>219</v>
      </c>
      <c r="N4" s="247" t="s">
        <v>94</v>
      </c>
      <c r="O4" s="125" t="s">
        <v>35</v>
      </c>
      <c r="P4" s="111" t="s">
        <v>38</v>
      </c>
      <c r="Q4" s="111" t="s">
        <v>39</v>
      </c>
      <c r="R4" s="111" t="s">
        <v>40</v>
      </c>
      <c r="S4" s="111" t="s">
        <v>41</v>
      </c>
      <c r="T4" s="112" t="s">
        <v>42</v>
      </c>
      <c r="U4" s="112" t="s">
        <v>53</v>
      </c>
      <c r="V4" s="56" t="s">
        <v>38</v>
      </c>
      <c r="W4" s="56" t="s">
        <v>39</v>
      </c>
      <c r="X4" s="56" t="s">
        <v>40</v>
      </c>
      <c r="Y4" s="56" t="s">
        <v>41</v>
      </c>
      <c r="Z4" s="57" t="s">
        <v>42</v>
      </c>
      <c r="AA4" s="57" t="s">
        <v>237</v>
      </c>
      <c r="AB4" s="111" t="s">
        <v>89</v>
      </c>
    </row>
    <row r="5" spans="1:28" ht="38.25">
      <c r="A5" t="s">
        <v>46</v>
      </c>
      <c r="C5" s="12" t="s">
        <v>44</v>
      </c>
      <c r="D5" s="120"/>
      <c r="F5" s="3"/>
      <c r="G5" s="119"/>
      <c r="H5" s="3"/>
      <c r="I5" s="252"/>
      <c r="K5" s="234"/>
      <c r="L5" s="3"/>
      <c r="M5" s="14"/>
      <c r="N5" s="248"/>
      <c r="O5" s="3"/>
      <c r="P5" s="119"/>
      <c r="Q5" s="119"/>
      <c r="R5" s="119"/>
      <c r="S5" s="119"/>
      <c r="T5" s="119"/>
      <c r="U5" s="119"/>
      <c r="V5" s="122"/>
      <c r="W5" s="122"/>
      <c r="X5" s="122"/>
      <c r="Y5" s="122"/>
      <c r="Z5" s="122"/>
      <c r="AA5" s="122"/>
      <c r="AB5" s="119"/>
    </row>
    <row r="6" spans="1:28" ht="25.5">
      <c r="B6" t="s">
        <v>45</v>
      </c>
      <c r="C6" s="12" t="s">
        <v>47</v>
      </c>
      <c r="D6" s="111"/>
      <c r="G6" s="76"/>
      <c r="I6" s="249"/>
      <c r="K6" s="235"/>
      <c r="L6" s="3"/>
      <c r="M6" s="14"/>
      <c r="N6" s="249"/>
      <c r="O6" s="3"/>
      <c r="P6" s="76"/>
      <c r="Q6" s="76"/>
      <c r="R6" s="76"/>
      <c r="S6" s="76"/>
      <c r="T6" s="76"/>
      <c r="U6" s="76"/>
      <c r="V6" s="114">
        <f>SUM(V7:V12)</f>
        <v>0</v>
      </c>
      <c r="W6" s="114">
        <f>SUM(W7:W12)</f>
        <v>0</v>
      </c>
      <c r="X6" s="114">
        <f>SUM(X7:X12)</f>
        <v>0</v>
      </c>
      <c r="Y6" s="114">
        <f>SUM(Y7:Y12)-Y7</f>
        <v>0</v>
      </c>
      <c r="Z6" s="114">
        <f>SUM(Z7:Z12)</f>
        <v>0</v>
      </c>
      <c r="AA6" s="114">
        <f>SUM(AA7:AA12)</f>
        <v>0</v>
      </c>
      <c r="AB6" s="76"/>
    </row>
    <row r="7" spans="1:28">
      <c r="C7" s="12" t="s">
        <v>60</v>
      </c>
      <c r="D7" s="111"/>
      <c r="E7" s="6" t="s">
        <v>48</v>
      </c>
      <c r="F7" s="3" t="s">
        <v>354</v>
      </c>
      <c r="G7" s="76">
        <v>0.15</v>
      </c>
      <c r="H7" s="3" t="s">
        <v>354</v>
      </c>
      <c r="I7" s="250"/>
      <c r="J7" t="s">
        <v>334</v>
      </c>
      <c r="K7" s="240">
        <f>G7*I7/1000</f>
        <v>0</v>
      </c>
      <c r="L7" s="3" t="s">
        <v>36</v>
      </c>
      <c r="M7" s="32"/>
      <c r="N7" s="250"/>
      <c r="O7" s="3" t="s">
        <v>36</v>
      </c>
      <c r="P7" s="76"/>
      <c r="Q7" s="76">
        <v>0.01</v>
      </c>
      <c r="R7" s="76"/>
      <c r="S7" s="76">
        <v>0.8</v>
      </c>
      <c r="T7" s="76">
        <v>0.19</v>
      </c>
      <c r="U7" s="76"/>
      <c r="V7" s="116">
        <f t="shared" ref="V7:AA12" si="0">$N7*P7</f>
        <v>0</v>
      </c>
      <c r="W7" s="116">
        <f t="shared" si="0"/>
        <v>0</v>
      </c>
      <c r="X7" s="116">
        <f t="shared" si="0"/>
        <v>0</v>
      </c>
      <c r="Y7" s="116">
        <f t="shared" si="0"/>
        <v>0</v>
      </c>
      <c r="Z7" s="116">
        <f t="shared" si="0"/>
        <v>0</v>
      </c>
      <c r="AA7" s="116">
        <f t="shared" si="0"/>
        <v>0</v>
      </c>
      <c r="AB7" s="76"/>
    </row>
    <row r="8" spans="1:28" ht="51">
      <c r="C8" s="12" t="s">
        <v>728</v>
      </c>
      <c r="D8" s="111"/>
      <c r="E8" s="6" t="s">
        <v>58</v>
      </c>
      <c r="F8" s="3" t="s">
        <v>354</v>
      </c>
      <c r="G8" s="76">
        <v>0.15</v>
      </c>
      <c r="H8" s="3" t="s">
        <v>354</v>
      </c>
      <c r="I8" s="250">
        <f>'Passo2-Energia'!C5</f>
        <v>0</v>
      </c>
      <c r="J8" t="s">
        <v>334</v>
      </c>
      <c r="K8" s="236">
        <f>G8*I8/1000</f>
        <v>0</v>
      </c>
      <c r="L8" s="3" t="s">
        <v>66</v>
      </c>
      <c r="M8" s="33"/>
      <c r="N8" s="250"/>
      <c r="O8" s="3"/>
      <c r="P8" s="76"/>
      <c r="Q8" s="76"/>
      <c r="R8" s="76"/>
      <c r="S8" s="76"/>
      <c r="T8" s="76"/>
      <c r="U8" s="76"/>
      <c r="V8" s="116">
        <f t="shared" si="0"/>
        <v>0</v>
      </c>
      <c r="W8" s="116">
        <f t="shared" si="0"/>
        <v>0</v>
      </c>
      <c r="X8" s="116">
        <f t="shared" si="0"/>
        <v>0</v>
      </c>
      <c r="Y8" s="116">
        <f t="shared" si="0"/>
        <v>0</v>
      </c>
      <c r="Z8" s="116">
        <f t="shared" si="0"/>
        <v>0</v>
      </c>
      <c r="AA8" s="116">
        <f t="shared" si="0"/>
        <v>0</v>
      </c>
      <c r="AB8" s="76"/>
    </row>
    <row r="9" spans="1:28" ht="76.5">
      <c r="C9" s="9"/>
      <c r="D9" s="76"/>
      <c r="E9" s="6"/>
      <c r="F9" s="3"/>
      <c r="G9" s="76"/>
      <c r="H9" s="3"/>
      <c r="I9" s="250"/>
      <c r="K9" s="236"/>
      <c r="L9" s="3"/>
      <c r="M9" s="53" t="s">
        <v>729</v>
      </c>
      <c r="N9" s="250">
        <f>K8</f>
        <v>0</v>
      </c>
      <c r="O9" s="3" t="s">
        <v>36</v>
      </c>
      <c r="P9" s="76">
        <v>0.88</v>
      </c>
      <c r="Q9" s="117"/>
      <c r="R9" s="118"/>
      <c r="S9" s="118"/>
      <c r="T9" s="117"/>
      <c r="U9" s="76">
        <v>0.12</v>
      </c>
      <c r="V9" s="116">
        <f t="shared" si="0"/>
        <v>0</v>
      </c>
      <c r="W9" s="116">
        <f t="shared" si="0"/>
        <v>0</v>
      </c>
      <c r="X9" s="116">
        <f t="shared" si="0"/>
        <v>0</v>
      </c>
      <c r="Y9" s="116">
        <f t="shared" si="0"/>
        <v>0</v>
      </c>
      <c r="Z9" s="116">
        <f t="shared" si="0"/>
        <v>0</v>
      </c>
      <c r="AA9" s="116">
        <f t="shared" si="0"/>
        <v>0</v>
      </c>
      <c r="AB9" s="76"/>
    </row>
    <row r="10" spans="1:28">
      <c r="C10" s="9"/>
      <c r="D10" s="76"/>
      <c r="E10" s="6"/>
      <c r="F10" s="3"/>
      <c r="G10" s="76"/>
      <c r="H10" s="3"/>
      <c r="I10" s="250"/>
      <c r="K10" s="236"/>
      <c r="L10" s="3"/>
      <c r="M10" s="33"/>
      <c r="N10" s="250"/>
      <c r="O10" s="3"/>
      <c r="P10" s="117"/>
      <c r="Q10" s="117"/>
      <c r="R10" s="118"/>
      <c r="S10" s="118"/>
      <c r="T10" s="117"/>
      <c r="U10" s="76"/>
      <c r="V10" s="116">
        <f t="shared" si="0"/>
        <v>0</v>
      </c>
      <c r="W10" s="116">
        <f t="shared" si="0"/>
        <v>0</v>
      </c>
      <c r="X10" s="116">
        <f t="shared" si="0"/>
        <v>0</v>
      </c>
      <c r="Y10" s="116">
        <f t="shared" si="0"/>
        <v>0</v>
      </c>
      <c r="Z10" s="116">
        <f t="shared" si="0"/>
        <v>0</v>
      </c>
      <c r="AA10" s="116">
        <f t="shared" si="0"/>
        <v>0</v>
      </c>
      <c r="AB10" s="76"/>
    </row>
    <row r="11" spans="1:28">
      <c r="C11" s="9"/>
      <c r="D11" s="76"/>
      <c r="E11" s="6"/>
      <c r="F11" s="3"/>
      <c r="G11" s="76"/>
      <c r="H11" s="3"/>
      <c r="I11" s="250"/>
      <c r="K11" s="236"/>
      <c r="L11" s="3"/>
      <c r="M11" s="33"/>
      <c r="N11" s="250"/>
      <c r="O11" s="3"/>
      <c r="P11" s="117"/>
      <c r="Q11" s="117"/>
      <c r="R11" s="118"/>
      <c r="S11" s="118"/>
      <c r="T11" s="117"/>
      <c r="U11" s="76"/>
      <c r="V11" s="116">
        <f t="shared" si="0"/>
        <v>0</v>
      </c>
      <c r="W11" s="116">
        <f t="shared" si="0"/>
        <v>0</v>
      </c>
      <c r="X11" s="116">
        <f t="shared" si="0"/>
        <v>0</v>
      </c>
      <c r="Y11" s="116">
        <f t="shared" si="0"/>
        <v>0</v>
      </c>
      <c r="Z11" s="116">
        <f t="shared" si="0"/>
        <v>0</v>
      </c>
      <c r="AA11" s="116">
        <f t="shared" si="0"/>
        <v>0</v>
      </c>
      <c r="AB11" s="76"/>
    </row>
    <row r="12" spans="1:28">
      <c r="C12" s="9"/>
      <c r="D12" s="76"/>
      <c r="E12" s="6"/>
      <c r="F12" s="3"/>
      <c r="G12" s="76"/>
      <c r="H12" s="3"/>
      <c r="I12" s="250"/>
      <c r="K12" s="236"/>
      <c r="L12" s="3"/>
      <c r="M12" s="33"/>
      <c r="N12" s="250"/>
      <c r="O12" s="3"/>
      <c r="P12" s="117"/>
      <c r="Q12" s="117"/>
      <c r="R12" s="118"/>
      <c r="S12" s="118"/>
      <c r="T12" s="117"/>
      <c r="U12" s="76"/>
      <c r="V12" s="116">
        <f t="shared" si="0"/>
        <v>0</v>
      </c>
      <c r="W12" s="116">
        <f t="shared" si="0"/>
        <v>0</v>
      </c>
      <c r="X12" s="116">
        <f t="shared" si="0"/>
        <v>0</v>
      </c>
      <c r="Y12" s="116">
        <f t="shared" si="0"/>
        <v>0</v>
      </c>
      <c r="Z12" s="116">
        <f t="shared" si="0"/>
        <v>0</v>
      </c>
      <c r="AA12" s="116">
        <f t="shared" si="0"/>
        <v>0</v>
      </c>
      <c r="AB12" s="76"/>
    </row>
    <row r="13" spans="1:28">
      <c r="C13" s="9"/>
      <c r="D13" s="76"/>
      <c r="G13" s="76"/>
      <c r="I13" s="249"/>
      <c r="K13" s="236"/>
      <c r="M13" s="15"/>
      <c r="N13" s="250"/>
      <c r="O13" s="3"/>
      <c r="P13" s="76"/>
      <c r="Q13" s="76"/>
      <c r="R13" s="76"/>
      <c r="S13" s="76"/>
      <c r="T13" s="76"/>
      <c r="U13" s="76"/>
      <c r="V13" s="58"/>
      <c r="W13" s="58"/>
      <c r="X13" s="58"/>
      <c r="Y13" s="58"/>
      <c r="Z13" s="58"/>
      <c r="AA13" s="58"/>
      <c r="AB13" s="76"/>
    </row>
    <row r="14" spans="1:28" s="91" customFormat="1">
      <c r="A14" s="88"/>
      <c r="B14" s="88" t="s">
        <v>62</v>
      </c>
      <c r="C14" s="89" t="s">
        <v>63</v>
      </c>
      <c r="D14" s="111"/>
      <c r="E14" s="88"/>
      <c r="F14" s="88"/>
      <c r="G14" s="76"/>
      <c r="H14" s="88"/>
      <c r="I14" s="249"/>
      <c r="J14" s="88"/>
      <c r="K14" s="363"/>
      <c r="L14" s="88"/>
      <c r="M14" s="90"/>
      <c r="N14" s="250"/>
      <c r="O14" s="88"/>
      <c r="P14" s="76"/>
      <c r="Q14" s="76"/>
      <c r="R14" s="76"/>
      <c r="S14" s="76"/>
      <c r="T14" s="76"/>
      <c r="U14" s="76"/>
      <c r="V14" s="114">
        <f>SUM(V15:V22)</f>
        <v>0</v>
      </c>
      <c r="W14" s="114">
        <f>SUM(W15:W22)</f>
        <v>0</v>
      </c>
      <c r="X14" s="114">
        <f>SUM(X15:X22)</f>
        <v>0</v>
      </c>
      <c r="Y14" s="114">
        <f>SUM(Y15:Y22)-Y17</f>
        <v>0</v>
      </c>
      <c r="Z14" s="114">
        <f>SUM(Z15:Z22)</f>
        <v>0</v>
      </c>
      <c r="AA14" s="114">
        <f>SUM(AA15:AA22)</f>
        <v>0</v>
      </c>
      <c r="AB14" s="76"/>
    </row>
    <row r="15" spans="1:28" s="48" customFormat="1">
      <c r="A15" s="92"/>
      <c r="B15" s="28"/>
      <c r="C15" s="93" t="s">
        <v>64</v>
      </c>
      <c r="D15" s="111"/>
      <c r="E15" s="95" t="s">
        <v>48</v>
      </c>
      <c r="F15" s="28" t="s">
        <v>354</v>
      </c>
      <c r="G15" s="76">
        <v>0.15</v>
      </c>
      <c r="H15" s="28" t="s">
        <v>354</v>
      </c>
      <c r="I15" s="250"/>
      <c r="J15" s="48" t="s">
        <v>334</v>
      </c>
      <c r="K15" s="236">
        <f>G15*I15/1000</f>
        <v>0</v>
      </c>
      <c r="L15" s="101" t="s">
        <v>36</v>
      </c>
      <c r="M15" s="96"/>
      <c r="N15" s="250"/>
      <c r="O15" s="28"/>
      <c r="P15" s="76"/>
      <c r="Q15" s="76"/>
      <c r="R15" s="76"/>
      <c r="S15" s="76"/>
      <c r="T15" s="76"/>
      <c r="U15" s="76"/>
      <c r="V15" s="116">
        <f t="shared" ref="V15:AA15" si="1">$N15*P15</f>
        <v>0</v>
      </c>
      <c r="W15" s="116">
        <f t="shared" si="1"/>
        <v>0</v>
      </c>
      <c r="X15" s="116">
        <f t="shared" si="1"/>
        <v>0</v>
      </c>
      <c r="Y15" s="116">
        <f t="shared" si="1"/>
        <v>0</v>
      </c>
      <c r="Z15" s="116">
        <f t="shared" si="1"/>
        <v>0</v>
      </c>
      <c r="AA15" s="116">
        <f t="shared" si="1"/>
        <v>0</v>
      </c>
      <c r="AB15" s="76"/>
    </row>
    <row r="16" spans="1:28">
      <c r="A16" s="3"/>
      <c r="B16" s="3"/>
      <c r="C16" s="26" t="s">
        <v>65</v>
      </c>
      <c r="D16" s="111"/>
      <c r="E16" s="3"/>
      <c r="F16" s="3"/>
      <c r="G16" s="76"/>
      <c r="H16" s="3"/>
      <c r="I16" s="249"/>
      <c r="J16" s="3"/>
      <c r="K16" s="236"/>
      <c r="M16" s="32"/>
      <c r="N16" s="250"/>
      <c r="O16" s="3"/>
      <c r="P16" s="76"/>
      <c r="Q16" s="76"/>
      <c r="R16" s="76"/>
      <c r="S16" s="76"/>
      <c r="T16" s="76"/>
      <c r="U16" s="76"/>
      <c r="V16" s="116">
        <f t="shared" ref="V16:V22" si="2">$N16*P16</f>
        <v>0</v>
      </c>
      <c r="W16" s="116">
        <f t="shared" ref="W16:W22" si="3">$N16*Q16</f>
        <v>0</v>
      </c>
      <c r="X16" s="116">
        <f t="shared" ref="X16:X22" si="4">$N16*R16</f>
        <v>0</v>
      </c>
      <c r="Y16" s="116">
        <f t="shared" ref="Y16:Y22" si="5">$N16*S16</f>
        <v>0</v>
      </c>
      <c r="Z16" s="116">
        <f t="shared" ref="Z16:Z22" si="6">$N16*T16</f>
        <v>0</v>
      </c>
      <c r="AA16" s="116">
        <f t="shared" ref="AA16:AA22" si="7">$N16*U16</f>
        <v>0</v>
      </c>
      <c r="AB16" s="76"/>
    </row>
    <row r="17" spans="1:28">
      <c r="A17" s="7"/>
      <c r="B17" s="3"/>
      <c r="C17" s="12" t="s">
        <v>60</v>
      </c>
      <c r="D17" s="111"/>
      <c r="E17" s="6" t="s">
        <v>48</v>
      </c>
      <c r="F17" s="3" t="s">
        <v>354</v>
      </c>
      <c r="G17" s="76">
        <v>0.15</v>
      </c>
      <c r="H17" s="3" t="s">
        <v>354</v>
      </c>
      <c r="I17" s="250"/>
      <c r="J17" t="s">
        <v>334</v>
      </c>
      <c r="K17" s="240">
        <f>G17*I17/1000</f>
        <v>0</v>
      </c>
      <c r="L17" s="3" t="s">
        <v>36</v>
      </c>
      <c r="M17" s="32"/>
      <c r="N17" s="250"/>
      <c r="O17" s="3"/>
      <c r="P17" s="76"/>
      <c r="Q17" s="76">
        <v>0.01</v>
      </c>
      <c r="R17" s="76"/>
      <c r="S17" s="76">
        <v>0.8</v>
      </c>
      <c r="T17" s="76">
        <v>0.19</v>
      </c>
      <c r="U17" s="76"/>
      <c r="V17" s="116">
        <f t="shared" si="2"/>
        <v>0</v>
      </c>
      <c r="W17" s="116">
        <f t="shared" si="3"/>
        <v>0</v>
      </c>
      <c r="X17" s="116">
        <f t="shared" si="4"/>
        <v>0</v>
      </c>
      <c r="Y17" s="116">
        <f t="shared" si="5"/>
        <v>0</v>
      </c>
      <c r="Z17" s="116">
        <f t="shared" si="6"/>
        <v>0</v>
      </c>
      <c r="AA17" s="116">
        <f t="shared" si="7"/>
        <v>0</v>
      </c>
      <c r="AB17" s="76"/>
    </row>
    <row r="18" spans="1:28" ht="51">
      <c r="A18" s="3"/>
      <c r="B18" s="3"/>
      <c r="C18" s="12" t="s">
        <v>728</v>
      </c>
      <c r="D18" s="111"/>
      <c r="E18" s="6" t="s">
        <v>58</v>
      </c>
      <c r="F18" s="3" t="s">
        <v>354</v>
      </c>
      <c r="G18" s="607">
        <f>(0.15+0.15+0.1)/3</f>
        <v>0.13333333333333333</v>
      </c>
      <c r="H18" s="3" t="s">
        <v>354</v>
      </c>
      <c r="I18" s="250">
        <f>'Passo2-Energia'!C6</f>
        <v>0</v>
      </c>
      <c r="J18" t="s">
        <v>334</v>
      </c>
      <c r="K18" s="240">
        <f>G18*I18/1000</f>
        <v>0</v>
      </c>
      <c r="L18" s="3" t="s">
        <v>66</v>
      </c>
      <c r="M18" s="33"/>
      <c r="N18" s="250"/>
      <c r="O18" s="3"/>
      <c r="P18" s="76"/>
      <c r="Q18" s="76"/>
      <c r="R18" s="76"/>
      <c r="S18" s="76"/>
      <c r="T18" s="76"/>
      <c r="U18" s="76"/>
      <c r="V18" s="116">
        <f t="shared" si="2"/>
        <v>0</v>
      </c>
      <c r="W18" s="116">
        <f t="shared" si="3"/>
        <v>0</v>
      </c>
      <c r="X18" s="116">
        <f t="shared" si="4"/>
        <v>0</v>
      </c>
      <c r="Y18" s="116">
        <f t="shared" si="5"/>
        <v>0</v>
      </c>
      <c r="Z18" s="116">
        <f t="shared" si="6"/>
        <v>0</v>
      </c>
      <c r="AA18" s="116">
        <f t="shared" si="7"/>
        <v>0</v>
      </c>
      <c r="AB18" s="76"/>
    </row>
    <row r="19" spans="1:28">
      <c r="A19" s="3"/>
      <c r="B19" s="3"/>
      <c r="C19" s="9"/>
      <c r="D19" s="76"/>
      <c r="E19" s="6"/>
      <c r="F19" s="3"/>
      <c r="G19" s="76"/>
      <c r="H19" s="3"/>
      <c r="I19" s="250"/>
      <c r="K19" s="236"/>
      <c r="L19" s="3"/>
      <c r="M19" s="53" t="s">
        <v>441</v>
      </c>
      <c r="N19" s="250">
        <f>K18</f>
        <v>0</v>
      </c>
      <c r="O19" s="3" t="s">
        <v>36</v>
      </c>
      <c r="P19" s="76">
        <v>1</v>
      </c>
      <c r="Q19" s="117"/>
      <c r="R19" s="118"/>
      <c r="S19" s="118"/>
      <c r="T19" s="117"/>
      <c r="U19" s="76"/>
      <c r="V19" s="116">
        <f t="shared" si="2"/>
        <v>0</v>
      </c>
      <c r="W19" s="116">
        <f t="shared" si="3"/>
        <v>0</v>
      </c>
      <c r="X19" s="116">
        <f t="shared" si="4"/>
        <v>0</v>
      </c>
      <c r="Y19" s="116">
        <f t="shared" si="5"/>
        <v>0</v>
      </c>
      <c r="Z19" s="116">
        <f t="shared" si="6"/>
        <v>0</v>
      </c>
      <c r="AA19" s="116">
        <f t="shared" si="7"/>
        <v>0</v>
      </c>
      <c r="AB19" s="76"/>
    </row>
    <row r="20" spans="1:28">
      <c r="A20" s="3"/>
      <c r="B20" s="3"/>
      <c r="C20" s="9"/>
      <c r="D20" s="76"/>
      <c r="E20" s="6"/>
      <c r="F20" s="3"/>
      <c r="G20" s="76"/>
      <c r="H20" s="3"/>
      <c r="I20" s="250"/>
      <c r="K20" s="236"/>
      <c r="L20" s="3"/>
      <c r="M20" s="33"/>
      <c r="N20" s="250"/>
      <c r="O20" s="3"/>
      <c r="P20" s="117"/>
      <c r="Q20" s="117"/>
      <c r="R20" s="118"/>
      <c r="S20" s="118"/>
      <c r="T20" s="117"/>
      <c r="U20" s="76"/>
      <c r="V20" s="116">
        <f t="shared" si="2"/>
        <v>0</v>
      </c>
      <c r="W20" s="116">
        <f t="shared" si="3"/>
        <v>0</v>
      </c>
      <c r="X20" s="116">
        <f t="shared" si="4"/>
        <v>0</v>
      </c>
      <c r="Y20" s="116">
        <f t="shared" si="5"/>
        <v>0</v>
      </c>
      <c r="Z20" s="116">
        <f t="shared" si="6"/>
        <v>0</v>
      </c>
      <c r="AA20" s="116">
        <f t="shared" si="7"/>
        <v>0</v>
      </c>
      <c r="AB20" s="76"/>
    </row>
    <row r="21" spans="1:28">
      <c r="A21" s="3"/>
      <c r="B21" s="3"/>
      <c r="C21" s="9"/>
      <c r="D21" s="76"/>
      <c r="E21" s="6"/>
      <c r="F21" s="3"/>
      <c r="G21" s="76"/>
      <c r="H21" s="3"/>
      <c r="I21" s="250"/>
      <c r="K21" s="236"/>
      <c r="L21" s="3"/>
      <c r="M21" s="33"/>
      <c r="N21" s="250"/>
      <c r="O21" s="3"/>
      <c r="P21" s="117"/>
      <c r="Q21" s="117"/>
      <c r="R21" s="118"/>
      <c r="S21" s="118"/>
      <c r="T21" s="117"/>
      <c r="U21" s="76"/>
      <c r="V21" s="116">
        <f t="shared" si="2"/>
        <v>0</v>
      </c>
      <c r="W21" s="116">
        <f t="shared" si="3"/>
        <v>0</v>
      </c>
      <c r="X21" s="116">
        <f t="shared" si="4"/>
        <v>0</v>
      </c>
      <c r="Y21" s="116">
        <f t="shared" si="5"/>
        <v>0</v>
      </c>
      <c r="Z21" s="116">
        <f t="shared" si="6"/>
        <v>0</v>
      </c>
      <c r="AA21" s="116">
        <f t="shared" si="7"/>
        <v>0</v>
      </c>
      <c r="AB21" s="76"/>
    </row>
    <row r="22" spans="1:28">
      <c r="A22" s="3"/>
      <c r="B22" s="3"/>
      <c r="C22" s="9"/>
      <c r="D22" s="76"/>
      <c r="E22" s="6"/>
      <c r="F22" s="3"/>
      <c r="G22" s="76"/>
      <c r="H22" s="3"/>
      <c r="I22" s="250"/>
      <c r="K22" s="236"/>
      <c r="L22" s="3"/>
      <c r="M22" s="33"/>
      <c r="N22" s="250"/>
      <c r="O22" s="3"/>
      <c r="P22" s="117"/>
      <c r="Q22" s="117"/>
      <c r="R22" s="118"/>
      <c r="S22" s="118"/>
      <c r="T22" s="117"/>
      <c r="U22" s="76"/>
      <c r="V22" s="116">
        <f t="shared" si="2"/>
        <v>0</v>
      </c>
      <c r="W22" s="116">
        <f t="shared" si="3"/>
        <v>0</v>
      </c>
      <c r="X22" s="116">
        <f t="shared" si="4"/>
        <v>0</v>
      </c>
      <c r="Y22" s="116">
        <f t="shared" si="5"/>
        <v>0</v>
      </c>
      <c r="Z22" s="116">
        <f t="shared" si="6"/>
        <v>0</v>
      </c>
      <c r="AA22" s="116">
        <f t="shared" si="7"/>
        <v>0</v>
      </c>
      <c r="AB22" s="76"/>
    </row>
    <row r="23" spans="1:28">
      <c r="A23" s="3"/>
      <c r="B23" s="3"/>
      <c r="C23" s="9"/>
      <c r="D23" s="76"/>
      <c r="E23" s="6"/>
      <c r="F23" s="3"/>
      <c r="G23" s="76"/>
      <c r="H23" s="3"/>
      <c r="I23" s="250"/>
      <c r="K23" s="236"/>
      <c r="L23" s="3"/>
      <c r="M23" s="32"/>
      <c r="N23" s="250"/>
      <c r="O23" s="3"/>
      <c r="P23" s="117"/>
      <c r="Q23" s="117"/>
      <c r="R23" s="118"/>
      <c r="S23" s="118"/>
      <c r="T23" s="117"/>
      <c r="U23" s="76"/>
      <c r="V23" s="116"/>
      <c r="W23" s="116"/>
      <c r="X23" s="116"/>
      <c r="Y23" s="116"/>
      <c r="Z23" s="116"/>
      <c r="AA23" s="116"/>
      <c r="AB23" s="76"/>
    </row>
    <row r="24" spans="1:28" s="91" customFormat="1" ht="25.5">
      <c r="A24" s="88"/>
      <c r="B24" s="88" t="s">
        <v>67</v>
      </c>
      <c r="C24" s="97" t="s">
        <v>72</v>
      </c>
      <c r="D24" s="111"/>
      <c r="E24" s="98"/>
      <c r="F24" s="88"/>
      <c r="G24" s="76"/>
      <c r="H24" s="88"/>
      <c r="I24" s="250"/>
      <c r="K24" s="363"/>
      <c r="L24" s="88"/>
      <c r="M24" s="99"/>
      <c r="N24" s="250"/>
      <c r="O24" s="88"/>
      <c r="P24" s="117"/>
      <c r="Q24" s="117"/>
      <c r="R24" s="118"/>
      <c r="S24" s="118"/>
      <c r="T24" s="117"/>
      <c r="U24" s="76"/>
      <c r="V24" s="114">
        <f t="shared" ref="V24:AA24" si="8">SUM(V25:V35)</f>
        <v>0</v>
      </c>
      <c r="W24" s="114">
        <f t="shared" si="8"/>
        <v>0</v>
      </c>
      <c r="X24" s="114">
        <f t="shared" si="8"/>
        <v>0</v>
      </c>
      <c r="Y24" s="114">
        <f t="shared" si="8"/>
        <v>0</v>
      </c>
      <c r="Z24" s="114">
        <f t="shared" si="8"/>
        <v>0</v>
      </c>
      <c r="AA24" s="114">
        <f t="shared" si="8"/>
        <v>0</v>
      </c>
      <c r="AB24" s="76"/>
    </row>
    <row r="25" spans="1:28" s="48" customFormat="1">
      <c r="A25" s="28"/>
      <c r="B25" s="28"/>
      <c r="C25" s="100" t="s">
        <v>103</v>
      </c>
      <c r="D25" s="111"/>
      <c r="E25" s="566" t="s">
        <v>706</v>
      </c>
      <c r="F25" s="3" t="s">
        <v>356</v>
      </c>
      <c r="G25" s="282">
        <v>3.4</v>
      </c>
      <c r="H25" s="3" t="s">
        <v>356</v>
      </c>
      <c r="I25" s="334">
        <f>'Passo2-Energia'!C15</f>
        <v>0</v>
      </c>
      <c r="J25" t="s">
        <v>335</v>
      </c>
      <c r="K25" s="236">
        <f>G25/1000000*I25</f>
        <v>0</v>
      </c>
      <c r="L25" s="101"/>
      <c r="M25" s="35"/>
      <c r="N25" s="250">
        <f>K25</f>
        <v>0</v>
      </c>
      <c r="O25" s="28"/>
      <c r="P25" s="361"/>
      <c r="Q25" s="361">
        <v>0.2</v>
      </c>
      <c r="R25" s="361"/>
      <c r="S25" s="361"/>
      <c r="T25" s="361"/>
      <c r="U25" s="361"/>
      <c r="V25" s="116">
        <f t="shared" ref="V25:AA25" si="9">$N25*P25</f>
        <v>0</v>
      </c>
      <c r="W25" s="116">
        <f t="shared" si="9"/>
        <v>0</v>
      </c>
      <c r="X25" s="116">
        <f t="shared" si="9"/>
        <v>0</v>
      </c>
      <c r="Y25" s="116">
        <f t="shared" si="9"/>
        <v>0</v>
      </c>
      <c r="Z25" s="116">
        <f t="shared" si="9"/>
        <v>0</v>
      </c>
      <c r="AA25" s="116">
        <f t="shared" si="9"/>
        <v>0</v>
      </c>
      <c r="AB25" s="76"/>
    </row>
    <row r="26" spans="1:28">
      <c r="A26" s="3"/>
      <c r="B26" s="3"/>
      <c r="C26" s="12" t="s">
        <v>104</v>
      </c>
      <c r="D26" s="111"/>
      <c r="E26" s="566" t="s">
        <v>706</v>
      </c>
      <c r="F26" s="3" t="s">
        <v>356</v>
      </c>
      <c r="G26" s="76">
        <v>3.4</v>
      </c>
      <c r="H26" s="3" t="s">
        <v>356</v>
      </c>
      <c r="I26" s="250">
        <f>'Passo2-Energia'!C16</f>
        <v>0</v>
      </c>
      <c r="J26" t="s">
        <v>335</v>
      </c>
      <c r="K26" s="236">
        <f>G26/1000000*I26</f>
        <v>0</v>
      </c>
      <c r="L26" s="3" t="s">
        <v>36</v>
      </c>
      <c r="M26" s="15"/>
      <c r="N26" s="250">
        <f>K26</f>
        <v>0</v>
      </c>
      <c r="O26" s="3"/>
      <c r="P26" s="361">
        <v>0.25</v>
      </c>
      <c r="Q26" s="361">
        <v>0.01</v>
      </c>
      <c r="R26" s="361"/>
      <c r="S26" s="361"/>
      <c r="T26" s="361"/>
      <c r="U26" s="361">
        <v>0.15</v>
      </c>
      <c r="V26" s="116">
        <f t="shared" ref="V26:AA26" si="10">$N26*P26</f>
        <v>0</v>
      </c>
      <c r="W26" s="116">
        <f t="shared" si="10"/>
        <v>0</v>
      </c>
      <c r="X26" s="116">
        <f t="shared" si="10"/>
        <v>0</v>
      </c>
      <c r="Y26" s="116">
        <f t="shared" si="10"/>
        <v>0</v>
      </c>
      <c r="Z26" s="116">
        <f t="shared" si="10"/>
        <v>0</v>
      </c>
      <c r="AA26" s="116">
        <f t="shared" si="10"/>
        <v>0</v>
      </c>
      <c r="AB26" s="76"/>
    </row>
    <row r="27" spans="1:28" ht="25.5">
      <c r="A27" s="3"/>
      <c r="B27" s="3"/>
      <c r="C27" s="12" t="s">
        <v>421</v>
      </c>
      <c r="D27" s="111"/>
      <c r="E27" s="11"/>
      <c r="F27" s="3"/>
      <c r="G27" s="76"/>
      <c r="H27" s="3"/>
      <c r="I27" s="250"/>
      <c r="K27" s="236"/>
      <c r="L27" s="3"/>
      <c r="M27" s="15"/>
      <c r="N27" s="250"/>
      <c r="O27" s="3"/>
      <c r="P27" s="117"/>
      <c r="Q27" s="117"/>
      <c r="R27" s="118"/>
      <c r="S27" s="118"/>
      <c r="T27" s="117"/>
      <c r="U27" s="117"/>
      <c r="V27" s="116"/>
      <c r="W27" s="116"/>
      <c r="X27" s="116"/>
      <c r="Y27" s="116"/>
      <c r="Z27" s="116"/>
      <c r="AA27" s="116"/>
      <c r="AB27" s="76"/>
    </row>
    <row r="28" spans="1:28">
      <c r="A28" s="3"/>
      <c r="B28" s="3"/>
      <c r="C28" s="9" t="s">
        <v>68</v>
      </c>
      <c r="D28" s="76"/>
      <c r="E28" s="11" t="s">
        <v>422</v>
      </c>
      <c r="F28" s="3" t="s">
        <v>356</v>
      </c>
      <c r="G28" s="76">
        <v>55</v>
      </c>
      <c r="H28" s="3" t="s">
        <v>356</v>
      </c>
      <c r="I28" s="250">
        <f>'Passo2-Energia'!C7</f>
        <v>0</v>
      </c>
      <c r="J28" t="s">
        <v>335</v>
      </c>
      <c r="K28" s="236">
        <f>G28/1000000*I28</f>
        <v>0</v>
      </c>
      <c r="L28" s="3" t="s">
        <v>36</v>
      </c>
      <c r="M28" s="15"/>
      <c r="N28" s="250">
        <f>K28</f>
        <v>0</v>
      </c>
      <c r="O28" s="3"/>
      <c r="P28" s="117">
        <v>1</v>
      </c>
      <c r="Q28" s="117"/>
      <c r="R28" s="118"/>
      <c r="S28" s="118"/>
      <c r="T28" s="117"/>
      <c r="U28" s="117"/>
      <c r="V28" s="116">
        <f t="shared" ref="V28:AA30" si="11">$N28*P28</f>
        <v>0</v>
      </c>
      <c r="W28" s="116">
        <f t="shared" si="11"/>
        <v>0</v>
      </c>
      <c r="X28" s="116">
        <f t="shared" si="11"/>
        <v>0</v>
      </c>
      <c r="Y28" s="116">
        <f t="shared" si="11"/>
        <v>0</v>
      </c>
      <c r="Z28" s="116">
        <f t="shared" si="11"/>
        <v>0</v>
      </c>
      <c r="AA28" s="116">
        <f t="shared" si="11"/>
        <v>0</v>
      </c>
      <c r="AB28" s="76"/>
    </row>
    <row r="29" spans="1:28" ht="25.5">
      <c r="A29" s="3"/>
      <c r="B29" s="3"/>
      <c r="C29" s="9" t="s">
        <v>424</v>
      </c>
      <c r="D29" s="76"/>
      <c r="E29" s="6" t="s">
        <v>422</v>
      </c>
      <c r="F29" s="3" t="s">
        <v>356</v>
      </c>
      <c r="G29" s="76">
        <v>55</v>
      </c>
      <c r="H29" s="3" t="s">
        <v>356</v>
      </c>
      <c r="I29" s="250"/>
      <c r="J29" t="s">
        <v>335</v>
      </c>
      <c r="K29" s="240">
        <f>G29/1000000*I29</f>
        <v>0</v>
      </c>
      <c r="L29" s="3" t="s">
        <v>36</v>
      </c>
      <c r="M29" s="33" t="s">
        <v>70</v>
      </c>
      <c r="N29" s="250"/>
      <c r="O29" s="3"/>
      <c r="P29" s="117">
        <v>1</v>
      </c>
      <c r="Q29" s="117"/>
      <c r="R29" s="118"/>
      <c r="S29" s="118"/>
      <c r="T29" s="117"/>
      <c r="U29" s="117"/>
      <c r="V29" s="116">
        <f t="shared" si="11"/>
        <v>0</v>
      </c>
      <c r="W29" s="116">
        <f t="shared" si="11"/>
        <v>0</v>
      </c>
      <c r="X29" s="116">
        <f t="shared" si="11"/>
        <v>0</v>
      </c>
      <c r="Y29" s="116">
        <f t="shared" si="11"/>
        <v>0</v>
      </c>
      <c r="Z29" s="116">
        <f t="shared" si="11"/>
        <v>0</v>
      </c>
      <c r="AA29" s="116">
        <f t="shared" si="11"/>
        <v>0</v>
      </c>
      <c r="AB29" s="76"/>
    </row>
    <row r="30" spans="1:28" ht="63.75">
      <c r="A30" s="3"/>
      <c r="B30" s="3"/>
      <c r="C30" s="567" t="s">
        <v>707</v>
      </c>
      <c r="D30" s="76"/>
      <c r="E30" s="6"/>
      <c r="F30" s="3"/>
      <c r="G30" s="76"/>
      <c r="H30" s="3"/>
      <c r="I30" s="250"/>
      <c r="K30" s="236"/>
      <c r="L30" s="3"/>
      <c r="M30" s="33" t="s">
        <v>71</v>
      </c>
      <c r="N30" s="250"/>
      <c r="O30" s="3"/>
      <c r="P30" s="117">
        <v>0.9</v>
      </c>
      <c r="Q30" s="117"/>
      <c r="R30" s="118"/>
      <c r="S30" s="118"/>
      <c r="T30" s="117"/>
      <c r="U30" s="117">
        <v>0.1</v>
      </c>
      <c r="V30" s="116">
        <f t="shared" si="11"/>
        <v>0</v>
      </c>
      <c r="W30" s="116">
        <f t="shared" si="11"/>
        <v>0</v>
      </c>
      <c r="X30" s="116">
        <f t="shared" si="11"/>
        <v>0</v>
      </c>
      <c r="Y30" s="116">
        <f t="shared" si="11"/>
        <v>0</v>
      </c>
      <c r="Z30" s="116">
        <f t="shared" si="11"/>
        <v>0</v>
      </c>
      <c r="AA30" s="116">
        <f t="shared" si="11"/>
        <v>0</v>
      </c>
      <c r="AB30" s="76"/>
    </row>
    <row r="31" spans="1:28" ht="25.5">
      <c r="A31" s="3"/>
      <c r="B31" s="3"/>
      <c r="C31" s="12" t="s">
        <v>419</v>
      </c>
      <c r="D31" s="112"/>
      <c r="E31" s="6"/>
      <c r="F31" s="3"/>
      <c r="G31" s="76"/>
      <c r="H31" s="3"/>
      <c r="I31" s="250"/>
      <c r="K31" s="236"/>
      <c r="L31" s="3"/>
      <c r="M31" s="15"/>
      <c r="N31" s="250"/>
      <c r="O31" s="3"/>
      <c r="P31" s="117"/>
      <c r="Q31" s="117"/>
      <c r="R31" s="118"/>
      <c r="S31" s="118"/>
      <c r="T31" s="117"/>
      <c r="U31" s="76"/>
      <c r="V31" s="116"/>
      <c r="W31" s="116"/>
      <c r="X31" s="116"/>
      <c r="Y31" s="116"/>
      <c r="Z31" s="116"/>
      <c r="AA31" s="116"/>
      <c r="AB31" s="76"/>
    </row>
    <row r="32" spans="1:28" ht="25.5">
      <c r="A32" s="3"/>
      <c r="B32" s="3"/>
      <c r="C32" s="9" t="s">
        <v>420</v>
      </c>
      <c r="D32" s="76"/>
      <c r="E32" s="6" t="s">
        <v>423</v>
      </c>
      <c r="F32" s="3" t="s">
        <v>356</v>
      </c>
      <c r="G32" s="76">
        <v>5.5</v>
      </c>
      <c r="H32" s="3" t="s">
        <v>356</v>
      </c>
      <c r="I32" s="250">
        <f>'Passo2-Energia'!C8</f>
        <v>0</v>
      </c>
      <c r="J32" t="s">
        <v>335</v>
      </c>
      <c r="K32" s="236">
        <f>G32/1000000*I32</f>
        <v>0</v>
      </c>
      <c r="L32" s="3" t="s">
        <v>36</v>
      </c>
      <c r="M32" s="32"/>
      <c r="N32" s="250">
        <f>K32</f>
        <v>0</v>
      </c>
      <c r="O32" s="3"/>
      <c r="P32" s="117">
        <v>1</v>
      </c>
      <c r="Q32" s="117"/>
      <c r="R32" s="118"/>
      <c r="S32" s="118"/>
      <c r="T32" s="117"/>
      <c r="U32" s="76"/>
      <c r="V32" s="116">
        <f t="shared" ref="V32:AA35" si="12">$N32*P32</f>
        <v>0</v>
      </c>
      <c r="W32" s="116">
        <f t="shared" si="12"/>
        <v>0</v>
      </c>
      <c r="X32" s="116">
        <f t="shared" si="12"/>
        <v>0</v>
      </c>
      <c r="Y32" s="116">
        <f t="shared" si="12"/>
        <v>0</v>
      </c>
      <c r="Z32" s="116">
        <f t="shared" si="12"/>
        <v>0</v>
      </c>
      <c r="AA32" s="116">
        <f t="shared" si="12"/>
        <v>0</v>
      </c>
      <c r="AB32" s="76"/>
    </row>
    <row r="33" spans="1:28" ht="25.5">
      <c r="A33" s="3"/>
      <c r="B33" s="3"/>
      <c r="C33" s="9" t="s">
        <v>69</v>
      </c>
      <c r="D33" s="76"/>
      <c r="E33" s="6" t="s">
        <v>423</v>
      </c>
      <c r="F33" s="3" t="s">
        <v>356</v>
      </c>
      <c r="G33" s="76">
        <v>5.5</v>
      </c>
      <c r="H33" s="3" t="s">
        <v>356</v>
      </c>
      <c r="I33" s="250"/>
      <c r="J33" t="s">
        <v>335</v>
      </c>
      <c r="K33" s="240">
        <f>G33/1000000*I33</f>
        <v>0</v>
      </c>
      <c r="L33" s="3" t="s">
        <v>36</v>
      </c>
      <c r="M33" s="32"/>
      <c r="N33" s="250"/>
      <c r="O33" s="3"/>
      <c r="P33" s="117">
        <v>1</v>
      </c>
      <c r="Q33" s="117"/>
      <c r="R33" s="118"/>
      <c r="S33" s="118"/>
      <c r="T33" s="117"/>
      <c r="U33" s="76"/>
      <c r="V33" s="116">
        <f t="shared" si="12"/>
        <v>0</v>
      </c>
      <c r="W33" s="116">
        <f t="shared" si="12"/>
        <v>0</v>
      </c>
      <c r="X33" s="116">
        <f t="shared" si="12"/>
        <v>0</v>
      </c>
      <c r="Y33" s="116">
        <f t="shared" si="12"/>
        <v>0</v>
      </c>
      <c r="Z33" s="116">
        <f t="shared" si="12"/>
        <v>0</v>
      </c>
      <c r="AA33" s="116">
        <f t="shared" si="12"/>
        <v>0</v>
      </c>
      <c r="AB33" s="76"/>
    </row>
    <row r="34" spans="1:28" ht="25.5">
      <c r="A34" s="3"/>
      <c r="B34" s="3"/>
      <c r="C34" s="9" t="s">
        <v>161</v>
      </c>
      <c r="D34" s="76"/>
      <c r="E34" s="6" t="s">
        <v>423</v>
      </c>
      <c r="F34" s="3" t="s">
        <v>356</v>
      </c>
      <c r="G34" s="76">
        <v>5.5</v>
      </c>
      <c r="H34" s="3" t="s">
        <v>356</v>
      </c>
      <c r="I34" s="250"/>
      <c r="J34" t="s">
        <v>335</v>
      </c>
      <c r="K34" s="240">
        <f>G34/1000000*I34</f>
        <v>0</v>
      </c>
      <c r="L34" s="3" t="s">
        <v>36</v>
      </c>
      <c r="M34" s="33" t="s">
        <v>70</v>
      </c>
      <c r="N34" s="250"/>
      <c r="O34" s="3"/>
      <c r="P34" s="117">
        <v>1</v>
      </c>
      <c r="Q34" s="117"/>
      <c r="R34" s="118"/>
      <c r="S34" s="118"/>
      <c r="T34" s="117"/>
      <c r="U34" s="76"/>
      <c r="V34" s="116">
        <f t="shared" si="12"/>
        <v>0</v>
      </c>
      <c r="W34" s="116">
        <f t="shared" si="12"/>
        <v>0</v>
      </c>
      <c r="X34" s="116">
        <f t="shared" si="12"/>
        <v>0</v>
      </c>
      <c r="Y34" s="116">
        <f t="shared" si="12"/>
        <v>0</v>
      </c>
      <c r="Z34" s="116">
        <f t="shared" si="12"/>
        <v>0</v>
      </c>
      <c r="AA34" s="116">
        <f t="shared" si="12"/>
        <v>0</v>
      </c>
      <c r="AB34" s="76"/>
    </row>
    <row r="35" spans="1:28" ht="63.75">
      <c r="A35" s="3"/>
      <c r="B35" s="3"/>
      <c r="C35" s="567" t="s">
        <v>707</v>
      </c>
      <c r="D35" s="76"/>
      <c r="E35" s="6"/>
      <c r="F35" s="3"/>
      <c r="G35" s="76"/>
      <c r="H35" s="3"/>
      <c r="I35" s="250"/>
      <c r="K35" s="236"/>
      <c r="L35" s="3"/>
      <c r="M35" s="33" t="s">
        <v>71</v>
      </c>
      <c r="N35" s="250"/>
      <c r="O35" s="3"/>
      <c r="P35" s="117">
        <v>0.9</v>
      </c>
      <c r="Q35" s="117"/>
      <c r="R35" s="118"/>
      <c r="S35" s="118"/>
      <c r="T35" s="117"/>
      <c r="U35" s="117">
        <v>0.1</v>
      </c>
      <c r="V35" s="116">
        <f t="shared" si="12"/>
        <v>0</v>
      </c>
      <c r="W35" s="116">
        <f t="shared" si="12"/>
        <v>0</v>
      </c>
      <c r="X35" s="116">
        <f t="shared" si="12"/>
        <v>0</v>
      </c>
      <c r="Y35" s="116">
        <f t="shared" si="12"/>
        <v>0</v>
      </c>
      <c r="Z35" s="116">
        <f t="shared" si="12"/>
        <v>0</v>
      </c>
      <c r="AA35" s="116">
        <f t="shared" si="12"/>
        <v>0</v>
      </c>
      <c r="AB35" s="76"/>
    </row>
    <row r="36" spans="1:28" s="55" customFormat="1">
      <c r="A36" s="104"/>
      <c r="B36" s="104"/>
      <c r="C36" s="105"/>
      <c r="D36" s="76"/>
      <c r="E36" s="106"/>
      <c r="F36" s="104"/>
      <c r="G36" s="76"/>
      <c r="H36" s="104"/>
      <c r="I36" s="250"/>
      <c r="K36" s="236"/>
      <c r="L36" s="104"/>
      <c r="M36" s="107"/>
      <c r="N36" s="250"/>
      <c r="O36" s="104"/>
      <c r="P36" s="117"/>
      <c r="Q36" s="117"/>
      <c r="R36" s="118"/>
      <c r="S36" s="118"/>
      <c r="T36" s="117"/>
      <c r="U36" s="76"/>
      <c r="V36" s="116"/>
      <c r="W36" s="116"/>
      <c r="X36" s="116"/>
      <c r="Y36" s="116"/>
      <c r="Z36" s="116"/>
      <c r="AA36" s="116"/>
      <c r="AB36" s="76"/>
    </row>
    <row r="37" spans="1:28" ht="25.5">
      <c r="A37" s="3"/>
      <c r="B37" s="3" t="s">
        <v>73</v>
      </c>
      <c r="C37" s="12" t="s">
        <v>74</v>
      </c>
      <c r="D37" s="111"/>
      <c r="E37" s="6"/>
      <c r="F37" s="3"/>
      <c r="G37" s="76"/>
      <c r="H37" s="3"/>
      <c r="I37" s="250"/>
      <c r="K37" s="363"/>
      <c r="L37" s="3"/>
      <c r="M37" s="33"/>
      <c r="N37" s="250"/>
      <c r="O37" s="3"/>
      <c r="P37" s="117"/>
      <c r="Q37" s="117"/>
      <c r="R37" s="118"/>
      <c r="S37" s="118"/>
      <c r="T37" s="117"/>
      <c r="U37" s="76"/>
      <c r="V37" s="114">
        <f t="shared" ref="V37:AA37" si="13">SUM(V38,V39)</f>
        <v>0</v>
      </c>
      <c r="W37" s="114">
        <f t="shared" si="13"/>
        <v>0</v>
      </c>
      <c r="X37" s="114">
        <f t="shared" si="13"/>
        <v>0</v>
      </c>
      <c r="Y37" s="114">
        <f t="shared" si="13"/>
        <v>0</v>
      </c>
      <c r="Z37" s="114">
        <f t="shared" si="13"/>
        <v>0</v>
      </c>
      <c r="AA37" s="114">
        <f t="shared" si="13"/>
        <v>0</v>
      </c>
      <c r="AB37" s="76"/>
    </row>
    <row r="38" spans="1:28" ht="25.5">
      <c r="A38" s="3"/>
      <c r="B38" s="3"/>
      <c r="C38" s="12" t="s">
        <v>105</v>
      </c>
      <c r="D38" s="111"/>
      <c r="E38" s="6" t="s">
        <v>77</v>
      </c>
      <c r="F38" s="3" t="s">
        <v>78</v>
      </c>
      <c r="G38" s="76">
        <v>100</v>
      </c>
      <c r="H38" s="3" t="s">
        <v>78</v>
      </c>
      <c r="I38" s="250">
        <f>'Passo2-Energia'!C17</f>
        <v>0</v>
      </c>
      <c r="J38" t="s">
        <v>75</v>
      </c>
      <c r="K38" s="239">
        <f>G38*I38/1000000000</f>
        <v>0</v>
      </c>
      <c r="L38" s="3" t="s">
        <v>36</v>
      </c>
      <c r="M38" s="33" t="s">
        <v>428</v>
      </c>
      <c r="N38" s="250">
        <f>K38*0.5</f>
        <v>0</v>
      </c>
      <c r="O38" s="3"/>
      <c r="P38" s="117">
        <v>0.2</v>
      </c>
      <c r="Q38" s="117">
        <v>0.2</v>
      </c>
      <c r="R38" s="117"/>
      <c r="S38" s="117">
        <v>0.5</v>
      </c>
      <c r="T38" s="117"/>
      <c r="U38" s="117">
        <v>0.1</v>
      </c>
      <c r="V38" s="116">
        <f t="shared" ref="V38:AA41" si="14">$N38*P38</f>
        <v>0</v>
      </c>
      <c r="W38" s="116">
        <f t="shared" si="14"/>
        <v>0</v>
      </c>
      <c r="X38" s="116">
        <f t="shared" si="14"/>
        <v>0</v>
      </c>
      <c r="Y38" s="116">
        <f t="shared" si="14"/>
        <v>0</v>
      </c>
      <c r="Z38" s="116">
        <f t="shared" si="14"/>
        <v>0</v>
      </c>
      <c r="AA38" s="116">
        <f t="shared" si="14"/>
        <v>0</v>
      </c>
      <c r="AB38" s="76"/>
    </row>
    <row r="39" spans="1:28" ht="25.5">
      <c r="A39" s="3"/>
      <c r="B39" s="3"/>
      <c r="C39" s="12"/>
      <c r="D39" s="111"/>
      <c r="E39" s="6"/>
      <c r="F39" s="3"/>
      <c r="G39" s="76"/>
      <c r="H39" s="3"/>
      <c r="I39" s="250"/>
      <c r="K39" s="239"/>
      <c r="L39" s="3"/>
      <c r="M39" s="33" t="s">
        <v>427</v>
      </c>
      <c r="N39" s="250">
        <f>K38*0.5</f>
        <v>0</v>
      </c>
      <c r="O39" s="3"/>
      <c r="P39" s="117">
        <v>0.1</v>
      </c>
      <c r="Q39" s="117">
        <v>0.2</v>
      </c>
      <c r="R39" s="117"/>
      <c r="S39" s="117">
        <v>0.1</v>
      </c>
      <c r="T39" s="117"/>
      <c r="U39" s="117">
        <v>0.6</v>
      </c>
      <c r="V39" s="116">
        <f t="shared" ref="V39:AA39" si="15">$N39*P39</f>
        <v>0</v>
      </c>
      <c r="W39" s="116">
        <f t="shared" si="15"/>
        <v>0</v>
      </c>
      <c r="X39" s="116">
        <f t="shared" si="15"/>
        <v>0</v>
      </c>
      <c r="Y39" s="116">
        <f t="shared" si="15"/>
        <v>0</v>
      </c>
      <c r="Z39" s="116">
        <f t="shared" si="15"/>
        <v>0</v>
      </c>
      <c r="AA39" s="116">
        <f t="shared" si="15"/>
        <v>0</v>
      </c>
      <c r="AB39" s="76"/>
    </row>
    <row r="40" spans="1:28">
      <c r="A40" s="3"/>
      <c r="B40" s="3"/>
      <c r="C40" s="12" t="s">
        <v>106</v>
      </c>
      <c r="D40" s="111"/>
      <c r="E40" s="6" t="s">
        <v>77</v>
      </c>
      <c r="F40" s="3" t="s">
        <v>78</v>
      </c>
      <c r="G40" s="76">
        <v>100</v>
      </c>
      <c r="H40" s="3" t="s">
        <v>78</v>
      </c>
      <c r="I40" s="250">
        <f>'Passo2-Energia'!C9</f>
        <v>0</v>
      </c>
      <c r="J40" t="s">
        <v>75</v>
      </c>
      <c r="K40" s="239">
        <f>G40/1000000000*I40</f>
        <v>0</v>
      </c>
      <c r="L40" s="3" t="s">
        <v>36</v>
      </c>
      <c r="M40" s="34"/>
      <c r="N40" s="250">
        <f>K40</f>
        <v>0</v>
      </c>
      <c r="O40" s="3"/>
      <c r="P40" s="117">
        <v>1</v>
      </c>
      <c r="Q40" s="117"/>
      <c r="R40" s="118"/>
      <c r="S40" s="118"/>
      <c r="T40" s="117"/>
      <c r="U40" s="76"/>
      <c r="V40" s="116">
        <f t="shared" si="14"/>
        <v>0</v>
      </c>
      <c r="W40" s="116">
        <f t="shared" si="14"/>
        <v>0</v>
      </c>
      <c r="X40" s="116">
        <f t="shared" si="14"/>
        <v>0</v>
      </c>
      <c r="Y40" s="116">
        <f t="shared" si="14"/>
        <v>0</v>
      </c>
      <c r="Z40" s="116">
        <f t="shared" si="14"/>
        <v>0</v>
      </c>
      <c r="AA40" s="116">
        <f t="shared" si="14"/>
        <v>0</v>
      </c>
      <c r="AB40" s="76"/>
    </row>
    <row r="41" spans="1:28" ht="25.5">
      <c r="A41" s="3"/>
      <c r="B41" s="3"/>
      <c r="C41" s="12" t="s">
        <v>107</v>
      </c>
      <c r="D41" s="111"/>
      <c r="E41" s="6" t="s">
        <v>76</v>
      </c>
      <c r="F41" s="3" t="s">
        <v>78</v>
      </c>
      <c r="G41" s="76">
        <v>0.22</v>
      </c>
      <c r="H41" s="3" t="s">
        <v>78</v>
      </c>
      <c r="I41" s="250">
        <f>'Passo2-Energia'!C10</f>
        <v>0</v>
      </c>
      <c r="J41" t="s">
        <v>75</v>
      </c>
      <c r="K41" s="239">
        <f>G41/1000000000*I41</f>
        <v>0</v>
      </c>
      <c r="L41" s="3" t="s">
        <v>36</v>
      </c>
      <c r="M41" s="15"/>
      <c r="N41" s="454">
        <f>K41</f>
        <v>0</v>
      </c>
      <c r="O41" s="3"/>
      <c r="P41" s="117">
        <v>1</v>
      </c>
      <c r="Q41" s="117"/>
      <c r="R41" s="118"/>
      <c r="S41" s="118"/>
      <c r="T41" s="117"/>
      <c r="U41" s="76"/>
      <c r="V41" s="116">
        <f t="shared" si="14"/>
        <v>0</v>
      </c>
      <c r="W41" s="116">
        <f t="shared" si="14"/>
        <v>0</v>
      </c>
      <c r="X41" s="116">
        <f t="shared" si="14"/>
        <v>0</v>
      </c>
      <c r="Y41" s="116">
        <f t="shared" si="14"/>
        <v>0</v>
      </c>
      <c r="Z41" s="116">
        <f t="shared" si="14"/>
        <v>0</v>
      </c>
      <c r="AA41" s="116">
        <f t="shared" si="14"/>
        <v>0</v>
      </c>
      <c r="AB41" s="76"/>
    </row>
    <row r="42" spans="1:28">
      <c r="A42" s="3"/>
      <c r="B42" s="3"/>
      <c r="C42" s="9"/>
      <c r="D42" s="76"/>
      <c r="E42" s="6"/>
      <c r="F42" s="3"/>
      <c r="G42" s="76"/>
      <c r="H42" s="3"/>
      <c r="I42" s="250"/>
      <c r="K42" s="240"/>
      <c r="L42" s="3"/>
      <c r="M42" s="15"/>
      <c r="N42" s="250"/>
      <c r="O42" s="3"/>
      <c r="P42" s="117"/>
      <c r="Q42" s="117"/>
      <c r="R42" s="118"/>
      <c r="S42" s="118"/>
      <c r="T42" s="117"/>
      <c r="U42" s="76"/>
      <c r="V42" s="116"/>
      <c r="W42" s="116"/>
      <c r="X42" s="116"/>
      <c r="Y42" s="116"/>
      <c r="Z42" s="116"/>
      <c r="AA42" s="116"/>
      <c r="AB42" s="76"/>
    </row>
    <row r="43" spans="1:28" s="55" customFormat="1">
      <c r="A43" s="104"/>
      <c r="B43" s="104"/>
      <c r="C43" s="105"/>
      <c r="D43" s="76"/>
      <c r="E43" s="106"/>
      <c r="F43" s="104"/>
      <c r="G43" s="76"/>
      <c r="H43" s="104"/>
      <c r="I43" s="250"/>
      <c r="K43" s="240"/>
      <c r="L43" s="104"/>
      <c r="M43" s="107"/>
      <c r="N43" s="250"/>
      <c r="O43" s="104"/>
      <c r="P43" s="117"/>
      <c r="Q43" s="117"/>
      <c r="R43" s="118"/>
      <c r="S43" s="118"/>
      <c r="T43" s="117"/>
      <c r="U43" s="76"/>
      <c r="V43" s="116"/>
      <c r="W43" s="116"/>
      <c r="X43" s="116"/>
      <c r="Y43" s="116"/>
      <c r="Z43" s="116"/>
      <c r="AA43" s="116"/>
      <c r="AB43" s="76"/>
    </row>
    <row r="44" spans="1:28" ht="25.5">
      <c r="A44" s="3"/>
      <c r="B44" s="3" t="s">
        <v>79</v>
      </c>
      <c r="C44" s="12" t="s">
        <v>80</v>
      </c>
      <c r="D44" s="111"/>
      <c r="E44" s="6"/>
      <c r="F44" s="3"/>
      <c r="G44" s="76"/>
      <c r="H44" s="3"/>
      <c r="I44" s="250"/>
      <c r="K44" s="238"/>
      <c r="L44" s="3"/>
      <c r="M44" s="33"/>
      <c r="N44" s="250"/>
      <c r="O44" s="3"/>
      <c r="P44" s="117"/>
      <c r="Q44" s="117"/>
      <c r="R44" s="118"/>
      <c r="S44" s="118"/>
      <c r="T44" s="117"/>
      <c r="U44" s="76"/>
      <c r="V44" s="114">
        <f t="shared" ref="V44:AA44" si="16">SUM(V45:V46)</f>
        <v>0</v>
      </c>
      <c r="W44" s="114">
        <f t="shared" si="16"/>
        <v>0</v>
      </c>
      <c r="X44" s="114">
        <f t="shared" si="16"/>
        <v>0</v>
      </c>
      <c r="Y44" s="114">
        <f t="shared" si="16"/>
        <v>0</v>
      </c>
      <c r="Z44" s="114">
        <f t="shared" si="16"/>
        <v>0</v>
      </c>
      <c r="AA44" s="114">
        <f t="shared" si="16"/>
        <v>0</v>
      </c>
      <c r="AB44" s="76"/>
    </row>
    <row r="45" spans="1:28">
      <c r="A45" s="3"/>
      <c r="B45" s="3"/>
      <c r="C45" s="12" t="s">
        <v>87</v>
      </c>
      <c r="D45" s="111"/>
      <c r="E45" s="11" t="s">
        <v>86</v>
      </c>
      <c r="F45" s="3" t="s">
        <v>358</v>
      </c>
      <c r="G45" s="76">
        <v>117</v>
      </c>
      <c r="H45" s="3" t="s">
        <v>358</v>
      </c>
      <c r="I45" s="250"/>
      <c r="J45" t="s">
        <v>336</v>
      </c>
      <c r="K45" s="240">
        <f>G45/1000*I45</f>
        <v>0</v>
      </c>
      <c r="L45" s="3" t="s">
        <v>36</v>
      </c>
      <c r="M45" s="33"/>
      <c r="N45" s="250"/>
      <c r="O45" s="3"/>
      <c r="P45" s="117">
        <v>1</v>
      </c>
      <c r="Q45" s="117"/>
      <c r="R45" s="118"/>
      <c r="S45" s="118"/>
      <c r="T45" s="117"/>
      <c r="U45" s="76"/>
      <c r="V45" s="116">
        <f t="shared" ref="V45:AA46" si="17">$N45*P45</f>
        <v>0</v>
      </c>
      <c r="W45" s="116">
        <f t="shared" si="17"/>
        <v>0</v>
      </c>
      <c r="X45" s="116">
        <f t="shared" si="17"/>
        <v>0</v>
      </c>
      <c r="Y45" s="116">
        <f t="shared" si="17"/>
        <v>0</v>
      </c>
      <c r="Z45" s="116">
        <f t="shared" si="17"/>
        <v>0</v>
      </c>
      <c r="AA45" s="116">
        <f t="shared" si="17"/>
        <v>0</v>
      </c>
      <c r="AB45" s="76"/>
    </row>
    <row r="46" spans="1:28">
      <c r="C46" s="26" t="s">
        <v>81</v>
      </c>
      <c r="D46" s="111"/>
      <c r="F46" s="3"/>
      <c r="G46" s="76" t="s">
        <v>43</v>
      </c>
      <c r="H46" t="s">
        <v>43</v>
      </c>
      <c r="I46" s="249"/>
      <c r="J46" t="s">
        <v>337</v>
      </c>
      <c r="K46" s="236" t="s">
        <v>43</v>
      </c>
      <c r="L46" s="3" t="s">
        <v>36</v>
      </c>
      <c r="M46" s="33"/>
      <c r="N46" s="250"/>
      <c r="O46" s="3"/>
      <c r="P46" s="117">
        <v>1</v>
      </c>
      <c r="Q46" s="117"/>
      <c r="R46" s="118"/>
      <c r="S46" s="118"/>
      <c r="T46" s="117"/>
      <c r="U46" s="76"/>
      <c r="V46" s="116">
        <f t="shared" si="17"/>
        <v>0</v>
      </c>
      <c r="W46" s="116">
        <f t="shared" si="17"/>
        <v>0</v>
      </c>
      <c r="X46" s="116">
        <f t="shared" si="17"/>
        <v>0</v>
      </c>
      <c r="Y46" s="116">
        <f t="shared" si="17"/>
        <v>0</v>
      </c>
      <c r="Z46" s="116">
        <f t="shared" si="17"/>
        <v>0</v>
      </c>
      <c r="AA46" s="116">
        <f t="shared" si="17"/>
        <v>0</v>
      </c>
      <c r="AB46" s="76"/>
    </row>
    <row r="47" spans="1:28" ht="25.5">
      <c r="C47" s="26" t="s">
        <v>88</v>
      </c>
      <c r="D47" s="111"/>
      <c r="G47" s="76"/>
      <c r="I47" s="249"/>
      <c r="K47" s="236"/>
      <c r="M47" s="32"/>
      <c r="N47" s="250"/>
      <c r="O47" s="3"/>
      <c r="P47" s="76">
        <v>1</v>
      </c>
      <c r="Q47" s="76"/>
      <c r="R47" s="76"/>
      <c r="S47" s="76"/>
      <c r="T47" s="76"/>
      <c r="U47" s="76"/>
      <c r="V47" s="58"/>
      <c r="W47" s="58"/>
      <c r="X47" s="58"/>
      <c r="Y47" s="58"/>
      <c r="Z47" s="58"/>
      <c r="AA47" s="58"/>
      <c r="AB47" s="76"/>
    </row>
    <row r="48" spans="1:28">
      <c r="C48" s="335"/>
      <c r="D48" s="76"/>
      <c r="G48" s="76"/>
      <c r="I48" s="249"/>
      <c r="K48" s="236"/>
      <c r="M48" s="32"/>
      <c r="N48" s="250"/>
      <c r="O48" s="3"/>
      <c r="P48" s="76"/>
      <c r="Q48" s="76"/>
      <c r="R48" s="76"/>
      <c r="S48" s="76"/>
      <c r="T48" s="76"/>
      <c r="U48" s="76"/>
      <c r="V48" s="58"/>
      <c r="W48" s="58"/>
      <c r="X48" s="58"/>
      <c r="Y48" s="58"/>
      <c r="Z48" s="58"/>
      <c r="AA48" s="58"/>
      <c r="AB48" s="76"/>
    </row>
    <row r="49" spans="2:28" s="55" customFormat="1">
      <c r="C49" s="105"/>
      <c r="D49" s="76"/>
      <c r="G49" s="76"/>
      <c r="I49" s="249"/>
      <c r="K49" s="236"/>
      <c r="M49" s="108"/>
      <c r="N49" s="250"/>
      <c r="O49" s="104"/>
      <c r="P49" s="76"/>
      <c r="Q49" s="76"/>
      <c r="R49" s="76"/>
      <c r="S49" s="76"/>
      <c r="T49" s="76"/>
      <c r="U49" s="76"/>
      <c r="V49" s="58"/>
      <c r="W49" s="58"/>
      <c r="X49" s="58"/>
      <c r="Y49" s="58"/>
      <c r="Z49" s="58"/>
      <c r="AA49" s="58"/>
      <c r="AB49" s="76"/>
    </row>
    <row r="50" spans="2:28" ht="25.5">
      <c r="B50" t="s">
        <v>82</v>
      </c>
      <c r="C50" s="12" t="s">
        <v>83</v>
      </c>
      <c r="D50" s="111"/>
      <c r="E50" s="3" t="s">
        <v>426</v>
      </c>
      <c r="F50" s="3" t="s">
        <v>425</v>
      </c>
      <c r="G50" s="282">
        <v>0.03</v>
      </c>
      <c r="H50" s="3" t="s">
        <v>425</v>
      </c>
      <c r="I50" s="250">
        <f>'Passo2-Energia'!C11</f>
        <v>0</v>
      </c>
      <c r="J50" s="3" t="s">
        <v>390</v>
      </c>
      <c r="K50" s="236">
        <f>I50*G50/1000</f>
        <v>0</v>
      </c>
      <c r="L50" s="3" t="s">
        <v>36</v>
      </c>
      <c r="M50" s="32"/>
      <c r="N50" s="250">
        <f>K50</f>
        <v>0</v>
      </c>
      <c r="O50" s="3"/>
      <c r="P50" s="76">
        <v>1</v>
      </c>
      <c r="Q50" s="76"/>
      <c r="R50" s="76"/>
      <c r="S50" s="76"/>
      <c r="T50" s="76"/>
      <c r="U50" s="76"/>
      <c r="V50" s="114">
        <f t="shared" ref="V50:AA50" si="18">$N50*P50</f>
        <v>0</v>
      </c>
      <c r="W50" s="114">
        <f t="shared" si="18"/>
        <v>0</v>
      </c>
      <c r="X50" s="114">
        <f t="shared" si="18"/>
        <v>0</v>
      </c>
      <c r="Y50" s="114">
        <f t="shared" si="18"/>
        <v>0</v>
      </c>
      <c r="Z50" s="114">
        <f t="shared" si="18"/>
        <v>0</v>
      </c>
      <c r="AA50" s="114">
        <f t="shared" si="18"/>
        <v>0</v>
      </c>
      <c r="AB50" s="76"/>
    </row>
    <row r="51" spans="2:28">
      <c r="C51" s="335" t="s">
        <v>388</v>
      </c>
      <c r="D51" s="76"/>
      <c r="E51" s="362" t="s">
        <v>440</v>
      </c>
      <c r="F51" s="3" t="s">
        <v>425</v>
      </c>
      <c r="G51" s="282">
        <v>0.12</v>
      </c>
      <c r="H51" s="3" t="s">
        <v>425</v>
      </c>
      <c r="I51" s="250">
        <f>'Passo2-Energia'!C12</f>
        <v>0</v>
      </c>
      <c r="J51" t="s">
        <v>391</v>
      </c>
      <c r="K51" s="236">
        <f>I51*G51/1000</f>
        <v>0</v>
      </c>
      <c r="L51" s="3" t="s">
        <v>36</v>
      </c>
      <c r="M51" s="32"/>
      <c r="N51" s="250">
        <f>K51</f>
        <v>0</v>
      </c>
      <c r="O51" s="3"/>
      <c r="P51" s="76">
        <v>1</v>
      </c>
      <c r="Q51" s="76"/>
      <c r="R51" s="76"/>
      <c r="S51" s="76"/>
      <c r="T51" s="76"/>
      <c r="U51" s="76"/>
      <c r="V51" s="114">
        <f t="shared" ref="V51:AA51" si="19">$N51*P51</f>
        <v>0</v>
      </c>
      <c r="W51" s="114">
        <f t="shared" si="19"/>
        <v>0</v>
      </c>
      <c r="X51" s="114">
        <f t="shared" si="19"/>
        <v>0</v>
      </c>
      <c r="Y51" s="114">
        <f t="shared" si="19"/>
        <v>0</v>
      </c>
      <c r="Z51" s="114">
        <f t="shared" si="19"/>
        <v>0</v>
      </c>
      <c r="AA51" s="114">
        <f t="shared" si="19"/>
        <v>0</v>
      </c>
      <c r="AB51" s="76"/>
    </row>
    <row r="52" spans="2:28" s="55" customFormat="1">
      <c r="C52" s="105"/>
      <c r="D52" s="76"/>
      <c r="G52" s="76"/>
      <c r="I52" s="249"/>
      <c r="K52" s="236"/>
      <c r="M52" s="108"/>
      <c r="N52" s="250"/>
      <c r="O52" s="109"/>
      <c r="P52" s="76"/>
      <c r="Q52" s="76"/>
      <c r="R52" s="76"/>
      <c r="S52" s="76"/>
      <c r="T52" s="76"/>
      <c r="U52" s="76"/>
      <c r="V52" s="192"/>
      <c r="W52" s="192"/>
      <c r="X52" s="192"/>
      <c r="Y52" s="192"/>
      <c r="Z52" s="192"/>
      <c r="AA52" s="192"/>
      <c r="AB52" s="76"/>
    </row>
    <row r="53" spans="2:28">
      <c r="B53" t="s">
        <v>84</v>
      </c>
      <c r="C53" s="26" t="s">
        <v>85</v>
      </c>
      <c r="D53" s="111"/>
      <c r="E53" t="s">
        <v>43</v>
      </c>
      <c r="F53" t="s">
        <v>43</v>
      </c>
      <c r="G53" s="76" t="s">
        <v>43</v>
      </c>
      <c r="H53" t="s">
        <v>43</v>
      </c>
      <c r="I53" s="249" t="s">
        <v>43</v>
      </c>
      <c r="J53" t="s">
        <v>43</v>
      </c>
      <c r="K53" s="236" t="s">
        <v>43</v>
      </c>
      <c r="L53" s="3" t="s">
        <v>36</v>
      </c>
      <c r="M53" s="32"/>
      <c r="N53" s="250"/>
      <c r="O53" s="3"/>
      <c r="P53" s="76">
        <v>1</v>
      </c>
      <c r="Q53" s="76"/>
      <c r="R53" s="76"/>
      <c r="S53" s="76"/>
      <c r="T53" s="76"/>
      <c r="U53" s="76"/>
      <c r="V53" s="114">
        <f t="shared" ref="V53:AA53" si="20">$N53*P53</f>
        <v>0</v>
      </c>
      <c r="W53" s="114">
        <f t="shared" si="20"/>
        <v>0</v>
      </c>
      <c r="X53" s="114">
        <f t="shared" si="20"/>
        <v>0</v>
      </c>
      <c r="Y53" s="114">
        <f t="shared" si="20"/>
        <v>0</v>
      </c>
      <c r="Z53" s="114">
        <f t="shared" si="20"/>
        <v>0</v>
      </c>
      <c r="AA53" s="114">
        <f t="shared" si="20"/>
        <v>0</v>
      </c>
      <c r="AB53" s="76"/>
    </row>
    <row r="54" spans="2:28" s="55" customFormat="1">
      <c r="C54" s="105"/>
      <c r="D54" s="76"/>
      <c r="G54" s="76"/>
      <c r="I54" s="249"/>
      <c r="K54" s="237"/>
      <c r="M54" s="110"/>
      <c r="N54" s="250"/>
      <c r="O54" s="104"/>
      <c r="P54" s="76"/>
      <c r="Q54" s="76"/>
      <c r="R54" s="76"/>
      <c r="S54" s="76"/>
      <c r="T54" s="76"/>
      <c r="U54" s="76"/>
      <c r="V54" s="58"/>
      <c r="W54" s="58"/>
      <c r="X54" s="58"/>
      <c r="Y54" s="58"/>
      <c r="Z54" s="58"/>
      <c r="AA54" s="58"/>
      <c r="AB54" s="76"/>
    </row>
    <row r="55" spans="2:28" s="3" customFormat="1">
      <c r="I55" s="241"/>
      <c r="K55" s="241"/>
      <c r="M55" s="63"/>
      <c r="N55" s="241"/>
    </row>
    <row r="56" spans="2:28" s="3" customFormat="1">
      <c r="I56" s="241"/>
      <c r="K56" s="241"/>
      <c r="M56" s="64"/>
      <c r="N56" s="241"/>
    </row>
    <row r="57" spans="2:28" s="3" customFormat="1">
      <c r="C57" s="7" t="s">
        <v>56</v>
      </c>
      <c r="D57" s="3" t="s">
        <v>369</v>
      </c>
      <c r="I57" s="241"/>
      <c r="K57" s="241"/>
      <c r="M57" s="64"/>
      <c r="N57" s="251"/>
    </row>
    <row r="58" spans="2:28" s="3" customFormat="1">
      <c r="C58" s="7"/>
      <c r="D58" s="36" t="s">
        <v>357</v>
      </c>
      <c r="I58" s="241"/>
      <c r="K58" s="241"/>
      <c r="M58" s="63"/>
      <c r="N58" s="241"/>
    </row>
    <row r="76" spans="10:10">
      <c r="J76">
        <f>16/127</f>
        <v>0.12598425196850394</v>
      </c>
    </row>
  </sheetData>
  <sheetProtection sheet="1" objects="1" scenarios="1"/>
  <phoneticPr fontId="2" type="noConversion"/>
  <pageMargins left="0.39370078740157483" right="0.39370078740157483" top="0.74803149606299213" bottom="0.74803149606299213" header="0.31496062992125984" footer="0.31496062992125984"/>
  <pageSetup paperSize="9" orientation="landscape" r:id="rId1"/>
  <headerFooter>
    <oddFooter>&amp;L&amp;APrinted &amp;D</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61"/>
  <sheetViews>
    <sheetView topLeftCell="E1" workbookViewId="0">
      <selection activeCell="E31" sqref="E31"/>
    </sheetView>
  </sheetViews>
  <sheetFormatPr defaultRowHeight="12.75"/>
  <cols>
    <col min="1" max="1" width="3" customWidth="1"/>
    <col min="2" max="2" width="6.140625" customWidth="1"/>
    <col min="3" max="3" width="32" customWidth="1"/>
    <col min="4" max="4" width="8.28515625" customWidth="1"/>
    <col min="5" max="5" width="14.42578125" customWidth="1"/>
    <col min="6" max="6" width="12" customWidth="1"/>
    <col min="7" max="7" width="10.28515625" customWidth="1"/>
    <col min="8" max="8" width="11.42578125" customWidth="1"/>
    <col min="9" max="9" width="12.5703125" style="242" customWidth="1"/>
    <col min="10" max="10" width="20" customWidth="1"/>
    <col min="11" max="11" width="11.28515625" customWidth="1"/>
    <col min="12" max="12" width="7.5703125" customWidth="1"/>
    <col min="13" max="13" width="25.7109375" style="13" customWidth="1"/>
    <col min="14" max="14" width="9.140625" style="242"/>
    <col min="15" max="15" width="10.28515625" customWidth="1"/>
    <col min="16" max="16" width="5.7109375" customWidth="1"/>
    <col min="17" max="17" width="6.42578125" customWidth="1"/>
    <col min="18" max="18" width="5" customWidth="1"/>
    <col min="19" max="19" width="8.42578125" customWidth="1"/>
    <col min="21" max="21" width="17.5703125" customWidth="1"/>
    <col min="22" max="22" width="12.5703125" customWidth="1"/>
    <col min="24" max="24" width="9.7109375" customWidth="1"/>
    <col min="25" max="25" width="11.140625" customWidth="1"/>
    <col min="26" max="26" width="11.5703125" customWidth="1"/>
    <col min="27" max="27" width="17" customWidth="1"/>
    <col min="28" max="28" width="63.42578125" customWidth="1"/>
  </cols>
  <sheetData>
    <row r="1" spans="1:28" ht="18">
      <c r="A1" s="1" t="s">
        <v>34</v>
      </c>
      <c r="I1" s="232"/>
      <c r="L1" s="48"/>
      <c r="M1" s="48"/>
      <c r="N1" s="232"/>
    </row>
    <row r="2" spans="1:28" ht="15">
      <c r="A2" s="54" t="s">
        <v>322</v>
      </c>
      <c r="I2" s="232"/>
      <c r="L2" s="48"/>
      <c r="M2" s="48"/>
      <c r="N2" s="232"/>
    </row>
    <row r="3" spans="1:28" s="5" customFormat="1">
      <c r="D3" s="7"/>
      <c r="E3" s="7"/>
      <c r="F3" s="7"/>
      <c r="G3" s="7"/>
      <c r="H3" s="7"/>
      <c r="I3" s="257"/>
      <c r="J3" s="7"/>
      <c r="K3" s="7"/>
      <c r="L3" s="139"/>
      <c r="M3" s="30"/>
      <c r="N3" s="257"/>
      <c r="O3" s="7"/>
      <c r="P3" s="65" t="s">
        <v>55</v>
      </c>
      <c r="Q3" s="65"/>
      <c r="R3" s="65"/>
      <c r="S3" s="65"/>
      <c r="T3" s="65"/>
      <c r="U3" s="65"/>
      <c r="V3" s="10" t="s">
        <v>54</v>
      </c>
      <c r="W3" s="103"/>
      <c r="X3" s="103"/>
      <c r="Y3" s="103"/>
      <c r="Z3" s="103"/>
      <c r="AA3" s="103"/>
      <c r="AB3" s="65"/>
    </row>
    <row r="4" spans="1:28" s="144" customFormat="1" ht="38.25">
      <c r="A4" s="144" t="s">
        <v>52</v>
      </c>
      <c r="B4" s="144" t="s">
        <v>50</v>
      </c>
      <c r="C4" s="134" t="s">
        <v>59</v>
      </c>
      <c r="D4" s="112" t="s">
        <v>159</v>
      </c>
      <c r="E4" s="134" t="s">
        <v>49</v>
      </c>
      <c r="F4" s="143" t="s">
        <v>35</v>
      </c>
      <c r="G4" s="112" t="s">
        <v>37</v>
      </c>
      <c r="H4" s="143" t="s">
        <v>35</v>
      </c>
      <c r="I4" s="247" t="s">
        <v>51</v>
      </c>
      <c r="J4" s="144" t="s">
        <v>35</v>
      </c>
      <c r="K4" s="84" t="s">
        <v>61</v>
      </c>
      <c r="L4" s="139" t="s">
        <v>35</v>
      </c>
      <c r="M4" s="146" t="s">
        <v>219</v>
      </c>
      <c r="N4" s="247" t="s">
        <v>94</v>
      </c>
      <c r="O4" s="143" t="s">
        <v>35</v>
      </c>
      <c r="P4" s="111" t="s">
        <v>38</v>
      </c>
      <c r="Q4" s="111" t="s">
        <v>39</v>
      </c>
      <c r="R4" s="111" t="s">
        <v>40</v>
      </c>
      <c r="S4" s="111" t="s">
        <v>41</v>
      </c>
      <c r="T4" s="112" t="s">
        <v>42</v>
      </c>
      <c r="U4" s="112" t="s">
        <v>237</v>
      </c>
      <c r="V4" s="56" t="s">
        <v>38</v>
      </c>
      <c r="W4" s="56" t="s">
        <v>39</v>
      </c>
      <c r="X4" s="56" t="s">
        <v>40</v>
      </c>
      <c r="Y4" s="56" t="s">
        <v>41</v>
      </c>
      <c r="Z4" s="57" t="s">
        <v>42</v>
      </c>
      <c r="AA4" s="57" t="s">
        <v>237</v>
      </c>
      <c r="AB4" s="111" t="s">
        <v>89</v>
      </c>
    </row>
    <row r="5" spans="1:28" s="129" customFormat="1" ht="38.25">
      <c r="A5" s="129" t="s">
        <v>299</v>
      </c>
      <c r="C5" s="134" t="s">
        <v>293</v>
      </c>
      <c r="D5" s="111"/>
      <c r="F5" s="128"/>
      <c r="G5" s="76"/>
      <c r="H5" s="128"/>
      <c r="I5" s="249"/>
      <c r="K5" s="113"/>
      <c r="L5" s="128"/>
      <c r="M5" s="135"/>
      <c r="N5" s="249"/>
      <c r="O5" s="128"/>
      <c r="P5" s="76"/>
      <c r="Q5" s="76"/>
      <c r="R5" s="76"/>
      <c r="S5" s="76"/>
      <c r="T5" s="76"/>
      <c r="U5" s="76"/>
      <c r="V5" s="58"/>
      <c r="W5" s="58"/>
      <c r="X5" s="58"/>
      <c r="Y5" s="58"/>
      <c r="Z5" s="58"/>
      <c r="AA5" s="58"/>
      <c r="AB5" s="76"/>
    </row>
    <row r="6" spans="1:28">
      <c r="B6" t="s">
        <v>300</v>
      </c>
      <c r="C6" s="12" t="s">
        <v>330</v>
      </c>
      <c r="D6" s="76"/>
      <c r="E6" s="6" t="s">
        <v>206</v>
      </c>
      <c r="F6" s="3" t="s">
        <v>345</v>
      </c>
      <c r="G6" s="76">
        <v>5</v>
      </c>
      <c r="H6" s="3" t="s">
        <v>345</v>
      </c>
      <c r="I6" s="250">
        <f>'Passo5-TratResíduos+Reciclágem'!$C$20</f>
        <v>0</v>
      </c>
      <c r="J6" s="3" t="s">
        <v>346</v>
      </c>
      <c r="K6" s="299">
        <f>G6*I6/1000</f>
        <v>0</v>
      </c>
      <c r="L6" s="3" t="s">
        <v>36</v>
      </c>
      <c r="M6" s="107"/>
      <c r="N6" s="263">
        <f>K6</f>
        <v>0</v>
      </c>
      <c r="O6" s="3" t="s">
        <v>36</v>
      </c>
      <c r="P6" s="283">
        <v>0.01</v>
      </c>
      <c r="Q6" s="455">
        <v>1E-4</v>
      </c>
      <c r="R6" s="283"/>
      <c r="S6" s="437"/>
      <c r="T6" s="437"/>
      <c r="U6" s="437"/>
      <c r="V6" s="336">
        <f>$N6*P6</f>
        <v>0</v>
      </c>
      <c r="W6" s="336">
        <f>$N6*Q6</f>
        <v>0</v>
      </c>
      <c r="X6" s="336">
        <f>$N6*R6</f>
        <v>0</v>
      </c>
      <c r="Y6" s="201" t="s">
        <v>282</v>
      </c>
      <c r="Z6" s="201" t="s">
        <v>282</v>
      </c>
      <c r="AA6" s="201" t="s">
        <v>282</v>
      </c>
      <c r="AB6" s="76"/>
    </row>
    <row r="7" spans="1:28" s="55" customFormat="1">
      <c r="A7" s="104"/>
      <c r="B7" s="104"/>
      <c r="C7" s="136"/>
      <c r="D7" s="111"/>
      <c r="E7" s="106"/>
      <c r="F7" s="104"/>
      <c r="G7" s="76"/>
      <c r="H7" s="104"/>
      <c r="I7" s="250"/>
      <c r="K7" s="195"/>
      <c r="L7" s="104"/>
      <c r="M7" s="107"/>
      <c r="N7" s="250"/>
      <c r="O7" s="104"/>
      <c r="P7" s="130"/>
      <c r="Q7" s="130"/>
      <c r="R7" s="130"/>
      <c r="S7" s="130"/>
      <c r="T7" s="130"/>
      <c r="U7" s="130"/>
      <c r="V7" s="202"/>
      <c r="W7" s="202"/>
      <c r="X7" s="202"/>
      <c r="Y7" s="202"/>
      <c r="Z7" s="202"/>
      <c r="AA7" s="202"/>
      <c r="AB7" s="76"/>
    </row>
    <row r="8" spans="1:28" ht="28.5">
      <c r="B8" s="3" t="s">
        <v>301</v>
      </c>
      <c r="C8" s="72" t="s">
        <v>292</v>
      </c>
      <c r="D8" s="194" t="s">
        <v>282</v>
      </c>
      <c r="E8" s="75" t="s">
        <v>282</v>
      </c>
      <c r="F8" s="75" t="s">
        <v>282</v>
      </c>
      <c r="G8" s="189" t="s">
        <v>282</v>
      </c>
      <c r="H8" s="75" t="s">
        <v>282</v>
      </c>
      <c r="I8" s="261"/>
      <c r="J8" s="75" t="s">
        <v>282</v>
      </c>
      <c r="K8" s="300" t="s">
        <v>282</v>
      </c>
      <c r="L8" s="75" t="s">
        <v>282</v>
      </c>
      <c r="M8" s="14"/>
      <c r="N8" s="261" t="s">
        <v>282</v>
      </c>
      <c r="O8" s="3"/>
      <c r="P8" s="189" t="s">
        <v>282</v>
      </c>
      <c r="Q8" s="189" t="s">
        <v>282</v>
      </c>
      <c r="R8" s="189" t="s">
        <v>282</v>
      </c>
      <c r="S8" s="189" t="s">
        <v>282</v>
      </c>
      <c r="T8" s="189" t="s">
        <v>282</v>
      </c>
      <c r="U8" s="189" t="s">
        <v>282</v>
      </c>
      <c r="V8" s="201" t="s">
        <v>282</v>
      </c>
      <c r="W8" s="201" t="s">
        <v>282</v>
      </c>
      <c r="X8" s="201" t="s">
        <v>282</v>
      </c>
      <c r="Y8" s="201" t="s">
        <v>282</v>
      </c>
      <c r="Z8" s="201" t="s">
        <v>282</v>
      </c>
      <c r="AA8" s="201" t="s">
        <v>282</v>
      </c>
      <c r="AB8" s="76"/>
    </row>
    <row r="9" spans="1:28">
      <c r="A9" s="3"/>
      <c r="C9" s="74" t="s">
        <v>294</v>
      </c>
      <c r="D9" s="76"/>
      <c r="E9" s="18"/>
      <c r="F9" s="3"/>
      <c r="G9" s="76"/>
      <c r="H9" s="3"/>
      <c r="I9" s="250"/>
      <c r="J9" s="3"/>
      <c r="K9" s="195"/>
      <c r="L9" s="3"/>
      <c r="M9" s="15"/>
      <c r="N9" s="250"/>
      <c r="O9" s="3"/>
      <c r="P9" s="131"/>
      <c r="Q9" s="131"/>
      <c r="R9" s="131"/>
      <c r="S9" s="131"/>
      <c r="T9" s="131"/>
      <c r="U9" s="131"/>
      <c r="V9" s="202"/>
      <c r="W9" s="202"/>
      <c r="X9" s="202"/>
      <c r="Y9" s="202"/>
      <c r="Z9" s="202"/>
      <c r="AA9" s="202"/>
      <c r="AB9" s="76"/>
    </row>
    <row r="10" spans="1:28" s="55" customFormat="1">
      <c r="A10" s="104"/>
      <c r="B10" s="104"/>
      <c r="C10" s="105"/>
      <c r="D10" s="76"/>
      <c r="E10" s="106"/>
      <c r="F10" s="104"/>
      <c r="G10" s="76"/>
      <c r="H10" s="104"/>
      <c r="I10" s="250"/>
      <c r="K10" s="195"/>
      <c r="L10" s="104"/>
      <c r="M10" s="107"/>
      <c r="N10" s="250"/>
      <c r="O10" s="104"/>
      <c r="P10" s="130"/>
      <c r="Q10" s="130"/>
      <c r="R10" s="130"/>
      <c r="S10" s="130"/>
      <c r="T10" s="130"/>
      <c r="U10" s="127"/>
      <c r="V10" s="202"/>
      <c r="W10" s="202"/>
      <c r="X10" s="202"/>
      <c r="Y10" s="202"/>
      <c r="Z10" s="202"/>
      <c r="AA10" s="202"/>
      <c r="AB10" s="76"/>
    </row>
    <row r="11" spans="1:28" ht="28.5">
      <c r="B11" s="3" t="s">
        <v>302</v>
      </c>
      <c r="C11" s="72" t="s">
        <v>295</v>
      </c>
      <c r="D11" s="111"/>
      <c r="E11" s="43" t="s">
        <v>282</v>
      </c>
      <c r="F11" s="47" t="s">
        <v>282</v>
      </c>
      <c r="G11" s="189" t="s">
        <v>282</v>
      </c>
      <c r="H11" s="47" t="s">
        <v>282</v>
      </c>
      <c r="I11" s="254"/>
      <c r="J11" s="47" t="s">
        <v>282</v>
      </c>
      <c r="K11" s="301" t="s">
        <v>282</v>
      </c>
      <c r="L11" s="47" t="s">
        <v>282</v>
      </c>
      <c r="M11" s="14"/>
      <c r="N11" s="250"/>
      <c r="O11" s="3" t="s">
        <v>36</v>
      </c>
      <c r="P11" s="131" t="s">
        <v>43</v>
      </c>
      <c r="Q11" s="131" t="s">
        <v>43</v>
      </c>
      <c r="R11" s="131" t="s">
        <v>43</v>
      </c>
      <c r="S11" s="193" t="s">
        <v>282</v>
      </c>
      <c r="T11" s="193" t="s">
        <v>282</v>
      </c>
      <c r="U11" s="193" t="s">
        <v>282</v>
      </c>
      <c r="V11" s="200" t="e">
        <f>$N11*P11</f>
        <v>#VALUE!</v>
      </c>
      <c r="W11" s="200" t="e">
        <f>$N11*Q11</f>
        <v>#VALUE!</v>
      </c>
      <c r="X11" s="200" t="e">
        <f>$N11*R11</f>
        <v>#VALUE!</v>
      </c>
      <c r="Y11" s="201" t="s">
        <v>282</v>
      </c>
      <c r="Z11" s="201" t="s">
        <v>282</v>
      </c>
      <c r="AA11" s="201" t="s">
        <v>282</v>
      </c>
      <c r="AB11" s="76"/>
    </row>
    <row r="12" spans="1:28" s="55" customFormat="1">
      <c r="A12" s="104"/>
      <c r="B12" s="104"/>
      <c r="C12" s="136"/>
      <c r="D12" s="76"/>
      <c r="E12" s="106"/>
      <c r="F12" s="104"/>
      <c r="G12" s="76"/>
      <c r="H12" s="104"/>
      <c r="I12" s="250"/>
      <c r="K12" s="195"/>
      <c r="L12" s="104"/>
      <c r="M12" s="107"/>
      <c r="N12" s="250"/>
      <c r="O12" s="104"/>
      <c r="P12" s="130"/>
      <c r="Q12" s="130"/>
      <c r="R12" s="130"/>
      <c r="S12" s="130"/>
      <c r="T12" s="130"/>
      <c r="U12" s="127"/>
      <c r="V12" s="202"/>
      <c r="W12" s="202"/>
      <c r="X12" s="202"/>
      <c r="Y12" s="202"/>
      <c r="Z12" s="202"/>
      <c r="AA12" s="202"/>
      <c r="AB12" s="76"/>
    </row>
    <row r="13" spans="1:28" ht="28.5">
      <c r="A13" s="3"/>
      <c r="B13" s="3" t="s">
        <v>303</v>
      </c>
      <c r="C13" s="72" t="s">
        <v>331</v>
      </c>
      <c r="D13" s="76"/>
      <c r="E13" s="6" t="s">
        <v>206</v>
      </c>
      <c r="F13" s="3" t="s">
        <v>345</v>
      </c>
      <c r="G13" s="76">
        <v>5</v>
      </c>
      <c r="H13" s="3" t="s">
        <v>345</v>
      </c>
      <c r="I13" s="250">
        <f>'Passo5-TratResíduos+Reciclágem'!C21</f>
        <v>0</v>
      </c>
      <c r="J13" s="3" t="s">
        <v>347</v>
      </c>
      <c r="K13" s="299">
        <f>G13*I13/1000</f>
        <v>0</v>
      </c>
      <c r="L13" s="3" t="s">
        <v>36</v>
      </c>
      <c r="M13" s="15"/>
      <c r="N13" s="250">
        <f>K13</f>
        <v>0</v>
      </c>
      <c r="O13" s="3" t="s">
        <v>36</v>
      </c>
      <c r="P13" s="283">
        <v>0.1</v>
      </c>
      <c r="Q13" s="283">
        <v>0.1</v>
      </c>
      <c r="R13" s="283">
        <v>0.8</v>
      </c>
      <c r="S13" s="437"/>
      <c r="T13" s="437"/>
      <c r="U13" s="437"/>
      <c r="V13" s="200">
        <f>$N13*P13</f>
        <v>0</v>
      </c>
      <c r="W13" s="200">
        <f>$N13*Q13</f>
        <v>0</v>
      </c>
      <c r="X13" s="200">
        <f>$N13*R13</f>
        <v>0</v>
      </c>
      <c r="Y13" s="201" t="s">
        <v>282</v>
      </c>
      <c r="Z13" s="201" t="s">
        <v>282</v>
      </c>
      <c r="AA13" s="201" t="s">
        <v>282</v>
      </c>
      <c r="AB13" s="76"/>
    </row>
    <row r="14" spans="1:28" s="55" customFormat="1">
      <c r="A14" s="104"/>
      <c r="B14" s="104"/>
      <c r="C14" s="136"/>
      <c r="D14" s="111"/>
      <c r="E14" s="149"/>
      <c r="F14" s="104"/>
      <c r="G14" s="76"/>
      <c r="H14" s="104"/>
      <c r="I14" s="250"/>
      <c r="K14" s="195"/>
      <c r="L14" s="104"/>
      <c r="M14" s="138"/>
      <c r="N14" s="250"/>
      <c r="O14" s="104"/>
      <c r="P14" s="130"/>
      <c r="Q14" s="130"/>
      <c r="R14" s="130"/>
      <c r="S14" s="130"/>
      <c r="T14" s="130"/>
      <c r="U14" s="127"/>
      <c r="V14" s="202"/>
      <c r="W14" s="202"/>
      <c r="X14" s="202"/>
      <c r="Y14" s="202"/>
      <c r="Z14" s="202"/>
      <c r="AA14" s="202"/>
      <c r="AB14" s="76"/>
    </row>
    <row r="15" spans="1:28">
      <c r="B15" s="3" t="s">
        <v>304</v>
      </c>
      <c r="C15" s="12" t="s">
        <v>296</v>
      </c>
      <c r="D15" s="111"/>
      <c r="F15" s="3"/>
      <c r="G15" s="76"/>
      <c r="H15" s="3"/>
      <c r="I15" s="249"/>
      <c r="K15" s="302"/>
      <c r="L15" s="3"/>
      <c r="M15" s="14"/>
      <c r="N15" s="249"/>
      <c r="O15" s="3"/>
      <c r="P15" s="127"/>
      <c r="Q15" s="127"/>
      <c r="R15" s="127"/>
      <c r="S15" s="127"/>
      <c r="T15" s="127"/>
      <c r="U15" s="127"/>
      <c r="V15" s="200">
        <f t="shared" ref="V15:AA15" si="0">SUM(V16:V19)</f>
        <v>0</v>
      </c>
      <c r="W15" s="200">
        <f t="shared" si="0"/>
        <v>0</v>
      </c>
      <c r="X15" s="200">
        <f t="shared" si="0"/>
        <v>0</v>
      </c>
      <c r="Y15" s="200">
        <f t="shared" si="0"/>
        <v>0</v>
      </c>
      <c r="Z15" s="200">
        <f t="shared" si="0"/>
        <v>0</v>
      </c>
      <c r="AA15" s="200">
        <f t="shared" si="0"/>
        <v>0</v>
      </c>
      <c r="AB15" s="76"/>
    </row>
    <row r="16" spans="1:28" ht="25.5">
      <c r="A16" s="3"/>
      <c r="D16" s="76"/>
      <c r="E16" s="6" t="s">
        <v>309</v>
      </c>
      <c r="F16" s="53" t="s">
        <v>311</v>
      </c>
      <c r="G16" s="76">
        <v>5.25</v>
      </c>
      <c r="H16" s="53" t="s">
        <v>311</v>
      </c>
      <c r="I16" s="250">
        <f>'Passo5-TratResíduos+Reciclágem'!C23</f>
        <v>0</v>
      </c>
      <c r="J16" s="3" t="s">
        <v>310</v>
      </c>
      <c r="K16" s="195">
        <f>G16*I16/1000000</f>
        <v>0</v>
      </c>
      <c r="L16" s="3" t="s">
        <v>36</v>
      </c>
      <c r="M16" s="15" t="s">
        <v>305</v>
      </c>
      <c r="N16" s="250"/>
      <c r="O16" s="3" t="s">
        <v>36</v>
      </c>
      <c r="P16" s="131"/>
      <c r="Q16" s="131">
        <v>1</v>
      </c>
      <c r="R16" s="131"/>
      <c r="S16" s="131"/>
      <c r="T16" s="131"/>
      <c r="U16" s="131"/>
      <c r="V16" s="202">
        <f t="shared" ref="V16:AA19" si="1">$N16*P16</f>
        <v>0</v>
      </c>
      <c r="W16" s="202">
        <f t="shared" si="1"/>
        <v>0</v>
      </c>
      <c r="X16" s="202">
        <f t="shared" si="1"/>
        <v>0</v>
      </c>
      <c r="Y16" s="202">
        <f t="shared" si="1"/>
        <v>0</v>
      </c>
      <c r="Z16" s="202">
        <f t="shared" si="1"/>
        <v>0</v>
      </c>
      <c r="AA16" s="202">
        <f t="shared" si="1"/>
        <v>0</v>
      </c>
      <c r="AB16" s="76"/>
    </row>
    <row r="17" spans="1:28">
      <c r="A17" s="3"/>
      <c r="B17" s="3"/>
      <c r="D17" s="76"/>
      <c r="E17" s="6"/>
      <c r="F17" s="3"/>
      <c r="G17" s="76"/>
      <c r="H17" s="3"/>
      <c r="I17" s="250"/>
      <c r="K17" s="115"/>
      <c r="L17" s="3"/>
      <c r="M17" s="15" t="s">
        <v>306</v>
      </c>
      <c r="N17" s="250">
        <f>K16</f>
        <v>0</v>
      </c>
      <c r="O17" s="3" t="s">
        <v>36</v>
      </c>
      <c r="P17" s="131"/>
      <c r="Q17" s="131">
        <v>0.9</v>
      </c>
      <c r="R17" s="131"/>
      <c r="S17" s="131"/>
      <c r="T17" s="131">
        <v>0.1</v>
      </c>
      <c r="U17" s="131"/>
      <c r="V17" s="202">
        <f t="shared" si="1"/>
        <v>0</v>
      </c>
      <c r="W17" s="202">
        <f t="shared" si="1"/>
        <v>0</v>
      </c>
      <c r="X17" s="202">
        <f t="shared" si="1"/>
        <v>0</v>
      </c>
      <c r="Y17" s="202">
        <f t="shared" si="1"/>
        <v>0</v>
      </c>
      <c r="Z17" s="202">
        <f t="shared" si="1"/>
        <v>0</v>
      </c>
      <c r="AA17" s="202">
        <f t="shared" si="1"/>
        <v>0</v>
      </c>
      <c r="AB17" s="76"/>
    </row>
    <row r="18" spans="1:28" ht="38.25">
      <c r="A18" s="3"/>
      <c r="B18" s="3"/>
      <c r="D18" s="76"/>
      <c r="E18" s="6"/>
      <c r="F18" s="3"/>
      <c r="G18" s="76"/>
      <c r="H18" s="3"/>
      <c r="I18" s="250"/>
      <c r="K18" s="116"/>
      <c r="L18" s="3"/>
      <c r="M18" s="15" t="s">
        <v>307</v>
      </c>
      <c r="N18" s="250"/>
      <c r="O18" s="3" t="s">
        <v>36</v>
      </c>
      <c r="P18" s="131"/>
      <c r="Q18" s="131">
        <v>0.5</v>
      </c>
      <c r="R18" s="131"/>
      <c r="S18" s="131"/>
      <c r="T18" s="131">
        <v>0.3</v>
      </c>
      <c r="U18" s="131">
        <v>0.2</v>
      </c>
      <c r="V18" s="202">
        <f t="shared" si="1"/>
        <v>0</v>
      </c>
      <c r="W18" s="202">
        <f t="shared" si="1"/>
        <v>0</v>
      </c>
      <c r="X18" s="202">
        <f t="shared" si="1"/>
        <v>0</v>
      </c>
      <c r="Y18" s="202">
        <f t="shared" si="1"/>
        <v>0</v>
      </c>
      <c r="Z18" s="202">
        <f t="shared" si="1"/>
        <v>0</v>
      </c>
      <c r="AA18" s="202">
        <f t="shared" si="1"/>
        <v>0</v>
      </c>
      <c r="AB18" s="76"/>
    </row>
    <row r="19" spans="1:28" s="55" customFormat="1" ht="51">
      <c r="A19" s="104"/>
      <c r="B19" s="104"/>
      <c r="D19" s="76"/>
      <c r="E19" s="106"/>
      <c r="F19" s="104"/>
      <c r="G19" s="76"/>
      <c r="H19" s="104"/>
      <c r="I19" s="250"/>
      <c r="J19" s="452"/>
      <c r="K19" s="116"/>
      <c r="L19" s="104"/>
      <c r="M19" s="107" t="s">
        <v>308</v>
      </c>
      <c r="N19" s="250"/>
      <c r="O19" s="104" t="s">
        <v>36</v>
      </c>
      <c r="P19" s="131"/>
      <c r="Q19" s="131">
        <v>0.5</v>
      </c>
      <c r="R19" s="131">
        <v>0.2</v>
      </c>
      <c r="S19" s="131"/>
      <c r="T19" s="131">
        <v>0.15</v>
      </c>
      <c r="U19" s="131">
        <v>0.15</v>
      </c>
      <c r="V19" s="202">
        <f t="shared" si="1"/>
        <v>0</v>
      </c>
      <c r="W19" s="202">
        <f t="shared" si="1"/>
        <v>0</v>
      </c>
      <c r="X19" s="202">
        <f t="shared" si="1"/>
        <v>0</v>
      </c>
      <c r="Y19" s="202">
        <f t="shared" si="1"/>
        <v>0</v>
      </c>
      <c r="Z19" s="202">
        <f t="shared" si="1"/>
        <v>0</v>
      </c>
      <c r="AA19" s="202">
        <f t="shared" si="1"/>
        <v>0</v>
      </c>
      <c r="AB19" s="76"/>
    </row>
    <row r="20" spans="1:28">
      <c r="C20" s="5"/>
      <c r="D20" s="5"/>
      <c r="G20" s="3"/>
      <c r="H20" s="3"/>
      <c r="I20" s="241"/>
      <c r="J20" s="3"/>
      <c r="K20" s="3"/>
      <c r="M20" s="32"/>
      <c r="N20" s="251"/>
      <c r="O20" s="3"/>
      <c r="P20" s="196"/>
      <c r="Q20" s="196"/>
      <c r="R20" s="196"/>
      <c r="S20" s="196"/>
      <c r="T20" s="196"/>
      <c r="U20" s="196"/>
      <c r="V20" s="196"/>
      <c r="W20" s="196"/>
      <c r="X20" s="196"/>
      <c r="Y20" s="196"/>
      <c r="Z20" s="196"/>
      <c r="AA20" s="196"/>
      <c r="AB20" s="3"/>
    </row>
    <row r="21" spans="1:28">
      <c r="C21" s="5" t="s">
        <v>56</v>
      </c>
      <c r="G21" s="3"/>
      <c r="H21" s="3"/>
      <c r="I21" s="241"/>
      <c r="J21" s="3"/>
      <c r="K21" s="3"/>
      <c r="M21" s="32"/>
      <c r="N21" s="251"/>
      <c r="O21" s="3"/>
      <c r="P21" s="3"/>
      <c r="Q21" s="3"/>
      <c r="R21" s="3"/>
      <c r="S21" s="3"/>
      <c r="T21" s="3"/>
      <c r="U21" s="3"/>
      <c r="V21" s="3"/>
      <c r="W21" s="3"/>
      <c r="X21" s="3"/>
      <c r="Y21" s="3"/>
      <c r="Z21" s="3"/>
      <c r="AA21" s="3"/>
      <c r="AB21" s="3"/>
    </row>
    <row r="22" spans="1:28">
      <c r="C22" s="8" t="s">
        <v>297</v>
      </c>
      <c r="G22" s="3"/>
      <c r="H22" s="3"/>
      <c r="I22" s="241"/>
      <c r="J22" s="3"/>
      <c r="K22" s="3"/>
      <c r="M22" s="32"/>
      <c r="N22" s="251"/>
      <c r="O22" s="3"/>
      <c r="P22" s="3"/>
      <c r="Q22" s="3"/>
      <c r="R22" s="3"/>
      <c r="S22" s="3"/>
      <c r="T22" s="3"/>
      <c r="U22" s="3"/>
      <c r="V22" s="197"/>
      <c r="W22" s="197"/>
      <c r="X22" s="197"/>
      <c r="Y22" s="197"/>
      <c r="Z22" s="197"/>
      <c r="AA22" s="197"/>
      <c r="AB22" s="3"/>
    </row>
    <row r="23" spans="1:28" s="48" customFormat="1">
      <c r="C23" s="52" t="s">
        <v>298</v>
      </c>
      <c r="D23" s="37"/>
      <c r="G23" s="28"/>
      <c r="H23" s="28"/>
      <c r="I23" s="259"/>
      <c r="J23" s="28"/>
      <c r="K23" s="28"/>
      <c r="M23" s="34"/>
      <c r="N23" s="258"/>
      <c r="O23" s="17"/>
      <c r="P23" s="28"/>
      <c r="Q23" s="28"/>
      <c r="R23" s="28"/>
      <c r="S23" s="28"/>
      <c r="T23" s="28"/>
      <c r="U23" s="28"/>
      <c r="V23" s="198"/>
      <c r="W23" s="198"/>
      <c r="X23" s="198"/>
      <c r="Y23" s="198"/>
      <c r="Z23" s="198"/>
      <c r="AA23" s="198"/>
      <c r="AB23" s="28"/>
    </row>
    <row r="24" spans="1:28" s="48" customFormat="1">
      <c r="C24" s="50"/>
      <c r="D24" s="50"/>
      <c r="G24" s="28"/>
      <c r="H24" s="28"/>
      <c r="I24" s="259"/>
      <c r="J24" s="28"/>
      <c r="K24" s="28"/>
      <c r="M24" s="34"/>
      <c r="N24" s="258"/>
      <c r="O24" s="28"/>
      <c r="P24" s="28"/>
      <c r="Q24" s="28"/>
      <c r="R24" s="28"/>
      <c r="S24" s="28"/>
      <c r="T24" s="28"/>
      <c r="U24" s="28"/>
      <c r="V24" s="198"/>
      <c r="W24" s="198"/>
      <c r="X24" s="198"/>
      <c r="Y24" s="198"/>
      <c r="Z24" s="198"/>
      <c r="AA24" s="198"/>
      <c r="AB24" s="28"/>
    </row>
    <row r="25" spans="1:28" s="48" customFormat="1">
      <c r="C25" s="28"/>
      <c r="D25" s="28"/>
      <c r="G25" s="28"/>
      <c r="H25" s="28"/>
      <c r="I25" s="259"/>
      <c r="J25" s="28"/>
      <c r="K25" s="28"/>
      <c r="M25" s="32"/>
      <c r="N25" s="258"/>
      <c r="O25" s="28"/>
      <c r="P25" s="28"/>
      <c r="Q25" s="28"/>
      <c r="R25" s="28"/>
      <c r="S25" s="28"/>
      <c r="T25" s="28"/>
      <c r="U25" s="28"/>
      <c r="V25" s="199"/>
      <c r="W25" s="199"/>
      <c r="X25" s="199"/>
      <c r="Y25" s="199"/>
      <c r="Z25" s="199"/>
      <c r="AA25" s="199"/>
      <c r="AB25" s="28"/>
    </row>
    <row r="26" spans="1:28" s="48" customFormat="1">
      <c r="C26" s="51"/>
      <c r="G26" s="28"/>
      <c r="H26" s="28"/>
      <c r="I26" s="259"/>
      <c r="J26" s="28"/>
      <c r="K26" s="28"/>
      <c r="M26" s="32"/>
      <c r="N26" s="258"/>
      <c r="O26" s="28"/>
      <c r="P26" s="28"/>
      <c r="Q26" s="28"/>
      <c r="R26" s="28"/>
      <c r="S26" s="28"/>
      <c r="T26" s="28"/>
      <c r="U26" s="28"/>
      <c r="V26" s="28"/>
      <c r="W26" s="28"/>
      <c r="X26" s="28"/>
      <c r="Y26" s="28"/>
      <c r="Z26" s="28"/>
      <c r="AA26" s="28"/>
      <c r="AB26" s="28"/>
    </row>
    <row r="27" spans="1:28" s="48" customFormat="1">
      <c r="C27" s="35"/>
      <c r="G27" s="28"/>
      <c r="H27" s="28"/>
      <c r="I27" s="259"/>
      <c r="J27" s="28"/>
      <c r="K27" s="28"/>
      <c r="M27" s="34"/>
      <c r="N27" s="258"/>
      <c r="O27" s="17"/>
      <c r="P27" s="28"/>
      <c r="Q27" s="28"/>
      <c r="R27" s="28"/>
      <c r="S27" s="28"/>
      <c r="T27" s="28"/>
      <c r="U27" s="28"/>
      <c r="V27" s="28"/>
      <c r="W27" s="28"/>
      <c r="X27" s="28"/>
      <c r="Y27" s="28"/>
      <c r="Z27" s="28"/>
      <c r="AA27" s="28"/>
      <c r="AB27" s="28"/>
    </row>
    <row r="28" spans="1:28" s="48" customFormat="1">
      <c r="C28" s="35"/>
      <c r="G28" s="28"/>
      <c r="H28" s="28"/>
      <c r="I28" s="259"/>
      <c r="J28" s="28"/>
      <c r="K28" s="28"/>
      <c r="M28" s="34"/>
      <c r="N28" s="259"/>
      <c r="O28" s="28"/>
      <c r="P28" s="28"/>
      <c r="Q28" s="28"/>
      <c r="R28" s="28"/>
      <c r="S28" s="28"/>
      <c r="T28" s="28"/>
      <c r="U28" s="28"/>
      <c r="V28" s="28"/>
      <c r="W28" s="28"/>
      <c r="X28" s="28"/>
      <c r="Y28" s="28"/>
      <c r="Z28" s="28"/>
      <c r="AA28" s="28"/>
      <c r="AB28" s="28"/>
    </row>
    <row r="29" spans="1:28">
      <c r="C29" s="35"/>
      <c r="G29" s="3"/>
      <c r="H29" s="3"/>
      <c r="I29" s="241"/>
      <c r="J29" s="3"/>
      <c r="K29" s="3"/>
      <c r="M29" s="34"/>
      <c r="N29" s="241"/>
      <c r="O29" s="3"/>
      <c r="P29" s="3"/>
      <c r="Q29" s="3"/>
      <c r="R29" s="3"/>
      <c r="S29" s="3"/>
      <c r="T29" s="3"/>
      <c r="U29" s="3"/>
      <c r="V29" s="3"/>
      <c r="W29" s="3"/>
      <c r="X29" s="3"/>
      <c r="Y29" s="3"/>
      <c r="Z29" s="3"/>
      <c r="AA29" s="3"/>
      <c r="AB29" s="3"/>
    </row>
    <row r="30" spans="1:28">
      <c r="C30" s="35"/>
      <c r="G30" s="3"/>
      <c r="H30" s="3"/>
      <c r="I30" s="241"/>
      <c r="J30" s="3"/>
      <c r="K30" s="3"/>
      <c r="M30" s="34"/>
      <c r="N30" s="241"/>
      <c r="O30" s="3"/>
      <c r="P30" s="3"/>
      <c r="Q30" s="3"/>
      <c r="R30" s="3"/>
      <c r="S30" s="3"/>
      <c r="T30" s="3"/>
      <c r="U30" s="3"/>
      <c r="V30" s="3"/>
      <c r="W30" s="3"/>
      <c r="X30" s="3"/>
      <c r="Y30" s="3"/>
      <c r="Z30" s="3"/>
      <c r="AA30" s="3"/>
      <c r="AB30" s="3"/>
    </row>
    <row r="31" spans="1:28">
      <c r="G31" s="3"/>
      <c r="H31" s="3"/>
      <c r="I31" s="241"/>
      <c r="J31" s="3"/>
      <c r="K31" s="3"/>
      <c r="M31" s="34"/>
      <c r="N31" s="241"/>
      <c r="O31" s="3"/>
      <c r="P31" s="3"/>
      <c r="Q31" s="3"/>
      <c r="R31" s="3"/>
      <c r="S31" s="3"/>
      <c r="T31" s="3"/>
      <c r="U31" s="3"/>
      <c r="V31" s="3"/>
      <c r="W31" s="3"/>
      <c r="X31" s="3"/>
      <c r="Y31" s="3"/>
      <c r="Z31" s="3"/>
      <c r="AA31" s="3"/>
      <c r="AB31" s="3"/>
    </row>
    <row r="32" spans="1:28">
      <c r="G32" s="3"/>
      <c r="H32" s="3"/>
      <c r="I32" s="241"/>
      <c r="J32" s="3"/>
      <c r="K32" s="3"/>
      <c r="M32" s="16"/>
      <c r="N32" s="241"/>
      <c r="O32" s="3"/>
      <c r="P32" s="3"/>
      <c r="Q32" s="3"/>
      <c r="R32" s="3"/>
      <c r="S32" s="3"/>
      <c r="T32" s="3"/>
      <c r="U32" s="3"/>
      <c r="V32" s="3"/>
      <c r="W32" s="3"/>
      <c r="X32" s="3"/>
      <c r="Y32" s="3"/>
      <c r="Z32" s="3"/>
      <c r="AA32" s="3"/>
      <c r="AB32" s="3"/>
    </row>
    <row r="33" spans="4:28">
      <c r="G33" s="3"/>
      <c r="H33" s="3"/>
      <c r="I33" s="241"/>
      <c r="J33" s="3"/>
      <c r="K33" s="3"/>
      <c r="M33" s="16"/>
      <c r="N33" s="241"/>
      <c r="O33" s="3"/>
      <c r="P33" s="3"/>
      <c r="Q33" s="3"/>
      <c r="R33" s="3"/>
      <c r="S33" s="3"/>
      <c r="T33" s="3"/>
      <c r="U33" s="3"/>
      <c r="V33" s="3"/>
      <c r="W33" s="3"/>
      <c r="X33" s="3"/>
      <c r="Y33" s="3"/>
      <c r="Z33" s="3"/>
      <c r="AA33" s="3"/>
      <c r="AB33" s="3"/>
    </row>
    <row r="34" spans="4:28">
      <c r="G34" s="3"/>
      <c r="H34" s="3"/>
      <c r="I34" s="241"/>
      <c r="J34" s="3"/>
      <c r="K34" s="3"/>
      <c r="M34" s="16"/>
      <c r="N34" s="241"/>
      <c r="O34" s="3"/>
      <c r="P34" s="3"/>
      <c r="Q34" s="3"/>
      <c r="R34" s="3"/>
      <c r="S34" s="3"/>
      <c r="T34" s="3"/>
      <c r="U34" s="3"/>
      <c r="V34" s="3"/>
      <c r="W34" s="3"/>
      <c r="X34" s="3"/>
      <c r="Y34" s="3"/>
      <c r="Z34" s="3"/>
      <c r="AA34" s="3"/>
      <c r="AB34" s="3"/>
    </row>
    <row r="35" spans="4:28">
      <c r="G35" s="3"/>
      <c r="H35" s="3"/>
      <c r="I35" s="241"/>
      <c r="J35" s="3"/>
      <c r="K35" s="3"/>
      <c r="M35" s="16"/>
      <c r="N35" s="241"/>
      <c r="O35" s="3"/>
      <c r="P35" s="3"/>
      <c r="Q35" s="3"/>
      <c r="R35" s="3"/>
      <c r="S35" s="3"/>
      <c r="T35" s="3"/>
      <c r="U35" s="3"/>
      <c r="V35" s="3"/>
      <c r="W35" s="3"/>
      <c r="X35" s="3"/>
      <c r="Y35" s="3"/>
      <c r="Z35" s="3"/>
      <c r="AA35" s="3"/>
      <c r="AB35" s="3"/>
    </row>
    <row r="36" spans="4:28">
      <c r="G36" s="3"/>
      <c r="H36" s="3"/>
      <c r="I36" s="241"/>
      <c r="J36" s="3"/>
      <c r="K36" s="3"/>
      <c r="M36" s="15"/>
      <c r="N36" s="241"/>
      <c r="O36" s="3"/>
      <c r="P36" s="3"/>
      <c r="Q36" s="3"/>
      <c r="R36" s="3"/>
      <c r="S36" s="3"/>
      <c r="T36" s="3"/>
      <c r="U36" s="3"/>
      <c r="V36" s="3"/>
      <c r="W36" s="3"/>
      <c r="X36" s="3"/>
      <c r="Y36" s="3"/>
      <c r="Z36" s="3"/>
      <c r="AA36" s="3"/>
      <c r="AB36" s="3"/>
    </row>
    <row r="37" spans="4:28">
      <c r="G37" s="3"/>
      <c r="H37" s="3"/>
      <c r="I37" s="241"/>
      <c r="J37" s="3"/>
      <c r="K37" s="3"/>
      <c r="M37" s="15"/>
      <c r="N37" s="241"/>
      <c r="O37" s="3"/>
      <c r="P37" s="3"/>
      <c r="Q37" s="3"/>
      <c r="R37" s="3"/>
      <c r="S37" s="3"/>
      <c r="T37" s="3"/>
      <c r="U37" s="3"/>
      <c r="V37" s="3"/>
      <c r="W37" s="3"/>
      <c r="X37" s="3"/>
      <c r="Y37" s="3"/>
      <c r="Z37" s="3"/>
      <c r="AA37" s="3"/>
      <c r="AB37" s="3"/>
    </row>
    <row r="38" spans="4:28">
      <c r="G38" s="3"/>
      <c r="H38" s="3"/>
      <c r="I38" s="241"/>
      <c r="J38" s="3"/>
      <c r="K38" s="3"/>
      <c r="M38" s="15"/>
      <c r="N38" s="241"/>
      <c r="O38" s="3"/>
      <c r="P38" s="3"/>
      <c r="Q38" s="3"/>
      <c r="R38" s="3"/>
      <c r="S38" s="3"/>
      <c r="T38" s="3"/>
      <c r="U38" s="3"/>
      <c r="V38" s="3"/>
      <c r="W38" s="3"/>
      <c r="X38" s="3"/>
      <c r="Y38" s="3"/>
      <c r="Z38" s="3"/>
      <c r="AA38" s="3"/>
      <c r="AB38" s="3"/>
    </row>
    <row r="39" spans="4:28">
      <c r="G39" s="3"/>
      <c r="H39" s="3"/>
      <c r="I39" s="241"/>
      <c r="J39" s="3"/>
      <c r="K39" s="3"/>
      <c r="N39" s="241"/>
      <c r="O39" s="3"/>
      <c r="P39" s="3"/>
      <c r="Q39" s="3"/>
      <c r="R39" s="3"/>
      <c r="S39" s="3"/>
      <c r="T39" s="3"/>
      <c r="U39" s="3"/>
      <c r="V39" s="3"/>
      <c r="W39" s="3"/>
      <c r="X39" s="3"/>
      <c r="Y39" s="3"/>
      <c r="Z39" s="3"/>
      <c r="AA39" s="3"/>
      <c r="AB39" s="3"/>
    </row>
    <row r="40" spans="4:28">
      <c r="G40" s="3"/>
      <c r="H40" s="3"/>
      <c r="I40" s="241"/>
      <c r="J40" s="3"/>
      <c r="K40" s="3"/>
      <c r="N40" s="241"/>
      <c r="O40" s="3"/>
      <c r="P40" s="3"/>
      <c r="Q40" s="3"/>
      <c r="R40" s="3"/>
      <c r="S40" s="3"/>
      <c r="T40" s="3"/>
      <c r="U40" s="3"/>
      <c r="V40" s="3"/>
      <c r="W40" s="3"/>
      <c r="X40" s="3"/>
      <c r="Y40" s="3"/>
      <c r="Z40" s="3"/>
      <c r="AA40" s="3"/>
      <c r="AB40" s="3"/>
    </row>
    <row r="41" spans="4:28">
      <c r="G41" s="3"/>
      <c r="H41" s="3"/>
      <c r="I41" s="241"/>
      <c r="J41" s="3"/>
      <c r="K41" s="3"/>
      <c r="N41" s="241"/>
      <c r="O41" s="3"/>
      <c r="P41" s="3"/>
      <c r="Q41" s="3"/>
      <c r="R41" s="3"/>
      <c r="S41" s="3"/>
      <c r="T41" s="3"/>
      <c r="U41" s="3"/>
      <c r="V41" s="3"/>
      <c r="W41" s="3"/>
      <c r="X41" s="3"/>
      <c r="Y41" s="3"/>
      <c r="Z41" s="3"/>
      <c r="AA41" s="3"/>
      <c r="AB41" s="3"/>
    </row>
    <row r="42" spans="4:28">
      <c r="G42" s="3"/>
      <c r="H42" s="3"/>
      <c r="I42" s="241"/>
      <c r="J42" s="3"/>
      <c r="K42" s="3"/>
      <c r="M42" s="14"/>
      <c r="N42" s="241"/>
      <c r="O42" s="3"/>
      <c r="P42" s="3"/>
      <c r="Q42" s="3"/>
      <c r="R42" s="3"/>
      <c r="S42" s="3"/>
      <c r="T42" s="3"/>
      <c r="U42" s="3"/>
      <c r="V42" s="3"/>
      <c r="W42" s="3"/>
      <c r="X42" s="3"/>
      <c r="Y42" s="3"/>
      <c r="Z42" s="3"/>
      <c r="AA42" s="3"/>
      <c r="AB42" s="3"/>
    </row>
    <row r="43" spans="4:28">
      <c r="M43" s="14"/>
      <c r="N43" s="251"/>
      <c r="O43" s="3"/>
      <c r="P43" s="3"/>
      <c r="Q43" s="3"/>
      <c r="R43" s="3"/>
      <c r="S43" s="3"/>
      <c r="T43" s="3"/>
      <c r="U43" s="3"/>
      <c r="V43" s="3"/>
      <c r="W43" s="3"/>
      <c r="X43" s="3"/>
      <c r="Y43" s="3"/>
      <c r="Z43" s="3"/>
      <c r="AA43" s="3"/>
      <c r="AB43" s="3"/>
    </row>
    <row r="44" spans="4:28">
      <c r="D44" s="5"/>
      <c r="N44" s="241"/>
      <c r="O44" s="3"/>
      <c r="P44" s="3"/>
      <c r="Q44" s="3"/>
      <c r="R44" s="3"/>
      <c r="S44" s="3"/>
      <c r="T44" s="3"/>
      <c r="U44" s="3"/>
      <c r="V44" s="3"/>
      <c r="W44" s="3"/>
      <c r="X44" s="3"/>
      <c r="Y44" s="3"/>
      <c r="Z44" s="3"/>
      <c r="AA44" s="3"/>
      <c r="AB44" s="3"/>
    </row>
    <row r="45" spans="4:28">
      <c r="N45" s="241"/>
      <c r="O45" s="3"/>
      <c r="P45" s="3"/>
      <c r="Q45" s="3"/>
      <c r="R45" s="3"/>
      <c r="S45" s="3"/>
      <c r="T45" s="3"/>
      <c r="U45" s="3"/>
      <c r="V45" s="3"/>
      <c r="W45" s="3"/>
      <c r="X45" s="3"/>
      <c r="Y45" s="3"/>
      <c r="Z45" s="3"/>
      <c r="AA45" s="3"/>
      <c r="AB45" s="3"/>
    </row>
    <row r="46" spans="4:28">
      <c r="N46" s="241"/>
      <c r="O46" s="3"/>
      <c r="P46" s="3"/>
      <c r="Q46" s="3"/>
      <c r="R46" s="3"/>
      <c r="S46" s="3"/>
      <c r="T46" s="3"/>
      <c r="U46" s="3"/>
      <c r="V46" s="3"/>
      <c r="W46" s="3"/>
      <c r="X46" s="3"/>
      <c r="Y46" s="3"/>
      <c r="Z46" s="3"/>
      <c r="AA46" s="3"/>
      <c r="AB46" s="3"/>
    </row>
    <row r="47" spans="4:28">
      <c r="N47" s="241"/>
      <c r="O47" s="3"/>
      <c r="P47" s="3"/>
      <c r="Q47" s="3"/>
      <c r="R47" s="3"/>
      <c r="S47" s="3"/>
      <c r="T47" s="3"/>
      <c r="U47" s="3"/>
      <c r="V47" s="3"/>
      <c r="W47" s="3"/>
      <c r="X47" s="3"/>
      <c r="Y47" s="3"/>
      <c r="Z47" s="3"/>
      <c r="AA47" s="3"/>
      <c r="AB47" s="3"/>
    </row>
    <row r="48" spans="4:28">
      <c r="N48" s="241"/>
      <c r="O48" s="3"/>
      <c r="P48" s="3"/>
      <c r="Q48" s="3"/>
      <c r="R48" s="3"/>
      <c r="S48" s="3"/>
      <c r="T48" s="3"/>
      <c r="U48" s="3"/>
      <c r="V48" s="3"/>
      <c r="W48" s="3"/>
      <c r="X48" s="3"/>
      <c r="Y48" s="3"/>
      <c r="Z48" s="3"/>
      <c r="AA48" s="3"/>
      <c r="AB48" s="3"/>
    </row>
    <row r="49" spans="14:28">
      <c r="N49" s="241"/>
      <c r="O49" s="3"/>
      <c r="P49" s="3"/>
      <c r="Q49" s="3"/>
      <c r="R49" s="3"/>
      <c r="S49" s="3"/>
      <c r="T49" s="3"/>
      <c r="U49" s="3"/>
      <c r="V49" s="3"/>
      <c r="W49" s="3"/>
      <c r="X49" s="3"/>
      <c r="Y49" s="3"/>
      <c r="Z49" s="3"/>
      <c r="AA49" s="3"/>
      <c r="AB49" s="3"/>
    </row>
    <row r="50" spans="14:28">
      <c r="N50" s="241"/>
      <c r="O50" s="3"/>
      <c r="P50" s="3"/>
      <c r="Q50" s="3"/>
      <c r="R50" s="3"/>
      <c r="S50" s="3"/>
      <c r="T50" s="3"/>
      <c r="U50" s="3"/>
      <c r="V50" s="3"/>
      <c r="W50" s="3"/>
      <c r="X50" s="3"/>
      <c r="Y50" s="3"/>
      <c r="Z50" s="3"/>
      <c r="AA50" s="3"/>
      <c r="AB50" s="3"/>
    </row>
    <row r="51" spans="14:28">
      <c r="N51" s="241"/>
      <c r="O51" s="3"/>
      <c r="P51" s="3"/>
      <c r="Q51" s="3"/>
      <c r="R51" s="3"/>
      <c r="S51" s="3"/>
      <c r="T51" s="3"/>
      <c r="U51" s="3"/>
      <c r="V51" s="3"/>
      <c r="W51" s="3"/>
      <c r="X51" s="3"/>
      <c r="Y51" s="3"/>
      <c r="Z51" s="3"/>
      <c r="AA51" s="3"/>
      <c r="AB51" s="3"/>
    </row>
    <row r="52" spans="14:28">
      <c r="N52" s="241"/>
      <c r="O52" s="3"/>
      <c r="P52" s="3"/>
      <c r="Q52" s="3"/>
      <c r="R52" s="3"/>
      <c r="S52" s="3"/>
      <c r="T52" s="3"/>
      <c r="U52" s="3"/>
      <c r="V52" s="3"/>
      <c r="W52" s="3"/>
      <c r="X52" s="3"/>
      <c r="Y52" s="3"/>
      <c r="Z52" s="3"/>
      <c r="AA52" s="3"/>
      <c r="AB52" s="3"/>
    </row>
    <row r="53" spans="14:28">
      <c r="N53" s="241"/>
      <c r="O53" s="3"/>
      <c r="P53" s="3"/>
      <c r="Q53" s="3"/>
      <c r="R53" s="3"/>
      <c r="S53" s="3"/>
      <c r="T53" s="3"/>
      <c r="U53" s="3"/>
      <c r="V53" s="3"/>
      <c r="W53" s="3"/>
      <c r="X53" s="3"/>
      <c r="Y53" s="3"/>
      <c r="Z53" s="3"/>
      <c r="AA53" s="3"/>
      <c r="AB53" s="3"/>
    </row>
    <row r="54" spans="14:28">
      <c r="N54" s="241"/>
      <c r="O54" s="3"/>
      <c r="P54" s="3"/>
      <c r="Q54" s="3"/>
      <c r="R54" s="3"/>
      <c r="S54" s="3"/>
      <c r="T54" s="3"/>
      <c r="U54" s="3"/>
      <c r="V54" s="3"/>
      <c r="W54" s="3"/>
      <c r="X54" s="3"/>
      <c r="Y54" s="3"/>
      <c r="Z54" s="3"/>
      <c r="AA54" s="3"/>
      <c r="AB54" s="3"/>
    </row>
    <row r="55" spans="14:28">
      <c r="N55" s="241"/>
      <c r="O55" s="3"/>
      <c r="P55" s="3"/>
      <c r="Q55" s="3"/>
      <c r="R55" s="3"/>
      <c r="S55" s="3"/>
      <c r="T55" s="3"/>
      <c r="U55" s="3"/>
      <c r="V55" s="3"/>
      <c r="W55" s="3"/>
      <c r="X55" s="3"/>
      <c r="Y55" s="3"/>
      <c r="Z55" s="3"/>
      <c r="AA55" s="3"/>
      <c r="AB55" s="3"/>
    </row>
    <row r="56" spans="14:28">
      <c r="N56" s="241"/>
      <c r="O56" s="3"/>
      <c r="P56" s="3"/>
      <c r="Q56" s="3"/>
      <c r="R56" s="3"/>
      <c r="S56" s="3"/>
      <c r="T56" s="3"/>
      <c r="U56" s="3"/>
      <c r="V56" s="3"/>
      <c r="W56" s="3"/>
      <c r="X56" s="3"/>
      <c r="Y56" s="3"/>
      <c r="Z56" s="3"/>
      <c r="AA56" s="3"/>
      <c r="AB56" s="3"/>
    </row>
    <row r="57" spans="14:28">
      <c r="N57" s="241"/>
      <c r="O57" s="3"/>
      <c r="P57" s="3"/>
      <c r="Q57" s="3"/>
      <c r="R57" s="3"/>
      <c r="S57" s="3"/>
      <c r="T57" s="3"/>
      <c r="U57" s="3"/>
      <c r="V57" s="3"/>
      <c r="W57" s="3"/>
      <c r="X57" s="3"/>
      <c r="Y57" s="3"/>
      <c r="Z57" s="3"/>
      <c r="AA57" s="3"/>
      <c r="AB57" s="3"/>
    </row>
    <row r="58" spans="14:28">
      <c r="N58" s="241"/>
      <c r="O58" s="3"/>
      <c r="P58" s="3"/>
      <c r="Q58" s="3"/>
      <c r="R58" s="3"/>
      <c r="S58" s="3"/>
      <c r="T58" s="3"/>
      <c r="U58" s="3"/>
      <c r="V58" s="3"/>
      <c r="W58" s="3"/>
      <c r="X58" s="3"/>
      <c r="Y58" s="3"/>
      <c r="Z58" s="3"/>
      <c r="AA58" s="3"/>
      <c r="AB58" s="3"/>
    </row>
    <row r="59" spans="14:28">
      <c r="N59" s="241"/>
      <c r="O59" s="3"/>
      <c r="P59" s="3"/>
      <c r="Q59" s="3"/>
      <c r="R59" s="3"/>
      <c r="S59" s="3"/>
      <c r="T59" s="3"/>
      <c r="U59" s="3"/>
      <c r="V59" s="3"/>
      <c r="W59" s="3"/>
      <c r="X59" s="3"/>
      <c r="Y59" s="3"/>
      <c r="Z59" s="3"/>
      <c r="AA59" s="3"/>
      <c r="AB59" s="3"/>
    </row>
    <row r="60" spans="14:28">
      <c r="N60" s="241"/>
      <c r="O60" s="3"/>
      <c r="P60" s="3"/>
      <c r="Q60" s="3"/>
      <c r="R60" s="3"/>
      <c r="S60" s="3"/>
      <c r="T60" s="3"/>
      <c r="U60" s="3"/>
      <c r="V60" s="3"/>
      <c r="W60" s="3"/>
      <c r="X60" s="3"/>
      <c r="Y60" s="3"/>
      <c r="Z60" s="3"/>
      <c r="AA60" s="3"/>
      <c r="AB60" s="3"/>
    </row>
    <row r="61" spans="14:28">
      <c r="N61" s="241"/>
      <c r="O61" s="3"/>
      <c r="P61" s="3"/>
      <c r="Q61" s="3"/>
      <c r="R61" s="3"/>
      <c r="S61" s="3"/>
      <c r="T61" s="3"/>
      <c r="U61" s="3"/>
      <c r="V61" s="3"/>
      <c r="W61" s="3"/>
      <c r="X61" s="3"/>
      <c r="Y61" s="3"/>
      <c r="Z61" s="3"/>
      <c r="AA61" s="3"/>
      <c r="AB61" s="3"/>
    </row>
  </sheetData>
  <sheetProtection sheet="1" objects="1" scenarios="1"/>
  <phoneticPr fontId="2" type="noConversion"/>
  <pageMargins left="0.39370078740157483" right="0.39370078740157483" top="0.74803149606299213" bottom="0.74803149606299213" header="0.31496062992125984" footer="0.31496062992125984"/>
  <pageSetup paperSize="9" orientation="landscape" r:id="rId1"/>
  <headerFooter>
    <oddFooter>&amp;L&amp;APrinted &amp;D</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2"/>
  <sheetViews>
    <sheetView workbookViewId="0"/>
  </sheetViews>
  <sheetFormatPr defaultRowHeight="12.75"/>
  <cols>
    <col min="1" max="1" width="3" customWidth="1"/>
    <col min="2" max="2" width="6.140625" customWidth="1"/>
    <col min="3" max="3" width="23.28515625" customWidth="1"/>
    <col min="4" max="4" width="8.5703125" customWidth="1"/>
    <col min="5" max="5" width="10.5703125" customWidth="1"/>
    <col min="6" max="6" width="12" customWidth="1"/>
    <col min="7" max="7" width="8.28515625" customWidth="1"/>
    <col min="8" max="8" width="13.42578125" customWidth="1"/>
    <col min="9" max="9" width="18.5703125" customWidth="1"/>
    <col min="10" max="10" width="19" customWidth="1"/>
    <col min="11" max="11" width="11.28515625" customWidth="1"/>
    <col min="12" max="12" width="11.5703125" customWidth="1"/>
    <col min="13" max="13" width="15" style="13" customWidth="1"/>
    <col min="15" max="15" width="10.85546875" customWidth="1"/>
    <col min="16" max="16" width="4.5703125" customWidth="1"/>
    <col min="17" max="17" width="5.28515625" customWidth="1"/>
    <col min="18" max="18" width="5" customWidth="1"/>
    <col min="19" max="19" width="8.42578125" customWidth="1"/>
    <col min="21" max="21" width="15.5703125" customWidth="1"/>
    <col min="22" max="22" width="12.5703125" customWidth="1"/>
    <col min="24" max="24" width="9.7109375" customWidth="1"/>
    <col min="25" max="25" width="11.140625" customWidth="1"/>
    <col min="26" max="26" width="11.5703125" customWidth="1"/>
    <col min="27" max="27" width="17" customWidth="1"/>
    <col min="28" max="28" width="49.85546875" customWidth="1"/>
  </cols>
  <sheetData>
    <row r="1" spans="1:28" ht="18">
      <c r="A1" s="1" t="s">
        <v>34</v>
      </c>
    </row>
    <row r="2" spans="1:28" ht="15">
      <c r="A2" s="54" t="s">
        <v>322</v>
      </c>
    </row>
    <row r="3" spans="1:28" s="5" customFormat="1">
      <c r="C3" s="7"/>
      <c r="D3" s="7"/>
      <c r="E3" s="7"/>
      <c r="F3" s="7"/>
      <c r="G3" s="7"/>
      <c r="H3" s="7"/>
      <c r="I3" s="7"/>
      <c r="J3" s="7"/>
      <c r="K3" s="7"/>
      <c r="L3" s="7"/>
      <c r="M3" s="64"/>
      <c r="N3" s="7"/>
      <c r="O3" s="7"/>
      <c r="P3" s="111" t="s">
        <v>55</v>
      </c>
      <c r="Q3" s="111"/>
      <c r="R3" s="111"/>
      <c r="S3" s="111"/>
      <c r="T3" s="111"/>
      <c r="U3" s="111"/>
      <c r="V3" s="192" t="s">
        <v>54</v>
      </c>
      <c r="W3" s="56"/>
      <c r="X3" s="56"/>
      <c r="Y3" s="56"/>
      <c r="Z3" s="56"/>
      <c r="AA3" s="56"/>
      <c r="AB3" s="111"/>
    </row>
    <row r="4" spans="1:28" s="144" customFormat="1" ht="51">
      <c r="A4" s="144" t="s">
        <v>52</v>
      </c>
      <c r="B4" s="144" t="s">
        <v>50</v>
      </c>
      <c r="C4" s="134" t="s">
        <v>59</v>
      </c>
      <c r="D4" s="112" t="s">
        <v>159</v>
      </c>
      <c r="E4" s="134" t="s">
        <v>49</v>
      </c>
      <c r="F4" s="143" t="s">
        <v>35</v>
      </c>
      <c r="G4" s="112" t="s">
        <v>37</v>
      </c>
      <c r="H4" s="143" t="s">
        <v>35</v>
      </c>
      <c r="I4" s="112" t="s">
        <v>51</v>
      </c>
      <c r="J4" s="144" t="s">
        <v>35</v>
      </c>
      <c r="K4" s="84" t="s">
        <v>61</v>
      </c>
      <c r="L4" s="143" t="s">
        <v>35</v>
      </c>
      <c r="M4" s="146" t="s">
        <v>289</v>
      </c>
      <c r="N4" s="112" t="s">
        <v>94</v>
      </c>
      <c r="O4" s="143" t="s">
        <v>35</v>
      </c>
      <c r="P4" s="147" t="s">
        <v>38</v>
      </c>
      <c r="Q4" s="147" t="s">
        <v>39</v>
      </c>
      <c r="R4" s="147" t="s">
        <v>40</v>
      </c>
      <c r="S4" s="147" t="s">
        <v>405</v>
      </c>
      <c r="T4" s="148" t="s">
        <v>42</v>
      </c>
      <c r="U4" s="148" t="s">
        <v>237</v>
      </c>
      <c r="V4" s="56" t="s">
        <v>38</v>
      </c>
      <c r="W4" s="56" t="s">
        <v>39</v>
      </c>
      <c r="X4" s="56" t="s">
        <v>40</v>
      </c>
      <c r="Y4" s="56" t="s">
        <v>405</v>
      </c>
      <c r="Z4" s="57" t="s">
        <v>42</v>
      </c>
      <c r="AA4" s="57" t="s">
        <v>237</v>
      </c>
      <c r="AB4" s="111" t="s">
        <v>89</v>
      </c>
    </row>
    <row r="5" spans="1:28" s="129" customFormat="1" ht="38.25">
      <c r="A5" s="129" t="s">
        <v>319</v>
      </c>
      <c r="C5" s="134" t="s">
        <v>313</v>
      </c>
      <c r="D5" s="111"/>
      <c r="F5" s="128"/>
      <c r="G5" s="76"/>
      <c r="H5" s="128"/>
      <c r="I5" s="255"/>
      <c r="K5" s="113"/>
      <c r="L5" s="128"/>
      <c r="M5" s="135"/>
      <c r="N5" s="255"/>
      <c r="O5" s="128"/>
      <c r="P5" s="127"/>
      <c r="Q5" s="127"/>
      <c r="R5" s="127"/>
      <c r="S5" s="127"/>
      <c r="T5" s="127"/>
      <c r="U5" s="127"/>
      <c r="V5" s="58"/>
      <c r="W5" s="58"/>
      <c r="X5" s="58"/>
      <c r="Y5" s="58"/>
      <c r="Z5" s="58"/>
      <c r="AA5" s="58"/>
      <c r="AB5" s="76"/>
    </row>
    <row r="6" spans="1:28">
      <c r="B6" s="3" t="s">
        <v>320</v>
      </c>
      <c r="C6" s="26" t="s">
        <v>314</v>
      </c>
      <c r="D6" s="111"/>
      <c r="E6" s="11" t="s">
        <v>315</v>
      </c>
      <c r="F6" s="3" t="s">
        <v>316</v>
      </c>
      <c r="G6" s="76">
        <v>2.5</v>
      </c>
      <c r="H6" s="3" t="s">
        <v>316</v>
      </c>
      <c r="I6" s="256">
        <f>'Passo7-Crematórios-cemitérios'!C5</f>
        <v>0</v>
      </c>
      <c r="J6" s="3" t="s">
        <v>317</v>
      </c>
      <c r="K6" s="113">
        <f>G6*I6/1000</f>
        <v>0</v>
      </c>
      <c r="L6" s="3" t="s">
        <v>36</v>
      </c>
      <c r="M6" s="33"/>
      <c r="N6" s="255">
        <f>K6</f>
        <v>0</v>
      </c>
      <c r="O6" s="3" t="s">
        <v>36</v>
      </c>
      <c r="P6" s="76">
        <v>1</v>
      </c>
      <c r="Q6" s="76"/>
      <c r="R6" s="76"/>
      <c r="S6" s="276"/>
      <c r="T6" s="76"/>
      <c r="U6" s="76"/>
      <c r="V6" s="114">
        <f t="shared" ref="V6:AA6" si="0">$N6*P6</f>
        <v>0</v>
      </c>
      <c r="W6" s="114">
        <f t="shared" si="0"/>
        <v>0</v>
      </c>
      <c r="X6" s="114">
        <f t="shared" si="0"/>
        <v>0</v>
      </c>
      <c r="Y6" s="246" t="s">
        <v>282</v>
      </c>
      <c r="Z6" s="114">
        <f t="shared" si="0"/>
        <v>0</v>
      </c>
      <c r="AA6" s="114">
        <f t="shared" si="0"/>
        <v>0</v>
      </c>
      <c r="AB6" s="76"/>
    </row>
    <row r="7" spans="1:28" s="55" customFormat="1">
      <c r="B7" s="104"/>
      <c r="C7" s="137"/>
      <c r="D7" s="76"/>
      <c r="E7" s="106"/>
      <c r="F7" s="104"/>
      <c r="G7" s="76"/>
      <c r="H7" s="104"/>
      <c r="I7" s="256"/>
      <c r="K7" s="170"/>
      <c r="L7" s="104"/>
      <c r="M7" s="138"/>
      <c r="N7" s="256"/>
      <c r="O7" s="104"/>
      <c r="P7" s="130"/>
      <c r="Q7" s="130"/>
      <c r="R7" s="130"/>
      <c r="S7" s="130"/>
      <c r="T7" s="130"/>
      <c r="U7" s="127"/>
      <c r="V7" s="116"/>
      <c r="W7" s="116"/>
      <c r="X7" s="116"/>
      <c r="Y7" s="116"/>
      <c r="Z7" s="116"/>
      <c r="AA7" s="116"/>
      <c r="AB7" s="76"/>
    </row>
    <row r="8" spans="1:28">
      <c r="B8" s="3" t="s">
        <v>321</v>
      </c>
      <c r="C8" s="26" t="s">
        <v>389</v>
      </c>
      <c r="D8" s="111"/>
      <c r="E8" s="11" t="s">
        <v>315</v>
      </c>
      <c r="F8" s="3" t="s">
        <v>316</v>
      </c>
      <c r="G8" s="76">
        <v>2.5</v>
      </c>
      <c r="H8" s="3" t="s">
        <v>316</v>
      </c>
      <c r="I8" s="256">
        <f>'Passo7-Crematórios-cemitérios'!C6</f>
        <v>0</v>
      </c>
      <c r="J8" s="3" t="s">
        <v>318</v>
      </c>
      <c r="K8" s="113">
        <f>G8*I8/1000</f>
        <v>0</v>
      </c>
      <c r="L8" s="3" t="s">
        <v>36</v>
      </c>
      <c r="M8" s="33"/>
      <c r="N8" s="255">
        <f>K8</f>
        <v>0</v>
      </c>
      <c r="O8" s="3" t="s">
        <v>36</v>
      </c>
      <c r="P8" s="76"/>
      <c r="Q8" s="76"/>
      <c r="R8" s="76">
        <v>1</v>
      </c>
      <c r="S8" s="276"/>
      <c r="T8" s="76"/>
      <c r="U8" s="76"/>
      <c r="V8" s="114">
        <f t="shared" ref="V8:AA8" si="1">$N8*P8</f>
        <v>0</v>
      </c>
      <c r="W8" s="114">
        <f t="shared" si="1"/>
        <v>0</v>
      </c>
      <c r="X8" s="114">
        <f t="shared" si="1"/>
        <v>0</v>
      </c>
      <c r="Y8" s="246" t="s">
        <v>282</v>
      </c>
      <c r="Z8" s="114">
        <f t="shared" si="1"/>
        <v>0</v>
      </c>
      <c r="AA8" s="114">
        <f t="shared" si="1"/>
        <v>0</v>
      </c>
      <c r="AB8" s="76"/>
    </row>
    <row r="9" spans="1:28" s="55" customFormat="1">
      <c r="D9" s="76"/>
      <c r="G9" s="76"/>
      <c r="I9" s="255"/>
      <c r="K9" s="113"/>
      <c r="M9" s="163"/>
      <c r="N9" s="255"/>
      <c r="O9" s="104"/>
      <c r="P9" s="76"/>
      <c r="Q9" s="76"/>
      <c r="R9" s="76"/>
      <c r="S9" s="76"/>
      <c r="T9" s="76"/>
      <c r="U9" s="76"/>
      <c r="V9" s="58"/>
      <c r="W9" s="58"/>
      <c r="X9" s="58"/>
      <c r="Y9" s="58"/>
      <c r="Z9" s="58"/>
      <c r="AA9" s="58"/>
      <c r="AB9" s="76"/>
    </row>
    <row r="10" spans="1:28">
      <c r="D10" s="3"/>
      <c r="E10" s="3"/>
      <c r="F10" s="3"/>
      <c r="G10" s="3"/>
      <c r="H10" s="3"/>
      <c r="I10" s="3"/>
      <c r="J10" s="3"/>
      <c r="K10" s="36"/>
      <c r="L10" s="3"/>
      <c r="M10" s="63"/>
      <c r="N10" s="3"/>
      <c r="O10" s="3"/>
      <c r="P10" s="3"/>
      <c r="Q10" s="3"/>
      <c r="R10" s="3"/>
      <c r="S10" s="3"/>
      <c r="T10" s="3"/>
      <c r="U10" s="3"/>
      <c r="V10" s="3"/>
      <c r="W10" s="3"/>
      <c r="X10" s="3"/>
      <c r="Y10" s="3"/>
      <c r="Z10" s="3"/>
      <c r="AA10" s="3"/>
      <c r="AB10" s="3"/>
    </row>
    <row r="11" spans="1:28">
      <c r="C11" s="5"/>
      <c r="D11" s="8"/>
    </row>
    <row r="12" spans="1:28">
      <c r="D12" s="6"/>
    </row>
  </sheetData>
  <sheetProtection sheet="1" objects="1" scenarios="1"/>
  <phoneticPr fontId="2" type="noConversion"/>
  <pageMargins left="0.39370078740157483" right="0.39370078740157483" top="0.74803149606299213" bottom="0.74803149606299213" header="0.31496062992125984" footer="0.31496062992125984"/>
  <pageSetup paperSize="9" orientation="landscape" r:id="rId1"/>
  <headerFooter>
    <oddFooter>&amp;L&amp;APrinted &amp;D</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10" workbookViewId="0">
      <selection activeCell="H13" sqref="H13"/>
    </sheetView>
  </sheetViews>
  <sheetFormatPr defaultRowHeight="12.7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1"/>
  <sheetViews>
    <sheetView topLeftCell="A10" workbookViewId="0">
      <selection activeCell="A9" sqref="A9"/>
    </sheetView>
  </sheetViews>
  <sheetFormatPr defaultRowHeight="12.75"/>
  <cols>
    <col min="1" max="1" width="38" style="340" customWidth="1"/>
    <col min="2" max="2" width="8.85546875" style="359" customWidth="1"/>
    <col min="3" max="3" width="14.140625" style="340" customWidth="1"/>
    <col min="4" max="4" width="27.42578125" style="340" customWidth="1"/>
    <col min="5" max="5" width="12.5703125" style="340" customWidth="1"/>
    <col min="6" max="6" width="10.140625" style="340" customWidth="1"/>
    <col min="7" max="8" width="9.140625" style="340"/>
    <col min="9" max="9" width="11" style="340" customWidth="1"/>
    <col min="10" max="10" width="9.140625" style="340"/>
    <col min="11" max="11" width="16.140625" style="340" customWidth="1"/>
    <col min="12" max="12" width="5.28515625" style="340" customWidth="1"/>
    <col min="13" max="13" width="9.140625" style="340"/>
    <col min="14" max="14" width="0" style="340" hidden="1" customWidth="1"/>
    <col min="15" max="16384" width="9.140625" style="340"/>
  </cols>
  <sheetData>
    <row r="1" spans="1:14" s="670" customFormat="1">
      <c r="A1" s="676" t="s">
        <v>810</v>
      </c>
      <c r="B1" s="677"/>
    </row>
    <row r="2" spans="1:14" ht="30" customHeight="1">
      <c r="A2" s="729" t="str">
        <f>IF(ISNA(MATCH("n",N5:N17,0)),"","The Estimated Hg input (or equivalent inserted IL2 results) marked in red colour is very high compared to previous observations. Data may be correct, but please confirm your activity rate data (or inserted IL2 data).")</f>
        <v/>
      </c>
      <c r="B2" s="730"/>
      <c r="C2" s="730"/>
      <c r="D2" s="730"/>
      <c r="E2" s="730"/>
      <c r="F2" s="730"/>
      <c r="G2" s="730"/>
      <c r="H2" s="730"/>
      <c r="I2" s="730"/>
      <c r="J2" s="730"/>
      <c r="K2" s="730"/>
      <c r="L2" s="731"/>
    </row>
    <row r="3" spans="1:14" s="682" customFormat="1" ht="38.25" customHeight="1">
      <c r="A3" s="662" t="s">
        <v>775</v>
      </c>
      <c r="B3" s="678" t="s">
        <v>776</v>
      </c>
      <c r="C3" s="679" t="s">
        <v>777</v>
      </c>
      <c r="D3" s="662"/>
      <c r="E3" s="680" t="s">
        <v>778</v>
      </c>
      <c r="F3" s="728" t="s">
        <v>779</v>
      </c>
      <c r="G3" s="728"/>
      <c r="H3" s="728"/>
      <c r="I3" s="728"/>
      <c r="J3" s="728"/>
      <c r="K3" s="728"/>
      <c r="L3" s="662"/>
    </row>
    <row r="4" spans="1:14" ht="38.25">
      <c r="A4" s="272"/>
      <c r="B4" s="484" t="str">
        <f>quest</f>
        <v>S/N/?</v>
      </c>
      <c r="C4" s="683" t="s">
        <v>781</v>
      </c>
      <c r="D4" s="684" t="s">
        <v>782</v>
      </c>
      <c r="E4" s="679" t="s">
        <v>783</v>
      </c>
      <c r="F4" s="685" t="s">
        <v>784</v>
      </c>
      <c r="G4" s="685" t="s">
        <v>785</v>
      </c>
      <c r="H4" s="685" t="s">
        <v>786</v>
      </c>
      <c r="I4" s="679" t="s">
        <v>787</v>
      </c>
      <c r="J4" s="726" t="s">
        <v>1062</v>
      </c>
      <c r="K4" s="726" t="s">
        <v>1066</v>
      </c>
      <c r="L4" s="662" t="s">
        <v>1017</v>
      </c>
      <c r="M4" s="671" t="s">
        <v>788</v>
      </c>
    </row>
    <row r="5" spans="1:14" ht="13.5" thickBot="1">
      <c r="A5" s="661" t="s">
        <v>811</v>
      </c>
      <c r="B5" s="484"/>
      <c r="C5" s="269"/>
      <c r="D5" s="272"/>
      <c r="E5" s="351"/>
      <c r="F5" s="352"/>
      <c r="G5" s="352"/>
      <c r="H5" s="352"/>
      <c r="I5" s="353"/>
      <c r="J5" s="353"/>
      <c r="K5" s="353"/>
      <c r="L5" s="265"/>
      <c r="M5" s="468"/>
    </row>
    <row r="6" spans="1:14" ht="25.5">
      <c r="A6" s="663" t="s">
        <v>812</v>
      </c>
      <c r="B6" s="365"/>
      <c r="C6" s="378"/>
      <c r="D6" s="687" t="s">
        <v>824</v>
      </c>
      <c r="E6" s="465" t="str">
        <f>IF(OR($B6=yes,$B6=yes),'5-2 Prim metal'!K6, IF(OR($B6=no,$B6=no),"-", IF($B6=que,que, pres)))</f>
        <v>Presente?</v>
      </c>
      <c r="F6" s="279" t="str">
        <f>IF(OR($B6=yes,$B6=yes),'5-2 Prim metal'!V6, IF(OR($B6=no,$B6=no),"-", IF($B6=que,que, pres)))</f>
        <v>Presente?</v>
      </c>
      <c r="G6" s="279" t="str">
        <f>IF(OR($B6=yes,$B6=yes),'5-2 Prim metal'!W6, IF(OR($B6=no,$B6=no),"-", IF($B6=que,que, pres)))</f>
        <v>Presente?</v>
      </c>
      <c r="H6" s="279" t="str">
        <f>IF(OR($B6=yes,$B6=yes),'5-2 Prim metal'!X6, IF(OR($B6=no,$B6=no),"-", IF($B6=que,que, pres)))</f>
        <v>Presente?</v>
      </c>
      <c r="I6" s="279" t="str">
        <f>IF(OR($B6=yes,$B6=yes),'5-2 Prim metal'!Y6, IF(OR($B6=no,$B6=no),"-", IF($B6=que,que, pres)))</f>
        <v>Presente?</v>
      </c>
      <c r="J6" s="279" t="str">
        <f>IF(OR($B6=yes,$B6=yes),'5-2 Prim metal'!Z6, IF(OR($B6=no,$B6=no),"-", IF($B6=que,que, pres)))</f>
        <v>Presente?</v>
      </c>
      <c r="K6" s="279" t="str">
        <f>IF(OR($B6=yes,$B6=yes),'5-2 Prim metal'!AA6, IF(OR($B6=no,$B6=no),"-", IF($B6=que,que, pres)))</f>
        <v>Presente?</v>
      </c>
      <c r="L6" s="273" t="s">
        <v>163</v>
      </c>
      <c r="M6" s="468"/>
      <c r="N6" s="340" t="str">
        <f>INDEX('Range-thresholds'!$G$6:$G$72,MATCH(A6,'Range-thresholds'!$A$6:$A$72,0))</f>
        <v/>
      </c>
    </row>
    <row r="7" spans="1:14">
      <c r="A7" s="663" t="s">
        <v>813</v>
      </c>
      <c r="B7" s="390"/>
      <c r="C7" s="380"/>
      <c r="D7" s="687" t="s">
        <v>825</v>
      </c>
      <c r="E7" s="465" t="str">
        <f>IF(OR($B7=yes,$B7=yes),'5-2 Prim metal'!K15, IF(OR($B7=no,$B7=no),"-", IF($B7=que,que, pres)))</f>
        <v>Presente?</v>
      </c>
      <c r="F7" s="279" t="str">
        <f>IF(OR($B7=yes,$B7=yes),'5-2 Prim metal'!V13, IF(OR($B7=no,$B7=no),"-", IF($B7=que,que, pres)))</f>
        <v>Presente?</v>
      </c>
      <c r="G7" s="279" t="str">
        <f>IF(OR($B7=yes,$B7=yes),'5-2 Prim metal'!W13, IF(OR($B7=no,$B7=no),"-", IF($B7=que,que, pres)))</f>
        <v>Presente?</v>
      </c>
      <c r="H7" s="279" t="str">
        <f>IF(OR($B7=yes,$B7=yes),'5-2 Prim metal'!X13, IF(OR($B7=no,$B7=no),"-", IF($B7=que,que, pres)))</f>
        <v>Presente?</v>
      </c>
      <c r="I7" s="279" t="str">
        <f>IF(OR($B7=yes,$B7=yes),'5-2 Prim metal'!Y13, IF(OR($B7=no,$B7=no),"-", IF($B7=que,que, pres)))</f>
        <v>Presente?</v>
      </c>
      <c r="J7" s="279" t="str">
        <f>IF(OR($B7=yes,$B7=yes),'5-2 Prim metal'!Z13, IF(OR($B7=no,$B7=no),"-", IF($B7=que,que, pres)))</f>
        <v>Presente?</v>
      </c>
      <c r="K7" s="279" t="str">
        <f>IF(OR($B7=yes,$B7=yes),'5-2 Prim metal'!AA13, IF(OR($B7=no,$B7=no),"-", IF($B7=que,que, pres)))</f>
        <v>Presente?</v>
      </c>
      <c r="L7" s="273" t="s">
        <v>373</v>
      </c>
      <c r="M7" s="468"/>
      <c r="N7" s="340" t="str">
        <f>INDEX('Range-thresholds'!$G$6:$G$72,MATCH(A7,'Range-thresholds'!$A$6:$A$72,0))</f>
        <v/>
      </c>
    </row>
    <row r="8" spans="1:14" ht="25.5">
      <c r="A8" s="663" t="s">
        <v>814</v>
      </c>
      <c r="B8" s="390"/>
      <c r="C8" s="380"/>
      <c r="D8" s="687" t="s">
        <v>825</v>
      </c>
      <c r="E8" s="465" t="str">
        <f>IF(OR($B8=yes,$B8=yes),'5-2 Prim metal'!K19, IF(OR($B8=no,$B8=no),"-", IF($B8=que,que, pres)))</f>
        <v>Presente?</v>
      </c>
      <c r="F8" s="279" t="str">
        <f>IF(OR($B8=yes,$B8=yes),'5-2 Prim metal'!V19, IF(OR($B8=no,$B8=no),"-", IF($B8=que,que, pres)))</f>
        <v>Presente?</v>
      </c>
      <c r="G8" s="279" t="str">
        <f>IF(OR($B8=yes,$B8=yes),'5-2 Prim metal'!W19, IF(OR($B8=no,$B8=no),"-", IF($B8=que,que, pres)))</f>
        <v>Presente?</v>
      </c>
      <c r="H8" s="279" t="str">
        <f>IF(OR($B8=yes,$B8=yes),'5-2 Prim metal'!X19, IF(OR($B8=no,$B8=no),"-", IF($B8=que,que, pres)))</f>
        <v>Presente?</v>
      </c>
      <c r="I8" s="279" t="str">
        <f>IF(OR($B8=yes,$B8=yes),'5-2 Prim metal'!Y19, IF(OR($B8=no,$B8=no),"-", IF($B8=que,que, pres)))</f>
        <v>Presente?</v>
      </c>
      <c r="J8" s="279" t="str">
        <f>IF(OR($B8=yes,$B8=yes),'5-2 Prim metal'!Z19, IF(OR($B8=no,$B8=no),"-", IF($B8=que,que, pres)))</f>
        <v>Presente?</v>
      </c>
      <c r="K8" s="279" t="str">
        <f>IF(OR($B8=yes,$B8=yes),'5-2 Prim metal'!AA19, IF(OR($B8=no,$B8=no),"-", IF($B8=que,que, pres)))</f>
        <v>Presente?</v>
      </c>
      <c r="L8" s="273" t="s">
        <v>374</v>
      </c>
      <c r="M8" s="468"/>
      <c r="N8" s="340" t="str">
        <f>INDEX('Range-thresholds'!$G$6:$G$72,MATCH(A8,'Range-thresholds'!$A$6:$A$72,0))</f>
        <v/>
      </c>
    </row>
    <row r="9" spans="1:14" ht="25.5">
      <c r="A9" s="663" t="s">
        <v>815</v>
      </c>
      <c r="B9" s="390"/>
      <c r="C9" s="380"/>
      <c r="D9" s="687" t="s">
        <v>825</v>
      </c>
      <c r="E9" s="465" t="str">
        <f>IF(OR($B9=yes,$B9=yes),'5-2 Prim metal'!K23, IF(OR($B9=no,$B9=no),"-", IF($B9=que,que, pres)))</f>
        <v>Presente?</v>
      </c>
      <c r="F9" s="279" t="str">
        <f>IF(OR($B9=yes,$B9=yes),'5-2 Prim metal'!V21, IF(OR($B9=no,$B9=no),"-", IF($B9=que,que, pres)))</f>
        <v>Presente?</v>
      </c>
      <c r="G9" s="279" t="str">
        <f>IF(OR($B9=yes,$B9=yes),'5-2 Prim metal'!W21, IF(OR($B9=no,$B9=no),"-", IF($B9=que,que, pres)))</f>
        <v>Presente?</v>
      </c>
      <c r="H9" s="279" t="str">
        <f>IF(OR($B9=yes,$B9=yes),'5-2 Prim metal'!X21, IF(OR($B9=no,$B9=no),"-", IF($B9=que,que, pres)))</f>
        <v>Presente?</v>
      </c>
      <c r="I9" s="279" t="str">
        <f>IF(OR($B9=yes,$B9=yes),'5-2 Prim metal'!Y21, IF(OR($B9=no,$B9=no),"-", IF($B9=que,que, pres)))</f>
        <v>Presente?</v>
      </c>
      <c r="J9" s="279" t="str">
        <f>IF(OR($B9=yes,$B9=yes),'5-2 Prim metal'!Z21, IF(OR($B9=no,$B9=no),"-", IF($B9=que,que, pres)))</f>
        <v>Presente?</v>
      </c>
      <c r="K9" s="279" t="str">
        <f>IF(OR($B9=yes,$B9=yes),'5-2 Prim metal'!AA21, IF(OR($B9=no,$B9=no),"-", IF($B9=que,que, pres)))</f>
        <v>Presente?</v>
      </c>
      <c r="L9" s="273" t="s">
        <v>375</v>
      </c>
      <c r="M9" s="468"/>
      <c r="N9" s="340" t="str">
        <f>INDEX('Range-thresholds'!$G$6:$G$72,MATCH(A9,'Range-thresholds'!$A$6:$A$72,0))</f>
        <v/>
      </c>
    </row>
    <row r="10" spans="1:14" ht="25.5">
      <c r="A10" s="663" t="s">
        <v>816</v>
      </c>
      <c r="B10" s="390"/>
      <c r="C10" s="380"/>
      <c r="D10" s="687" t="s">
        <v>826</v>
      </c>
      <c r="E10" s="465" t="str">
        <f>IF(OR($B10=yes,$B10=yes),'5-2 Prim metal'!K25, IF(OR($B10=no,$B10=no),"-", IF($B10=que,que, pres)))</f>
        <v>Presente?</v>
      </c>
      <c r="F10" s="279" t="str">
        <f>IF(OR($B10=yes,$B10=yes),'5-2 Prim metal'!V25, IF(OR($B10=no,$B10=no),"-", IF($B10=que,que, pres)))</f>
        <v>Presente?</v>
      </c>
      <c r="G10" s="279" t="str">
        <f>IF(OR($B10=yes,$B10=yes),'5-2 Prim metal'!W25, IF(OR($B10=no,$B10=no),"-", IF($B10=que,que, pres)))</f>
        <v>Presente?</v>
      </c>
      <c r="H10" s="279" t="str">
        <f>IF(OR($B10=yes,$B10=yes),'5-2 Prim metal'!X25, IF(OR($B10=no,$B10=no),"-", IF($B10=que,que, pres)))</f>
        <v>Presente?</v>
      </c>
      <c r="I10" s="279" t="str">
        <f>IF(OR($B10=yes,$B10=yes),'5-2 Prim metal'!Y25, IF(OR($B10=no,$B10=no),"-", IF($B10=que,que, pres)))</f>
        <v>Presente?</v>
      </c>
      <c r="J10" s="279" t="str">
        <f>IF(OR($B10=yes,$B10=yes),'5-2 Prim metal'!Z25, IF(OR($B10=no,$B10=no),"-", IF($B10=que,que, pres)))</f>
        <v>Presente?</v>
      </c>
      <c r="K10" s="279" t="str">
        <f>IF(OR($B10=yes,$B10=yes),'5-2 Prim metal'!AA25, IF(OR($B10=no,$B10=no),"-", IF($B10=que,que, pres)))</f>
        <v>Presente?</v>
      </c>
      <c r="L10" s="273" t="s">
        <v>376</v>
      </c>
      <c r="M10" s="468"/>
      <c r="N10" s="340" t="str">
        <f>INDEX('Range-thresholds'!$G$6:$G$72,MATCH(A10,'Range-thresholds'!$A$6:$A$72,0))</f>
        <v/>
      </c>
    </row>
    <row r="11" spans="1:14" ht="25.5">
      <c r="A11" s="663" t="s">
        <v>817</v>
      </c>
      <c r="B11" s="390"/>
      <c r="C11" s="380"/>
      <c r="D11" s="687" t="s">
        <v>831</v>
      </c>
      <c r="E11" s="465" t="str">
        <f>IF(OR($B11=yes,$B11=yes),'5-2 Prim metal'!K28, IF(OR($B11=no,$B11=no),"-", IF($B11=que,que, pres)))</f>
        <v>Presente?</v>
      </c>
      <c r="F11" s="279" t="str">
        <f>IF(OR($B11=yes,$B11=yes),'5-2 Prim metal'!V28, IF(OR($B11=no,$B11=no),"-", IF($B11=que,que, pres)))</f>
        <v>Presente?</v>
      </c>
      <c r="G11" s="279" t="str">
        <f>IF(OR($B11=yes,$B11=yes),'5-2 Prim metal'!W28, IF(OR($B11=no,$B11=no),"-", IF($B11=que,que, pres)))</f>
        <v>Presente?</v>
      </c>
      <c r="H11" s="279" t="str">
        <f>IF(OR($B11=yes,$B11=yes),'5-2 Prim metal'!X28, IF(OR($B11=no,$B11=no),"-", IF($B11=que,que, pres)))</f>
        <v>Presente?</v>
      </c>
      <c r="I11" s="279" t="str">
        <f>IF(OR($B11=yes,$B11=yes),'5-2 Prim metal'!Y28, IF(OR($B11=no,$B11=no),"-", IF($B11=que,que, pres)))</f>
        <v>Presente?</v>
      </c>
      <c r="J11" s="279" t="str">
        <f>IF(OR($B11=yes,$B11=yes),'5-2 Prim metal'!Z28, IF(OR($B11=no,$B11=no),"-", IF($B11=que,que, pres)))</f>
        <v>Presente?</v>
      </c>
      <c r="K11" s="279" t="str">
        <f>IF(OR($B11=yes,$B11=yes),'5-2 Prim metal'!AA28, IF(OR($B11=no,$B11=no),"-", IF($B11=que,que, pres)))</f>
        <v>Presente?</v>
      </c>
      <c r="L11" s="273" t="s">
        <v>377</v>
      </c>
      <c r="M11" s="468"/>
      <c r="N11" s="340" t="str">
        <f>INDEX('Range-thresholds'!$G$6:$G$72,MATCH(A11,'Range-thresholds'!$A$6:$A$72,0))</f>
        <v/>
      </c>
    </row>
    <row r="12" spans="1:14" ht="25.5">
      <c r="A12" s="663" t="s">
        <v>818</v>
      </c>
      <c r="B12" s="390"/>
      <c r="C12" s="380"/>
      <c r="D12" s="687" t="s">
        <v>827</v>
      </c>
      <c r="E12" s="465" t="str">
        <f>IF(OR($B12=yes,$B12=yes),'5-2 Prim metal'!K33, IF(OR($B12=no,$B12=no),"-", IF($B12=que,que, pres)))</f>
        <v>Presente?</v>
      </c>
      <c r="F12" s="279" t="str">
        <f>IF(OR($B12=yes,$B12=yes),'5-2 Prim metal'!V33, IF(OR($B12=no,$B12=no),"-", IF($B12=que,que, pres)))</f>
        <v>Presente?</v>
      </c>
      <c r="G12" s="279" t="str">
        <f>IF(OR($B12=yes,$B12=yes),'5-2 Prim metal'!W33, IF(OR($B12=no,$B12=no),"-", IF($B12=que,que, pres)))</f>
        <v>Presente?</v>
      </c>
      <c r="H12" s="279" t="str">
        <f>IF(OR($B12=yes,$B12=yes),'5-2 Prim metal'!X33, IF(OR($B12=no,$B12=no),"-", IF($B12=que,que, pres)))</f>
        <v>Presente?</v>
      </c>
      <c r="I12" s="279" t="str">
        <f>IF(OR($B12=yes,$B12=yes),'5-2 Prim metal'!Y33, IF(OR($B12=no,$B12=no),"-", IF($B12=que,que, pres)))</f>
        <v>Presente?</v>
      </c>
      <c r="J12" s="279" t="str">
        <f>IF(OR($B12=yes,$B12=yes),'5-2 Prim metal'!Z33, IF(OR($B12=no,$B12=no),"-", IF($B12=que,que, pres)))</f>
        <v>Presente?</v>
      </c>
      <c r="K12" s="279" t="str">
        <f>IF(OR($B12=yes,$B12=yes),'5-2 Prim metal'!AA33, IF(OR($B12=no,$B12=no),"-", IF($B12=que,que, pres)))</f>
        <v>Presente?</v>
      </c>
      <c r="L12" s="273" t="s">
        <v>378</v>
      </c>
      <c r="M12" s="468"/>
      <c r="N12" s="340" t="str">
        <f>INDEX('Range-thresholds'!$G$6:$G$72,MATCH(A12,'Range-thresholds'!$A$6:$A$72,0))</f>
        <v/>
      </c>
    </row>
    <row r="13" spans="1:14" ht="25.5">
      <c r="A13" s="663" t="s">
        <v>819</v>
      </c>
      <c r="B13" s="654"/>
      <c r="C13" s="380"/>
      <c r="D13" s="687" t="s">
        <v>828</v>
      </c>
      <c r="E13" s="465" t="str">
        <f>IF(OR($B13=yes,$B13=yes),SUM('5-2 Prim metal'!K9:K10), IF(OR($B13=no,$B13=no),"-", IF($B13=que,que, pres)))</f>
        <v>Presente?</v>
      </c>
      <c r="F13" s="279" t="str">
        <f>IF(OR($B13=yes,$B13=yes),SUM('5-2 Prim metal'!V9:V10), IF(OR($B13=no,$B13=no),"-", IF($B13=que,que, pres)))</f>
        <v>Presente?</v>
      </c>
      <c r="G13" s="279" t="str">
        <f>IF(OR($B13=yes,$B13=yes),SUM('5-2 Prim metal'!W9:W10), IF(OR($B13=no,$B13=no),"-", IF($B13=que,que, pres)))</f>
        <v>Presente?</v>
      </c>
      <c r="H13" s="279" t="str">
        <f>IF(OR($B13=yes,$B13=yes),SUM('5-2 Prim metal'!X9:X10), IF(OR($B13=no,$B13=no),"-", IF($B13=que,que, pres)))</f>
        <v>Presente?</v>
      </c>
      <c r="I13" s="279" t="str">
        <f>IF(OR($B13=yes,$B13=yes),SUM('5-2 Prim metal'!Y9:Y10), IF(OR($B13=no,$B13=no),"-", IF($B13=que,que, pres)))</f>
        <v>Presente?</v>
      </c>
      <c r="J13" s="279" t="str">
        <f>IF(OR($B13=yes,$B13=yes),SUM('5-2 Prim metal'!Z9:Z10), IF(OR($B13=no,$B13=no),"-", IF($B13=que,que, pres)))</f>
        <v>Presente?</v>
      </c>
      <c r="K13" s="279" t="str">
        <f>IF(OR($B13=yes,$B13=yes),SUM('5-2 Prim metal'!AA9:AA10), IF(OR($B13=no,$B13=no),"-", IF($B13=que,que, pres)))</f>
        <v>Presente?</v>
      </c>
      <c r="L13" s="273" t="s">
        <v>164</v>
      </c>
      <c r="M13" s="468"/>
      <c r="N13" s="340" t="str">
        <f>INDEX('Range-thresholds'!$G$6:$G$72,MATCH(A13,'Range-thresholds'!$A$6:$A$72,0))</f>
        <v/>
      </c>
    </row>
    <row r="14" spans="1:14" ht="25.5">
      <c r="A14" s="663" t="s">
        <v>820</v>
      </c>
      <c r="B14" s="654"/>
      <c r="C14" s="380"/>
      <c r="D14" s="687" t="s">
        <v>828</v>
      </c>
      <c r="E14" s="465" t="str">
        <f>IF(OR($B14=yes,$B14=yes),'5-2 Prim metal'!K11, IF(OR($B14=no,$B14=no),"-", IF($B14=que,que, pres)))</f>
        <v>Presente?</v>
      </c>
      <c r="F14" s="279" t="str">
        <f>IF(OR($B14=yes,$B14=yes),'5-2 Prim metal'!V11, IF(OR($B14=no,$B14=no),"-", IF($B14=que,que, pres)))</f>
        <v>Presente?</v>
      </c>
      <c r="G14" s="279" t="str">
        <f>IF(OR($B14=yes,$B14=yes),'5-2 Prim metal'!W11, IF(OR($B14=no,$B14=no),"-", IF($B14=que,que, pres)))</f>
        <v>Presente?</v>
      </c>
      <c r="H14" s="279" t="str">
        <f>IF(OR($B14=yes,$B14=yes),'5-2 Prim metal'!X11, IF(OR($B14=no,$B14=no),"-", IF($B14=que,que, pres)))</f>
        <v>Presente?</v>
      </c>
      <c r="I14" s="279" t="str">
        <f>IF(OR($B14=yes,$B14=yes),'5-2 Prim metal'!Y11, IF(OR($B14=no,$B14=no),"-", IF($B14=que,que, pres)))</f>
        <v>Presente?</v>
      </c>
      <c r="J14" s="279" t="str">
        <f>IF(OR($B14=yes,$B14=yes),'5-2 Prim metal'!Z11, IF(OR($B14=no,$B14=no),"-", IF($B14=que,que, pres)))</f>
        <v>Presente?</v>
      </c>
      <c r="K14" s="279" t="str">
        <f>IF(OR($B14=yes,$B14=yes),'5-2 Prim metal'!AA11, IF(OR($B14=no,$B14=no),"-", IF($B14=que,que, pres)))</f>
        <v>Presente?</v>
      </c>
      <c r="L14" s="273" t="s">
        <v>164</v>
      </c>
      <c r="M14" s="468"/>
      <c r="N14" s="340" t="str">
        <f>INDEX('Range-thresholds'!$G$6:$G$72,MATCH(A14,'Range-thresholds'!$A$6:$A$72,0))</f>
        <v/>
      </c>
    </row>
    <row r="15" spans="1:14">
      <c r="A15" s="660" t="s">
        <v>821</v>
      </c>
      <c r="B15" s="391"/>
      <c r="C15" s="380"/>
      <c r="D15" s="687"/>
      <c r="E15" s="465"/>
      <c r="F15" s="279"/>
      <c r="G15" s="279"/>
      <c r="H15" s="279"/>
      <c r="I15" s="279"/>
      <c r="J15" s="279"/>
      <c r="K15" s="279"/>
      <c r="L15" s="272"/>
      <c r="M15" s="468"/>
    </row>
    <row r="16" spans="1:14">
      <c r="A16" s="663" t="s">
        <v>822</v>
      </c>
      <c r="B16" s="390"/>
      <c r="C16" s="380"/>
      <c r="D16" s="687" t="s">
        <v>829</v>
      </c>
      <c r="E16" s="465" t="str">
        <f>IF(OR($B16=yes,$B16=yes),'5-3 Other min + mat'!K6, IF(OR($B16=no,$B16=no),"-", IF($B16=que,que, pres)))</f>
        <v>Presente?</v>
      </c>
      <c r="F16" s="279" t="str">
        <f>IF(OR($B16=yes,$B16=yes),'5-3 Other min + mat'!V6, IF(OR($B16=no,$B16=no),"-", IF($B16=que,que, pres)))</f>
        <v>Presente?</v>
      </c>
      <c r="G16" s="279" t="str">
        <f>IF(OR($B16=yes,$B16=yes),'5-3 Other min + mat'!W6, IF(OR($B16=no,$B16=no),"-", IF($B16=que,que, pres)))</f>
        <v>Presente?</v>
      </c>
      <c r="H16" s="279" t="str">
        <f>IF(OR($B16=yes,$B16=yes),'5-3 Other min + mat'!X6, IF(OR($B16=no,$B16=no),"-", IF($B16=que,que, pres)))</f>
        <v>Presente?</v>
      </c>
      <c r="I16" s="279" t="str">
        <f>IF(OR($B16=yes,$B16=yes),'5-3 Other min + mat'!Y6, IF(OR($B16=no,$B16=no),"-", IF($B16=que,que, pres)))</f>
        <v>Presente?</v>
      </c>
      <c r="J16" s="279" t="str">
        <f>IF(OR($B16=yes,$B16=yes),'5-3 Other min + mat'!Z6, IF(OR($B16=no,$B16=no),"-", IF($B16=que,que, pres)))</f>
        <v>Presente?</v>
      </c>
      <c r="K16" s="279" t="str">
        <f>IF(OR($B16=yes,$B16=yes),'5-3 Other min + mat'!AA6, IF(OR($B16=no,$B16=no),"-", IF($B16=que,que, pres)))</f>
        <v>Presente?</v>
      </c>
      <c r="L16" s="273" t="s">
        <v>196</v>
      </c>
      <c r="M16" s="468"/>
      <c r="N16" s="340" t="str">
        <f>INDEX('Range-thresholds'!$G$6:$G$72,MATCH(A16,'Range-thresholds'!$A$6:$A$72,0))</f>
        <v/>
      </c>
    </row>
    <row r="17" spans="1:14" ht="13.5" thickBot="1">
      <c r="A17" s="663" t="s">
        <v>823</v>
      </c>
      <c r="B17" s="366"/>
      <c r="C17" s="402"/>
      <c r="D17" s="687" t="s">
        <v>830</v>
      </c>
      <c r="E17" s="465" t="str">
        <f>IF(OR($B17=yes,$B17=yes),'5-3 Other min + mat'!K11, IF(OR($B17=no,$B17=no),"-", IF($B17=que,que, pres)))</f>
        <v>Presente?</v>
      </c>
      <c r="F17" s="279" t="str">
        <f>IF(OR($B17=yes,$B17=yes),'5-3 Other min + mat'!V11, IF(OR($B17=no,$B17=no),"-", IF($B17=que,que, pres)))</f>
        <v>Presente?</v>
      </c>
      <c r="G17" s="279" t="str">
        <f>IF(OR($B17=yes,$B17=yes),'5-3 Other min + mat'!W11, IF(OR($B17=no,$B17=no),"-", IF($B17=que,que, pres)))</f>
        <v>Presente?</v>
      </c>
      <c r="H17" s="279" t="str">
        <f>IF(OR($B17=yes,$B17=yes),'5-3 Other min + mat'!X11, IF(OR($B17=no,$B17=no),"-", IF($B17=que,que, pres)))</f>
        <v>Presente?</v>
      </c>
      <c r="I17" s="279" t="str">
        <f>IF(OR($B17=yes,$B17=yes),'5-3 Other min + mat'!Y11, IF(OR($B17=no,$B17=no),"-", IF($B17=que,que, pres)))</f>
        <v>Presente?</v>
      </c>
      <c r="J17" s="279" t="str">
        <f>IF(OR($B17=yes,$B17=yes),'5-3 Other min + mat'!Z11, IF(OR($B17=no,$B17=no),"-", IF($B17=que,que, pres)))</f>
        <v>Presente?</v>
      </c>
      <c r="K17" s="279" t="str">
        <f>IF(OR($B17=yes,$B17=yes),'5-3 Other min + mat'!AA11, IF(OR($B17=no,$B17=no),"-", IF($B17=que,que, pres)))</f>
        <v>Presente?</v>
      </c>
      <c r="L17" s="273" t="s">
        <v>197</v>
      </c>
      <c r="M17" s="468"/>
      <c r="N17" s="340" t="str">
        <f>INDEX('Range-thresholds'!$G$6:$G$72,MATCH(A17,'Range-thresholds'!$A$6:$A$72,0))</f>
        <v/>
      </c>
    </row>
    <row r="20" spans="1:14">
      <c r="A20" s="623" t="s">
        <v>748</v>
      </c>
    </row>
    <row r="21" spans="1:14">
      <c r="A21" s="623"/>
    </row>
  </sheetData>
  <mergeCells count="2">
    <mergeCell ref="F3:K3"/>
    <mergeCell ref="A2:L2"/>
  </mergeCells>
  <conditionalFormatting sqref="A2">
    <cfRule type="expression" dxfId="17" priority="5" stopIfTrue="1">
      <formula>$A$2&lt;&gt;""</formula>
    </cfRule>
  </conditionalFormatting>
  <conditionalFormatting sqref="E6:E17">
    <cfRule type="expression" dxfId="16" priority="7" stopIfTrue="1">
      <formula>AND(B6="y",N6="n")</formula>
    </cfRule>
  </conditionalFormatting>
  <dataValidations count="2">
    <dataValidation type="decimal" allowBlank="1" showInputMessage="1" showErrorMessage="1" errorTitle="Input error" error="Use digits and decimal mark only." promptTitle="Input cell" prompt="Use digits and decimal mark only." sqref="C6:C14 C16:C17">
      <formula1>-9.99999999999999E+22</formula1>
      <formula2>9.99999999999999E+22</formula2>
    </dataValidation>
    <dataValidation type="list" allowBlank="1" showInputMessage="1" showErrorMessage="1" errorTitle="Input error" error="Enter only y, n or ? (or translation of these)" sqref="B6:B17">
      <formula1>yn?</formula1>
    </dataValidation>
  </dataValidations>
  <pageMargins left="0.39370078740157483" right="0.39370078740157483" top="0.74803149606299213" bottom="0.74803149606299213" header="0.31496062992125984" footer="0.31496062992125984"/>
  <pageSetup paperSize="9" scale="83" orientation="landscape" r:id="rId1"/>
  <headerFooter>
    <oddFooter>&amp;L&amp;APrinted &amp;D</oddFooter>
  </headerFooter>
  <extLst>
    <ext xmlns:x14="http://schemas.microsoft.com/office/spreadsheetml/2009/9/main" uri="{78C0D931-6437-407d-A8EE-F0AAD7539E65}">
      <x14:conditionalFormattings>
        <x14:conditionalFormatting xmlns:xm="http://schemas.microsoft.com/office/excel/2006/main">
          <x14:cfRule type="expression" priority="1" id="{A0FFF478-3E03-489F-AA30-8F390A41034B}">
            <xm:f>'Insert IL2 results'!#REF!&lt;&gt;""</xm:f>
            <x14:dxf>
              <font>
                <color rgb="FFFF0000"/>
              </font>
            </x14:dxf>
          </x14:cfRule>
          <xm:sqref>A20</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38"/>
  <sheetViews>
    <sheetView topLeftCell="I1" workbookViewId="0">
      <selection activeCell="O9" sqref="O9"/>
    </sheetView>
  </sheetViews>
  <sheetFormatPr defaultRowHeight="12.75"/>
  <cols>
    <col min="1" max="1" width="3" customWidth="1"/>
    <col min="2" max="2" width="6.140625" customWidth="1"/>
    <col min="3" max="3" width="36.28515625" customWidth="1"/>
    <col min="4" max="4" width="7.28515625" customWidth="1"/>
    <col min="5" max="5" width="9.28515625" customWidth="1"/>
    <col min="6" max="6" width="21" customWidth="1"/>
    <col min="7" max="7" width="10.28515625" customWidth="1"/>
    <col min="8" max="8" width="19.140625" customWidth="1"/>
    <col min="9" max="9" width="12.5703125" style="242" customWidth="1"/>
    <col min="10" max="10" width="17.7109375" customWidth="1"/>
    <col min="11" max="11" width="12.28515625" style="242" customWidth="1"/>
    <col min="12" max="12" width="11.5703125" customWidth="1"/>
    <col min="13" max="13" width="17.42578125" style="13" customWidth="1"/>
    <col min="14" max="14" width="9.140625" style="242"/>
    <col min="15" max="15" width="10.85546875" customWidth="1"/>
    <col min="16" max="16" width="6.42578125" customWidth="1"/>
    <col min="17" max="18" width="7.5703125" customWidth="1"/>
    <col min="19" max="19" width="9.7109375" customWidth="1"/>
    <col min="20" max="20" width="8.5703125" customWidth="1"/>
    <col min="21" max="21" width="18.7109375" customWidth="1"/>
    <col min="22" max="22" width="12.5703125" customWidth="1"/>
    <col min="24" max="24" width="9.7109375" customWidth="1"/>
    <col min="25" max="25" width="11.140625" customWidth="1"/>
    <col min="26" max="26" width="11.5703125" customWidth="1"/>
    <col min="27" max="27" width="17" customWidth="1"/>
    <col min="28" max="28" width="42.28515625" customWidth="1"/>
  </cols>
  <sheetData>
    <row r="1" spans="1:28" ht="18">
      <c r="A1" s="1" t="s">
        <v>34</v>
      </c>
      <c r="I1" s="232"/>
      <c r="K1" s="232"/>
      <c r="L1" s="48"/>
      <c r="M1" s="48"/>
      <c r="N1" s="232"/>
    </row>
    <row r="2" spans="1:28" ht="15">
      <c r="A2" s="54" t="s">
        <v>322</v>
      </c>
      <c r="I2" s="232"/>
      <c r="K2" s="232"/>
      <c r="L2" s="48"/>
      <c r="M2" s="48"/>
      <c r="N2" s="232"/>
    </row>
    <row r="3" spans="1:28">
      <c r="D3" s="3"/>
      <c r="E3" s="3"/>
      <c r="F3" s="3"/>
      <c r="G3" s="3"/>
      <c r="H3" s="3"/>
      <c r="I3" s="233"/>
      <c r="J3" s="3"/>
      <c r="K3" s="233"/>
      <c r="L3" s="104"/>
      <c r="M3" s="104"/>
      <c r="N3" s="233"/>
      <c r="O3" s="3"/>
      <c r="P3" s="65" t="s">
        <v>55</v>
      </c>
      <c r="Q3" s="2"/>
      <c r="R3" s="2"/>
      <c r="S3" s="2"/>
      <c r="T3" s="2"/>
      <c r="U3" s="2"/>
      <c r="V3" s="10" t="s">
        <v>54</v>
      </c>
      <c r="W3" s="4"/>
      <c r="X3" s="4"/>
      <c r="Y3" s="4"/>
      <c r="Z3" s="4"/>
      <c r="AA3" s="4"/>
      <c r="AB3" s="2"/>
    </row>
    <row r="4" spans="1:28" s="123" customFormat="1" ht="38.25">
      <c r="A4" s="123" t="s">
        <v>52</v>
      </c>
      <c r="B4" s="123" t="s">
        <v>50</v>
      </c>
      <c r="C4" s="140" t="s">
        <v>59</v>
      </c>
      <c r="D4" s="112" t="s">
        <v>159</v>
      </c>
      <c r="E4" s="141" t="s">
        <v>49</v>
      </c>
      <c r="F4" s="142" t="s">
        <v>35</v>
      </c>
      <c r="G4" s="112" t="s">
        <v>37</v>
      </c>
      <c r="H4" s="143" t="s">
        <v>35</v>
      </c>
      <c r="I4" s="247" t="s">
        <v>51</v>
      </c>
      <c r="J4" s="144" t="s">
        <v>35</v>
      </c>
      <c r="K4" s="243" t="s">
        <v>61</v>
      </c>
      <c r="L4" s="156" t="s">
        <v>35</v>
      </c>
      <c r="M4" s="157" t="s">
        <v>289</v>
      </c>
      <c r="N4" s="247" t="s">
        <v>94</v>
      </c>
      <c r="O4" s="145" t="s">
        <v>35</v>
      </c>
      <c r="P4" s="147" t="s">
        <v>38</v>
      </c>
      <c r="Q4" s="147" t="s">
        <v>39</v>
      </c>
      <c r="R4" s="147" t="s">
        <v>40</v>
      </c>
      <c r="S4" s="147" t="s">
        <v>41</v>
      </c>
      <c r="T4" s="148" t="s">
        <v>42</v>
      </c>
      <c r="U4" s="148" t="s">
        <v>237</v>
      </c>
      <c r="V4" s="56" t="s">
        <v>38</v>
      </c>
      <c r="W4" s="56" t="s">
        <v>39</v>
      </c>
      <c r="X4" s="56" t="s">
        <v>40</v>
      </c>
      <c r="Y4" s="56" t="s">
        <v>41</v>
      </c>
      <c r="Z4" s="57" t="s">
        <v>42</v>
      </c>
      <c r="AA4" s="57" t="s">
        <v>237</v>
      </c>
      <c r="AB4" s="111" t="s">
        <v>89</v>
      </c>
    </row>
    <row r="5" spans="1:28" s="129" customFormat="1" ht="25.5">
      <c r="A5" s="129" t="s">
        <v>162</v>
      </c>
      <c r="C5" s="134" t="s">
        <v>325</v>
      </c>
      <c r="D5" s="111"/>
      <c r="F5" s="128"/>
      <c r="G5" s="76"/>
      <c r="H5" s="128"/>
      <c r="I5" s="249"/>
      <c r="K5" s="237"/>
      <c r="L5" s="128"/>
      <c r="M5" s="135"/>
      <c r="N5" s="249"/>
      <c r="O5" s="128"/>
      <c r="P5" s="127"/>
      <c r="Q5" s="127"/>
      <c r="R5" s="127"/>
      <c r="S5" s="127"/>
      <c r="T5" s="127"/>
      <c r="U5" s="127"/>
      <c r="V5" s="58"/>
      <c r="W5" s="58"/>
      <c r="X5" s="58"/>
      <c r="Y5" s="58"/>
      <c r="Z5" s="58"/>
      <c r="AA5" s="58"/>
      <c r="AB5" s="76"/>
    </row>
    <row r="6" spans="1:28" ht="25.5">
      <c r="B6" t="s">
        <v>163</v>
      </c>
      <c r="C6" s="12" t="s">
        <v>167</v>
      </c>
      <c r="D6" s="120"/>
      <c r="E6" s="340" t="s">
        <v>444</v>
      </c>
      <c r="F6" s="3" t="s">
        <v>432</v>
      </c>
      <c r="G6" s="339">
        <v>1030</v>
      </c>
      <c r="H6" s="3" t="s">
        <v>432</v>
      </c>
      <c r="I6" s="252">
        <f>'Passo3-Metais-MatPrima'!C6</f>
        <v>0</v>
      </c>
      <c r="J6" s="277" t="s">
        <v>393</v>
      </c>
      <c r="K6" s="234">
        <f>I6*G6</f>
        <v>0</v>
      </c>
      <c r="L6" s="3" t="s">
        <v>36</v>
      </c>
      <c r="M6" s="14"/>
      <c r="N6" s="248">
        <f>K6</f>
        <v>0</v>
      </c>
      <c r="O6" s="3" t="s">
        <v>36</v>
      </c>
      <c r="P6" s="344">
        <f>0.25*(G6-1000)/G6</f>
        <v>7.2815533980582527E-3</v>
      </c>
      <c r="Q6" s="344">
        <f>0.06*(G6-1000)/G6</f>
        <v>1.7475728155339804E-3</v>
      </c>
      <c r="R6" s="344">
        <f>0.69*(G6-1000)/G6</f>
        <v>2.0097087378640775E-2</v>
      </c>
      <c r="S6" s="344"/>
      <c r="T6" s="344"/>
      <c r="U6" s="344"/>
      <c r="V6" s="133">
        <f t="shared" ref="V6:AA6" si="0">$N6*P6</f>
        <v>0</v>
      </c>
      <c r="W6" s="133">
        <f t="shared" si="0"/>
        <v>0</v>
      </c>
      <c r="X6" s="133">
        <f t="shared" si="0"/>
        <v>0</v>
      </c>
      <c r="Y6" s="133">
        <f t="shared" si="0"/>
        <v>0</v>
      </c>
      <c r="Z6" s="133">
        <f t="shared" si="0"/>
        <v>0</v>
      </c>
      <c r="AA6" s="133">
        <f t="shared" si="0"/>
        <v>0</v>
      </c>
      <c r="AB6" s="119"/>
    </row>
    <row r="7" spans="1:28" s="55" customFormat="1">
      <c r="C7" s="136"/>
      <c r="D7" s="111"/>
      <c r="E7" s="106"/>
      <c r="F7" s="104"/>
      <c r="G7" s="76"/>
      <c r="H7" s="104"/>
      <c r="I7" s="250"/>
      <c r="K7" s="236"/>
      <c r="L7" s="104"/>
      <c r="M7" s="110"/>
      <c r="N7" s="250"/>
      <c r="O7" s="104"/>
      <c r="P7" s="132"/>
      <c r="Q7" s="132"/>
      <c r="R7" s="132"/>
      <c r="S7" s="132"/>
      <c r="T7" s="132"/>
      <c r="U7" s="132"/>
      <c r="V7" s="116"/>
      <c r="W7" s="116"/>
      <c r="X7" s="116"/>
      <c r="Y7" s="116"/>
      <c r="Z7" s="116"/>
      <c r="AA7" s="116"/>
      <c r="AB7" s="76"/>
    </row>
    <row r="8" spans="1:28" ht="25.5">
      <c r="B8" s="3" t="s">
        <v>164</v>
      </c>
      <c r="C8" s="26" t="s">
        <v>165</v>
      </c>
      <c r="D8" s="120"/>
      <c r="E8" s="6"/>
      <c r="F8" s="3"/>
      <c r="G8" s="119"/>
      <c r="H8" s="3"/>
      <c r="I8" s="252"/>
      <c r="K8" s="244"/>
      <c r="L8" s="3"/>
      <c r="M8" s="33"/>
      <c r="N8" s="252"/>
      <c r="O8" s="3"/>
      <c r="P8" s="132"/>
      <c r="Q8" s="132"/>
      <c r="R8" s="132"/>
      <c r="S8" s="132"/>
      <c r="T8" s="132"/>
      <c r="U8" s="132"/>
      <c r="V8" s="133">
        <f t="shared" ref="V8:AA8" si="1">SUM(V9:V11)</f>
        <v>0</v>
      </c>
      <c r="W8" s="133">
        <f t="shared" si="1"/>
        <v>0</v>
      </c>
      <c r="X8" s="133">
        <f t="shared" si="1"/>
        <v>0</v>
      </c>
      <c r="Y8" s="133">
        <f t="shared" si="1"/>
        <v>0</v>
      </c>
      <c r="Z8" s="133">
        <f t="shared" si="1"/>
        <v>0</v>
      </c>
      <c r="AA8" s="133">
        <f t="shared" si="1"/>
        <v>0</v>
      </c>
      <c r="AB8" s="119"/>
    </row>
    <row r="9" spans="1:28" ht="38.25">
      <c r="B9" s="3"/>
      <c r="C9" s="66" t="s">
        <v>188</v>
      </c>
      <c r="D9" s="76"/>
      <c r="E9" s="11" t="s">
        <v>189</v>
      </c>
      <c r="F9" s="3" t="s">
        <v>190</v>
      </c>
      <c r="G9" s="282">
        <v>3</v>
      </c>
      <c r="H9" s="3" t="s">
        <v>190</v>
      </c>
      <c r="I9" s="250">
        <f>'Passo3-Metais-MatPrima'!$C$13*0.5</f>
        <v>0</v>
      </c>
      <c r="J9" s="3" t="s">
        <v>191</v>
      </c>
      <c r="K9" s="237">
        <f>G9*I9</f>
        <v>0</v>
      </c>
      <c r="L9" s="3" t="s">
        <v>36</v>
      </c>
      <c r="M9" s="33" t="s">
        <v>725</v>
      </c>
      <c r="N9" s="276">
        <f>K9</f>
        <v>0</v>
      </c>
      <c r="O9" s="3" t="s">
        <v>36</v>
      </c>
      <c r="P9" s="344">
        <v>0.25</v>
      </c>
      <c r="Q9" s="344">
        <v>0.4</v>
      </c>
      <c r="R9" s="344">
        <v>0.35</v>
      </c>
      <c r="S9" s="132"/>
      <c r="T9" s="132"/>
      <c r="U9" s="132"/>
      <c r="V9" s="116">
        <f t="shared" ref="V9:AA11" si="2">$N9*P9</f>
        <v>0</v>
      </c>
      <c r="W9" s="116">
        <f>$N9*Q9</f>
        <v>0</v>
      </c>
      <c r="X9" s="116">
        <f>$N9*R9</f>
        <v>0</v>
      </c>
      <c r="Y9" s="116">
        <f>$N9*S9</f>
        <v>0</v>
      </c>
      <c r="Z9" s="116">
        <f>$N9*T9</f>
        <v>0</v>
      </c>
      <c r="AA9" s="116">
        <f>$N9*U9</f>
        <v>0</v>
      </c>
      <c r="AB9" s="76"/>
    </row>
    <row r="10" spans="1:28" ht="38.25">
      <c r="B10" s="3"/>
      <c r="C10" s="66" t="s">
        <v>192</v>
      </c>
      <c r="D10" s="76"/>
      <c r="E10" s="568" t="s">
        <v>724</v>
      </c>
      <c r="F10" s="3" t="s">
        <v>190</v>
      </c>
      <c r="G10" s="337">
        <v>1.3</v>
      </c>
      <c r="H10" s="3" t="s">
        <v>190</v>
      </c>
      <c r="I10" s="250">
        <f>'Passo3-Metais-MatPrima'!$C$13*0.5</f>
        <v>0</v>
      </c>
      <c r="J10" s="3" t="s">
        <v>191</v>
      </c>
      <c r="K10" s="237">
        <f>G10*I10</f>
        <v>0</v>
      </c>
      <c r="L10" s="3" t="s">
        <v>36</v>
      </c>
      <c r="M10" s="33" t="s">
        <v>726</v>
      </c>
      <c r="N10" s="276">
        <f>K10</f>
        <v>0</v>
      </c>
      <c r="O10" s="3" t="s">
        <v>36</v>
      </c>
      <c r="P10" s="344">
        <v>0.75</v>
      </c>
      <c r="Q10" s="344">
        <v>0.13</v>
      </c>
      <c r="R10" s="344">
        <v>0.12</v>
      </c>
      <c r="S10" s="132"/>
      <c r="T10" s="132"/>
      <c r="U10" s="132"/>
      <c r="V10" s="116">
        <f t="shared" si="2"/>
        <v>0</v>
      </c>
      <c r="W10" s="116">
        <f t="shared" si="2"/>
        <v>0</v>
      </c>
      <c r="X10" s="116">
        <f t="shared" si="2"/>
        <v>0</v>
      </c>
      <c r="Y10" s="116">
        <f t="shared" si="2"/>
        <v>0</v>
      </c>
      <c r="Z10" s="116">
        <f t="shared" si="2"/>
        <v>0</v>
      </c>
      <c r="AA10" s="116">
        <f t="shared" si="2"/>
        <v>0</v>
      </c>
      <c r="AB10" s="76"/>
    </row>
    <row r="11" spans="1:28" ht="63.75">
      <c r="B11" s="3"/>
      <c r="C11" s="66" t="s">
        <v>193</v>
      </c>
      <c r="D11" s="76"/>
      <c r="E11" s="568" t="s">
        <v>708</v>
      </c>
      <c r="F11" s="3" t="s">
        <v>190</v>
      </c>
      <c r="G11" s="282">
        <v>0.1</v>
      </c>
      <c r="H11" s="3" t="s">
        <v>190</v>
      </c>
      <c r="I11" s="250">
        <f>'Passo3-Metais-MatPrima'!C14</f>
        <v>0</v>
      </c>
      <c r="J11" s="3" t="s">
        <v>191</v>
      </c>
      <c r="K11" s="237">
        <f>G11*I11</f>
        <v>0</v>
      </c>
      <c r="L11" s="3" t="s">
        <v>36</v>
      </c>
      <c r="M11" s="33" t="s">
        <v>727</v>
      </c>
      <c r="N11" s="276">
        <f>K11</f>
        <v>0</v>
      </c>
      <c r="O11" s="3" t="s">
        <v>36</v>
      </c>
      <c r="P11" s="344">
        <v>0.2</v>
      </c>
      <c r="Q11" s="344">
        <v>0.4</v>
      </c>
      <c r="R11" s="344">
        <v>0.4</v>
      </c>
      <c r="S11" s="132"/>
      <c r="T11" s="132"/>
      <c r="U11" s="132"/>
      <c r="V11" s="116">
        <f t="shared" si="2"/>
        <v>0</v>
      </c>
      <c r="W11" s="116">
        <f t="shared" si="2"/>
        <v>0</v>
      </c>
      <c r="X11" s="116">
        <f t="shared" si="2"/>
        <v>0</v>
      </c>
      <c r="Y11" s="116">
        <f t="shared" si="2"/>
        <v>0</v>
      </c>
      <c r="Z11" s="116">
        <f t="shared" si="2"/>
        <v>0</v>
      </c>
      <c r="AA11" s="116">
        <f t="shared" si="2"/>
        <v>0</v>
      </c>
      <c r="AB11" s="76"/>
    </row>
    <row r="12" spans="1:28" s="55" customFormat="1">
      <c r="B12" s="104"/>
      <c r="C12" s="137"/>
      <c r="D12" s="76"/>
      <c r="E12" s="106"/>
      <c r="F12" s="104"/>
      <c r="G12" s="76"/>
      <c r="H12" s="104"/>
      <c r="I12" s="250"/>
      <c r="K12" s="236"/>
      <c r="L12" s="104"/>
      <c r="M12" s="138"/>
      <c r="N12" s="250"/>
      <c r="O12" s="104"/>
      <c r="P12" s="132"/>
      <c r="Q12" s="132"/>
      <c r="R12" s="132"/>
      <c r="S12" s="132"/>
      <c r="T12" s="132"/>
      <c r="U12" s="132"/>
      <c r="V12" s="116"/>
      <c r="W12" s="116"/>
      <c r="X12" s="116"/>
      <c r="Y12" s="116"/>
      <c r="Z12" s="116"/>
      <c r="AA12" s="116"/>
      <c r="AB12" s="76"/>
    </row>
    <row r="13" spans="1:28">
      <c r="B13" t="s">
        <v>174</v>
      </c>
      <c r="C13" s="12" t="s">
        <v>166</v>
      </c>
      <c r="D13" s="119"/>
      <c r="E13" s="6"/>
      <c r="F13" s="3"/>
      <c r="G13" s="119"/>
      <c r="H13" s="3"/>
      <c r="I13" s="252"/>
      <c r="K13" s="244"/>
      <c r="L13" s="3" t="s">
        <v>36</v>
      </c>
      <c r="M13" s="33"/>
      <c r="N13" s="252"/>
      <c r="O13" s="3"/>
      <c r="P13" s="132"/>
      <c r="Q13" s="132"/>
      <c r="R13" s="132"/>
      <c r="S13" s="132"/>
      <c r="T13" s="132"/>
      <c r="U13" s="132"/>
      <c r="V13" s="133">
        <f t="shared" ref="V13:AA13" si="3">SUM(V14:V15)</f>
        <v>0</v>
      </c>
      <c r="W13" s="133">
        <f t="shared" si="3"/>
        <v>0</v>
      </c>
      <c r="X13" s="133">
        <f t="shared" si="3"/>
        <v>0</v>
      </c>
      <c r="Y13" s="133">
        <f t="shared" si="3"/>
        <v>0</v>
      </c>
      <c r="Z13" s="133">
        <f t="shared" si="3"/>
        <v>0</v>
      </c>
      <c r="AA13" s="133">
        <f t="shared" si="3"/>
        <v>0</v>
      </c>
      <c r="AB13" s="119"/>
    </row>
    <row r="14" spans="1:28">
      <c r="C14" s="12" t="s">
        <v>168</v>
      </c>
      <c r="D14" s="76"/>
      <c r="E14" s="35" t="s">
        <v>43</v>
      </c>
      <c r="F14" s="3" t="s">
        <v>43</v>
      </c>
      <c r="G14" s="76" t="s">
        <v>43</v>
      </c>
      <c r="H14" s="3" t="s">
        <v>43</v>
      </c>
      <c r="I14" s="250"/>
      <c r="K14" s="236"/>
      <c r="L14" s="3" t="s">
        <v>36</v>
      </c>
      <c r="M14" s="33"/>
      <c r="N14" s="249"/>
      <c r="O14" s="3" t="s">
        <v>36</v>
      </c>
      <c r="P14" s="132"/>
      <c r="Q14" s="132"/>
      <c r="R14" s="132"/>
      <c r="S14" s="132"/>
      <c r="T14" s="132"/>
      <c r="U14" s="132"/>
      <c r="V14" s="116">
        <f t="shared" ref="V14:AA15" si="4">$N14*P14</f>
        <v>0</v>
      </c>
      <c r="W14" s="116">
        <f t="shared" si="4"/>
        <v>0</v>
      </c>
      <c r="X14" s="116">
        <f t="shared" si="4"/>
        <v>0</v>
      </c>
      <c r="Y14" s="116">
        <f t="shared" si="4"/>
        <v>0</v>
      </c>
      <c r="Z14" s="116">
        <f t="shared" si="4"/>
        <v>0</v>
      </c>
      <c r="AA14" s="116">
        <f t="shared" si="4"/>
        <v>0</v>
      </c>
      <c r="AB14" s="76"/>
    </row>
    <row r="15" spans="1:28" ht="38.25">
      <c r="C15" s="12" t="s">
        <v>169</v>
      </c>
      <c r="D15" s="76"/>
      <c r="E15" s="566" t="s">
        <v>709</v>
      </c>
      <c r="F15" s="3" t="s">
        <v>354</v>
      </c>
      <c r="G15" s="76">
        <v>65</v>
      </c>
      <c r="H15" s="36" t="s">
        <v>394</v>
      </c>
      <c r="I15" s="250">
        <f>'Passo3-Metais-MatPrima'!C7</f>
        <v>0</v>
      </c>
      <c r="J15" t="s">
        <v>338</v>
      </c>
      <c r="K15" s="236">
        <f>G15*I15/1000</f>
        <v>0</v>
      </c>
      <c r="L15" s="3" t="s">
        <v>36</v>
      </c>
      <c r="M15" s="33" t="s">
        <v>710</v>
      </c>
      <c r="N15" s="324">
        <f>K15</f>
        <v>0</v>
      </c>
      <c r="O15" s="3" t="s">
        <v>36</v>
      </c>
      <c r="P15" s="132">
        <v>0.1</v>
      </c>
      <c r="Q15" s="132">
        <v>0.02</v>
      </c>
      <c r="R15" s="132"/>
      <c r="S15" s="132">
        <v>0.42</v>
      </c>
      <c r="T15" s="132"/>
      <c r="U15" s="132">
        <v>0.46</v>
      </c>
      <c r="V15" s="116">
        <f t="shared" si="4"/>
        <v>0</v>
      </c>
      <c r="W15" s="116">
        <f t="shared" si="4"/>
        <v>0</v>
      </c>
      <c r="X15" s="116">
        <f t="shared" si="4"/>
        <v>0</v>
      </c>
      <c r="Y15" s="116">
        <f t="shared" si="4"/>
        <v>0</v>
      </c>
      <c r="Z15" s="116">
        <f t="shared" si="4"/>
        <v>0</v>
      </c>
      <c r="AA15" s="116">
        <f t="shared" si="4"/>
        <v>0</v>
      </c>
      <c r="AB15" s="76"/>
    </row>
    <row r="16" spans="1:28" s="55" customFormat="1">
      <c r="C16" s="105"/>
      <c r="D16" s="76"/>
      <c r="G16" s="76"/>
      <c r="I16" s="249"/>
      <c r="K16" s="237"/>
      <c r="M16" s="107"/>
      <c r="N16" s="250"/>
      <c r="O16" s="104"/>
      <c r="P16" s="132"/>
      <c r="Q16" s="132"/>
      <c r="R16" s="132"/>
      <c r="S16" s="132"/>
      <c r="T16" s="132"/>
      <c r="U16" s="132"/>
      <c r="V16" s="58"/>
      <c r="W16" s="58"/>
      <c r="X16" s="58"/>
      <c r="Y16" s="58"/>
      <c r="Z16" s="58"/>
      <c r="AA16" s="58"/>
      <c r="AB16" s="76"/>
    </row>
    <row r="17" spans="1:28" ht="25.5">
      <c r="B17" t="s">
        <v>175</v>
      </c>
      <c r="C17" s="12" t="s">
        <v>170</v>
      </c>
      <c r="D17" s="119"/>
      <c r="E17" s="6"/>
      <c r="F17" s="3"/>
      <c r="G17" s="119"/>
      <c r="H17" s="3"/>
      <c r="I17" s="252"/>
      <c r="K17" s="244"/>
      <c r="L17" s="3"/>
      <c r="M17" s="33"/>
      <c r="N17" s="252"/>
      <c r="O17" s="3"/>
      <c r="P17" s="132"/>
      <c r="Q17" s="132"/>
      <c r="R17" s="132"/>
      <c r="S17" s="132"/>
      <c r="T17" s="132"/>
      <c r="U17" s="132"/>
      <c r="V17" s="133">
        <f t="shared" ref="V17:AA17" si="5">SUM(V18:V19)</f>
        <v>0</v>
      </c>
      <c r="W17" s="133">
        <f t="shared" si="5"/>
        <v>0</v>
      </c>
      <c r="X17" s="133">
        <f t="shared" si="5"/>
        <v>0</v>
      </c>
      <c r="Y17" s="133">
        <f t="shared" si="5"/>
        <v>0</v>
      </c>
      <c r="Z17" s="133">
        <f t="shared" si="5"/>
        <v>0</v>
      </c>
      <c r="AA17" s="133">
        <f t="shared" si="5"/>
        <v>0</v>
      </c>
      <c r="AB17" s="119"/>
    </row>
    <row r="18" spans="1:28">
      <c r="C18" s="12" t="s">
        <v>168</v>
      </c>
      <c r="D18" s="76"/>
      <c r="E18" s="35" t="s">
        <v>43</v>
      </c>
      <c r="F18" s="3" t="s">
        <v>43</v>
      </c>
      <c r="G18" s="76" t="s">
        <v>43</v>
      </c>
      <c r="H18" s="3" t="s">
        <v>43</v>
      </c>
      <c r="I18" s="250"/>
      <c r="K18" s="236"/>
      <c r="L18" s="3" t="s">
        <v>36</v>
      </c>
      <c r="M18" s="33"/>
      <c r="N18" s="250"/>
      <c r="O18" s="3" t="s">
        <v>36</v>
      </c>
      <c r="P18" s="132"/>
      <c r="Q18" s="132"/>
      <c r="R18" s="132"/>
      <c r="S18" s="132"/>
      <c r="T18" s="132"/>
      <c r="U18" s="132"/>
      <c r="V18" s="116">
        <f t="shared" ref="V18:AA19" si="6">$N18*P18</f>
        <v>0</v>
      </c>
      <c r="W18" s="116">
        <f t="shared" si="6"/>
        <v>0</v>
      </c>
      <c r="X18" s="116">
        <f t="shared" si="6"/>
        <v>0</v>
      </c>
      <c r="Y18" s="116">
        <f t="shared" si="6"/>
        <v>0</v>
      </c>
      <c r="Z18" s="116">
        <f t="shared" si="6"/>
        <v>0</v>
      </c>
      <c r="AA18" s="116">
        <f t="shared" si="6"/>
        <v>0</v>
      </c>
      <c r="AB18" s="76"/>
    </row>
    <row r="19" spans="1:28" ht="38.25">
      <c r="C19" s="12" t="s">
        <v>171</v>
      </c>
      <c r="D19" s="76"/>
      <c r="E19" s="569" t="s">
        <v>711</v>
      </c>
      <c r="F19" s="3" t="s">
        <v>354</v>
      </c>
      <c r="G19" s="76">
        <v>30</v>
      </c>
      <c r="H19" s="36" t="s">
        <v>394</v>
      </c>
      <c r="I19" s="250">
        <f>'Passo3-Metais-MatPrima'!C8</f>
        <v>0</v>
      </c>
      <c r="J19" t="s">
        <v>361</v>
      </c>
      <c r="K19" s="236">
        <f>G19*I19/1000</f>
        <v>0</v>
      </c>
      <c r="L19" s="3" t="s">
        <v>36</v>
      </c>
      <c r="M19" s="33" t="s">
        <v>710</v>
      </c>
      <c r="N19" s="324">
        <f>K19</f>
        <v>0</v>
      </c>
      <c r="O19" s="3" t="s">
        <v>36</v>
      </c>
      <c r="P19" s="132">
        <v>0.1</v>
      </c>
      <c r="Q19" s="132">
        <v>0.02</v>
      </c>
      <c r="R19" s="132"/>
      <c r="S19" s="132">
        <v>0.42</v>
      </c>
      <c r="T19" s="132"/>
      <c r="U19" s="132">
        <v>0.46</v>
      </c>
      <c r="V19" s="116">
        <f t="shared" si="6"/>
        <v>0</v>
      </c>
      <c r="W19" s="116">
        <f t="shared" si="6"/>
        <v>0</v>
      </c>
      <c r="X19" s="116">
        <f t="shared" si="6"/>
        <v>0</v>
      </c>
      <c r="Y19" s="116">
        <f t="shared" si="6"/>
        <v>0</v>
      </c>
      <c r="Z19" s="116">
        <f t="shared" si="6"/>
        <v>0</v>
      </c>
      <c r="AA19" s="116">
        <f t="shared" si="6"/>
        <v>0</v>
      </c>
      <c r="AB19" s="76"/>
    </row>
    <row r="20" spans="1:28" s="55" customFormat="1">
      <c r="A20" s="139"/>
      <c r="B20" s="104"/>
      <c r="C20" s="136"/>
      <c r="D20" s="111"/>
      <c r="E20" s="106"/>
      <c r="F20" s="104"/>
      <c r="G20" s="76"/>
      <c r="H20" s="104"/>
      <c r="I20" s="250"/>
      <c r="K20" s="236"/>
      <c r="L20" s="104"/>
      <c r="M20" s="110"/>
      <c r="N20" s="250"/>
      <c r="O20" s="104"/>
      <c r="P20" s="132"/>
      <c r="Q20" s="132"/>
      <c r="R20" s="132"/>
      <c r="S20" s="132"/>
      <c r="T20" s="132"/>
      <c r="U20" s="132"/>
      <c r="V20" s="116"/>
      <c r="W20" s="116"/>
      <c r="X20" s="116"/>
      <c r="Y20" s="116"/>
      <c r="Z20" s="116"/>
      <c r="AA20" s="116"/>
      <c r="AB20" s="76"/>
    </row>
    <row r="21" spans="1:28">
      <c r="B21" t="s">
        <v>176</v>
      </c>
      <c r="C21" s="12" t="s">
        <v>172</v>
      </c>
      <c r="D21" s="119"/>
      <c r="E21" s="6"/>
      <c r="F21" s="3"/>
      <c r="G21" s="119"/>
      <c r="H21" s="3"/>
      <c r="I21" s="252"/>
      <c r="K21" s="244"/>
      <c r="L21" s="3"/>
      <c r="M21" s="33"/>
      <c r="N21" s="252"/>
      <c r="O21" s="3"/>
      <c r="P21" s="132"/>
      <c r="Q21" s="132"/>
      <c r="R21" s="132"/>
      <c r="S21" s="132"/>
      <c r="T21" s="132"/>
      <c r="U21" s="132"/>
      <c r="V21" s="133">
        <f t="shared" ref="V21:AA21" si="7">SUM(V22:V23)</f>
        <v>0</v>
      </c>
      <c r="W21" s="133">
        <f t="shared" si="7"/>
        <v>0</v>
      </c>
      <c r="X21" s="133">
        <f t="shared" si="7"/>
        <v>0</v>
      </c>
      <c r="Y21" s="133">
        <f t="shared" si="7"/>
        <v>0</v>
      </c>
      <c r="Z21" s="133">
        <f t="shared" si="7"/>
        <v>0</v>
      </c>
      <c r="AA21" s="133">
        <f t="shared" si="7"/>
        <v>0</v>
      </c>
      <c r="AB21" s="119"/>
    </row>
    <row r="22" spans="1:28">
      <c r="C22" s="12" t="s">
        <v>168</v>
      </c>
      <c r="D22" s="76"/>
      <c r="E22" s="35" t="s">
        <v>43</v>
      </c>
      <c r="F22" s="3" t="s">
        <v>43</v>
      </c>
      <c r="G22" s="76" t="s">
        <v>43</v>
      </c>
      <c r="H22" s="3" t="s">
        <v>43</v>
      </c>
      <c r="I22" s="250"/>
      <c r="K22" s="236"/>
      <c r="L22" s="3" t="s">
        <v>36</v>
      </c>
      <c r="M22" s="33"/>
      <c r="N22" s="250"/>
      <c r="O22" s="3" t="s">
        <v>36</v>
      </c>
      <c r="P22" s="132"/>
      <c r="Q22" s="132"/>
      <c r="R22" s="132"/>
      <c r="S22" s="132"/>
      <c r="T22" s="132"/>
      <c r="U22" s="132"/>
      <c r="V22" s="116">
        <f>$N22*P22</f>
        <v>0</v>
      </c>
      <c r="W22" s="116">
        <f t="shared" ref="V22:AA23" si="8">$N22*Q22</f>
        <v>0</v>
      </c>
      <c r="X22" s="116">
        <f t="shared" si="8"/>
        <v>0</v>
      </c>
      <c r="Y22" s="116">
        <f t="shared" si="8"/>
        <v>0</v>
      </c>
      <c r="Z22" s="116">
        <f t="shared" si="8"/>
        <v>0</v>
      </c>
      <c r="AA22" s="116">
        <f t="shared" si="8"/>
        <v>0</v>
      </c>
      <c r="AB22" s="76"/>
    </row>
    <row r="23" spans="1:28" ht="38.25">
      <c r="C23" s="12" t="s">
        <v>173</v>
      </c>
      <c r="D23" s="76"/>
      <c r="E23" s="566" t="s">
        <v>712</v>
      </c>
      <c r="F23" s="3" t="s">
        <v>354</v>
      </c>
      <c r="G23" s="76">
        <v>30</v>
      </c>
      <c r="H23" s="36" t="s">
        <v>394</v>
      </c>
      <c r="I23" s="250">
        <f>'Passo3-Metais-MatPrima'!C9</f>
        <v>0</v>
      </c>
      <c r="J23" t="s">
        <v>361</v>
      </c>
      <c r="K23" s="236">
        <f>G23*I23/1000</f>
        <v>0</v>
      </c>
      <c r="L23" s="3" t="s">
        <v>36</v>
      </c>
      <c r="M23" s="33" t="s">
        <v>710</v>
      </c>
      <c r="N23" s="324">
        <f>K23</f>
        <v>0</v>
      </c>
      <c r="O23" s="3" t="s">
        <v>36</v>
      </c>
      <c r="P23" s="132">
        <v>0.1</v>
      </c>
      <c r="Q23" s="132">
        <v>0.02</v>
      </c>
      <c r="R23" s="132"/>
      <c r="S23" s="132">
        <v>0.42</v>
      </c>
      <c r="T23" s="132"/>
      <c r="U23" s="132">
        <v>0.46</v>
      </c>
      <c r="V23" s="116">
        <f t="shared" si="8"/>
        <v>0</v>
      </c>
      <c r="W23" s="116">
        <f t="shared" si="8"/>
        <v>0</v>
      </c>
      <c r="X23" s="116">
        <f t="shared" si="8"/>
        <v>0</v>
      </c>
      <c r="Y23" s="116">
        <f t="shared" si="8"/>
        <v>0</v>
      </c>
      <c r="Z23" s="116">
        <f t="shared" si="8"/>
        <v>0</v>
      </c>
      <c r="AA23" s="116">
        <f t="shared" si="8"/>
        <v>0</v>
      </c>
      <c r="AB23" s="76"/>
    </row>
    <row r="24" spans="1:28" s="55" customFormat="1">
      <c r="A24" s="104"/>
      <c r="B24" s="104"/>
      <c r="C24" s="105"/>
      <c r="D24" s="76"/>
      <c r="E24" s="106"/>
      <c r="F24" s="104"/>
      <c r="G24" s="76"/>
      <c r="H24" s="104"/>
      <c r="I24" s="250"/>
      <c r="K24" s="236"/>
      <c r="L24" s="104"/>
      <c r="M24" s="138"/>
      <c r="N24" s="250"/>
      <c r="O24" s="104"/>
      <c r="P24" s="132"/>
      <c r="Q24" s="132"/>
      <c r="R24" s="132"/>
      <c r="S24" s="132"/>
      <c r="T24" s="132"/>
      <c r="U24" s="132"/>
      <c r="V24" s="116"/>
      <c r="W24" s="116"/>
      <c r="X24" s="116"/>
      <c r="Y24" s="116"/>
      <c r="Z24" s="116"/>
      <c r="AA24" s="116"/>
      <c r="AB24" s="76"/>
    </row>
    <row r="25" spans="1:28" ht="38.25">
      <c r="B25" t="s">
        <v>177</v>
      </c>
      <c r="C25" s="12" t="s">
        <v>328</v>
      </c>
      <c r="D25" s="119"/>
      <c r="E25" s="568" t="s">
        <v>713</v>
      </c>
      <c r="F25" s="36" t="s">
        <v>433</v>
      </c>
      <c r="G25" s="339">
        <v>15</v>
      </c>
      <c r="H25" s="36" t="s">
        <v>443</v>
      </c>
      <c r="I25" s="446">
        <f>'Passo3-Metais-MatPrima'!C10</f>
        <v>0</v>
      </c>
      <c r="J25" s="53" t="s">
        <v>442</v>
      </c>
      <c r="K25" s="236">
        <f>G25*I25/1000</f>
        <v>0</v>
      </c>
      <c r="L25" s="3" t="s">
        <v>36</v>
      </c>
      <c r="M25" s="33"/>
      <c r="N25" s="253">
        <f>K25</f>
        <v>0</v>
      </c>
      <c r="O25" s="3" t="s">
        <v>36</v>
      </c>
      <c r="P25" s="132">
        <v>0.04</v>
      </c>
      <c r="Q25" s="132">
        <v>0.02</v>
      </c>
      <c r="R25" s="132">
        <v>0.9</v>
      </c>
      <c r="S25" s="132">
        <v>0.04</v>
      </c>
      <c r="T25" s="132"/>
      <c r="U25" s="132"/>
      <c r="V25" s="133">
        <f t="shared" ref="V25:AA25" si="9">$N25*P25</f>
        <v>0</v>
      </c>
      <c r="W25" s="133">
        <f t="shared" si="9"/>
        <v>0</v>
      </c>
      <c r="X25" s="133">
        <f t="shared" si="9"/>
        <v>0</v>
      </c>
      <c r="Y25" s="133">
        <f t="shared" si="9"/>
        <v>0</v>
      </c>
      <c r="Z25" s="133">
        <f t="shared" si="9"/>
        <v>0</v>
      </c>
      <c r="AA25" s="133">
        <f t="shared" si="9"/>
        <v>0</v>
      </c>
      <c r="AB25" s="119"/>
    </row>
    <row r="26" spans="1:28" s="55" customFormat="1">
      <c r="A26" s="104"/>
      <c r="B26" s="104"/>
      <c r="C26" s="136"/>
      <c r="D26" s="111"/>
      <c r="E26" s="106"/>
      <c r="F26" s="104"/>
      <c r="G26" s="76"/>
      <c r="H26" s="104"/>
      <c r="I26" s="250"/>
      <c r="K26" s="236"/>
      <c r="L26" s="104"/>
      <c r="M26" s="107"/>
      <c r="N26" s="250"/>
      <c r="O26" s="104"/>
      <c r="P26" s="132"/>
      <c r="Q26" s="132"/>
      <c r="R26" s="132"/>
      <c r="S26" s="132"/>
      <c r="T26" s="132"/>
      <c r="U26" s="132"/>
      <c r="V26" s="116"/>
      <c r="W26" s="116"/>
      <c r="X26" s="116"/>
      <c r="Y26" s="116"/>
      <c r="Z26" s="116"/>
      <c r="AA26" s="116"/>
      <c r="AB26" s="76"/>
    </row>
    <row r="27" spans="1:28" ht="25.5">
      <c r="B27" t="s">
        <v>182</v>
      </c>
      <c r="C27" s="12" t="s">
        <v>180</v>
      </c>
      <c r="D27" s="119"/>
      <c r="E27" s="6"/>
      <c r="F27" s="3"/>
      <c r="G27" s="119"/>
      <c r="H27" s="3"/>
      <c r="I27" s="252"/>
      <c r="K27" s="244"/>
      <c r="L27" s="3"/>
      <c r="M27" s="33"/>
      <c r="N27" s="252"/>
      <c r="O27" s="3"/>
      <c r="P27" s="132"/>
      <c r="Q27" s="132"/>
      <c r="R27" s="132"/>
      <c r="S27" s="132"/>
      <c r="T27" s="132"/>
      <c r="U27" s="132"/>
      <c r="V27" s="133">
        <f t="shared" ref="V27:AA27" si="10">SUM(V28:V29)</f>
        <v>0</v>
      </c>
      <c r="W27" s="133">
        <f t="shared" si="10"/>
        <v>0</v>
      </c>
      <c r="X27" s="133">
        <f t="shared" si="10"/>
        <v>0</v>
      </c>
      <c r="Y27" s="133">
        <f t="shared" si="10"/>
        <v>0</v>
      </c>
      <c r="Z27" s="133">
        <f t="shared" si="10"/>
        <v>0</v>
      </c>
      <c r="AA27" s="133">
        <f t="shared" si="10"/>
        <v>0</v>
      </c>
      <c r="AB27" s="119"/>
    </row>
    <row r="28" spans="1:28">
      <c r="C28" s="12" t="s">
        <v>418</v>
      </c>
      <c r="D28" s="76"/>
      <c r="E28" s="8" t="s">
        <v>415</v>
      </c>
      <c r="F28" s="36" t="s">
        <v>417</v>
      </c>
      <c r="G28" s="76">
        <v>0.5</v>
      </c>
      <c r="H28" s="36" t="s">
        <v>417</v>
      </c>
      <c r="I28" s="250">
        <f>'Passo3-Metais-MatPrima'!C11</f>
        <v>0</v>
      </c>
      <c r="J28" s="8" t="s">
        <v>416</v>
      </c>
      <c r="K28" s="236">
        <f>G28*I28/1000</f>
        <v>0</v>
      </c>
      <c r="L28" s="3" t="s">
        <v>36</v>
      </c>
      <c r="M28" s="33"/>
      <c r="N28" s="250">
        <f>K28</f>
        <v>0</v>
      </c>
      <c r="O28" s="3" t="s">
        <v>36</v>
      </c>
      <c r="P28" s="132">
        <v>0.15</v>
      </c>
      <c r="Q28" s="132">
        <v>0.1</v>
      </c>
      <c r="R28" s="132"/>
      <c r="S28" s="132"/>
      <c r="T28" s="132">
        <v>0.65</v>
      </c>
      <c r="U28" s="132">
        <v>0.1</v>
      </c>
      <c r="V28" s="116">
        <f t="shared" ref="V28:AA29" si="11">$N28*P28</f>
        <v>0</v>
      </c>
      <c r="W28" s="116">
        <f t="shared" si="11"/>
        <v>0</v>
      </c>
      <c r="X28" s="116">
        <f t="shared" si="11"/>
        <v>0</v>
      </c>
      <c r="Y28" s="116">
        <f t="shared" si="11"/>
        <v>0</v>
      </c>
      <c r="Z28" s="116">
        <f t="shared" si="11"/>
        <v>0</v>
      </c>
      <c r="AA28" s="116">
        <f t="shared" si="11"/>
        <v>0</v>
      </c>
      <c r="AB28" s="76"/>
    </row>
    <row r="29" spans="1:28">
      <c r="C29" s="12" t="s">
        <v>181</v>
      </c>
      <c r="D29" s="76"/>
      <c r="E29" t="s">
        <v>43</v>
      </c>
      <c r="F29" s="3" t="s">
        <v>43</v>
      </c>
      <c r="G29" s="76" t="s">
        <v>43</v>
      </c>
      <c r="H29" s="3" t="s">
        <v>43</v>
      </c>
      <c r="I29" s="250"/>
      <c r="J29" t="s">
        <v>43</v>
      </c>
      <c r="K29" s="236"/>
      <c r="L29" s="3" t="s">
        <v>36</v>
      </c>
      <c r="M29" s="33"/>
      <c r="N29" s="250"/>
      <c r="O29" s="3" t="s">
        <v>36</v>
      </c>
      <c r="P29" s="132"/>
      <c r="Q29" s="132"/>
      <c r="R29" s="132"/>
      <c r="S29" s="132"/>
      <c r="T29" s="132"/>
      <c r="U29" s="132"/>
      <c r="V29" s="116">
        <f t="shared" si="11"/>
        <v>0</v>
      </c>
      <c r="W29" s="116">
        <f t="shared" si="11"/>
        <v>0</v>
      </c>
      <c r="X29" s="116">
        <f t="shared" si="11"/>
        <v>0</v>
      </c>
      <c r="Y29" s="116">
        <f t="shared" si="11"/>
        <v>0</v>
      </c>
      <c r="Z29" s="116">
        <f t="shared" si="11"/>
        <v>0</v>
      </c>
      <c r="AA29" s="116">
        <f t="shared" si="11"/>
        <v>0</v>
      </c>
      <c r="AB29" s="76"/>
    </row>
    <row r="30" spans="1:28" s="55" customFormat="1">
      <c r="A30" s="104"/>
      <c r="B30" s="104"/>
      <c r="C30" s="105"/>
      <c r="D30" s="76"/>
      <c r="E30" s="106"/>
      <c r="F30" s="104"/>
      <c r="G30" s="76"/>
      <c r="H30" s="104"/>
      <c r="I30" s="250"/>
      <c r="K30" s="239"/>
      <c r="L30" s="104"/>
      <c r="M30" s="138"/>
      <c r="N30" s="250"/>
      <c r="O30" s="104"/>
      <c r="P30" s="132"/>
      <c r="Q30" s="132"/>
      <c r="R30" s="132"/>
      <c r="S30" s="132"/>
      <c r="T30" s="132"/>
      <c r="U30" s="132"/>
      <c r="V30" s="116"/>
      <c r="W30" s="116"/>
      <c r="X30" s="116"/>
      <c r="Y30" s="116"/>
      <c r="Z30" s="116"/>
      <c r="AA30" s="116"/>
      <c r="AB30" s="76"/>
    </row>
    <row r="31" spans="1:28" ht="25.5">
      <c r="B31" t="s">
        <v>183</v>
      </c>
      <c r="C31" s="12" t="s">
        <v>186</v>
      </c>
      <c r="D31" s="119"/>
      <c r="E31" t="s">
        <v>43</v>
      </c>
      <c r="F31" s="3" t="s">
        <v>43</v>
      </c>
      <c r="G31" s="119" t="s">
        <v>43</v>
      </c>
      <c r="H31" s="3" t="s">
        <v>43</v>
      </c>
      <c r="I31" s="252"/>
      <c r="J31" t="s">
        <v>43</v>
      </c>
      <c r="K31" s="245" t="s">
        <v>43</v>
      </c>
      <c r="L31" s="3" t="s">
        <v>36</v>
      </c>
      <c r="M31" s="33"/>
      <c r="N31" s="252"/>
      <c r="O31" s="3" t="s">
        <v>36</v>
      </c>
      <c r="P31" s="132">
        <v>1</v>
      </c>
      <c r="Q31" s="132"/>
      <c r="R31" s="132"/>
      <c r="S31" s="132"/>
      <c r="T31" s="132"/>
      <c r="U31" s="132"/>
      <c r="V31" s="133">
        <f t="shared" ref="V31:AA31" si="12">$N31*P31</f>
        <v>0</v>
      </c>
      <c r="W31" s="133">
        <f t="shared" si="12"/>
        <v>0</v>
      </c>
      <c r="X31" s="133">
        <f t="shared" si="12"/>
        <v>0</v>
      </c>
      <c r="Y31" s="133">
        <f t="shared" si="12"/>
        <v>0</v>
      </c>
      <c r="Z31" s="133">
        <f t="shared" si="12"/>
        <v>0</v>
      </c>
      <c r="AA31" s="133">
        <f t="shared" si="12"/>
        <v>0</v>
      </c>
      <c r="AB31" s="119"/>
    </row>
    <row r="32" spans="1:28" s="55" customFormat="1">
      <c r="A32" s="104"/>
      <c r="B32" s="104"/>
      <c r="C32" s="136"/>
      <c r="D32" s="112"/>
      <c r="E32" s="106"/>
      <c r="F32" s="104"/>
      <c r="G32" s="76"/>
      <c r="H32" s="104"/>
      <c r="I32" s="250"/>
      <c r="K32" s="239"/>
      <c r="L32" s="104"/>
      <c r="M32" s="107"/>
      <c r="N32" s="250"/>
      <c r="O32" s="104"/>
      <c r="P32" s="132"/>
      <c r="Q32" s="132"/>
      <c r="R32" s="132"/>
      <c r="S32" s="132"/>
      <c r="T32" s="132"/>
      <c r="U32" s="132"/>
      <c r="V32" s="116"/>
      <c r="W32" s="116"/>
      <c r="X32" s="116"/>
      <c r="Y32" s="116"/>
      <c r="Z32" s="116"/>
      <c r="AA32" s="116"/>
      <c r="AB32" s="76"/>
    </row>
    <row r="33" spans="1:28">
      <c r="B33" t="s">
        <v>184</v>
      </c>
      <c r="C33" s="12" t="s">
        <v>185</v>
      </c>
      <c r="D33" s="119"/>
      <c r="E33" t="s">
        <v>187</v>
      </c>
      <c r="F33" s="3" t="s">
        <v>355</v>
      </c>
      <c r="G33" s="119">
        <v>0.05</v>
      </c>
      <c r="H33" s="3" t="s">
        <v>355</v>
      </c>
      <c r="I33" s="252">
        <f>'Passo3-Metais-MatPrima'!C12</f>
        <v>0</v>
      </c>
      <c r="J33" t="s">
        <v>339</v>
      </c>
      <c r="K33" s="245">
        <f>G33*I33/1000</f>
        <v>0</v>
      </c>
      <c r="L33" s="3" t="s">
        <v>36</v>
      </c>
      <c r="M33" s="33"/>
      <c r="N33" s="252">
        <f>K33</f>
        <v>0</v>
      </c>
      <c r="O33" s="3" t="s">
        <v>36</v>
      </c>
      <c r="P33" s="132">
        <v>0.95</v>
      </c>
      <c r="Q33" s="132"/>
      <c r="R33" s="132"/>
      <c r="S33" s="132"/>
      <c r="T33" s="132"/>
      <c r="U33" s="132">
        <v>0.05</v>
      </c>
      <c r="V33" s="133">
        <f t="shared" ref="V33:AA33" si="13">$N33*P33</f>
        <v>0</v>
      </c>
      <c r="W33" s="133">
        <f t="shared" si="13"/>
        <v>0</v>
      </c>
      <c r="X33" s="133">
        <f t="shared" si="13"/>
        <v>0</v>
      </c>
      <c r="Y33" s="133">
        <f t="shared" si="13"/>
        <v>0</v>
      </c>
      <c r="Z33" s="133">
        <f t="shared" si="13"/>
        <v>0</v>
      </c>
      <c r="AA33" s="133">
        <f t="shared" si="13"/>
        <v>0</v>
      </c>
      <c r="AB33" s="119"/>
    </row>
    <row r="34" spans="1:28" s="55" customFormat="1">
      <c r="A34" s="104"/>
      <c r="B34" s="104"/>
      <c r="D34" s="76"/>
      <c r="E34" s="106"/>
      <c r="F34" s="104"/>
      <c r="G34" s="76"/>
      <c r="H34" s="104"/>
      <c r="I34" s="250"/>
      <c r="K34" s="239"/>
      <c r="L34" s="104"/>
      <c r="M34" s="138"/>
      <c r="N34" s="250"/>
      <c r="O34" s="104"/>
      <c r="P34" s="130"/>
      <c r="Q34" s="130"/>
      <c r="R34" s="130"/>
      <c r="S34" s="130"/>
      <c r="T34" s="130"/>
      <c r="U34" s="127"/>
      <c r="V34" s="116"/>
      <c r="W34" s="116"/>
      <c r="X34" s="116"/>
      <c r="Y34" s="116"/>
      <c r="Z34" s="116"/>
      <c r="AA34" s="116"/>
      <c r="AB34" s="76"/>
    </row>
    <row r="35" spans="1:28">
      <c r="M35" s="14"/>
      <c r="N35" s="241"/>
      <c r="O35" s="3"/>
    </row>
    <row r="36" spans="1:28">
      <c r="M36" s="14"/>
      <c r="N36" s="251"/>
      <c r="O36" s="3"/>
    </row>
    <row r="37" spans="1:28">
      <c r="C37" s="5" t="s">
        <v>56</v>
      </c>
      <c r="D37" s="8" t="s">
        <v>178</v>
      </c>
    </row>
    <row r="38" spans="1:28">
      <c r="D38" s="6" t="s">
        <v>179</v>
      </c>
    </row>
  </sheetData>
  <sheetProtection sheet="1" objects="1" scenarios="1"/>
  <phoneticPr fontId="2" type="noConversion"/>
  <pageMargins left="0.39370078740157483" right="0.39370078740157483" top="0.74803149606299213" bottom="0.74803149606299213" header="0.31496062992125984" footer="0.31496062992125984"/>
  <pageSetup paperSize="9" orientation="landscape" r:id="rId1"/>
  <headerFooter>
    <oddFooter>&amp;L&amp;APrinted &amp;D</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7"/>
  <sheetViews>
    <sheetView workbookViewId="0">
      <selection activeCell="A8" sqref="A8"/>
    </sheetView>
  </sheetViews>
  <sheetFormatPr defaultRowHeight="12.75"/>
  <cols>
    <col min="1" max="1" width="3" customWidth="1"/>
    <col min="2" max="2" width="6.140625" customWidth="1"/>
    <col min="3" max="3" width="28.28515625" customWidth="1"/>
    <col min="4" max="4" width="12.5703125" customWidth="1"/>
    <col min="5" max="5" width="14.42578125" customWidth="1"/>
    <col min="6" max="6" width="27.42578125" customWidth="1"/>
    <col min="7" max="7" width="10.28515625" customWidth="1"/>
    <col min="8" max="8" width="24.85546875" customWidth="1"/>
    <col min="9" max="9" width="12.5703125" style="242" customWidth="1"/>
    <col min="10" max="10" width="15.28515625" customWidth="1"/>
    <col min="11" max="11" width="12" customWidth="1"/>
    <col min="12" max="12" width="11.5703125" customWidth="1"/>
    <col min="13" max="13" width="17.28515625" style="13" customWidth="1"/>
    <col min="14" max="14" width="9.140625" style="242"/>
    <col min="16" max="16" width="4.5703125" customWidth="1"/>
    <col min="17" max="17" width="5.28515625" customWidth="1"/>
    <col min="18" max="18" width="5" customWidth="1"/>
    <col min="19" max="19" width="8.42578125" customWidth="1"/>
    <col min="21" max="21" width="19.140625" customWidth="1"/>
    <col min="22" max="22" width="12.5703125" customWidth="1"/>
    <col min="24" max="24" width="9.7109375" customWidth="1"/>
    <col min="25" max="25" width="11.140625" customWidth="1"/>
    <col min="26" max="26" width="11.5703125" customWidth="1"/>
    <col min="27" max="27" width="17" customWidth="1"/>
    <col min="28" max="28" width="34" customWidth="1"/>
  </cols>
  <sheetData>
    <row r="1" spans="1:28" ht="18">
      <c r="A1" s="1" t="s">
        <v>34</v>
      </c>
      <c r="I1" s="232"/>
      <c r="L1" s="48"/>
      <c r="M1" s="48"/>
      <c r="N1" s="232"/>
    </row>
    <row r="2" spans="1:28" ht="15">
      <c r="A2" s="54" t="s">
        <v>322</v>
      </c>
      <c r="I2" s="232"/>
      <c r="L2" s="48"/>
      <c r="M2" s="48"/>
      <c r="N2" s="232"/>
    </row>
    <row r="3" spans="1:28">
      <c r="C3" s="3"/>
      <c r="D3" s="3"/>
      <c r="E3" s="3"/>
      <c r="F3" s="3"/>
      <c r="G3" s="3"/>
      <c r="H3" s="3"/>
      <c r="I3" s="233"/>
      <c r="J3" s="3"/>
      <c r="K3" s="3"/>
      <c r="L3" s="104"/>
      <c r="M3" s="104"/>
      <c r="N3" s="233"/>
      <c r="O3" s="3"/>
      <c r="P3" s="65" t="s">
        <v>55</v>
      </c>
      <c r="Q3" s="65"/>
      <c r="R3" s="65"/>
      <c r="S3" s="65"/>
      <c r="T3" s="65"/>
      <c r="U3" s="65"/>
      <c r="V3" s="10" t="s">
        <v>54</v>
      </c>
      <c r="W3" s="4"/>
      <c r="X3" s="4"/>
      <c r="Y3" s="4"/>
      <c r="Z3" s="4"/>
      <c r="AA3" s="4"/>
      <c r="AB3" s="2"/>
    </row>
    <row r="4" spans="1:28" s="144" customFormat="1" ht="38.25">
      <c r="A4" s="144" t="s">
        <v>52</v>
      </c>
      <c r="B4" s="144" t="s">
        <v>50</v>
      </c>
      <c r="C4" s="134" t="s">
        <v>59</v>
      </c>
      <c r="D4" s="112" t="s">
        <v>159</v>
      </c>
      <c r="E4" s="134" t="s">
        <v>49</v>
      </c>
      <c r="F4" s="143" t="s">
        <v>35</v>
      </c>
      <c r="G4" s="112" t="s">
        <v>37</v>
      </c>
      <c r="H4" s="143" t="s">
        <v>35</v>
      </c>
      <c r="I4" s="247" t="s">
        <v>51</v>
      </c>
      <c r="J4" s="144" t="s">
        <v>35</v>
      </c>
      <c r="K4" s="84" t="s">
        <v>61</v>
      </c>
      <c r="L4" s="139" t="s">
        <v>35</v>
      </c>
      <c r="M4" s="157" t="s">
        <v>289</v>
      </c>
      <c r="N4" s="247" t="s">
        <v>94</v>
      </c>
      <c r="O4" s="143" t="s">
        <v>35</v>
      </c>
      <c r="P4" s="147" t="s">
        <v>38</v>
      </c>
      <c r="Q4" s="147" t="s">
        <v>39</v>
      </c>
      <c r="R4" s="147" t="s">
        <v>40</v>
      </c>
      <c r="S4" s="147" t="s">
        <v>41</v>
      </c>
      <c r="T4" s="148" t="s">
        <v>42</v>
      </c>
      <c r="U4" s="148" t="s">
        <v>237</v>
      </c>
      <c r="V4" s="56" t="s">
        <v>38</v>
      </c>
      <c r="W4" s="56" t="s">
        <v>39</v>
      </c>
      <c r="X4" s="56" t="s">
        <v>40</v>
      </c>
      <c r="Y4" s="56" t="s">
        <v>41</v>
      </c>
      <c r="Z4" s="57" t="s">
        <v>42</v>
      </c>
      <c r="AA4" s="57" t="s">
        <v>237</v>
      </c>
      <c r="AB4" s="111" t="s">
        <v>89</v>
      </c>
    </row>
    <row r="5" spans="1:28" ht="51">
      <c r="A5" t="s">
        <v>194</v>
      </c>
      <c r="C5" s="12" t="s">
        <v>195</v>
      </c>
      <c r="D5" s="111"/>
      <c r="F5" s="3"/>
      <c r="G5" s="76"/>
      <c r="H5" s="3"/>
      <c r="I5" s="249"/>
      <c r="K5" s="113"/>
      <c r="L5" s="3"/>
      <c r="M5" s="14"/>
      <c r="N5" s="249"/>
      <c r="O5" s="3"/>
      <c r="P5" s="127"/>
      <c r="Q5" s="127"/>
      <c r="R5" s="127"/>
      <c r="S5" s="127"/>
      <c r="T5" s="127"/>
      <c r="U5" s="127"/>
      <c r="V5" s="58"/>
      <c r="W5" s="58"/>
      <c r="X5" s="58"/>
      <c r="Y5" s="58"/>
      <c r="Z5" s="58"/>
      <c r="AA5" s="58"/>
      <c r="AB5" s="76"/>
    </row>
    <row r="6" spans="1:28">
      <c r="B6" t="s">
        <v>196</v>
      </c>
      <c r="C6" s="26" t="s">
        <v>379</v>
      </c>
      <c r="D6" s="111"/>
      <c r="E6" s="3"/>
      <c r="F6" s="3"/>
      <c r="G6" s="337"/>
      <c r="H6" s="36"/>
      <c r="I6" s="333"/>
      <c r="J6" s="9"/>
      <c r="K6" s="341">
        <f>SUM(K7:K8)</f>
        <v>0</v>
      </c>
      <c r="L6" s="3" t="s">
        <v>36</v>
      </c>
      <c r="M6" s="342" t="s">
        <v>379</v>
      </c>
      <c r="N6" s="254"/>
      <c r="O6" s="3"/>
      <c r="P6" s="283"/>
      <c r="Q6" s="283"/>
      <c r="R6" s="283"/>
      <c r="S6" s="283"/>
      <c r="T6" s="283"/>
      <c r="U6" s="283"/>
      <c r="V6" s="114">
        <f t="shared" ref="V6:AA6" si="0">SUM(V7:V10)</f>
        <v>0</v>
      </c>
      <c r="W6" s="114">
        <f t="shared" si="0"/>
        <v>0</v>
      </c>
      <c r="X6" s="114">
        <f t="shared" si="0"/>
        <v>0</v>
      </c>
      <c r="Y6" s="114">
        <f t="shared" si="0"/>
        <v>0</v>
      </c>
      <c r="Z6" s="114">
        <f t="shared" si="0"/>
        <v>0</v>
      </c>
      <c r="AA6" s="114">
        <f t="shared" si="0"/>
        <v>0</v>
      </c>
      <c r="AB6" s="76"/>
    </row>
    <row r="7" spans="1:28" ht="25.5">
      <c r="C7" s="26" t="s">
        <v>714</v>
      </c>
      <c r="D7" s="111"/>
      <c r="E7" s="36" t="s">
        <v>716</v>
      </c>
      <c r="F7" s="36" t="s">
        <v>392</v>
      </c>
      <c r="G7" s="337">
        <v>0.11</v>
      </c>
      <c r="H7" s="36" t="s">
        <v>392</v>
      </c>
      <c r="I7" s="250">
        <f>'Passo3-Metais-MatPrima'!C16*0.5</f>
        <v>0</v>
      </c>
      <c r="J7" s="9" t="s">
        <v>340</v>
      </c>
      <c r="K7" s="173">
        <f>I7*G7/1000</f>
        <v>0</v>
      </c>
      <c r="L7" s="3"/>
      <c r="M7" s="445"/>
      <c r="N7" s="254"/>
      <c r="O7" s="3"/>
      <c r="P7" s="283"/>
      <c r="Q7" s="283"/>
      <c r="R7" s="283"/>
      <c r="S7" s="283"/>
      <c r="T7" s="283"/>
      <c r="U7" s="283"/>
      <c r="V7" s="172">
        <f t="shared" ref="V7:AA10" si="1">$N7*P7</f>
        <v>0</v>
      </c>
      <c r="W7" s="172">
        <f t="shared" si="1"/>
        <v>0</v>
      </c>
      <c r="X7" s="172">
        <f t="shared" si="1"/>
        <v>0</v>
      </c>
      <c r="Y7" s="172">
        <f t="shared" si="1"/>
        <v>0</v>
      </c>
      <c r="Z7" s="172">
        <f t="shared" si="1"/>
        <v>0</v>
      </c>
      <c r="AA7" s="172">
        <f t="shared" si="1"/>
        <v>0</v>
      </c>
      <c r="AB7" s="76"/>
    </row>
    <row r="8" spans="1:28" ht="63.75">
      <c r="C8" s="26" t="s">
        <v>715</v>
      </c>
      <c r="D8" s="111"/>
      <c r="E8" s="277" t="s">
        <v>717</v>
      </c>
      <c r="F8" s="36" t="s">
        <v>392</v>
      </c>
      <c r="G8" s="337">
        <v>0.15</v>
      </c>
      <c r="H8" s="36" t="s">
        <v>392</v>
      </c>
      <c r="I8" s="250">
        <f>'Passo3-Metais-MatPrima'!C16*0.5</f>
        <v>0</v>
      </c>
      <c r="J8" s="9" t="s">
        <v>340</v>
      </c>
      <c r="K8" s="173">
        <f>I8*G8/1000</f>
        <v>0</v>
      </c>
      <c r="L8" s="3"/>
      <c r="M8" s="445" t="s">
        <v>718</v>
      </c>
      <c r="N8" s="254">
        <f>K6</f>
        <v>0</v>
      </c>
      <c r="O8" s="3" t="s">
        <v>36</v>
      </c>
      <c r="P8" s="283">
        <v>0.75</v>
      </c>
      <c r="Q8" s="283"/>
      <c r="R8" s="283"/>
      <c r="S8" s="283">
        <v>0.25</v>
      </c>
      <c r="T8" s="283"/>
      <c r="U8" s="283"/>
      <c r="V8" s="172">
        <f t="shared" si="1"/>
        <v>0</v>
      </c>
      <c r="W8" s="172">
        <f t="shared" si="1"/>
        <v>0</v>
      </c>
      <c r="X8" s="172">
        <f t="shared" si="1"/>
        <v>0</v>
      </c>
      <c r="Y8" s="172">
        <f t="shared" si="1"/>
        <v>0</v>
      </c>
      <c r="Z8" s="172">
        <f t="shared" si="1"/>
        <v>0</v>
      </c>
      <c r="AA8" s="172">
        <f t="shared" si="1"/>
        <v>0</v>
      </c>
      <c r="AB8" s="76"/>
    </row>
    <row r="9" spans="1:28">
      <c r="C9" s="26"/>
      <c r="D9" s="111"/>
      <c r="E9" s="3"/>
      <c r="F9" s="3"/>
      <c r="G9" s="337"/>
      <c r="H9" s="36"/>
      <c r="I9" s="250"/>
      <c r="J9" s="9"/>
      <c r="K9" s="173"/>
      <c r="L9" s="3"/>
      <c r="M9" s="33"/>
      <c r="N9" s="254"/>
      <c r="O9" s="3"/>
      <c r="P9" s="283"/>
      <c r="Q9" s="283"/>
      <c r="R9" s="283"/>
      <c r="S9" s="283"/>
      <c r="T9" s="283"/>
      <c r="U9" s="283"/>
      <c r="V9" s="172">
        <f t="shared" si="1"/>
        <v>0</v>
      </c>
      <c r="W9" s="172">
        <f t="shared" si="1"/>
        <v>0</v>
      </c>
      <c r="X9" s="172">
        <f t="shared" si="1"/>
        <v>0</v>
      </c>
      <c r="Y9" s="172">
        <f t="shared" si="1"/>
        <v>0</v>
      </c>
      <c r="Z9" s="172">
        <f t="shared" si="1"/>
        <v>0</v>
      </c>
      <c r="AA9" s="172">
        <f t="shared" si="1"/>
        <v>0</v>
      </c>
      <c r="AB9" s="76"/>
    </row>
    <row r="10" spans="1:28" s="55" customFormat="1">
      <c r="C10" s="137"/>
      <c r="D10" s="76"/>
      <c r="E10" s="104"/>
      <c r="F10" s="104"/>
      <c r="G10" s="76"/>
      <c r="H10" s="104"/>
      <c r="I10" s="250"/>
      <c r="K10" s="173"/>
      <c r="L10" s="104"/>
      <c r="M10" s="33"/>
      <c r="N10" s="250"/>
      <c r="O10" s="3"/>
      <c r="P10" s="131"/>
      <c r="Q10" s="131"/>
      <c r="R10" s="131"/>
      <c r="S10" s="131"/>
      <c r="T10" s="131"/>
      <c r="U10" s="131"/>
      <c r="V10" s="172">
        <f t="shared" si="1"/>
        <v>0</v>
      </c>
      <c r="W10" s="172">
        <f t="shared" si="1"/>
        <v>0</v>
      </c>
      <c r="X10" s="172">
        <f t="shared" si="1"/>
        <v>0</v>
      </c>
      <c r="Y10" s="172">
        <f t="shared" si="1"/>
        <v>0</v>
      </c>
      <c r="Z10" s="172">
        <f t="shared" si="1"/>
        <v>0</v>
      </c>
      <c r="AA10" s="172">
        <f t="shared" si="1"/>
        <v>0</v>
      </c>
      <c r="AB10" s="76"/>
    </row>
    <row r="11" spans="1:28">
      <c r="B11" s="3" t="s">
        <v>197</v>
      </c>
      <c r="C11" s="26" t="s">
        <v>198</v>
      </c>
      <c r="D11" s="111"/>
      <c r="E11" s="36" t="s">
        <v>430</v>
      </c>
      <c r="F11" s="277" t="s">
        <v>431</v>
      </c>
      <c r="G11" s="76">
        <v>0.03</v>
      </c>
      <c r="H11" s="36" t="s">
        <v>414</v>
      </c>
      <c r="I11" s="250">
        <f>'Passo3-Metais-MatPrima'!C17</f>
        <v>0</v>
      </c>
      <c r="J11" s="3" t="s">
        <v>390</v>
      </c>
      <c r="K11" s="237">
        <f>I11*G11/1000</f>
        <v>0</v>
      </c>
      <c r="L11" s="3" t="s">
        <v>36</v>
      </c>
      <c r="M11" s="445" t="s">
        <v>441</v>
      </c>
      <c r="N11" s="250">
        <f>K11</f>
        <v>0</v>
      </c>
      <c r="O11" s="3" t="s">
        <v>36</v>
      </c>
      <c r="P11" s="343">
        <v>1</v>
      </c>
      <c r="Q11" s="343"/>
      <c r="R11" s="343"/>
      <c r="S11" s="343"/>
      <c r="T11" s="343"/>
      <c r="U11" s="343"/>
      <c r="V11" s="114">
        <f t="shared" ref="V11:AA11" si="2">$N11*P11+V12</f>
        <v>0</v>
      </c>
      <c r="W11" s="114">
        <f t="shared" si="2"/>
        <v>0</v>
      </c>
      <c r="X11" s="114">
        <f t="shared" si="2"/>
        <v>0</v>
      </c>
      <c r="Y11" s="114">
        <f t="shared" si="2"/>
        <v>0</v>
      </c>
      <c r="Z11" s="114">
        <f t="shared" si="2"/>
        <v>0</v>
      </c>
      <c r="AA11" s="114">
        <f t="shared" si="2"/>
        <v>0</v>
      </c>
      <c r="AB11" s="76"/>
    </row>
    <row r="12" spans="1:28" s="55" customFormat="1" ht="38.25">
      <c r="B12" s="104"/>
      <c r="C12" s="137"/>
      <c r="D12" s="76"/>
      <c r="E12" s="149"/>
      <c r="F12" s="104"/>
      <c r="G12" s="76"/>
      <c r="H12" s="104"/>
      <c r="I12" s="250"/>
      <c r="K12" s="115"/>
      <c r="L12" s="104"/>
      <c r="M12" s="33" t="s">
        <v>413</v>
      </c>
      <c r="N12" s="254">
        <f>K10</f>
        <v>0</v>
      </c>
      <c r="O12" s="3" t="s">
        <v>36</v>
      </c>
      <c r="P12" s="283">
        <v>0.9</v>
      </c>
      <c r="Q12" s="283"/>
      <c r="R12" s="283"/>
      <c r="S12" s="283"/>
      <c r="T12" s="283">
        <v>0.1</v>
      </c>
      <c r="U12" s="283"/>
      <c r="V12" s="172">
        <f t="shared" ref="V12:AA12" si="3">$N12*P12</f>
        <v>0</v>
      </c>
      <c r="W12" s="172">
        <f t="shared" si="3"/>
        <v>0</v>
      </c>
      <c r="X12" s="172">
        <f t="shared" si="3"/>
        <v>0</v>
      </c>
      <c r="Y12" s="172">
        <f t="shared" si="3"/>
        <v>0</v>
      </c>
      <c r="Z12" s="172">
        <f t="shared" si="3"/>
        <v>0</v>
      </c>
      <c r="AA12" s="172">
        <f t="shared" si="3"/>
        <v>0</v>
      </c>
      <c r="AB12" s="76"/>
    </row>
    <row r="13" spans="1:28" ht="25.5">
      <c r="B13" t="s">
        <v>174</v>
      </c>
      <c r="C13" s="26" t="s">
        <v>199</v>
      </c>
      <c r="D13" s="76"/>
      <c r="E13" s="11"/>
      <c r="F13" s="3"/>
      <c r="G13" s="76"/>
      <c r="H13" s="3"/>
      <c r="I13" s="250"/>
      <c r="K13" s="114"/>
      <c r="L13" s="3" t="s">
        <v>36</v>
      </c>
      <c r="M13" s="33"/>
      <c r="N13" s="250"/>
      <c r="O13" s="3"/>
      <c r="P13" s="130"/>
      <c r="Q13" s="130"/>
      <c r="R13" s="130"/>
      <c r="S13" s="130"/>
      <c r="T13" s="130"/>
      <c r="U13" s="127"/>
      <c r="V13" s="114" t="e">
        <f t="shared" ref="V13:AA13" si="4">SUM(V14:V15)</f>
        <v>#VALUE!</v>
      </c>
      <c r="W13" s="114" t="e">
        <f t="shared" si="4"/>
        <v>#VALUE!</v>
      </c>
      <c r="X13" s="114" t="e">
        <f t="shared" si="4"/>
        <v>#VALUE!</v>
      </c>
      <c r="Y13" s="114" t="e">
        <f t="shared" si="4"/>
        <v>#VALUE!</v>
      </c>
      <c r="Z13" s="114" t="e">
        <f t="shared" si="4"/>
        <v>#VALUE!</v>
      </c>
      <c r="AA13" s="114" t="e">
        <f t="shared" si="4"/>
        <v>#VALUE!</v>
      </c>
      <c r="AB13" s="76"/>
    </row>
    <row r="14" spans="1:28">
      <c r="C14" s="26" t="s">
        <v>200</v>
      </c>
      <c r="D14" s="76"/>
      <c r="E14" s="29" t="s">
        <v>43</v>
      </c>
      <c r="F14" s="3"/>
      <c r="G14" s="76" t="s">
        <v>43</v>
      </c>
      <c r="H14" s="3" t="s">
        <v>43</v>
      </c>
      <c r="I14" s="250"/>
      <c r="K14" s="173"/>
      <c r="L14" s="3" t="s">
        <v>36</v>
      </c>
      <c r="M14" s="33"/>
      <c r="N14" s="249"/>
      <c r="O14" s="3" t="s">
        <v>36</v>
      </c>
      <c r="P14" s="127" t="s">
        <v>43</v>
      </c>
      <c r="Q14" s="127" t="s">
        <v>43</v>
      </c>
      <c r="R14" s="127" t="s">
        <v>43</v>
      </c>
      <c r="S14" s="127" t="s">
        <v>43</v>
      </c>
      <c r="T14" s="127" t="s">
        <v>43</v>
      </c>
      <c r="U14" s="127" t="s">
        <v>43</v>
      </c>
      <c r="V14" s="116" t="e">
        <f t="shared" ref="V14:AA14" si="5">$N14*P14</f>
        <v>#VALUE!</v>
      </c>
      <c r="W14" s="116" t="e">
        <f t="shared" si="5"/>
        <v>#VALUE!</v>
      </c>
      <c r="X14" s="116" t="e">
        <f t="shared" si="5"/>
        <v>#VALUE!</v>
      </c>
      <c r="Y14" s="116" t="e">
        <f t="shared" si="5"/>
        <v>#VALUE!</v>
      </c>
      <c r="Z14" s="116" t="e">
        <f t="shared" si="5"/>
        <v>#VALUE!</v>
      </c>
      <c r="AA14" s="116" t="e">
        <f t="shared" si="5"/>
        <v>#VALUE!</v>
      </c>
      <c r="AB14" s="76"/>
    </row>
    <row r="15" spans="1:28">
      <c r="C15" s="26" t="s">
        <v>201</v>
      </c>
      <c r="D15" s="76"/>
      <c r="E15" s="29" t="s">
        <v>43</v>
      </c>
      <c r="F15" s="3" t="s">
        <v>43</v>
      </c>
      <c r="G15" s="76" t="s">
        <v>43</v>
      </c>
      <c r="H15" s="3" t="s">
        <v>43</v>
      </c>
      <c r="I15" s="250"/>
      <c r="K15" s="173"/>
      <c r="L15" s="3" t="s">
        <v>36</v>
      </c>
      <c r="M15" s="33"/>
      <c r="N15" s="249"/>
      <c r="O15" s="3" t="s">
        <v>36</v>
      </c>
      <c r="P15" s="127" t="s">
        <v>43</v>
      </c>
      <c r="Q15" s="127" t="s">
        <v>43</v>
      </c>
      <c r="R15" s="127" t="s">
        <v>43</v>
      </c>
      <c r="S15" s="127" t="s">
        <v>43</v>
      </c>
      <c r="T15" s="127" t="s">
        <v>43</v>
      </c>
      <c r="U15" s="127" t="s">
        <v>43</v>
      </c>
      <c r="V15" s="116" t="e">
        <f t="shared" ref="V15:AA15" si="6">$N15*P15</f>
        <v>#VALUE!</v>
      </c>
      <c r="W15" s="116" t="e">
        <f t="shared" si="6"/>
        <v>#VALUE!</v>
      </c>
      <c r="X15" s="116" t="e">
        <f t="shared" si="6"/>
        <v>#VALUE!</v>
      </c>
      <c r="Y15" s="116" t="e">
        <f t="shared" si="6"/>
        <v>#VALUE!</v>
      </c>
      <c r="Z15" s="116" t="e">
        <f t="shared" si="6"/>
        <v>#VALUE!</v>
      </c>
      <c r="AA15" s="116" t="e">
        <f t="shared" si="6"/>
        <v>#VALUE!</v>
      </c>
      <c r="AB15" s="76"/>
    </row>
    <row r="16" spans="1:28" s="55" customFormat="1">
      <c r="C16" s="150"/>
      <c r="D16" s="76"/>
      <c r="E16" s="104"/>
      <c r="F16" s="104"/>
      <c r="G16" s="76"/>
      <c r="I16" s="249"/>
      <c r="K16" s="174"/>
      <c r="M16" s="107"/>
      <c r="N16" s="250"/>
      <c r="O16" s="104"/>
      <c r="P16" s="127"/>
      <c r="Q16" s="127"/>
      <c r="R16" s="127"/>
      <c r="S16" s="127"/>
      <c r="T16" s="127"/>
      <c r="U16" s="127"/>
      <c r="V16" s="58"/>
      <c r="W16" s="58"/>
      <c r="X16" s="58"/>
      <c r="Y16" s="58"/>
      <c r="Z16" s="58"/>
      <c r="AA16" s="58"/>
      <c r="AB16" s="76"/>
    </row>
    <row r="17" spans="2:28">
      <c r="B17" s="3" t="s">
        <v>175</v>
      </c>
      <c r="C17" s="26" t="s">
        <v>370</v>
      </c>
      <c r="D17" s="111"/>
      <c r="E17" s="3" t="s">
        <v>43</v>
      </c>
      <c r="F17" s="3" t="s">
        <v>43</v>
      </c>
      <c r="G17" s="76" t="s">
        <v>43</v>
      </c>
      <c r="H17" s="3" t="s">
        <v>43</v>
      </c>
      <c r="I17" s="250"/>
      <c r="J17" t="s">
        <v>43</v>
      </c>
      <c r="K17" s="173" t="s">
        <v>43</v>
      </c>
      <c r="L17" s="3" t="s">
        <v>36</v>
      </c>
      <c r="M17" s="33"/>
      <c r="N17" s="250"/>
      <c r="O17" s="3" t="s">
        <v>36</v>
      </c>
      <c r="P17" s="127" t="s">
        <v>43</v>
      </c>
      <c r="Q17" s="127" t="s">
        <v>43</v>
      </c>
      <c r="R17" s="127" t="s">
        <v>43</v>
      </c>
      <c r="S17" s="127" t="s">
        <v>43</v>
      </c>
      <c r="T17" s="127" t="s">
        <v>43</v>
      </c>
      <c r="U17" s="127" t="s">
        <v>43</v>
      </c>
      <c r="V17" s="114" t="e">
        <f t="shared" ref="V17:AA17" si="7">$N17*P17</f>
        <v>#VALUE!</v>
      </c>
      <c r="W17" s="114" t="e">
        <f t="shared" si="7"/>
        <v>#VALUE!</v>
      </c>
      <c r="X17" s="114" t="e">
        <f t="shared" si="7"/>
        <v>#VALUE!</v>
      </c>
      <c r="Y17" s="114" t="e">
        <f t="shared" si="7"/>
        <v>#VALUE!</v>
      </c>
      <c r="Z17" s="114" t="e">
        <f t="shared" si="7"/>
        <v>#VALUE!</v>
      </c>
      <c r="AA17" s="114" t="e">
        <f t="shared" si="7"/>
        <v>#VALUE!</v>
      </c>
      <c r="AB17" s="76"/>
    </row>
    <row r="18" spans="2:28" s="55" customFormat="1">
      <c r="B18" s="104"/>
      <c r="C18" s="137"/>
      <c r="D18" s="76"/>
      <c r="E18" s="149"/>
      <c r="F18" s="104"/>
      <c r="G18" s="76"/>
      <c r="H18" s="104"/>
      <c r="I18" s="250"/>
      <c r="K18" s="115"/>
      <c r="L18" s="104"/>
      <c r="M18" s="138"/>
      <c r="N18" s="250"/>
      <c r="O18" s="104"/>
      <c r="P18" s="130"/>
      <c r="Q18" s="130"/>
      <c r="R18" s="130"/>
      <c r="S18" s="130"/>
      <c r="T18" s="130"/>
      <c r="U18" s="127"/>
      <c r="V18" s="116"/>
      <c r="W18" s="116"/>
      <c r="X18" s="116"/>
      <c r="Y18" s="116"/>
      <c r="Z18" s="116"/>
      <c r="AA18" s="116"/>
      <c r="AB18" s="76"/>
    </row>
    <row r="19" spans="2:28">
      <c r="C19" s="9"/>
      <c r="M19" s="14"/>
      <c r="N19" s="241"/>
      <c r="O19" s="3"/>
    </row>
    <row r="20" spans="2:28">
      <c r="C20" s="9"/>
      <c r="M20" s="14"/>
      <c r="N20" s="251"/>
      <c r="O20" s="3"/>
    </row>
    <row r="21" spans="2:28">
      <c r="C21" s="12"/>
      <c r="D21" s="8"/>
    </row>
    <row r="22" spans="2:28">
      <c r="D22" s="8"/>
    </row>
    <row r="23" spans="2:28">
      <c r="C23" s="48"/>
      <c r="D23" s="95"/>
      <c r="E23" s="48"/>
    </row>
    <row r="24" spans="2:28">
      <c r="C24" s="48"/>
      <c r="D24" s="444"/>
      <c r="E24" s="48"/>
    </row>
    <row r="25" spans="2:28">
      <c r="C25" s="48"/>
      <c r="D25" s="444"/>
      <c r="E25" s="48"/>
    </row>
    <row r="26" spans="2:28">
      <c r="C26" s="48"/>
      <c r="D26" s="48"/>
      <c r="E26" s="48"/>
    </row>
    <row r="27" spans="2:28">
      <c r="C27" s="48"/>
      <c r="D27" s="48"/>
      <c r="E27" s="48"/>
    </row>
  </sheetData>
  <sheetProtection sheet="1" objects="1" scenarios="1"/>
  <phoneticPr fontId="2" type="noConversion"/>
  <pageMargins left="0.39370078740157483" right="0.39370078740157483" top="0.74803149606299213" bottom="0.74803149606299213" header="0.31496062992125984" footer="0.31496062992125984"/>
  <pageSetup paperSize="9" orientation="landscape" r:id="rId1"/>
  <headerFooter>
    <oddFooter>&amp;L&amp;APrinted &amp;D</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3"/>
  <sheetViews>
    <sheetView zoomScale="90" zoomScaleNormal="90" workbookViewId="0">
      <selection activeCell="A10" sqref="A10"/>
    </sheetView>
  </sheetViews>
  <sheetFormatPr defaultRowHeight="12.75"/>
  <cols>
    <col min="1" max="1" width="43.140625" style="340" customWidth="1"/>
    <col min="2" max="2" width="8.85546875" style="359" customWidth="1"/>
    <col min="3" max="3" width="14.140625" style="340" customWidth="1"/>
    <col min="4" max="4" width="29.5703125" style="340" customWidth="1"/>
    <col min="5" max="5" width="12.5703125" style="340" customWidth="1"/>
    <col min="6" max="6" width="11.42578125" style="340" customWidth="1"/>
    <col min="7" max="7" width="13" style="340" customWidth="1"/>
    <col min="8" max="8" width="13.140625" style="340" customWidth="1"/>
    <col min="9" max="9" width="12.42578125" style="340" customWidth="1"/>
    <col min="10" max="10" width="11.5703125" style="340" customWidth="1"/>
    <col min="11" max="11" width="16.140625" style="340" customWidth="1"/>
    <col min="12" max="12" width="5.7109375" style="340" customWidth="1"/>
    <col min="13" max="13" width="9.140625" style="340"/>
    <col min="14" max="14" width="0" style="340" hidden="1" customWidth="1"/>
    <col min="15" max="16384" width="9.140625" style="340"/>
  </cols>
  <sheetData>
    <row r="1" spans="1:14" s="670" customFormat="1">
      <c r="A1" s="689" t="s">
        <v>1018</v>
      </c>
      <c r="B1" s="677"/>
    </row>
    <row r="2" spans="1:14" ht="30" customHeight="1">
      <c r="A2" s="729" t="str">
        <f>IF(ISNA(MATCH("n",N5:N17,0)),"","The Estimated Hg input (or equivalent inserted IL2 results) marked in red colour is very high compared to previous observations. Data may be correct, but please confirm your activity rate data (or inserted IL2 data).")</f>
        <v/>
      </c>
      <c r="B2" s="730"/>
      <c r="C2" s="730"/>
      <c r="D2" s="730"/>
      <c r="E2" s="730"/>
      <c r="F2" s="730"/>
      <c r="G2" s="730"/>
      <c r="H2" s="730"/>
      <c r="I2" s="730"/>
      <c r="J2" s="730"/>
      <c r="K2" s="730"/>
      <c r="L2" s="731"/>
    </row>
    <row r="3" spans="1:14" s="682" customFormat="1" ht="38.25" customHeight="1">
      <c r="A3" s="662" t="s">
        <v>775</v>
      </c>
      <c r="B3" s="678" t="s">
        <v>776</v>
      </c>
      <c r="C3" s="681" t="s">
        <v>777</v>
      </c>
      <c r="D3" s="662"/>
      <c r="E3" s="680" t="s">
        <v>778</v>
      </c>
      <c r="F3" s="728" t="s">
        <v>779</v>
      </c>
      <c r="G3" s="728"/>
      <c r="H3" s="728"/>
      <c r="I3" s="728"/>
      <c r="J3" s="728"/>
      <c r="K3" s="728"/>
      <c r="L3" s="662"/>
    </row>
    <row r="4" spans="1:14" ht="43.5" customHeight="1" thickBot="1">
      <c r="A4" s="661" t="s">
        <v>832</v>
      </c>
      <c r="B4" s="484" t="str">
        <f>quest</f>
        <v>S/N/?</v>
      </c>
      <c r="C4" s="683" t="s">
        <v>781</v>
      </c>
      <c r="D4" s="684" t="s">
        <v>782</v>
      </c>
      <c r="E4" s="681" t="s">
        <v>783</v>
      </c>
      <c r="F4" s="685" t="s">
        <v>784</v>
      </c>
      <c r="G4" s="685" t="s">
        <v>785</v>
      </c>
      <c r="H4" s="685" t="s">
        <v>786</v>
      </c>
      <c r="I4" s="681" t="s">
        <v>787</v>
      </c>
      <c r="J4" s="726" t="s">
        <v>1062</v>
      </c>
      <c r="K4" s="726" t="s">
        <v>1066</v>
      </c>
      <c r="L4" s="662" t="s">
        <v>1017</v>
      </c>
      <c r="M4" s="671" t="s">
        <v>788</v>
      </c>
    </row>
    <row r="5" spans="1:14" ht="27">
      <c r="A5" s="663" t="s">
        <v>833</v>
      </c>
      <c r="B5" s="653"/>
      <c r="C5" s="378"/>
      <c r="D5" s="690" t="s">
        <v>845</v>
      </c>
      <c r="E5" s="465" t="str">
        <f>IF(OR($B5=yes,$B5=yes),'5-4 Int Hg in Industry'!K7, IF(OR($B5=no,$B5=no),"-", IF($B5=que,que, pres)))</f>
        <v>Presente?</v>
      </c>
      <c r="F5" s="279" t="str">
        <f>IF(OR($B5=yes,$B5=yes),'5-4 Int Hg in Industry'!V8, IF(OR($B5=no,$B5=no),"-", IF($B5=que,que, pres)))</f>
        <v>Presente?</v>
      </c>
      <c r="G5" s="279" t="str">
        <f>IF(OR($B5=yes,$B5=yes),'5-4 Int Hg in Industry'!W8, IF(OR($B5=no,$B5=no),"-", IF($B5=que,que, pres)))</f>
        <v>Presente?</v>
      </c>
      <c r="H5" s="279" t="str">
        <f>IF(OR($B5=yes,$B5=yes),'5-4 Int Hg in Industry'!X8, IF(OR($B5=no,$B5=no),"-", IF($B5=que,que, pres)))</f>
        <v>Presente?</v>
      </c>
      <c r="I5" s="279" t="str">
        <f>IF(OR($B5=yes,$B5=yes),'5-4 Int Hg in Industry'!Y8, IF(OR($B5=no,$B5=no),"-", IF($B5=que,que, pres)))</f>
        <v>Presente?</v>
      </c>
      <c r="J5" s="279" t="str">
        <f>IF(OR($B5=yes,$B5=yes),'5-4 Int Hg in Industry'!Z8, IF(OR($B5=no,$B5=no),"-", IF($B5=que,que, pres)))</f>
        <v>Presente?</v>
      </c>
      <c r="K5" s="279" t="str">
        <f>IF(OR($B5=yes,$B5=yes),'5-4 Int Hg in Industry'!AA8, IF(OR($B5=no,$B5=no),"-", IF($B5=que,que, pres)))</f>
        <v>Presente?</v>
      </c>
      <c r="L5" s="273" t="s">
        <v>152</v>
      </c>
      <c r="M5" s="468"/>
      <c r="N5" s="340" t="str">
        <f>INDEX('Range-thresholds'!$G$6:$G$72,MATCH(A5,'Range-thresholds'!$A$6:$A$72,0))</f>
        <v/>
      </c>
    </row>
    <row r="6" spans="1:14">
      <c r="A6" s="663" t="s">
        <v>834</v>
      </c>
      <c r="B6" s="654"/>
      <c r="C6" s="380"/>
      <c r="D6" s="690" t="s">
        <v>846</v>
      </c>
      <c r="E6" s="465" t="str">
        <f>IF(OR($B6=yes,$B6=yes),'5-4 Int Hg in Industry'!K10, IF(OR($B6=no,$B6=no),"-", IF($B6=que,que, pres)))</f>
        <v>Presente?</v>
      </c>
      <c r="F6" s="279" t="str">
        <f>IF(OR($B6=yes,$B6=yes),'5-4 Int Hg in Industry'!V10, IF(OR($B6=no,$B6=no),"-", IF($B6=que,que, pres)))</f>
        <v>Presente?</v>
      </c>
      <c r="G6" s="279" t="str">
        <f>IF(OR($B6=yes,$B6=yes),'5-4 Int Hg in Industry'!W10, IF(OR($B6=no,$B6=no),"-", IF($B6=que,que, pres)))</f>
        <v>Presente?</v>
      </c>
      <c r="H6" s="279" t="str">
        <f>IF(OR($B6=yes,$B6=yes),'5-4 Int Hg in Industry'!X10, IF(OR($B6=no,$B6=no),"-", IF($B6=que,que, pres)))</f>
        <v>Presente?</v>
      </c>
      <c r="I6" s="279" t="str">
        <f>IF(OR($B6=yes,$B6=yes),'5-4 Int Hg in Industry'!Y10, IF(OR($B6=no,$B6=no),"-", IF($B6=que,que, pres)))</f>
        <v>Presente?</v>
      </c>
      <c r="J6" s="279" t="str">
        <f>IF(OR($B6=yes,$B6=yes),'5-4 Int Hg in Industry'!Z10, IF(OR($B6=no,$B6=no),"-", IF($B6=que,que, pres)))</f>
        <v>Presente?</v>
      </c>
      <c r="K6" s="279" t="str">
        <f>IF(OR($B6=yes,$B6=yes),'5-4 Int Hg in Industry'!AA10, IF(OR($B6=no,$B6=no),"-", IF($B6=que,que, pres)))</f>
        <v>Presente?</v>
      </c>
      <c r="L6" s="273" t="s">
        <v>154</v>
      </c>
      <c r="M6" s="468"/>
      <c r="N6" s="340" t="str">
        <f>INDEX('Range-thresholds'!$G$6:$G$72,MATCH(A6,'Range-thresholds'!$A$6:$A$72,0))</f>
        <v/>
      </c>
    </row>
    <row r="7" spans="1:14" ht="26.25" thickBot="1">
      <c r="A7" s="663" t="s">
        <v>835</v>
      </c>
      <c r="B7" s="655"/>
      <c r="C7" s="402"/>
      <c r="D7" s="690" t="s">
        <v>847</v>
      </c>
      <c r="E7" s="465" t="str">
        <f>IF(OR($B7=yes,$B7=yes),'5-4 Int Hg in Industry'!K12, IF(OR($B7=no,$B7=no),"-", IF($B7=que,que, pres)))</f>
        <v>Presente?</v>
      </c>
      <c r="F7" s="279" t="str">
        <f>IF(OR($B7=yes,$B7=yes),'5-4 Int Hg in Industry'!V12, IF(OR($B7=no,$B7=no),"-", IF($B7=que,que, pres)))</f>
        <v>Presente?</v>
      </c>
      <c r="G7" s="279" t="str">
        <f>IF(OR($B7=yes,$B7=yes),'5-4 Int Hg in Industry'!W12, IF(OR($B7=no,$B7=no),"-", IF($B7=que,que, pres)))</f>
        <v>Presente?</v>
      </c>
      <c r="H7" s="279" t="str">
        <f>IF(OR($B7=yes,$B7=yes),'5-4 Int Hg in Industry'!X12, IF(OR($B7=no,$B7=no),"-", IF($B7=que,que, pres)))</f>
        <v>Presente?</v>
      </c>
      <c r="I7" s="279" t="str">
        <f>IF(OR($B7=yes,$B7=yes),'5-4 Int Hg in Industry'!Y12, IF(OR($B7=no,$B7=no),"-", IF($B7=que,que, pres)))</f>
        <v>Presente?</v>
      </c>
      <c r="J7" s="279" t="str">
        <f>IF(OR($B7=yes,$B7=yes),'5-4 Int Hg in Industry'!Z12, IF(OR($B7=no,$B7=no),"-", IF($B7=que,que, pres)))</f>
        <v>Presente?</v>
      </c>
      <c r="K7" s="279" t="str">
        <f>IF(OR($B7=yes,$B7=yes),'5-4 Int Hg in Industry'!AA12, IF(OR($B7=no,$B7=no),"-", IF($B7=que,que, pres)))</f>
        <v>Presente?</v>
      </c>
      <c r="L7" s="273" t="s">
        <v>380</v>
      </c>
      <c r="M7" s="468"/>
      <c r="N7" s="340" t="str">
        <f>INDEX('Range-thresholds'!$G$6:$G$72,MATCH(A7,'Range-thresholds'!$A$6:$A$72,0))</f>
        <v/>
      </c>
    </row>
    <row r="8" spans="1:14">
      <c r="A8" s="662"/>
      <c r="B8" s="486"/>
      <c r="C8" s="350"/>
      <c r="D8" s="688"/>
      <c r="E8" s="278"/>
      <c r="F8" s="279"/>
      <c r="G8" s="279"/>
      <c r="H8" s="279"/>
      <c r="I8" s="279"/>
      <c r="J8" s="279"/>
      <c r="K8" s="279"/>
      <c r="L8" s="273"/>
      <c r="M8" s="468"/>
    </row>
    <row r="9" spans="1:14" ht="13.5" thickBot="1">
      <c r="A9" s="661" t="s">
        <v>836</v>
      </c>
      <c r="B9" s="487"/>
      <c r="C9" s="348"/>
      <c r="D9" s="688"/>
      <c r="E9" s="278"/>
      <c r="F9" s="279"/>
      <c r="G9" s="279"/>
      <c r="H9" s="279"/>
      <c r="I9" s="279"/>
      <c r="J9" s="279"/>
      <c r="K9" s="279"/>
      <c r="L9" s="273"/>
      <c r="M9" s="468"/>
    </row>
    <row r="10" spans="1:14" ht="25.5">
      <c r="A10" s="663" t="s">
        <v>837</v>
      </c>
      <c r="B10" s="365"/>
      <c r="C10" s="378"/>
      <c r="D10" s="687" t="s">
        <v>848</v>
      </c>
      <c r="E10" s="465" t="str">
        <f>IF(OR($B10=yes,$B10=yes),'5-5 Cons prod'!K7, IF(OR($B10=no,$B10=no),"-", IF($B10=que,que, pres)))</f>
        <v>Presente?</v>
      </c>
      <c r="F10" s="279" t="str">
        <f>IF(OR($B10=yes,$B10=yes),'5-5 Cons prod'!V7, IF(OR($B10=no,$B10=no),"-", IF($B10=que,que, pres)))</f>
        <v>Presente?</v>
      </c>
      <c r="G10" s="279" t="str">
        <f>IF(OR($B10=yes,$B10=yes),'5-5 Cons prod'!W7, IF(OR($B10=no,$B10=no),"-", IF($B10=que,que, pres)))</f>
        <v>Presente?</v>
      </c>
      <c r="H10" s="279" t="str">
        <f>IF(OR($B10=yes,$B10=yes),'5-5 Cons prod'!X7, IF(OR($B10=no,$B10=no),"-", IF($B10=que,que, pres)))</f>
        <v>Presente?</v>
      </c>
      <c r="I10" s="279" t="str">
        <f>IF(OR($B10=yes,$B10=yes),'5-5 Cons prod'!Y7, IF(OR($B10=no,$B10=no),"-", IF($B10=que,que, pres)))</f>
        <v>Presente?</v>
      </c>
      <c r="J10" s="279" t="str">
        <f>IF(OR($B10=yes,$B10=yes),'5-5 Cons prod'!Z7, IF(OR($B10=no,$B10=no),"-", IF($B10=que,que, pres)))</f>
        <v>Presente?</v>
      </c>
      <c r="K10" s="279" t="str">
        <f>IF(OR($B10=yes,$B10=yes),'5-5 Cons prod'!AA7, IF(OR($B10=no,$B10=no),"-", IF($B10=que,que, pres)))</f>
        <v>Presente?</v>
      </c>
      <c r="L10" s="273" t="s">
        <v>91</v>
      </c>
      <c r="M10" s="469"/>
      <c r="N10" s="340" t="str">
        <f>INDEX('Range-thresholds'!$G$6:$G$72,MATCH(A10,'Range-thresholds'!$A$6:$A$72,0))</f>
        <v/>
      </c>
    </row>
    <row r="11" spans="1:14">
      <c r="A11" s="663" t="s">
        <v>838</v>
      </c>
      <c r="B11" s="654"/>
      <c r="C11" s="380"/>
      <c r="D11" s="687" t="s">
        <v>848</v>
      </c>
      <c r="E11" s="465" t="str">
        <f>IF(OR($B11=yes,$B11=yes),'5-5 Cons prod'!K19, IF(OR($B11=no,$B11=no),"-", IF($B11=que,que, pres)))</f>
        <v>Presente?</v>
      </c>
      <c r="F11" s="279" t="str">
        <f>IF(OR($B11=yes,$B11=yes),'5-5 Cons prod'!V19, IF(OR($B11=no,$B11=no),"-", IF($B11=que,que, pres)))</f>
        <v>Presente?</v>
      </c>
      <c r="G11" s="279" t="str">
        <f>IF(OR($B11=yes,$B11=yes),'5-5 Cons prod'!W19, IF(OR($B11=no,$B11=no),"-", IF($B11=que,que, pres)))</f>
        <v>Presente?</v>
      </c>
      <c r="H11" s="279" t="str">
        <f>IF(OR($B11=yes,$B11=yes),'5-5 Cons prod'!X19, IF(OR($B11=no,$B11=no),"-", IF($B11=que,que, pres)))</f>
        <v>Presente?</v>
      </c>
      <c r="I11" s="279" t="str">
        <f>IF(OR($B11=yes,$B11=yes),'5-5 Cons prod'!Y19, IF(OR($B11=no,$B11=no),"-", IF($B11=que,que, pres)))</f>
        <v>Presente?</v>
      </c>
      <c r="J11" s="279" t="str">
        <f>IF(OR($B11=yes,$B11=yes),'5-5 Cons prod'!Z19, IF(OR($B11=no,$B11=no),"-", IF($B11=que,que, pres)))</f>
        <v>Presente?</v>
      </c>
      <c r="K11" s="279" t="str">
        <f>IF(OR($B11=yes,$B11=yes),'5-5 Cons prod'!AA19, IF(OR($B11=no,$B11=no),"-", IF($B11=que,que, pres)))</f>
        <v>Presente?</v>
      </c>
      <c r="L11" s="273" t="s">
        <v>116</v>
      </c>
      <c r="M11" s="469"/>
      <c r="N11" s="340" t="str">
        <f>INDEX('Range-thresholds'!$G$6:$G$72,MATCH(A11,'Range-thresholds'!$A$6:$A$72,0))</f>
        <v/>
      </c>
    </row>
    <row r="12" spans="1:14" ht="25.5">
      <c r="A12" s="663" t="s">
        <v>839</v>
      </c>
      <c r="B12" s="654"/>
      <c r="C12" s="380"/>
      <c r="D12" s="687" t="s">
        <v>848</v>
      </c>
      <c r="E12" s="465" t="str">
        <f>IF(OR($B12=yes,$B12=yes),'5-5 Cons prod'!K26, IF(OR($B12=no,$B12=no),"-", IF($B12=que,que, pres)))</f>
        <v>Presente?</v>
      </c>
      <c r="F12" s="279" t="str">
        <f>IF(OR($B12=yes,$B12=yes),'5-5 Cons prod'!V26, IF(OR($B12=no,$B12=no),"-", IF($B12=que,que, pres)))</f>
        <v>Presente?</v>
      </c>
      <c r="G12" s="279" t="str">
        <f>IF(OR($B12=yes,$B12=yes),'5-5 Cons prod'!W26, IF(OR($B12=no,$B12=no),"-", IF($B12=que,que, pres)))</f>
        <v>Presente?</v>
      </c>
      <c r="H12" s="279" t="str">
        <f>IF(OR($B12=yes,$B12=yes),'5-5 Cons prod'!X26, IF(OR($B12=no,$B12=no),"-", IF($B12=que,que, pres)))</f>
        <v>Presente?</v>
      </c>
      <c r="I12" s="279" t="str">
        <f>IF(OR($B12=yes,$B12=yes),'5-5 Cons prod'!Y26, IF(OR($B12=no,$B12=no),"-", IF($B12=que,que, pres)))</f>
        <v>Presente?</v>
      </c>
      <c r="J12" s="279" t="str">
        <f>IF(OR($B12=yes,$B12=yes),'5-5 Cons prod'!Z26, IF(OR($B12=no,$B12=no),"-", IF($B12=que,que, pres)))</f>
        <v>Presente?</v>
      </c>
      <c r="K12" s="279" t="str">
        <f>IF(OR($B12=yes,$B12=yes),'5-5 Cons prod'!AA26, IF(OR($B12=no,$B12=no),"-", IF($B12=que,que, pres)))</f>
        <v>Presente?</v>
      </c>
      <c r="L12" s="273" t="s">
        <v>121</v>
      </c>
      <c r="M12" s="468"/>
      <c r="N12" s="340" t="str">
        <f>INDEX('Range-thresholds'!$G$6:$G$72,MATCH(A12,'Range-thresholds'!$A$6:$A$72,0))</f>
        <v/>
      </c>
    </row>
    <row r="13" spans="1:14">
      <c r="A13" s="663" t="s">
        <v>840</v>
      </c>
      <c r="B13" s="654"/>
      <c r="C13" s="380"/>
      <c r="D13" s="687" t="s">
        <v>848</v>
      </c>
      <c r="E13" s="465" t="str">
        <f>IF(OR($B13=yes,$B13=yes),'5-5 Cons prod'!K36, IF(OR($B13=no,$B13=no),"-", IF($B13=que,que, pres)))</f>
        <v>Presente?</v>
      </c>
      <c r="F13" s="279" t="str">
        <f>IF(OR($B13=yes,$B13=yes),'5-5 Cons prod'!V36, IF(OR($B13=no,$B13=no),"-", IF($B13=que,que, pres)))</f>
        <v>Presente?</v>
      </c>
      <c r="G13" s="279" t="str">
        <f>IF(OR($B13=yes,$B13=yes),'5-5 Cons prod'!W36, IF(OR($B13=no,$B13=no),"-", IF($B13=que,que, pres)))</f>
        <v>Presente?</v>
      </c>
      <c r="H13" s="279" t="str">
        <f>IF(OR($B13=yes,$B13=yes),'5-5 Cons prod'!X36, IF(OR($B13=no,$B13=no),"-", IF($B13=que,que, pres)))</f>
        <v>Presente?</v>
      </c>
      <c r="I13" s="279" t="str">
        <f>IF(OR($B13=yes,$B13=yes),'5-5 Cons prod'!Y36, IF(OR($B13=no,$B13=no),"-", IF($B13=que,que, pres)))</f>
        <v>Presente?</v>
      </c>
      <c r="J13" s="279" t="str">
        <f>IF(OR($B13=yes,$B13=yes),'5-5 Cons prod'!Z36, IF(OR($B13=no,$B13=no),"-", IF($B13=que,que, pres)))</f>
        <v>Presente?</v>
      </c>
      <c r="K13" s="279" t="str">
        <f>IF(OR($B13=yes,$B13=yes),'5-5 Cons prod'!AA36, IF(OR($B13=no,$B13=no),"-", IF($B13=que,que, pres)))</f>
        <v>Presente?</v>
      </c>
      <c r="L13" s="273" t="s">
        <v>137</v>
      </c>
      <c r="M13" s="468"/>
      <c r="N13" s="340" t="str">
        <f>INDEX('Range-thresholds'!$G$6:$G$72,MATCH(A13,'Range-thresholds'!$A$6:$A$72,0))</f>
        <v/>
      </c>
    </row>
    <row r="14" spans="1:14">
      <c r="A14" s="663" t="s">
        <v>841</v>
      </c>
      <c r="B14" s="654"/>
      <c r="C14" s="380"/>
      <c r="D14" s="687" t="s">
        <v>848</v>
      </c>
      <c r="E14" s="465" t="str">
        <f>IF(OR($B14=yes,$B14=yes),'5-6 Other int use'!N14, IF(OR($B14=no,$B14=no),"-", IF($B14=que,que, pres)))</f>
        <v>Presente?</v>
      </c>
      <c r="F14" s="279" t="str">
        <f>IF(OR($B14=yes,$B14=yes),'5-6 Other int use'!V14, IF(OR($B14=no,$B14=no),"-", IF($B14=que,que, pres)))</f>
        <v>Presente?</v>
      </c>
      <c r="G14" s="279" t="str">
        <f>IF(OR($B14=yes,$B14=yes),'5-6 Other int use'!W14, IF(OR($B14=no,$B14=no),"-", IF($B14=que,que, pres)))</f>
        <v>Presente?</v>
      </c>
      <c r="H14" s="279" t="str">
        <f>IF(OR($B14=yes,$B14=yes),'5-6 Other int use'!X14, IF(OR($B14=no,$B14=no),"-", IF($B14=que,que, pres)))</f>
        <v>Presente?</v>
      </c>
      <c r="I14" s="279" t="str">
        <f>IF(OR($B14=yes,$B14=yes),'5-6 Other int use'!Y14, IF(OR($B14=no,$B14=no),"-", IF($B14=que,que, pres)))</f>
        <v>Presente?</v>
      </c>
      <c r="J14" s="279" t="str">
        <f>IF(OR($B14=yes,$B14=yes),'5-6 Other int use'!Z14, IF(OR($B14=no,$B14=no),"-", IF($B14=que,que, pres)))</f>
        <v>Presente?</v>
      </c>
      <c r="K14" s="279" t="str">
        <f>IF(OR($B14=yes,$B14=yes),'5-6 Other int use'!AA14, IF(OR($B14=no,$B14=no),"-", IF($B14=que,que, pres)))</f>
        <v>Presente?</v>
      </c>
      <c r="L14" s="273" t="s">
        <v>235</v>
      </c>
      <c r="M14" s="468"/>
      <c r="N14" s="340" t="str">
        <f>INDEX('Range-thresholds'!$G$6:$G$72,MATCH(A14,'Range-thresholds'!$A$6:$A$72,0))</f>
        <v/>
      </c>
    </row>
    <row r="15" spans="1:14">
      <c r="A15" s="663" t="s">
        <v>842</v>
      </c>
      <c r="B15" s="654"/>
      <c r="C15" s="380"/>
      <c r="D15" s="687" t="s">
        <v>848</v>
      </c>
      <c r="E15" s="465" t="str">
        <f>IF(OR($B15=yes,$B15=yes),'5-5 Cons prod'!K55, IF(OR($B15=no,$B15=no),"-", IF($B15=que,que, pres)))</f>
        <v>Presente?</v>
      </c>
      <c r="F15" s="279" t="str">
        <f>IF(OR($B15=yes,$B15=yes),'5-5 Cons prod'!V55, IF(OR($B15=no,$B15=no),"-", IF($B15=que,que, pres)))</f>
        <v>Presente?</v>
      </c>
      <c r="G15" s="279" t="str">
        <f>IF(OR($B15=yes,$B15=yes),'5-5 Cons prod'!W55, IF(OR($B15=no,$B15=no),"-", IF($B15=que,que, pres)))</f>
        <v>Presente?</v>
      </c>
      <c r="H15" s="279" t="str">
        <f>IF(OR($B15=yes,$B15=yes),'5-5 Cons prod'!X55, IF(OR($B15=no,$B15=no),"-", IF($B15=que,que, pres)))</f>
        <v>Presente?</v>
      </c>
      <c r="I15" s="279" t="str">
        <f>IF(OR($B15=yes,$B15=yes),'5-5 Cons prod'!Y55, IF(OR($B15=no,$B15=no),"-", IF($B15=que,que, pres)))</f>
        <v>Presente?</v>
      </c>
      <c r="J15" s="279" t="str">
        <f>IF(OR($B15=yes,$B15=yes),'5-5 Cons prod'!Z55, IF(OR($B15=no,$B15=no),"-", IF($B15=que,que, pres)))</f>
        <v>Presente?</v>
      </c>
      <c r="K15" s="279" t="str">
        <f>IF(OR($B15=yes,$B15=yes),'5-5 Cons prod'!AA55, IF(OR($B15=no,$B15=no),"-", IF($B15=que,que, pres)))</f>
        <v>Presente?</v>
      </c>
      <c r="L15" s="273" t="s">
        <v>136</v>
      </c>
      <c r="M15" s="468"/>
      <c r="N15" s="340" t="str">
        <f>INDEX('Range-thresholds'!$G$6:$G$72,MATCH(A15,'Range-thresholds'!$A$6:$A$72,0))</f>
        <v/>
      </c>
    </row>
    <row r="16" spans="1:14">
      <c r="A16" s="663" t="s">
        <v>843</v>
      </c>
      <c r="B16" s="656"/>
      <c r="C16" s="380"/>
      <c r="D16" s="687" t="s">
        <v>848</v>
      </c>
      <c r="E16" s="465" t="str">
        <f>IF(OR($B16=yes,$B16=yes),'5-5 Cons prod'!K59, IF(OR($B16=no,$B16=no),"-", IF($B16=que,que, pres)))</f>
        <v>Presente?</v>
      </c>
      <c r="F16" s="279" t="str">
        <f>IF(OR($B16=yes,$B16=yes),'5-5 Cons prod'!V59, IF(OR($B16=no,$B16=no),"-", IF($B16=que,que, pres)))</f>
        <v>Presente?</v>
      </c>
      <c r="G16" s="279" t="str">
        <f>IF(OR($B16=yes,$B16=yes),'5-5 Cons prod'!W59, IF(OR($B16=no,$B16=no),"-", IF($B16=que,que, pres)))</f>
        <v>Presente?</v>
      </c>
      <c r="H16" s="279" t="str">
        <f>IF(OR($B16=yes,$B16=yes),'5-5 Cons prod'!X59, IF(OR($B16=no,$B16=no),"-", IF($B16=que,que, pres)))</f>
        <v>Presente?</v>
      </c>
      <c r="I16" s="279" t="str">
        <f>IF(OR($B16=yes,$B16=yes),'5-5 Cons prod'!Y59, IF(OR($B16=no,$B16=no),"-", IF($B16=que,que, pres)))</f>
        <v>Presente?</v>
      </c>
      <c r="J16" s="279" t="str">
        <f>IF(OR($B16=yes,$B16=yes),'5-5 Cons prod'!Z59, IF(OR($B16=no,$B16=no),"-", IF($B16=que,que, pres)))</f>
        <v>Presente?</v>
      </c>
      <c r="K16" s="279" t="str">
        <f>IF(OR($B16=yes,$B16=yes),'5-5 Cons prod'!AA59, IF(OR($B16=no,$B16=no),"-", IF($B16=que,que, pres)))</f>
        <v>Presente?</v>
      </c>
      <c r="L16" s="273" t="s">
        <v>145</v>
      </c>
      <c r="M16" s="468"/>
      <c r="N16" s="340" t="str">
        <f>INDEX('Range-thresholds'!$G$6:$G$72,MATCH(A16,'Range-thresholds'!$A$6:$A$72,0))</f>
        <v/>
      </c>
    </row>
    <row r="17" spans="1:14" ht="26.25" thickBot="1">
      <c r="A17" s="663" t="s">
        <v>844</v>
      </c>
      <c r="B17" s="655"/>
      <c r="C17" s="402"/>
      <c r="D17" s="687" t="s">
        <v>848</v>
      </c>
      <c r="E17" s="465" t="str">
        <f>IF(OR($B17=yes,$B17=yes),'5-5 Cons prod'!K63, IF(OR($B17=no,$B17=no),"-", IF($B17=que,que, pres)))</f>
        <v>Presente?</v>
      </c>
      <c r="F17" s="279" t="str">
        <f>IF(OR($B17=yes,$B17=yes),'5-5 Cons prod'!V63, IF(OR($B17=no,$B17=no),"-", IF($B17=que,que, pres)))</f>
        <v>Presente?</v>
      </c>
      <c r="G17" s="279" t="str">
        <f>IF(OR($B17=yes,$B17=yes),'5-5 Cons prod'!W63, IF(OR($B17=no,$B17=no),"-", IF($B17=que,que, pres)))</f>
        <v>Presente?</v>
      </c>
      <c r="H17" s="279" t="str">
        <f>IF(OR($B17=yes,$B17=yes),'5-5 Cons prod'!X63, IF(OR($B17=no,$B17=no),"-", IF($B17=que,que, pres)))</f>
        <v>Presente?</v>
      </c>
      <c r="I17" s="279" t="str">
        <f>IF(OR($B17=yes,$B17=yes),'5-5 Cons prod'!Y63, IF(OR($B17=no,$B17=no),"-", IF($B17=que,que, pres)))</f>
        <v>Presente?</v>
      </c>
      <c r="J17" s="279" t="str">
        <f>IF(OR($B17=yes,$B17=yes),'5-5 Cons prod'!Z63, IF(OR($B17=no,$B17=no),"-", IF($B17=que,que, pres)))</f>
        <v>Presente?</v>
      </c>
      <c r="K17" s="279" t="str">
        <f>IF(OR($B17=yes,$B17=yes),'5-5 Cons prod'!AA63, IF(OR($B17=no,$B17=no),"-", IF($B17=que,que, pres)))</f>
        <v>Presente?</v>
      </c>
      <c r="L17" s="273" t="s">
        <v>382</v>
      </c>
      <c r="M17" s="469"/>
      <c r="N17" s="340" t="str">
        <f>INDEX('Range-thresholds'!$G$6:$G$72,MATCH(A17,'Range-thresholds'!$A$6:$A$72,0))</f>
        <v/>
      </c>
    </row>
    <row r="18" spans="1:14">
      <c r="A18" s="357"/>
      <c r="B18" s="358"/>
    </row>
    <row r="19" spans="1:14">
      <c r="A19" s="357"/>
      <c r="B19" s="358"/>
    </row>
    <row r="20" spans="1:14">
      <c r="A20" s="623" t="s">
        <v>748</v>
      </c>
    </row>
    <row r="21" spans="1:14">
      <c r="A21" s="623"/>
    </row>
    <row r="23" spans="1:14">
      <c r="A23" s="562"/>
      <c r="B23" s="622"/>
      <c r="C23" s="562"/>
      <c r="D23" s="562"/>
    </row>
  </sheetData>
  <mergeCells count="2">
    <mergeCell ref="F3:K3"/>
    <mergeCell ref="A2:L2"/>
  </mergeCells>
  <conditionalFormatting sqref="A2">
    <cfRule type="expression" dxfId="14" priority="4" stopIfTrue="1">
      <formula>$A$2&lt;&gt;""</formula>
    </cfRule>
  </conditionalFormatting>
  <conditionalFormatting sqref="E5:E7 E10:E17">
    <cfRule type="expression" dxfId="13" priority="6" stopIfTrue="1">
      <formula>AND(B5="y",N5="n")</formula>
    </cfRule>
  </conditionalFormatting>
  <dataValidations xWindow="441" yWindow="461" count="2">
    <dataValidation type="decimal" allowBlank="1" showInputMessage="1" showErrorMessage="1" errorTitle="Input error" error="Use digits and decimal mark only." promptTitle="Input cell" prompt="Use digits and decimal mark only." sqref="C5:C7 C10:C17">
      <formula1>-9.99999999999999E+22</formula1>
      <formula2>9.99999999999999E+22</formula2>
    </dataValidation>
    <dataValidation type="list" allowBlank="1" showInputMessage="1" showErrorMessage="1" errorTitle="Input error" error="Enter only y, n or ? (or translation of these)" sqref="B5:B7 B10:B17">
      <formula1>yn?</formula1>
    </dataValidation>
  </dataValidations>
  <pageMargins left="0.39370078740157483" right="0.39370078740157483" top="0.74803149606299213" bottom="0.74803149606299213" header="0.31496062992125984" footer="0.31496062992125984"/>
  <pageSetup paperSize="9" scale="74" orientation="landscape" r:id="rId1"/>
  <headerFooter>
    <oddFooter>&amp;L&amp;APrinted &amp;D</oddFooter>
  </headerFooter>
  <extLst>
    <ext xmlns:x14="http://schemas.microsoft.com/office/spreadsheetml/2009/9/main" uri="{78C0D931-6437-407d-A8EE-F0AAD7539E65}">
      <x14:conditionalFormattings>
        <x14:conditionalFormatting xmlns:xm="http://schemas.microsoft.com/office/excel/2006/main">
          <x14:cfRule type="expression" priority="1" id="{2DA2B224-945B-4AAB-83A3-2A4A860F2BEE}">
            <xm:f>'Insert IL2 results'!#REF!&lt;&gt;""</xm:f>
            <x14:dxf>
              <font>
                <color rgb="FFFF0000"/>
              </font>
            </x14:dxf>
          </x14:cfRule>
          <xm:sqref>A20</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77"/>
  <sheetViews>
    <sheetView workbookViewId="0">
      <selection activeCell="F24" sqref="F24"/>
    </sheetView>
  </sheetViews>
  <sheetFormatPr defaultRowHeight="12.75"/>
  <cols>
    <col min="1" max="1" width="3" customWidth="1"/>
    <col min="2" max="2" width="6.140625" customWidth="1"/>
    <col min="3" max="3" width="40" customWidth="1"/>
    <col min="4" max="4" width="7.28515625" customWidth="1"/>
    <col min="5" max="5" width="14.42578125" customWidth="1"/>
    <col min="6" max="6" width="20.7109375" customWidth="1"/>
    <col min="7" max="7" width="10.28515625" customWidth="1"/>
    <col min="8" max="8" width="9.42578125" customWidth="1"/>
    <col min="9" max="9" width="12.5703125" customWidth="1"/>
    <col min="10" max="10" width="19.140625" customWidth="1"/>
    <col min="11" max="11" width="11.28515625" customWidth="1"/>
    <col min="12" max="12" width="11.5703125" customWidth="1"/>
    <col min="13" max="13" width="21.140625" style="13" customWidth="1"/>
    <col min="14" max="14" width="9.140625" style="242"/>
    <col min="16" max="16" width="5.42578125" customWidth="1"/>
    <col min="17" max="17" width="5.28515625" customWidth="1"/>
    <col min="18" max="18" width="5" customWidth="1"/>
    <col min="19" max="19" width="8.42578125" customWidth="1"/>
    <col min="21" max="21" width="17.5703125" customWidth="1"/>
    <col min="22" max="22" width="12.5703125" customWidth="1"/>
    <col min="24" max="24" width="9.7109375" customWidth="1"/>
    <col min="25" max="25" width="11.140625" customWidth="1"/>
    <col min="26" max="26" width="11.5703125" customWidth="1"/>
    <col min="27" max="27" width="17" customWidth="1"/>
    <col min="28" max="28" width="63.42578125" customWidth="1"/>
  </cols>
  <sheetData>
    <row r="1" spans="1:28" ht="18">
      <c r="A1" s="1" t="s">
        <v>34</v>
      </c>
      <c r="L1" s="48"/>
      <c r="M1" s="48"/>
      <c r="N1" s="232"/>
    </row>
    <row r="2" spans="1:28" ht="15">
      <c r="A2" s="54" t="s">
        <v>322</v>
      </c>
      <c r="L2" s="48"/>
      <c r="M2" s="48"/>
      <c r="N2" s="232"/>
    </row>
    <row r="3" spans="1:28" s="5" customFormat="1">
      <c r="D3" s="7"/>
      <c r="E3" s="7"/>
      <c r="F3" s="7"/>
      <c r="G3" s="7"/>
      <c r="H3" s="7"/>
      <c r="I3" s="7"/>
      <c r="J3" s="7"/>
      <c r="K3" s="7"/>
      <c r="L3" s="30"/>
      <c r="M3" s="30"/>
      <c r="N3" s="257"/>
      <c r="O3" s="7"/>
      <c r="P3" s="65" t="s">
        <v>55</v>
      </c>
      <c r="Q3" s="65"/>
      <c r="R3" s="65"/>
      <c r="S3" s="65"/>
      <c r="T3" s="65"/>
      <c r="U3" s="65"/>
      <c r="V3" s="10" t="s">
        <v>54</v>
      </c>
      <c r="W3" s="103"/>
      <c r="X3" s="103"/>
      <c r="Y3" s="103"/>
      <c r="Z3" s="103"/>
      <c r="AA3" s="103"/>
      <c r="AB3" s="65"/>
    </row>
    <row r="4" spans="1:28" s="144" customFormat="1" ht="38.25">
      <c r="A4" s="144" t="s">
        <v>52</v>
      </c>
      <c r="B4" s="144" t="s">
        <v>50</v>
      </c>
      <c r="C4" s="134" t="s">
        <v>59</v>
      </c>
      <c r="D4" s="112" t="s">
        <v>159</v>
      </c>
      <c r="E4" s="134" t="s">
        <v>49</v>
      </c>
      <c r="F4" s="143" t="s">
        <v>35</v>
      </c>
      <c r="G4" s="112" t="s">
        <v>37</v>
      </c>
      <c r="H4" s="143" t="s">
        <v>35</v>
      </c>
      <c r="I4" s="112" t="s">
        <v>51</v>
      </c>
      <c r="J4" s="144" t="s">
        <v>35</v>
      </c>
      <c r="K4" s="84" t="s">
        <v>61</v>
      </c>
      <c r="L4" s="143" t="s">
        <v>35</v>
      </c>
      <c r="M4" s="126" t="s">
        <v>219</v>
      </c>
      <c r="N4" s="247" t="s">
        <v>94</v>
      </c>
      <c r="O4" s="143" t="s">
        <v>35</v>
      </c>
      <c r="P4" s="111" t="s">
        <v>38</v>
      </c>
      <c r="Q4" s="111" t="s">
        <v>39</v>
      </c>
      <c r="R4" s="111" t="s">
        <v>40</v>
      </c>
      <c r="S4" s="111" t="s">
        <v>41</v>
      </c>
      <c r="T4" s="112" t="s">
        <v>42</v>
      </c>
      <c r="U4" s="112" t="s">
        <v>237</v>
      </c>
      <c r="V4" s="56" t="s">
        <v>38</v>
      </c>
      <c r="W4" s="56" t="s">
        <v>39</v>
      </c>
      <c r="X4" s="56" t="s">
        <v>40</v>
      </c>
      <c r="Y4" s="56" t="s">
        <v>41</v>
      </c>
      <c r="Z4" s="57" t="s">
        <v>42</v>
      </c>
      <c r="AA4" s="57" t="s">
        <v>237</v>
      </c>
      <c r="AB4" s="111" t="s">
        <v>89</v>
      </c>
    </row>
    <row r="5" spans="1:28" s="129" customFormat="1" ht="25.5">
      <c r="A5" s="129" t="s">
        <v>151</v>
      </c>
      <c r="C5" s="134" t="s">
        <v>150</v>
      </c>
      <c r="D5" s="111"/>
      <c r="F5" s="128"/>
      <c r="G5" s="76"/>
      <c r="H5" s="128"/>
      <c r="I5" s="255"/>
      <c r="K5" s="113"/>
      <c r="L5" s="128"/>
      <c r="M5" s="123"/>
      <c r="N5" s="249"/>
      <c r="O5" s="128"/>
      <c r="P5" s="282"/>
      <c r="Q5" s="76"/>
      <c r="R5" s="76"/>
      <c r="S5" s="76"/>
      <c r="T5" s="76"/>
      <c r="U5" s="76"/>
      <c r="V5" s="58"/>
      <c r="W5" s="58"/>
      <c r="X5" s="58"/>
      <c r="Y5" s="58"/>
      <c r="Z5" s="58"/>
      <c r="AA5" s="58"/>
      <c r="AB5" s="76"/>
    </row>
    <row r="6" spans="1:28" ht="25.5">
      <c r="B6" t="s">
        <v>152</v>
      </c>
      <c r="C6" s="12" t="s">
        <v>153</v>
      </c>
      <c r="D6" s="111"/>
      <c r="G6" s="287"/>
      <c r="I6" s="288"/>
      <c r="K6" s="289">
        <f>K7</f>
        <v>0</v>
      </c>
      <c r="L6" s="28"/>
      <c r="M6" s="158" t="s">
        <v>160</v>
      </c>
      <c r="N6" s="249"/>
      <c r="O6" s="3"/>
      <c r="P6" s="76"/>
      <c r="Q6" s="76"/>
      <c r="R6" s="76"/>
      <c r="S6" s="76"/>
      <c r="T6" s="76"/>
      <c r="U6" s="76"/>
      <c r="V6" s="153">
        <f t="shared" ref="V6:AA6" si="0">SUM(V7:V8)</f>
        <v>0</v>
      </c>
      <c r="W6" s="153">
        <f t="shared" si="0"/>
        <v>0</v>
      </c>
      <c r="X6" s="153">
        <f t="shared" si="0"/>
        <v>0</v>
      </c>
      <c r="Y6" s="153">
        <f t="shared" si="0"/>
        <v>0</v>
      </c>
      <c r="Z6" s="153">
        <f t="shared" si="0"/>
        <v>0</v>
      </c>
      <c r="AA6" s="153">
        <f t="shared" si="0"/>
        <v>0</v>
      </c>
      <c r="AB6" s="76"/>
    </row>
    <row r="7" spans="1:28" ht="51">
      <c r="C7" s="12"/>
      <c r="D7" s="111"/>
      <c r="E7" s="570" t="s">
        <v>719</v>
      </c>
      <c r="F7" s="293" t="s">
        <v>352</v>
      </c>
      <c r="G7" s="76">
        <v>100</v>
      </c>
      <c r="H7" s="128" t="s">
        <v>352</v>
      </c>
      <c r="I7" s="256">
        <f>'Passo4-Uso Industrial de Hg'!C5</f>
        <v>0</v>
      </c>
      <c r="J7" s="129" t="s">
        <v>341</v>
      </c>
      <c r="K7" s="170">
        <f>G7*I7/1000</f>
        <v>0</v>
      </c>
      <c r="L7" s="28" t="s">
        <v>36</v>
      </c>
      <c r="M7" s="159" t="s">
        <v>326</v>
      </c>
      <c r="N7" s="250"/>
      <c r="O7" s="3"/>
      <c r="P7" s="131">
        <v>0.1</v>
      </c>
      <c r="Q7" s="131">
        <v>0.01</v>
      </c>
      <c r="R7" s="131">
        <v>0.01</v>
      </c>
      <c r="S7" s="131">
        <v>0.01</v>
      </c>
      <c r="T7" s="131"/>
      <c r="U7" s="131">
        <v>0.87</v>
      </c>
      <c r="V7" s="114">
        <f t="shared" ref="V7:AA7" si="1">$N7*P7</f>
        <v>0</v>
      </c>
      <c r="W7" s="114">
        <f t="shared" si="1"/>
        <v>0</v>
      </c>
      <c r="X7" s="114">
        <f t="shared" si="1"/>
        <v>0</v>
      </c>
      <c r="Y7" s="114">
        <f t="shared" si="1"/>
        <v>0</v>
      </c>
      <c r="Z7" s="114">
        <f t="shared" si="1"/>
        <v>0</v>
      </c>
      <c r="AA7" s="114">
        <f t="shared" si="1"/>
        <v>0</v>
      </c>
      <c r="AB7" s="76"/>
    </row>
    <row r="8" spans="1:28" ht="25.5">
      <c r="C8" s="9"/>
      <c r="D8" s="76"/>
      <c r="E8" s="285"/>
      <c r="F8" s="128"/>
      <c r="G8" s="76"/>
      <c r="H8" s="128"/>
      <c r="I8" s="256"/>
      <c r="J8" s="294"/>
      <c r="K8" s="290"/>
      <c r="L8" s="28"/>
      <c r="M8" s="159" t="s">
        <v>327</v>
      </c>
      <c r="N8" s="250">
        <f>K7</f>
        <v>0</v>
      </c>
      <c r="O8" s="3"/>
      <c r="P8" s="283">
        <v>0.2</v>
      </c>
      <c r="Q8" s="283">
        <v>0.02</v>
      </c>
      <c r="R8" s="283">
        <v>0.38</v>
      </c>
      <c r="S8" s="283">
        <v>0.1</v>
      </c>
      <c r="T8" s="283"/>
      <c r="U8" s="283">
        <v>0.3</v>
      </c>
      <c r="V8" s="114">
        <f t="shared" ref="V8:V14" si="2">$N8*P8</f>
        <v>0</v>
      </c>
      <c r="W8" s="114">
        <f t="shared" ref="W8:W14" si="3">$N8*Q8</f>
        <v>0</v>
      </c>
      <c r="X8" s="114">
        <f t="shared" ref="X8:X14" si="4">$N8*R8</f>
        <v>0</v>
      </c>
      <c r="Y8" s="114">
        <f t="shared" ref="Y8:Y14" si="5">$N8*S8</f>
        <v>0</v>
      </c>
      <c r="Z8" s="114">
        <f t="shared" ref="Z8:Z14" si="6">$N8*T8</f>
        <v>0</v>
      </c>
      <c r="AA8" s="114">
        <f t="shared" ref="AA8:AA14" si="7">$N8*U8</f>
        <v>0</v>
      </c>
      <c r="AB8" s="76"/>
    </row>
    <row r="9" spans="1:28" s="55" customFormat="1">
      <c r="C9" s="105"/>
      <c r="D9" s="76"/>
      <c r="G9" s="119"/>
      <c r="I9" s="291"/>
      <c r="K9" s="113"/>
      <c r="M9" s="160"/>
      <c r="N9" s="250"/>
      <c r="O9" s="104"/>
      <c r="P9" s="76"/>
      <c r="Q9" s="76"/>
      <c r="R9" s="76"/>
      <c r="S9" s="76"/>
      <c r="T9" s="76"/>
      <c r="U9" s="76"/>
      <c r="V9" s="114"/>
      <c r="W9" s="114"/>
      <c r="X9" s="114"/>
      <c r="Y9" s="114"/>
      <c r="Z9" s="114"/>
      <c r="AA9" s="114"/>
      <c r="AB9" s="76"/>
    </row>
    <row r="10" spans="1:28">
      <c r="A10" s="3"/>
      <c r="B10" s="3" t="s">
        <v>154</v>
      </c>
      <c r="C10" s="26" t="s">
        <v>156</v>
      </c>
      <c r="D10" s="111"/>
      <c r="E10" s="285" t="s">
        <v>155</v>
      </c>
      <c r="F10" s="128" t="s">
        <v>353</v>
      </c>
      <c r="G10" s="76">
        <v>120</v>
      </c>
      <c r="H10" s="128" t="s">
        <v>353</v>
      </c>
      <c r="I10" s="256">
        <f>'Passo4-Uso Industrial de Hg'!C6</f>
        <v>0</v>
      </c>
      <c r="J10" s="286" t="s">
        <v>396</v>
      </c>
      <c r="K10" s="170">
        <f>G10*I10/1000</f>
        <v>0</v>
      </c>
      <c r="L10" s="28" t="s">
        <v>36</v>
      </c>
      <c r="M10" s="158"/>
      <c r="N10" s="250">
        <f>K10</f>
        <v>0</v>
      </c>
      <c r="O10" s="3"/>
      <c r="P10" s="130">
        <v>0.02</v>
      </c>
      <c r="Q10" s="130">
        <v>0.02</v>
      </c>
      <c r="R10" s="130"/>
      <c r="S10" s="130">
        <v>0.36</v>
      </c>
      <c r="T10" s="130"/>
      <c r="U10" s="130">
        <v>0.6</v>
      </c>
      <c r="V10" s="114">
        <f t="shared" si="2"/>
        <v>0</v>
      </c>
      <c r="W10" s="114">
        <f t="shared" si="3"/>
        <v>0</v>
      </c>
      <c r="X10" s="114">
        <f t="shared" si="4"/>
        <v>0</v>
      </c>
      <c r="Y10" s="114">
        <f t="shared" si="5"/>
        <v>0</v>
      </c>
      <c r="Z10" s="114">
        <f t="shared" si="6"/>
        <v>0</v>
      </c>
      <c r="AA10" s="114">
        <f t="shared" si="7"/>
        <v>0</v>
      </c>
      <c r="AB10" s="76"/>
    </row>
    <row r="11" spans="1:28" s="55" customFormat="1">
      <c r="A11" s="152"/>
      <c r="B11" s="104"/>
      <c r="C11" s="137"/>
      <c r="D11" s="111"/>
      <c r="E11" s="106"/>
      <c r="F11" s="104"/>
      <c r="G11" s="119"/>
      <c r="H11" s="104"/>
      <c r="I11" s="284"/>
      <c r="K11" s="170"/>
      <c r="L11" s="104"/>
      <c r="M11" s="161"/>
      <c r="N11" s="250"/>
      <c r="O11" s="104"/>
      <c r="P11" s="76"/>
      <c r="Q11" s="76"/>
      <c r="R11" s="76"/>
      <c r="S11" s="76"/>
      <c r="T11" s="76"/>
      <c r="U11" s="76"/>
      <c r="V11" s="114"/>
      <c r="W11" s="114"/>
      <c r="X11" s="114"/>
      <c r="Y11" s="114"/>
      <c r="Z11" s="114"/>
      <c r="AA11" s="114"/>
      <c r="AB11" s="76"/>
    </row>
    <row r="12" spans="1:28" s="3" customFormat="1" ht="25.5">
      <c r="B12" s="36" t="s">
        <v>380</v>
      </c>
      <c r="C12" s="26" t="s">
        <v>157</v>
      </c>
      <c r="D12" s="111"/>
      <c r="E12" s="292" t="s">
        <v>43</v>
      </c>
      <c r="F12" s="128" t="s">
        <v>43</v>
      </c>
      <c r="G12" s="282">
        <v>120</v>
      </c>
      <c r="H12" s="293" t="s">
        <v>395</v>
      </c>
      <c r="I12" s="256">
        <f>'Passo4-Uso Industrial de Hg'!C7</f>
        <v>0</v>
      </c>
      <c r="J12" s="286" t="s">
        <v>397</v>
      </c>
      <c r="K12" s="170">
        <f>G12*I12/1000</f>
        <v>0</v>
      </c>
      <c r="L12" s="28" t="s">
        <v>36</v>
      </c>
      <c r="M12" s="158"/>
      <c r="N12" s="250">
        <f>K12</f>
        <v>0</v>
      </c>
      <c r="P12" s="338">
        <v>0.02</v>
      </c>
      <c r="Q12" s="338">
        <v>0.02</v>
      </c>
      <c r="R12" s="338"/>
      <c r="S12" s="338">
        <v>0.36</v>
      </c>
      <c r="T12" s="338"/>
      <c r="U12" s="338">
        <v>0.6</v>
      </c>
      <c r="V12" s="114">
        <f t="shared" si="2"/>
        <v>0</v>
      </c>
      <c r="W12" s="114">
        <f t="shared" si="3"/>
        <v>0</v>
      </c>
      <c r="X12" s="114">
        <f t="shared" si="4"/>
        <v>0</v>
      </c>
      <c r="Y12" s="114">
        <f t="shared" si="5"/>
        <v>0</v>
      </c>
      <c r="Z12" s="114">
        <f t="shared" si="6"/>
        <v>0</v>
      </c>
      <c r="AA12" s="114">
        <f t="shared" si="7"/>
        <v>0</v>
      </c>
      <c r="AB12" s="76"/>
    </row>
    <row r="13" spans="1:28" s="104" customFormat="1">
      <c r="A13" s="139"/>
      <c r="C13" s="137"/>
      <c r="D13" s="111"/>
      <c r="G13" s="119"/>
      <c r="I13" s="291"/>
      <c r="K13" s="121"/>
      <c r="M13" s="160"/>
      <c r="N13" s="250"/>
      <c r="P13" s="76"/>
      <c r="Q13" s="76"/>
      <c r="R13" s="76"/>
      <c r="S13" s="76"/>
      <c r="T13" s="76"/>
      <c r="U13" s="76"/>
      <c r="V13" s="114"/>
      <c r="W13" s="114"/>
      <c r="X13" s="114"/>
      <c r="Y13" s="114"/>
      <c r="Z13" s="114"/>
      <c r="AA13" s="114"/>
      <c r="AB13" s="76"/>
    </row>
    <row r="14" spans="1:28" s="128" customFormat="1" ht="25.5">
      <c r="B14" s="293" t="s">
        <v>381</v>
      </c>
      <c r="C14" s="151" t="s">
        <v>158</v>
      </c>
      <c r="D14" s="111"/>
      <c r="E14" s="128" t="s">
        <v>43</v>
      </c>
      <c r="F14" s="128" t="s">
        <v>43</v>
      </c>
      <c r="G14" s="76" t="s">
        <v>43</v>
      </c>
      <c r="H14" s="128" t="s">
        <v>43</v>
      </c>
      <c r="I14" s="255" t="s">
        <v>43</v>
      </c>
      <c r="J14" s="128" t="s">
        <v>43</v>
      </c>
      <c r="K14" s="113" t="s">
        <v>43</v>
      </c>
      <c r="L14" s="128" t="s">
        <v>36</v>
      </c>
      <c r="M14" s="123"/>
      <c r="N14" s="250"/>
      <c r="P14" s="76" t="s">
        <v>43</v>
      </c>
      <c r="Q14" s="76" t="s">
        <v>43</v>
      </c>
      <c r="R14" s="76" t="s">
        <v>43</v>
      </c>
      <c r="S14" s="76" t="s">
        <v>43</v>
      </c>
      <c r="T14" s="76" t="s">
        <v>43</v>
      </c>
      <c r="U14" s="76" t="s">
        <v>43</v>
      </c>
      <c r="V14" s="114" t="e">
        <f t="shared" si="2"/>
        <v>#VALUE!</v>
      </c>
      <c r="W14" s="114" t="e">
        <f t="shared" si="3"/>
        <v>#VALUE!</v>
      </c>
      <c r="X14" s="114" t="e">
        <f t="shared" si="4"/>
        <v>#VALUE!</v>
      </c>
      <c r="Y14" s="114" t="e">
        <f t="shared" si="5"/>
        <v>#VALUE!</v>
      </c>
      <c r="Z14" s="114" t="e">
        <f t="shared" si="6"/>
        <v>#VALUE!</v>
      </c>
      <c r="AA14" s="114" t="e">
        <f t="shared" si="7"/>
        <v>#VALUE!</v>
      </c>
      <c r="AB14" s="76"/>
    </row>
    <row r="15" spans="1:28" s="3" customFormat="1">
      <c r="C15" s="3" t="s">
        <v>290</v>
      </c>
      <c r="E15" s="11"/>
      <c r="I15" s="20"/>
      <c r="K15" s="21"/>
      <c r="M15" s="28"/>
      <c r="N15" s="258"/>
      <c r="O15" s="28"/>
      <c r="P15" s="23"/>
      <c r="Q15" s="23"/>
      <c r="R15" s="24"/>
      <c r="S15" s="24"/>
      <c r="T15" s="23"/>
      <c r="V15" s="22"/>
      <c r="W15" s="22"/>
      <c r="X15" s="22"/>
      <c r="Y15" s="22"/>
      <c r="Z15" s="22"/>
      <c r="AA15" s="22"/>
    </row>
    <row r="16" spans="1:28" s="3" customFormat="1">
      <c r="C16" s="36" t="s">
        <v>359</v>
      </c>
      <c r="E16" s="11"/>
      <c r="I16" s="20"/>
      <c r="K16" s="21"/>
      <c r="M16" s="28"/>
      <c r="N16" s="258"/>
      <c r="O16" s="28"/>
      <c r="P16" s="23"/>
      <c r="Q16" s="23"/>
      <c r="R16" s="24"/>
      <c r="S16" s="24"/>
      <c r="T16" s="23"/>
      <c r="V16" s="22"/>
      <c r="W16" s="22"/>
      <c r="X16" s="22"/>
      <c r="Y16" s="22"/>
      <c r="Z16" s="22"/>
      <c r="AA16" s="22"/>
    </row>
    <row r="17" spans="3:27" s="3" customFormat="1">
      <c r="C17" s="36" t="s">
        <v>329</v>
      </c>
      <c r="E17" s="11"/>
      <c r="I17" s="20"/>
      <c r="K17" s="21"/>
      <c r="M17" s="30"/>
      <c r="N17" s="258"/>
      <c r="O17" s="28"/>
      <c r="P17" s="23"/>
      <c r="Q17" s="23"/>
      <c r="R17" s="24"/>
      <c r="S17" s="24"/>
      <c r="T17" s="23"/>
      <c r="V17" s="22"/>
      <c r="W17" s="22"/>
      <c r="X17" s="22"/>
      <c r="Y17" s="22"/>
      <c r="Z17" s="22"/>
      <c r="AA17" s="22"/>
    </row>
    <row r="18" spans="3:27" s="3" customFormat="1">
      <c r="E18" s="11"/>
      <c r="I18" s="20"/>
      <c r="K18" s="21"/>
      <c r="M18" s="30"/>
      <c r="N18" s="258"/>
      <c r="O18" s="28"/>
      <c r="P18" s="23"/>
      <c r="Q18" s="23"/>
      <c r="R18" s="24"/>
      <c r="S18" s="24"/>
      <c r="T18" s="23"/>
      <c r="V18" s="22"/>
      <c r="W18" s="22"/>
      <c r="X18" s="22"/>
      <c r="Y18" s="22"/>
      <c r="Z18" s="22"/>
      <c r="AA18" s="22"/>
    </row>
    <row r="19" spans="3:27" s="3" customFormat="1">
      <c r="E19" s="11"/>
      <c r="I19" s="20"/>
      <c r="K19" s="21"/>
      <c r="M19" s="31"/>
      <c r="N19" s="258"/>
      <c r="O19" s="28"/>
      <c r="P19" s="23"/>
      <c r="Q19" s="23"/>
      <c r="R19" s="24"/>
      <c r="S19" s="24"/>
      <c r="T19" s="23"/>
      <c r="V19" s="22"/>
      <c r="W19" s="22"/>
      <c r="X19" s="22"/>
      <c r="Y19" s="22"/>
      <c r="Z19" s="22"/>
      <c r="AA19" s="22"/>
    </row>
    <row r="20" spans="3:27" s="3" customFormat="1">
      <c r="C20" s="7"/>
      <c r="D20" s="7"/>
      <c r="E20" s="11"/>
      <c r="I20" s="20"/>
      <c r="K20" s="21"/>
      <c r="M20" s="29"/>
      <c r="N20" s="258"/>
      <c r="O20" s="28"/>
      <c r="P20" s="23"/>
      <c r="Q20" s="23"/>
      <c r="R20" s="24"/>
      <c r="S20" s="24"/>
      <c r="T20" s="23"/>
      <c r="V20" s="25"/>
      <c r="W20" s="25"/>
      <c r="X20" s="25"/>
      <c r="Y20" s="25"/>
      <c r="Z20" s="25"/>
      <c r="AA20" s="25"/>
    </row>
    <row r="21" spans="3:27" s="3" customFormat="1">
      <c r="C21" s="7"/>
      <c r="D21" s="7"/>
      <c r="E21" s="11"/>
      <c r="I21" s="20"/>
      <c r="K21" s="21"/>
      <c r="M21" s="29"/>
      <c r="N21" s="258"/>
      <c r="O21" s="28"/>
      <c r="P21" s="23"/>
      <c r="Q21" s="23"/>
      <c r="R21" s="24"/>
      <c r="S21" s="24"/>
      <c r="T21" s="23"/>
      <c r="V21" s="22"/>
      <c r="W21" s="22"/>
      <c r="X21" s="22"/>
      <c r="Y21" s="22"/>
      <c r="Z21" s="22"/>
      <c r="AA21" s="22"/>
    </row>
    <row r="22" spans="3:27" s="3" customFormat="1">
      <c r="C22" s="7"/>
      <c r="D22" s="7"/>
      <c r="E22" s="11"/>
      <c r="I22" s="20"/>
      <c r="K22" s="22"/>
      <c r="M22" s="29"/>
      <c r="N22" s="258"/>
      <c r="O22" s="28"/>
      <c r="P22" s="23"/>
      <c r="Q22" s="23"/>
      <c r="R22" s="24"/>
      <c r="S22" s="24"/>
      <c r="T22" s="23"/>
      <c r="V22" s="22"/>
      <c r="W22" s="22"/>
      <c r="X22" s="22"/>
      <c r="Y22" s="22"/>
      <c r="Z22" s="22"/>
      <c r="AA22" s="22"/>
    </row>
    <row r="23" spans="3:27" s="3" customFormat="1">
      <c r="E23" s="11"/>
      <c r="I23" s="20"/>
      <c r="K23" s="22"/>
      <c r="M23" s="29"/>
      <c r="N23" s="258"/>
      <c r="O23" s="28"/>
      <c r="P23" s="23"/>
      <c r="Q23" s="23"/>
      <c r="R23" s="24"/>
      <c r="S23" s="24"/>
      <c r="T23" s="23"/>
      <c r="V23" s="22"/>
      <c r="W23" s="22"/>
      <c r="X23" s="22"/>
      <c r="Y23" s="22"/>
      <c r="Z23" s="22"/>
      <c r="AA23" s="22"/>
    </row>
    <row r="24" spans="3:27" s="3" customFormat="1">
      <c r="E24" s="11"/>
      <c r="I24" s="20"/>
      <c r="K24" s="22"/>
      <c r="M24" s="30"/>
      <c r="N24" s="258"/>
      <c r="O24" s="28"/>
      <c r="P24" s="23"/>
      <c r="Q24" s="23"/>
      <c r="R24" s="24"/>
      <c r="S24" s="24"/>
      <c r="T24" s="23"/>
      <c r="V24" s="22"/>
      <c r="W24" s="22"/>
      <c r="X24" s="22"/>
      <c r="Y24" s="22"/>
      <c r="Z24" s="22"/>
      <c r="AA24" s="22"/>
    </row>
    <row r="25" spans="3:27" s="3" customFormat="1">
      <c r="E25" s="11"/>
      <c r="I25" s="20"/>
      <c r="K25" s="22"/>
      <c r="M25" s="30"/>
      <c r="N25" s="258"/>
      <c r="O25" s="28"/>
      <c r="P25" s="23"/>
      <c r="Q25" s="23"/>
      <c r="R25" s="24"/>
      <c r="S25" s="24"/>
      <c r="T25" s="23"/>
      <c r="V25" s="22"/>
      <c r="W25" s="22"/>
      <c r="X25" s="22"/>
      <c r="Y25" s="22"/>
      <c r="Z25" s="22"/>
      <c r="AA25" s="22"/>
    </row>
    <row r="26" spans="3:27" s="3" customFormat="1">
      <c r="C26" s="7"/>
      <c r="D26" s="7"/>
      <c r="E26" s="11"/>
      <c r="I26" s="20"/>
      <c r="K26" s="22"/>
      <c r="M26" s="31"/>
      <c r="N26" s="258"/>
      <c r="O26" s="28"/>
      <c r="P26" s="23"/>
      <c r="Q26" s="23"/>
      <c r="R26" s="24"/>
      <c r="S26" s="24"/>
      <c r="T26" s="23"/>
      <c r="V26" s="22"/>
      <c r="W26" s="22"/>
      <c r="X26" s="22"/>
      <c r="Y26" s="22"/>
      <c r="Z26" s="22"/>
      <c r="AA26" s="22"/>
    </row>
    <row r="27" spans="3:27" s="3" customFormat="1">
      <c r="C27" s="26"/>
      <c r="D27" s="26"/>
      <c r="E27" s="11"/>
      <c r="I27" s="20"/>
      <c r="K27" s="22"/>
      <c r="M27" s="29"/>
      <c r="N27" s="258"/>
      <c r="O27" s="28"/>
      <c r="P27" s="23"/>
      <c r="Q27" s="23"/>
      <c r="R27" s="24"/>
      <c r="S27" s="24"/>
      <c r="T27" s="23"/>
      <c r="V27" s="22"/>
      <c r="W27" s="22"/>
      <c r="X27" s="22"/>
      <c r="Y27" s="22"/>
      <c r="Z27" s="22"/>
      <c r="AA27" s="22"/>
    </row>
    <row r="28" spans="3:27" s="3" customFormat="1">
      <c r="E28" s="11"/>
      <c r="I28" s="20"/>
      <c r="K28" s="22"/>
      <c r="M28" s="29"/>
      <c r="N28" s="258"/>
      <c r="O28" s="28"/>
      <c r="P28" s="23"/>
      <c r="Q28" s="23"/>
      <c r="R28" s="24"/>
      <c r="S28" s="24"/>
      <c r="T28" s="23"/>
      <c r="V28" s="22"/>
      <c r="W28" s="22"/>
      <c r="X28" s="22"/>
      <c r="Y28" s="22"/>
      <c r="Z28" s="22"/>
      <c r="AA28" s="22"/>
    </row>
    <row r="29" spans="3:27" s="3" customFormat="1">
      <c r="E29" s="11"/>
      <c r="I29" s="20"/>
      <c r="K29" s="22"/>
      <c r="M29" s="29"/>
      <c r="N29" s="258"/>
      <c r="O29" s="28"/>
      <c r="P29" s="23"/>
      <c r="Q29" s="23"/>
      <c r="R29" s="24"/>
      <c r="S29" s="24"/>
      <c r="T29" s="23"/>
      <c r="V29" s="22"/>
      <c r="W29" s="22"/>
      <c r="X29" s="22"/>
      <c r="Y29" s="22"/>
      <c r="Z29" s="22"/>
      <c r="AA29" s="22"/>
    </row>
    <row r="30" spans="3:27" s="3" customFormat="1">
      <c r="E30" s="11"/>
      <c r="I30" s="20"/>
      <c r="K30" s="22"/>
      <c r="M30" s="28"/>
      <c r="N30" s="258"/>
      <c r="O30" s="28"/>
      <c r="P30" s="23"/>
      <c r="Q30" s="23"/>
      <c r="R30" s="24"/>
      <c r="S30" s="24"/>
      <c r="T30" s="23"/>
      <c r="V30" s="22"/>
      <c r="W30" s="22"/>
      <c r="X30" s="22"/>
      <c r="Y30" s="22"/>
      <c r="Z30" s="22"/>
      <c r="AA30" s="22"/>
    </row>
    <row r="31" spans="3:27" s="3" customFormat="1">
      <c r="E31" s="11"/>
      <c r="I31" s="20"/>
      <c r="K31" s="21"/>
      <c r="M31" s="29"/>
      <c r="N31" s="258"/>
      <c r="O31" s="28"/>
      <c r="P31" s="23"/>
      <c r="Q31" s="23"/>
      <c r="R31" s="24"/>
      <c r="S31" s="24"/>
      <c r="T31" s="23"/>
      <c r="V31" s="22"/>
      <c r="W31" s="22"/>
      <c r="X31" s="22"/>
      <c r="Y31" s="22"/>
      <c r="Z31" s="22"/>
      <c r="AA31" s="22"/>
    </row>
    <row r="32" spans="3:27" s="3" customFormat="1">
      <c r="E32" s="11"/>
      <c r="I32" s="20"/>
      <c r="K32" s="21"/>
      <c r="M32" s="29"/>
      <c r="N32" s="258"/>
      <c r="O32" s="28"/>
      <c r="P32" s="23"/>
      <c r="Q32" s="23"/>
      <c r="R32" s="24"/>
      <c r="S32" s="24"/>
      <c r="T32" s="23"/>
      <c r="V32" s="22"/>
      <c r="W32" s="22"/>
      <c r="X32" s="22"/>
      <c r="Y32" s="22"/>
      <c r="Z32" s="22"/>
      <c r="AA32" s="22"/>
    </row>
    <row r="33" spans="3:27" s="3" customFormat="1">
      <c r="C33" s="7"/>
      <c r="D33" s="7"/>
      <c r="E33" s="11"/>
      <c r="I33" s="20"/>
      <c r="K33" s="21"/>
      <c r="M33" s="29"/>
      <c r="N33" s="258"/>
      <c r="O33" s="28"/>
      <c r="P33" s="23"/>
      <c r="Q33" s="23"/>
      <c r="R33" s="24"/>
      <c r="S33" s="24"/>
      <c r="T33" s="23"/>
      <c r="V33" s="25"/>
      <c r="W33" s="25"/>
      <c r="X33" s="25"/>
      <c r="Y33" s="25"/>
      <c r="Z33" s="25"/>
      <c r="AA33" s="25"/>
    </row>
    <row r="34" spans="3:27" s="3" customFormat="1">
      <c r="C34" s="7"/>
      <c r="D34" s="7"/>
      <c r="E34" s="11"/>
      <c r="I34" s="20"/>
      <c r="K34" s="21"/>
      <c r="M34" s="30"/>
      <c r="N34" s="258"/>
      <c r="O34" s="28"/>
      <c r="P34" s="23"/>
      <c r="Q34" s="23"/>
      <c r="R34" s="23"/>
      <c r="S34" s="23"/>
      <c r="T34" s="23"/>
      <c r="U34" s="23"/>
      <c r="V34" s="22"/>
      <c r="W34" s="22"/>
      <c r="X34" s="22"/>
      <c r="Y34" s="22"/>
      <c r="Z34" s="22"/>
      <c r="AA34" s="22"/>
    </row>
    <row r="35" spans="3:27" s="3" customFormat="1">
      <c r="C35" s="7"/>
      <c r="D35" s="7"/>
      <c r="E35" s="11"/>
      <c r="I35" s="20"/>
      <c r="K35" s="21"/>
      <c r="M35" s="30"/>
      <c r="N35" s="258"/>
      <c r="O35" s="28"/>
      <c r="P35" s="23"/>
      <c r="Q35" s="23"/>
      <c r="R35" s="24"/>
      <c r="S35" s="24"/>
      <c r="T35" s="23"/>
      <c r="V35" s="22"/>
      <c r="W35" s="22"/>
      <c r="X35" s="22"/>
      <c r="Y35" s="22"/>
      <c r="Z35" s="22"/>
      <c r="AA35" s="22"/>
    </row>
    <row r="36" spans="3:27" s="3" customFormat="1">
      <c r="C36" s="7"/>
      <c r="D36" s="7"/>
      <c r="E36" s="11"/>
      <c r="I36" s="20"/>
      <c r="K36" s="21"/>
      <c r="M36" s="29"/>
      <c r="N36" s="258"/>
      <c r="O36" s="28"/>
      <c r="P36" s="23"/>
      <c r="Q36" s="23"/>
      <c r="R36" s="24"/>
      <c r="S36" s="24"/>
      <c r="T36" s="23"/>
      <c r="V36" s="22"/>
      <c r="W36" s="22"/>
      <c r="X36" s="22"/>
      <c r="Y36" s="22"/>
      <c r="Z36" s="22"/>
      <c r="AA36" s="22"/>
    </row>
    <row r="37" spans="3:27" s="3" customFormat="1">
      <c r="E37" s="11"/>
      <c r="I37" s="20"/>
      <c r="K37" s="21"/>
      <c r="M37" s="29"/>
      <c r="N37" s="258"/>
      <c r="O37" s="28"/>
      <c r="P37" s="23"/>
      <c r="Q37" s="23"/>
      <c r="R37" s="24"/>
      <c r="S37" s="24"/>
      <c r="T37" s="23"/>
      <c r="V37" s="22"/>
      <c r="W37" s="22"/>
      <c r="X37" s="22"/>
      <c r="Y37" s="22"/>
      <c r="Z37" s="22"/>
      <c r="AA37" s="22"/>
    </row>
    <row r="38" spans="3:27" s="3" customFormat="1">
      <c r="E38" s="11"/>
      <c r="I38" s="20"/>
      <c r="K38" s="21"/>
      <c r="M38" s="29"/>
      <c r="N38" s="258"/>
      <c r="O38" s="28"/>
      <c r="P38" s="23"/>
      <c r="Q38" s="23"/>
      <c r="R38" s="24"/>
      <c r="S38" s="24"/>
      <c r="T38" s="23"/>
      <c r="V38" s="22"/>
      <c r="W38" s="22"/>
      <c r="X38" s="22"/>
      <c r="Y38" s="22"/>
      <c r="Z38" s="22"/>
      <c r="AA38" s="22"/>
    </row>
    <row r="39" spans="3:27" s="3" customFormat="1">
      <c r="C39" s="7"/>
      <c r="D39" s="7"/>
      <c r="E39" s="11"/>
      <c r="I39" s="20"/>
      <c r="K39" s="21"/>
      <c r="M39" s="28"/>
      <c r="N39" s="258"/>
      <c r="O39" s="28"/>
      <c r="P39" s="23"/>
      <c r="Q39" s="23"/>
      <c r="R39" s="24"/>
      <c r="S39" s="24"/>
      <c r="T39" s="23"/>
      <c r="V39" s="25"/>
      <c r="W39" s="25"/>
      <c r="X39" s="25"/>
      <c r="Y39" s="25"/>
      <c r="Z39" s="25"/>
      <c r="AA39" s="25"/>
    </row>
    <row r="40" spans="3:27" s="3" customFormat="1">
      <c r="C40" s="7"/>
      <c r="D40" s="7"/>
      <c r="E40" s="11"/>
      <c r="I40" s="20"/>
      <c r="K40" s="21"/>
      <c r="M40" s="28"/>
      <c r="N40" s="258"/>
      <c r="O40" s="28"/>
      <c r="P40" s="23"/>
      <c r="Q40" s="23"/>
      <c r="R40" s="24"/>
      <c r="S40" s="24"/>
      <c r="T40" s="23"/>
      <c r="V40" s="22"/>
      <c r="W40" s="22"/>
      <c r="X40" s="22"/>
      <c r="Y40" s="22"/>
      <c r="Z40" s="22"/>
      <c r="AA40" s="22"/>
    </row>
    <row r="41" spans="3:27" s="3" customFormat="1">
      <c r="C41" s="7"/>
      <c r="D41" s="7"/>
      <c r="I41" s="19"/>
      <c r="M41" s="31"/>
      <c r="N41" s="258"/>
      <c r="O41" s="28"/>
      <c r="P41" s="23"/>
      <c r="Q41" s="23"/>
      <c r="R41" s="24"/>
      <c r="S41" s="24"/>
      <c r="T41" s="23"/>
      <c r="V41" s="22"/>
      <c r="W41" s="22"/>
      <c r="X41" s="22"/>
      <c r="Y41" s="22"/>
      <c r="Z41" s="22"/>
      <c r="AA41" s="22"/>
    </row>
    <row r="42" spans="3:27" s="3" customFormat="1">
      <c r="C42" s="7"/>
      <c r="D42" s="7"/>
      <c r="I42" s="19"/>
      <c r="M42" s="29"/>
      <c r="N42" s="258"/>
      <c r="O42" s="28"/>
    </row>
    <row r="43" spans="3:27" s="3" customFormat="1">
      <c r="I43" s="19"/>
      <c r="M43" s="29"/>
      <c r="N43" s="258"/>
      <c r="O43" s="28"/>
    </row>
    <row r="44" spans="3:27" s="3" customFormat="1">
      <c r="I44" s="19"/>
      <c r="M44" s="29"/>
      <c r="N44" s="258"/>
      <c r="O44" s="28"/>
    </row>
    <row r="45" spans="3:27" s="3" customFormat="1">
      <c r="C45" s="7"/>
      <c r="D45" s="7"/>
      <c r="I45" s="19"/>
      <c r="M45" s="28"/>
      <c r="N45" s="258"/>
      <c r="O45" s="28"/>
    </row>
    <row r="46" spans="3:27" s="3" customFormat="1">
      <c r="I46" s="19"/>
      <c r="M46" s="28"/>
      <c r="N46" s="258"/>
      <c r="O46" s="28"/>
    </row>
    <row r="47" spans="3:27" s="3" customFormat="1">
      <c r="I47" s="19"/>
      <c r="M47" s="28"/>
      <c r="N47" s="258"/>
      <c r="O47" s="28"/>
    </row>
    <row r="48" spans="3:27" s="3" customFormat="1">
      <c r="I48" s="19"/>
      <c r="M48" s="30"/>
      <c r="N48" s="258"/>
      <c r="O48" s="28"/>
    </row>
    <row r="49" spans="3:15" s="3" customFormat="1">
      <c r="C49" s="7"/>
      <c r="D49" s="7"/>
      <c r="I49" s="19"/>
      <c r="M49" s="30"/>
      <c r="N49" s="258"/>
      <c r="O49" s="28"/>
    </row>
    <row r="50" spans="3:15" s="3" customFormat="1">
      <c r="I50" s="19"/>
      <c r="M50" s="31"/>
      <c r="N50" s="258"/>
      <c r="O50" s="28"/>
    </row>
    <row r="51" spans="3:15" s="3" customFormat="1">
      <c r="I51" s="19"/>
      <c r="M51" s="31"/>
      <c r="N51" s="258"/>
      <c r="O51" s="28"/>
    </row>
    <row r="52" spans="3:15" s="3" customFormat="1">
      <c r="I52" s="19"/>
      <c r="M52" s="30"/>
      <c r="N52" s="258"/>
      <c r="O52" s="28"/>
    </row>
    <row r="53" spans="3:15" s="3" customFormat="1">
      <c r="I53" s="19"/>
      <c r="M53" s="30"/>
      <c r="N53" s="258"/>
      <c r="O53" s="28"/>
    </row>
    <row r="54" spans="3:15" s="3" customFormat="1">
      <c r="I54" s="19"/>
      <c r="M54" s="31"/>
      <c r="N54" s="258"/>
      <c r="O54" s="17"/>
    </row>
    <row r="55" spans="3:15" s="3" customFormat="1">
      <c r="I55" s="19"/>
      <c r="M55" s="31"/>
      <c r="N55" s="258"/>
      <c r="O55" s="28"/>
    </row>
    <row r="56" spans="3:15" s="3" customFormat="1">
      <c r="I56" s="19"/>
      <c r="M56" s="30"/>
      <c r="N56" s="258"/>
      <c r="O56" s="28"/>
    </row>
    <row r="57" spans="3:15" s="3" customFormat="1">
      <c r="I57" s="19"/>
      <c r="M57" s="30"/>
      <c r="N57" s="258"/>
      <c r="O57" s="28"/>
    </row>
    <row r="58" spans="3:15" s="3" customFormat="1">
      <c r="I58" s="19"/>
      <c r="M58" s="31"/>
      <c r="N58" s="258"/>
      <c r="O58" s="17"/>
    </row>
    <row r="59" spans="3:15" s="3" customFormat="1">
      <c r="I59" s="19"/>
      <c r="M59" s="31"/>
      <c r="N59" s="259"/>
      <c r="O59" s="28"/>
    </row>
    <row r="60" spans="3:15" s="3" customFormat="1">
      <c r="I60" s="19"/>
      <c r="M60" s="31"/>
      <c r="N60" s="259"/>
      <c r="O60" s="28"/>
    </row>
    <row r="61" spans="3:15" s="3" customFormat="1">
      <c r="I61" s="19"/>
      <c r="M61" s="31"/>
      <c r="N61" s="259"/>
      <c r="O61" s="28"/>
    </row>
    <row r="62" spans="3:15" s="3" customFormat="1">
      <c r="I62" s="19"/>
      <c r="M62" s="31"/>
      <c r="N62" s="259"/>
      <c r="O62" s="28"/>
    </row>
    <row r="63" spans="3:15" s="3" customFormat="1">
      <c r="I63" s="19"/>
      <c r="M63" s="31"/>
      <c r="N63" s="259"/>
      <c r="O63" s="28"/>
    </row>
    <row r="64" spans="3:15" s="3" customFormat="1">
      <c r="I64" s="19"/>
      <c r="M64" s="31"/>
      <c r="N64" s="259"/>
      <c r="O64" s="28"/>
    </row>
    <row r="65" spans="3:15" s="3" customFormat="1">
      <c r="I65" s="19"/>
      <c r="M65" s="31"/>
      <c r="N65" s="259"/>
      <c r="O65" s="28"/>
    </row>
    <row r="66" spans="3:15" s="3" customFormat="1">
      <c r="M66" s="31"/>
      <c r="N66" s="259"/>
      <c r="O66" s="28"/>
    </row>
    <row r="67" spans="3:15" s="3" customFormat="1">
      <c r="M67" s="29"/>
      <c r="N67" s="259"/>
      <c r="O67" s="28"/>
    </row>
    <row r="68" spans="3:15" s="3" customFormat="1">
      <c r="M68" s="29"/>
      <c r="N68" s="259"/>
      <c r="O68" s="28"/>
    </row>
    <row r="69" spans="3:15" s="3" customFormat="1">
      <c r="C69" s="7"/>
      <c r="D69" s="7"/>
      <c r="M69" s="29"/>
      <c r="N69" s="259"/>
      <c r="O69" s="28"/>
    </row>
    <row r="70" spans="3:15" s="3" customFormat="1">
      <c r="M70" s="28"/>
      <c r="N70" s="259"/>
      <c r="O70" s="28"/>
    </row>
    <row r="71" spans="3:15" s="3" customFormat="1">
      <c r="M71" s="28"/>
      <c r="N71" s="259"/>
      <c r="O71" s="28"/>
    </row>
    <row r="72" spans="3:15">
      <c r="M72" s="28"/>
      <c r="N72" s="259"/>
      <c r="O72" s="28"/>
    </row>
    <row r="73" spans="3:15">
      <c r="M73" s="30"/>
      <c r="N73" s="259"/>
      <c r="O73" s="28"/>
    </row>
    <row r="74" spans="3:15">
      <c r="M74" s="30"/>
      <c r="N74" s="258"/>
      <c r="O74" s="28"/>
    </row>
    <row r="75" spans="3:15">
      <c r="M75" s="28"/>
      <c r="N75" s="259"/>
      <c r="O75" s="28"/>
    </row>
    <row r="76" spans="3:15">
      <c r="M76" s="28"/>
      <c r="N76" s="259"/>
      <c r="O76" s="28"/>
    </row>
    <row r="77" spans="3:15">
      <c r="M77" s="28"/>
      <c r="N77" s="259"/>
      <c r="O77" s="28"/>
    </row>
  </sheetData>
  <sheetProtection sheet="1" objects="1" scenarios="1"/>
  <phoneticPr fontId="2" type="noConversion"/>
  <pageMargins left="0.39370078740157483" right="0.39370078740157483" top="0.74803149606299213" bottom="0.74803149606299213" header="0.31496062992125984" footer="0.31496062992125984"/>
  <pageSetup paperSize="9" orientation="landscape" r:id="rId1"/>
  <headerFooter>
    <oddFooter>&amp;L&amp;APrinted &amp;D</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5"/>
  <sheetViews>
    <sheetView topLeftCell="A19" zoomScale="90" zoomScaleNormal="90" workbookViewId="0">
      <selection activeCell="F40" sqref="F40"/>
    </sheetView>
  </sheetViews>
  <sheetFormatPr defaultRowHeight="12.75"/>
  <cols>
    <col min="1" max="1" width="39" style="340" customWidth="1"/>
    <col min="2" max="2" width="8.85546875" style="359" customWidth="1"/>
    <col min="3" max="3" width="15.140625" style="340" customWidth="1"/>
    <col min="4" max="4" width="26.28515625" style="340" customWidth="1"/>
    <col min="5" max="5" width="12.5703125" style="340" customWidth="1"/>
    <col min="6" max="10" width="12.28515625" style="340" customWidth="1"/>
    <col min="11" max="11" width="16.140625" style="340" customWidth="1"/>
    <col min="12" max="12" width="6.7109375" style="340" customWidth="1"/>
    <col min="13" max="13" width="9.140625" style="340"/>
    <col min="14" max="14" width="9.140625" style="340" hidden="1" customWidth="1"/>
    <col min="15" max="16384" width="9.140625" style="340"/>
  </cols>
  <sheetData>
    <row r="1" spans="1:14" s="693" customFormat="1">
      <c r="A1" s="691" t="s">
        <v>849</v>
      </c>
      <c r="B1" s="692"/>
    </row>
    <row r="2" spans="1:14" s="369" customFormat="1" ht="30" customHeight="1">
      <c r="A2" s="732" t="str">
        <f>IF(ISNA(MATCH("n",N9:N23,0)),"","The Estimated Hg input (or equivalent inserted IL2 results) marked in red colour is very high compared to previous observations. Data may be correct, but please confirm your activity rate data (or inserted IL2 data).")</f>
        <v/>
      </c>
      <c r="B2" s="732"/>
      <c r="C2" s="732"/>
      <c r="D2" s="732"/>
      <c r="E2" s="732"/>
      <c r="F2" s="732"/>
      <c r="G2" s="732"/>
      <c r="H2" s="732"/>
      <c r="I2" s="732"/>
      <c r="J2" s="732"/>
      <c r="K2" s="732"/>
      <c r="L2" s="732"/>
    </row>
    <row r="3" spans="1:14" ht="26.25" thickBot="1">
      <c r="A3" s="662" t="s">
        <v>1019</v>
      </c>
      <c r="B3" s="268" t="str">
        <f>quest2</f>
        <v>S/N</v>
      </c>
      <c r="C3" s="695" t="s">
        <v>1020</v>
      </c>
      <c r="D3" s="272"/>
      <c r="E3" s="272"/>
      <c r="F3" s="272"/>
      <c r="G3" s="272"/>
      <c r="H3" s="272"/>
      <c r="I3" s="272"/>
      <c r="J3" s="272"/>
      <c r="K3" s="264"/>
      <c r="L3" s="264"/>
      <c r="M3" s="468"/>
    </row>
    <row r="4" spans="1:14" ht="51.75" thickBot="1">
      <c r="A4" s="694" t="s">
        <v>850</v>
      </c>
      <c r="B4" s="438" t="s">
        <v>745</v>
      </c>
      <c r="C4" s="354"/>
      <c r="D4" s="518"/>
      <c r="E4" s="272"/>
      <c r="F4" s="272"/>
      <c r="G4" s="518"/>
      <c r="H4" s="272"/>
      <c r="I4" s="272"/>
      <c r="J4" s="272"/>
      <c r="K4" s="264"/>
      <c r="L4" s="264"/>
      <c r="M4" s="468"/>
    </row>
    <row r="5" spans="1:14">
      <c r="A5" s="488"/>
      <c r="B5" s="395"/>
      <c r="C5" s="396"/>
      <c r="D5" s="519"/>
      <c r="E5" s="397"/>
      <c r="F5" s="519"/>
      <c r="G5" s="397"/>
      <c r="H5" s="397"/>
      <c r="I5" s="397"/>
      <c r="J5" s="397"/>
      <c r="K5" s="397"/>
      <c r="L5" s="264"/>
      <c r="M5" s="468"/>
    </row>
    <row r="6" spans="1:14" s="369" customFormat="1">
      <c r="A6" s="489" t="s">
        <v>851</v>
      </c>
      <c r="B6" s="398"/>
      <c r="C6" s="397"/>
      <c r="D6" s="397"/>
      <c r="E6" s="397"/>
      <c r="F6" s="397"/>
      <c r="G6" s="397"/>
      <c r="H6" s="397"/>
      <c r="I6" s="397"/>
      <c r="J6" s="397"/>
      <c r="K6" s="397"/>
      <c r="L6" s="397"/>
      <c r="M6" s="470"/>
    </row>
    <row r="7" spans="1:14" s="682" customFormat="1" ht="38.25" customHeight="1">
      <c r="A7" s="662" t="s">
        <v>775</v>
      </c>
      <c r="B7" s="678" t="s">
        <v>776</v>
      </c>
      <c r="C7" s="681" t="s">
        <v>777</v>
      </c>
      <c r="D7" s="662"/>
      <c r="E7" s="680" t="s">
        <v>778</v>
      </c>
      <c r="F7" s="728" t="s">
        <v>779</v>
      </c>
      <c r="G7" s="728"/>
      <c r="H7" s="728"/>
      <c r="I7" s="728"/>
      <c r="J7" s="728"/>
      <c r="K7" s="728"/>
      <c r="L7" s="662"/>
    </row>
    <row r="8" spans="1:14" ht="39" thickBot="1">
      <c r="A8" s="661" t="s">
        <v>852</v>
      </c>
      <c r="B8" s="268" t="str">
        <f>quest</f>
        <v>S/N/?</v>
      </c>
      <c r="C8" s="683" t="s">
        <v>781</v>
      </c>
      <c r="D8" s="684" t="s">
        <v>782</v>
      </c>
      <c r="E8" s="681" t="s">
        <v>783</v>
      </c>
      <c r="F8" s="685" t="s">
        <v>784</v>
      </c>
      <c r="G8" s="685" t="s">
        <v>785</v>
      </c>
      <c r="H8" s="685" t="s">
        <v>786</v>
      </c>
      <c r="I8" s="681" t="s">
        <v>787</v>
      </c>
      <c r="J8" s="726" t="s">
        <v>1062</v>
      </c>
      <c r="K8" s="726" t="s">
        <v>1066</v>
      </c>
      <c r="L8" s="662" t="s">
        <v>1017</v>
      </c>
      <c r="M8" s="671" t="s">
        <v>788</v>
      </c>
    </row>
    <row r="9" spans="1:14" ht="25.5">
      <c r="A9" s="663" t="s">
        <v>853</v>
      </c>
      <c r="B9" s="649"/>
      <c r="C9" s="378"/>
      <c r="D9" s="690" t="s">
        <v>861</v>
      </c>
      <c r="E9" s="465" t="str">
        <f>IF(OR($B9=yes,$B9=yes),'5-7 Recycl metals'!K6, IF(OR($B9=no,$B9=no),"-", IF($B9=que,que, pres)))</f>
        <v>Presente?</v>
      </c>
      <c r="F9" s="466" t="str">
        <f>IF(OR($B9=yes,$B9=yes),'5-7 Recycl metals'!V6, IF(OR($B9=no,$B9=no),"-", IF($B9=que,que, pres)))</f>
        <v>Presente?</v>
      </c>
      <c r="G9" s="466" t="str">
        <f>IF(OR($B9=yes,$B9=yes),'5-7 Recycl metals'!W6, IF(OR($B9=no,$B9=no),"-", IF($B9=que,que, pres)))</f>
        <v>Presente?</v>
      </c>
      <c r="H9" s="466" t="str">
        <f>IF(OR($B9=yes,$B9=yes),'5-7 Recycl metals'!X6, IF(OR($B9=no,$B9=no),"-", IF($B9=que,que, pres)))</f>
        <v>Presente?</v>
      </c>
      <c r="I9" s="466" t="str">
        <f>IF(OR($B9=yes,$B9=yes),'5-7 Recycl metals'!Y6, IF(OR($B9=no,$B9=no),"-", IF($B9=que,que, pres)))</f>
        <v>Presente?</v>
      </c>
      <c r="J9" s="466" t="str">
        <f>IF(OR($B9=yes,$B9=yes),'5-7 Recycl metals'!Z6, IF(OR($B9=no,$B9=no),"-", IF($B9=que,que, pres)))</f>
        <v>Presente?</v>
      </c>
      <c r="K9" s="466" t="str">
        <f>IF(OR($B9=yes,$B9=yes),'5-7 Recycl metals'!AA6, IF(OR($B9=no,$B9=no),"-", IF($B9=que,que, pres)))</f>
        <v>Presente?</v>
      </c>
      <c r="L9" s="273" t="s">
        <v>284</v>
      </c>
      <c r="M9" s="468"/>
      <c r="N9" s="340" t="str">
        <f>INDEX('Range-thresholds'!$G$6:$G$72,MATCH(A9,'Range-thresholds'!$A$6:$A$72,0))</f>
        <v/>
      </c>
    </row>
    <row r="10" spans="1:14" ht="26.25" thickBot="1">
      <c r="A10" s="663" t="s">
        <v>854</v>
      </c>
      <c r="B10" s="650"/>
      <c r="C10" s="402"/>
      <c r="D10" s="690" t="s">
        <v>862</v>
      </c>
      <c r="E10" s="465" t="str">
        <f>IF(OR($B10=yes,$B10=yes),'5-7 Recycl metals'!K8, IF(OR($B10=no,$B10=no),"-", IF($B10=que,que, pres)))</f>
        <v>Presente?</v>
      </c>
      <c r="F10" s="466" t="str">
        <f>IF(OR($B10=yes,$B10=yes),'5-7 Recycl metals'!V8, IF(OR($B10=no,$B10=no),"-", IF($B10=que,que, pres)))</f>
        <v>Presente?</v>
      </c>
      <c r="G10" s="466" t="str">
        <f>IF(OR($B10=yes,$B10=yes),'5-7 Recycl metals'!W8, IF(OR($B10=no,$B10=no),"-", IF($B10=que,que, pres)))</f>
        <v>Presente?</v>
      </c>
      <c r="H10" s="466" t="str">
        <f>IF(OR($B10=yes,$B10=yes),'5-7 Recycl metals'!X8, IF(OR($B10=no,$B10=no),"-", IF($B10=que,que, pres)))</f>
        <v>Presente?</v>
      </c>
      <c r="I10" s="466" t="str">
        <f>IF(OR($B10=yes,$B10=yes),'5-7 Recycl metals'!Y8, IF(OR($B10=no,$B10=no),"-", IF($B10=que,que, pres)))</f>
        <v>Presente?</v>
      </c>
      <c r="J10" s="466" t="str">
        <f>IF(OR($B10=yes,$B10=yes),'5-7 Recycl metals'!Z8, IF(OR($B10=no,$B10=no),"-", IF($B10=que,que, pres)))</f>
        <v>Presente?</v>
      </c>
      <c r="K10" s="466" t="str">
        <f>IF(OR($B10=yes,$B10=yes),'5-7 Recycl metals'!AA8, IF(OR($B10=no,$B10=no),"-", IF($B10=que,que, pres)))</f>
        <v>Presente?</v>
      </c>
      <c r="L10" s="273" t="s">
        <v>385</v>
      </c>
      <c r="M10" s="468"/>
      <c r="N10" s="340" t="str">
        <f>INDEX('Range-thresholds'!$G$6:$G$72,MATCH(A10,'Range-thresholds'!$A$6:$A$72,0))</f>
        <v/>
      </c>
    </row>
    <row r="11" spans="1:14">
      <c r="A11" s="662"/>
      <c r="B11" s="400"/>
      <c r="C11" s="401"/>
      <c r="D11" s="688"/>
      <c r="E11" s="465"/>
      <c r="F11" s="466"/>
      <c r="G11" s="466"/>
      <c r="H11" s="466"/>
      <c r="I11" s="466"/>
      <c r="J11" s="466"/>
      <c r="K11" s="466"/>
      <c r="L11" s="273"/>
      <c r="M11" s="468"/>
    </row>
    <row r="12" spans="1:14" ht="13.5" thickBot="1">
      <c r="A12" s="661" t="s">
        <v>855</v>
      </c>
      <c r="B12" s="269"/>
      <c r="C12" s="348"/>
      <c r="D12" s="688"/>
      <c r="E12" s="465"/>
      <c r="F12" s="466"/>
      <c r="G12" s="466"/>
      <c r="H12" s="466"/>
      <c r="I12" s="466"/>
      <c r="J12" s="466"/>
      <c r="K12" s="466"/>
      <c r="L12" s="273"/>
      <c r="M12" s="468"/>
    </row>
    <row r="13" spans="1:14">
      <c r="A13" s="663" t="s">
        <v>1064</v>
      </c>
      <c r="B13" s="649"/>
      <c r="C13" s="378"/>
      <c r="D13" s="690" t="s">
        <v>863</v>
      </c>
      <c r="E13" s="465" t="str">
        <f>IF(OR($B13=yes,$B13=yes),'5-8 Waste incin'!K7, IF(OR($B13=no,$B13=no),"-", IF($B13=que,que, pres)))</f>
        <v>Presente?</v>
      </c>
      <c r="F13" s="466" t="str">
        <f>IF(OR($B13=yes,$B13=yes),'5-8 Waste incin'!V6, IF(OR($B13=no,$B13=no),"-", IF($B13=que,que, pres)))</f>
        <v>Presente?</v>
      </c>
      <c r="G13" s="466" t="str">
        <f>IF(OR($B13=yes,$B13=yes),'5-8 Waste incin'!W6, IF(OR($B13=no,$B13=no),"-", IF($B13=que,que, pres)))</f>
        <v>Presente?</v>
      </c>
      <c r="H13" s="466" t="str">
        <f>IF(OR($B13=yes,$B13=yes),'5-8 Waste incin'!X6, IF(OR($B13=no,$B13=no),"-", IF($B13=que,que, pres)))</f>
        <v>Presente?</v>
      </c>
      <c r="I13" s="466" t="str">
        <f>IF(OR($B13=yes,$B13=yes),'5-8 Waste incin'!Y6, IF(OR($B13=no,$B13=no),"-", IF($B13=que,que, pres)))</f>
        <v>Presente?</v>
      </c>
      <c r="J13" s="466" t="str">
        <f>IF(OR($B13=yes,$B13=yes),'5-8 Waste incin'!Z6, IF(OR($B13=no,$B13=no),"-", IF($B13=que,que, pres)))</f>
        <v>Presente?</v>
      </c>
      <c r="K13" s="466" t="str">
        <f>IF(OR($B13=yes,$B13=yes),'5-8 Waste incin'!AA6, IF(OR($B13=no,$B13=no),"-", IF($B13=que,que, pres)))</f>
        <v>Presente?</v>
      </c>
      <c r="L13" s="273" t="s">
        <v>204</v>
      </c>
      <c r="M13" s="469"/>
      <c r="N13" s="340" t="str">
        <f>INDEX('Range-thresholds'!$G$6:$G$72,MATCH(A13,'Range-thresholds'!$A$6:$A$72,0))</f>
        <v/>
      </c>
    </row>
    <row r="14" spans="1:14">
      <c r="A14" s="663" t="s">
        <v>856</v>
      </c>
      <c r="B14" s="651"/>
      <c r="C14" s="380"/>
      <c r="D14" s="690" t="s">
        <v>863</v>
      </c>
      <c r="E14" s="465" t="str">
        <f>IF(OR($B14=yes,$B14=yes),'5-8 Waste incin'!K13, IF(OR($B14=no,$B14=no),"-", IF($B14=que,que, pres)))</f>
        <v>Presente?</v>
      </c>
      <c r="F14" s="466" t="str">
        <f>IF(OR($B14=yes,$B14=yes),'5-8 Waste incin'!V12, IF(OR($B14=no,$B14=no),"-", IF($B14=que,que, pres)))</f>
        <v>Presente?</v>
      </c>
      <c r="G14" s="466" t="str">
        <f>IF(OR($B14=yes,$B14=yes),'5-8 Waste incin'!W12, IF(OR($B14=no,$B14=no),"-", IF($B14=que,que, pres)))</f>
        <v>Presente?</v>
      </c>
      <c r="H14" s="466" t="str">
        <f>IF(OR($B14=yes,$B14=yes),'5-8 Waste incin'!X12, IF(OR($B14=no,$B14=no),"-", IF($B14=que,que, pres)))</f>
        <v>Presente?</v>
      </c>
      <c r="I14" s="466" t="str">
        <f>IF(OR($B14=yes,$B14=yes),'5-8 Waste incin'!Y12, IF(OR($B14=no,$B14=no),"-", IF($B14=que,que, pres)))</f>
        <v>Presente?</v>
      </c>
      <c r="J14" s="466" t="str">
        <f>IF(OR($B14=yes,$B14=yes),'5-8 Waste incin'!Z12, IF(OR($B14=no,$B14=no),"-", IF($B14=que,que, pres)))</f>
        <v>Presente?</v>
      </c>
      <c r="K14" s="466" t="str">
        <f>IF(OR($B14=yes,$B14=yes),'5-8 Waste incin'!AA12, IF(OR($B14=no,$B14=no),"-", IF($B14=que,que, pres)))</f>
        <v>Presente?</v>
      </c>
      <c r="L14" s="273" t="s">
        <v>209</v>
      </c>
      <c r="M14" s="468"/>
      <c r="N14" s="340" t="str">
        <f>INDEX('Range-thresholds'!$G$6:$G$72,MATCH(A14,'Range-thresholds'!$A$6:$A$72,0))</f>
        <v/>
      </c>
    </row>
    <row r="15" spans="1:14">
      <c r="A15" s="663" t="s">
        <v>857</v>
      </c>
      <c r="B15" s="651"/>
      <c r="C15" s="380"/>
      <c r="D15" s="690" t="s">
        <v>863</v>
      </c>
      <c r="E15" s="465" t="str">
        <f>IF(OR($B15=yes,$B15=yes),'5-8 Waste incin'!K19, IF(OR($B15=no,$B15=no),"-", IF($B15=que,que, pres)))</f>
        <v>Presente?</v>
      </c>
      <c r="F15" s="466" t="str">
        <f>IF(OR($B15=yes,$B15=yes),'5-8 Waste incin'!V18, IF(OR($B15=no,$B15=no),"-", IF($B15=que,que, pres)))</f>
        <v>Presente?</v>
      </c>
      <c r="G15" s="466" t="str">
        <f>IF(OR($B15=yes,$B15=yes),'5-8 Waste incin'!W18, IF(OR($B15=no,$B15=no),"-", IF($B15=que,que, pres)))</f>
        <v>Presente?</v>
      </c>
      <c r="H15" s="466" t="str">
        <f>IF(OR($B15=yes,$B15=yes),'5-8 Waste incin'!X18, IF(OR($B15=no,$B15=no),"-", IF($B15=que,que, pres)))</f>
        <v>Presente?</v>
      </c>
      <c r="I15" s="466" t="str">
        <f>IF(OR($B15=yes,$B15=yes),'5-8 Waste incin'!Y18, IF(OR($B15=no,$B15=no),"-", IF($B15=que,que, pres)))</f>
        <v>Presente?</v>
      </c>
      <c r="J15" s="466" t="str">
        <f>IF(OR($B15=yes,$B15=yes),'5-8 Waste incin'!Z18, IF(OR($B15=no,$B15=no),"-", IF($B15=que,que, pres)))</f>
        <v>Presente?</v>
      </c>
      <c r="K15" s="466" t="str">
        <f>IF(OR($B15=yes,$B15=yes),'5-8 Waste incin'!AA18, IF(OR($B15=no,$B15=no),"-", IF($B15=que,que, pres)))</f>
        <v>Presente?</v>
      </c>
      <c r="L15" s="273" t="s">
        <v>214</v>
      </c>
      <c r="M15" s="468"/>
      <c r="N15" s="340" t="str">
        <f>INDEX('Range-thresholds'!$G$6:$G$72,MATCH(A15,'Range-thresholds'!$A$6:$A$72,0))</f>
        <v/>
      </c>
    </row>
    <row r="16" spans="1:14" ht="25.5">
      <c r="A16" s="663" t="s">
        <v>858</v>
      </c>
      <c r="B16" s="651"/>
      <c r="C16" s="380"/>
      <c r="D16" s="690" t="s">
        <v>863</v>
      </c>
      <c r="E16" s="465" t="str">
        <f>IF(OR($B16=yes,$B16=yes),'5-8 Waste incin'!K24, IF(OR($B16=no,$B16=no),"-", IF($B16=que,que, pres)))</f>
        <v>Presente?</v>
      </c>
      <c r="F16" s="466" t="str">
        <f>IF(OR($B16=yes,$B16=yes),'5-8 Waste incin'!V24, IF(OR($B16=no,$B16=no),"-", IF($B16=que,que, pres)))</f>
        <v>Presente?</v>
      </c>
      <c r="G16" s="466" t="str">
        <f>IF(OR($B16=yes,$B16=yes),'5-8 Waste incin'!W24, IF(OR($B16=no,$B16=no),"-", IF($B16=que,que, pres)))</f>
        <v>Presente?</v>
      </c>
      <c r="H16" s="466" t="str">
        <f>IF(OR($B16=yes,$B16=yes),'5-8 Waste incin'!X24, IF(OR($B16=no,$B16=no),"-", IF($B16=que,que, pres)))</f>
        <v>Presente?</v>
      </c>
      <c r="I16" s="466" t="str">
        <f>IF(OR($B16=yes,$B16=yes),'5-8 Waste incin'!Y24, IF(OR($B16=no,$B16=no),"-", IF($B16=que,que, pres)))</f>
        <v>Presente?</v>
      </c>
      <c r="J16" s="466" t="str">
        <f>IF(OR($B16=yes,$B16=yes),'5-8 Waste incin'!Z24, IF(OR($B16=no,$B16=no),"-", IF($B16=que,que, pres)))</f>
        <v>Presente?</v>
      </c>
      <c r="K16" s="466" t="str">
        <f>IF(OR($B16=yes,$B16=yes),'5-8 Waste incin'!AA24, IF(OR($B16=no,$B16=no),"-", IF($B16=que,que, pres)))</f>
        <v>Presente?</v>
      </c>
      <c r="L16" s="273" t="s">
        <v>216</v>
      </c>
      <c r="M16" s="468"/>
      <c r="N16" s="340" t="str">
        <f>INDEX('Range-thresholds'!$G$6:$G$72,MATCH(A16,'Range-thresholds'!$A$6:$A$72,0))</f>
        <v/>
      </c>
    </row>
    <row r="17" spans="1:14" ht="26.25" thickBot="1">
      <c r="A17" s="663" t="s">
        <v>1088</v>
      </c>
      <c r="B17" s="650"/>
      <c r="C17" s="402"/>
      <c r="D17" s="690" t="s">
        <v>864</v>
      </c>
      <c r="E17" s="465" t="str">
        <f>IF(OR($B17=yes,$B17=yes),'5-8 Waste incin'!K26, IF(OR($B17=no,$B17=no),"-", IF($B17=que,que, pres)))</f>
        <v>Presente?</v>
      </c>
      <c r="F17" s="466" t="str">
        <f>IF(OR($B17=yes,$B17=yes),'5-8 Waste incin'!V26, IF(OR($B17=no,$B17=no),"-", IF($B17=que,que, pres)))</f>
        <v>Presente?</v>
      </c>
      <c r="G17" s="466" t="str">
        <f>IF(OR($B17=yes,$B17=yes),'5-8 Waste incin'!W26, IF(OR($B17=no,$B17=no),"-", IF($B17=que,que, pres)))</f>
        <v>Presente?</v>
      </c>
      <c r="H17" s="466" t="str">
        <f>IF(OR($B17=yes,$B17=yes),'5-8 Waste incin'!X26, IF(OR($B17=no,$B17=no),"-", IF($B17=que,que, pres)))</f>
        <v>Presente?</v>
      </c>
      <c r="I17" s="466" t="str">
        <f>IF(OR($B17=yes,$B17=yes),'5-8 Waste incin'!Y26, IF(OR($B17=no,$B17=no),"-", IF($B17=que,que, pres)))</f>
        <v>Presente?</v>
      </c>
      <c r="J17" s="466" t="str">
        <f>IF(OR($B17=yes,$B17=yes),'5-8 Waste incin'!Z26, IF(OR($B17=no,$B17=no),"-", IF($B17=que,que, pres)))</f>
        <v>Presente?</v>
      </c>
      <c r="K17" s="466" t="str">
        <f>IF(OR($B17=yes,$B17=yes),'5-8 Waste incin'!AA26, IF(OR($B17=no,$B17=no),"-", IF($B17=que,que, pres)))</f>
        <v>Presente?</v>
      </c>
      <c r="L17" s="273" t="s">
        <v>218</v>
      </c>
      <c r="M17" s="468"/>
      <c r="N17" s="340" t="str">
        <f>INDEX('Range-thresholds'!$G$6:$G$72,MATCH(A17,'Range-thresholds'!$A$6:$A$72,0))</f>
        <v/>
      </c>
    </row>
    <row r="18" spans="1:14">
      <c r="A18" s="662"/>
      <c r="B18" s="349"/>
      <c r="C18" s="350"/>
      <c r="D18" s="688"/>
      <c r="E18" s="465"/>
      <c r="F18" s="466"/>
      <c r="G18" s="466"/>
      <c r="H18" s="466"/>
      <c r="I18" s="466"/>
      <c r="J18" s="466"/>
      <c r="K18" s="466"/>
      <c r="L18" s="273"/>
      <c r="M18" s="468"/>
    </row>
    <row r="19" spans="1:14" ht="26.25" thickBot="1">
      <c r="A19" s="661" t="s">
        <v>1089</v>
      </c>
      <c r="B19" s="347"/>
      <c r="C19" s="348"/>
      <c r="D19" s="688"/>
      <c r="E19" s="465"/>
      <c r="F19" s="466"/>
      <c r="G19" s="466"/>
      <c r="H19" s="466"/>
      <c r="I19" s="466"/>
      <c r="J19" s="466"/>
      <c r="K19" s="466"/>
      <c r="L19" s="273"/>
      <c r="M19" s="468"/>
    </row>
    <row r="20" spans="1:14">
      <c r="A20" s="663" t="s">
        <v>859</v>
      </c>
      <c r="B20" s="649"/>
      <c r="C20" s="378"/>
      <c r="D20" s="690" t="s">
        <v>865</v>
      </c>
      <c r="E20" s="465" t="str">
        <f>IF(OR($B20=yes,$B20=yes),'5-9 Waste depo and water treatm'!K6, IF(OR($B20=no,$B20=no),"-", IF($B20=que,que, pres)))</f>
        <v>Presente?</v>
      </c>
      <c r="F20" s="466" t="str">
        <f>IF(OR($B20=yes,$B20=yes),'5-9 Waste depo and water treatm'!V6, IF(OR($B20=no,$B20=no),"-", IF($B20=que,que, pres)))</f>
        <v>Presente?</v>
      </c>
      <c r="G20" s="466" t="str">
        <f>IF(OR($B20=yes,$B20=yes),'5-9 Waste depo and water treatm'!W6, IF(OR($B20=no,$B20=no),"-", IF($B20=que,que, pres)))</f>
        <v>Presente?</v>
      </c>
      <c r="H20" s="466" t="str">
        <f>IF(OR($B20=yes,$B20=yes),'5-9 Waste depo and water treatm'!X6, IF(OR($B20=no,$B20=no),"-", IF($B20=que,que, pres)))</f>
        <v>Presente?</v>
      </c>
      <c r="I20" s="466" t="str">
        <f>IF(OR($B20=yes,$B20=yes),'5-9 Waste depo and water treatm'!Y6, IF(OR($B20=no,$B20=no),"-", IF($B20=que,que, pres)))</f>
        <v>Presente?</v>
      </c>
      <c r="J20" s="466" t="str">
        <f>IF(OR($B20=yes,$B20=yes),'5-9 Waste depo and water treatm'!Z6, IF(OR($B20=no,$B20=no),"-", IF($B20=que,que, pres)))</f>
        <v>Presente?</v>
      </c>
      <c r="K20" s="466" t="str">
        <f>IF(OR($B20=yes,$B20=yes),'5-9 Waste depo and water treatm'!AA6, IF(OR($B20=no,$B20=no),"-", IF($B20=que,que, pres)))</f>
        <v>Presente?</v>
      </c>
      <c r="L20" s="273" t="s">
        <v>300</v>
      </c>
      <c r="M20" s="468"/>
      <c r="N20" s="340" t="str">
        <f>INDEX('Range-thresholds'!$G$6:$G$72,MATCH(A20,'Range-thresholds'!$A$6:$A$72,0))</f>
        <v/>
      </c>
    </row>
    <row r="21" spans="1:14" ht="13.5" thickBot="1">
      <c r="A21" s="663" t="s">
        <v>1096</v>
      </c>
      <c r="B21" s="650"/>
      <c r="C21" s="402"/>
      <c r="D21" s="690" t="s">
        <v>866</v>
      </c>
      <c r="E21" s="465" t="str">
        <f>IF(OR($B21=yes,$B21=yes),'5-9 Waste depo and water treatm'!K13, IF(OR($B21=no,$B21=no),"-", IF($B21=que,que, pres)))</f>
        <v>Presente?</v>
      </c>
      <c r="F21" s="466" t="str">
        <f>IF(OR($B21=yes,$B21=yes),'5-9 Waste depo and water treatm'!V13, IF(OR($B21=no,$B21=no),"-", IF($B21=que,que, pres)))</f>
        <v>Presente?</v>
      </c>
      <c r="G21" s="466" t="str">
        <f>IF(OR($B21=yes,$B21=yes),'5-9 Waste depo and water treatm'!W13, IF(OR($B21=no,$B21=no),"-", IF($B21=que,que, pres)))</f>
        <v>Presente?</v>
      </c>
      <c r="H21" s="466" t="str">
        <f>IF(OR($B21=yes,$B21=yes),'5-9 Waste depo and water treatm'!X13, IF(OR($B21=no,$B21=no),"-", IF($B21=que,que, pres)))</f>
        <v>Presente?</v>
      </c>
      <c r="I21" s="466" t="str">
        <f>IF(OR($B21=yes,$B21=yes),'5-9 Waste depo and water treatm'!Y13, IF(OR($B21=no,$B21=no),"-", IF($B21=que,que, pres)))</f>
        <v>Presente?</v>
      </c>
      <c r="J21" s="466" t="str">
        <f>IF(OR($B21=yes,$B21=yes),'5-9 Waste depo and water treatm'!Z13, IF(OR($B21=no,$B21=no),"-", IF($B21=que,que, pres)))</f>
        <v>Presente?</v>
      </c>
      <c r="K21" s="466" t="str">
        <f>IF(OR($B21=yes,$B21=yes),'5-9 Waste depo and water treatm'!AA13, IF(OR($B21=no,$B21=no),"-", IF($B21=que,que, pres)))</f>
        <v>Presente?</v>
      </c>
      <c r="L21" s="273" t="s">
        <v>303</v>
      </c>
      <c r="M21" s="468"/>
      <c r="N21" s="340" t="str">
        <f>INDEX('Range-thresholds'!$G$6:$G$72,MATCH(A21,'Range-thresholds'!$A$6:$A$72,0))</f>
        <v/>
      </c>
    </row>
    <row r="22" spans="1:14" ht="13.5" thickBot="1">
      <c r="A22" s="662"/>
      <c r="B22" s="403"/>
      <c r="C22" s="404"/>
      <c r="D22" s="688"/>
      <c r="E22" s="465"/>
      <c r="F22" s="466"/>
      <c r="G22" s="466"/>
      <c r="H22" s="466"/>
      <c r="I22" s="466"/>
      <c r="J22" s="466"/>
      <c r="K22" s="466"/>
      <c r="L22" s="273"/>
      <c r="M22" s="468"/>
    </row>
    <row r="23" spans="1:14" ht="15" thickBot="1">
      <c r="A23" s="663" t="s">
        <v>860</v>
      </c>
      <c r="B23" s="652"/>
      <c r="C23" s="405"/>
      <c r="D23" s="690" t="s">
        <v>867</v>
      </c>
      <c r="E23" s="465" t="str">
        <f>IF(OR($B23=yes,$B23=yes),'5-9 Waste depo and water treatm'!K16, IF(OR($B23=no,$B23=no),"-", IF($B23=que,que, pres)))</f>
        <v>Presente?</v>
      </c>
      <c r="F23" s="466" t="str">
        <f>IF(OR($B23=yes,$B23=yes),'5-9 Waste depo and water treatm'!V15, IF(OR($B23=no,$B23=no),"-", IF($B23=que,que, pres)))</f>
        <v>Presente?</v>
      </c>
      <c r="G23" s="466" t="str">
        <f>IF(OR($B23=yes,$B23=yes),'5-9 Waste depo and water treatm'!W15, IF(OR($B23=no,$B23=no),"-", IF($B23=que,que, pres)))</f>
        <v>Presente?</v>
      </c>
      <c r="H23" s="466" t="str">
        <f>IF(OR($B23=yes,$B23=yes),'5-9 Waste depo and water treatm'!X15, IF(OR($B23=no,$B23=no),"-", IF($B23=que,que, pres)))</f>
        <v>Presente?</v>
      </c>
      <c r="I23" s="466" t="str">
        <f>IF(OR($B23=yes,$B23=yes),'5-9 Waste depo and water treatm'!Y15, IF(OR($B23=no,$B23=no),"-", IF($B23=que,que, pres)))</f>
        <v>Presente?</v>
      </c>
      <c r="J23" s="466" t="str">
        <f>IF(OR($B23=yes,$B23=yes),'5-9 Waste depo and water treatm'!Z15, IF(OR($B23=no,$B23=no),"-", IF($B23=que,que, pres)))</f>
        <v>Presente?</v>
      </c>
      <c r="K23" s="466" t="str">
        <f>IF(OR($B23=yes,$B23=yes),'5-9 Waste depo and water treatm'!AA15, IF(OR($B23=no,$B23=no),"-", IF($B23=que,que, pres)))</f>
        <v>Presente?</v>
      </c>
      <c r="L23" s="273" t="s">
        <v>304</v>
      </c>
      <c r="M23" s="468"/>
      <c r="N23" s="340" t="str">
        <f>INDEX('Range-thresholds'!$G$6:$G$72,MATCH(A23,'Range-thresholds'!$A$6:$A$72,0))</f>
        <v/>
      </c>
    </row>
    <row r="26" spans="1:14">
      <c r="A26" s="623" t="s">
        <v>748</v>
      </c>
    </row>
    <row r="27" spans="1:14">
      <c r="A27" s="623"/>
    </row>
    <row r="28" spans="1:14">
      <c r="A28" s="696" t="s">
        <v>1021</v>
      </c>
      <c r="B28" s="647"/>
    </row>
    <row r="29" spans="1:14">
      <c r="A29" s="697" t="s">
        <v>1063</v>
      </c>
      <c r="C29" s="657" t="e">
        <f>'Nível 1-Resumo total'!E60+'Nível 1-Resumo total'!E64+'Nível 1-Resumo total'!E66+'Nível 1-Resumo total'!E67</f>
        <v>#VALUE!</v>
      </c>
    </row>
    <row r="30" spans="1:14">
      <c r="A30" s="646" t="s">
        <v>1086</v>
      </c>
      <c r="C30" s="657" t="e">
        <f>'Nível 1-Resumo total'!J25+'Nível 1-Resumo total'!J26+SUM('Nível 1-Resumo total'!J31:J55)</f>
        <v>#VALUE!</v>
      </c>
    </row>
    <row r="31" spans="1:14">
      <c r="A31" s="648" t="s">
        <v>749</v>
      </c>
    </row>
    <row r="32" spans="1:14">
      <c r="A32" s="696" t="s">
        <v>1022</v>
      </c>
    </row>
    <row r="33" spans="1:3">
      <c r="A33" s="646" t="s">
        <v>868</v>
      </c>
      <c r="C33" s="657" t="str">
        <f>'Nível1-ResumoExec'!B19</f>
        <v>Presente?</v>
      </c>
    </row>
    <row r="34" spans="1:3">
      <c r="A34" s="646" t="s">
        <v>1087</v>
      </c>
      <c r="C34" s="657" t="e">
        <f>'Nível1-ResumoExec'!D8+SUM('Nível1-ResumoExec'!D10:D14)</f>
        <v>#VALUE!</v>
      </c>
    </row>
    <row r="35" spans="1:3">
      <c r="A35" s="648" t="s">
        <v>749</v>
      </c>
    </row>
  </sheetData>
  <mergeCells count="2">
    <mergeCell ref="F7:K7"/>
    <mergeCell ref="A2:L2"/>
  </mergeCells>
  <conditionalFormatting sqref="A2">
    <cfRule type="expression" dxfId="11" priority="9" stopIfTrue="1">
      <formula>$A$2&lt;&gt;""</formula>
    </cfRule>
  </conditionalFormatting>
  <conditionalFormatting sqref="E9:E10 E13:E17 E20:E21 E23">
    <cfRule type="expression" dxfId="10" priority="11" stopIfTrue="1">
      <formula>AND(B9="y",N9="n")</formula>
    </cfRule>
  </conditionalFormatting>
  <conditionalFormatting sqref="A31">
    <cfRule type="expression" dxfId="9" priority="27">
      <formula>$C$29&gt;2*$C$30</formula>
    </cfRule>
  </conditionalFormatting>
  <conditionalFormatting sqref="A35">
    <cfRule type="expression" dxfId="8" priority="28">
      <formula>$C$33&gt;2*$C$34</formula>
    </cfRule>
  </conditionalFormatting>
  <dataValidations count="3">
    <dataValidation type="decimal" allowBlank="1" showInputMessage="1" showErrorMessage="1" errorTitle="Input error" error="Use digits and decimal mark only." promptTitle="Input cell" prompt="Use digits and decimal mark only." sqref="C9:C10 C13:C17 C20:C21 C23">
      <formula1>-9.99999999999999E+22</formula1>
      <formula2>9.99999999999999E+22</formula2>
    </dataValidation>
    <dataValidation type="list" allowBlank="1" showDropDown="1" showInputMessage="1" showErrorMessage="1" errorTitle="Input error" error="Enter only y, n or ? (or translation of these)" sqref="B22">
      <formula1>yn?</formula1>
    </dataValidation>
    <dataValidation type="list" allowBlank="1" showInputMessage="1" showErrorMessage="1" errorTitle="Input error" error="Enter only y, n or ? (or translation of these)" sqref="B4 B9:B10 B13:B17 B20:B21 B23">
      <formula1>yn?</formula1>
    </dataValidation>
  </dataValidations>
  <pageMargins left="0.39370078740157483" right="0.39370078740157483" top="0.74803149606299213" bottom="0.74803149606299213" header="0.31496062992125984" footer="0.31496062992125984"/>
  <pageSetup paperSize="9" scale="76" orientation="landscape" r:id="rId1"/>
  <headerFooter>
    <oddFooter>&amp;L&amp;APrinted &amp;D</oddFooter>
  </headerFooter>
  <extLst>
    <ext xmlns:x14="http://schemas.microsoft.com/office/spreadsheetml/2009/9/main" uri="{78C0D931-6437-407d-A8EE-F0AAD7539E65}">
      <x14:conditionalFormattings>
        <x14:conditionalFormatting xmlns:xm="http://schemas.microsoft.com/office/excel/2006/main">
          <x14:cfRule type="expression" priority="4" id="{C53B2ABA-6D60-4483-9AF2-0415F414F5A4}">
            <xm:f>'Insert IL2 results'!#REF!&lt;&gt;""</xm:f>
            <x14:dxf>
              <font>
                <color rgb="FFFF0000"/>
              </font>
            </x14:dxf>
          </x14:cfRule>
          <xm:sqref>A26</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32</vt:i4>
      </vt:variant>
      <vt:variant>
        <vt:lpstr>Intervalos nomeados</vt:lpstr>
      </vt:variant>
      <vt:variant>
        <vt:i4>34</vt:i4>
      </vt:variant>
    </vt:vector>
  </HeadingPairs>
  <TitlesOfParts>
    <vt:vector size="66" baseType="lpstr">
      <vt:lpstr>Passo1-Dados do país</vt:lpstr>
      <vt:lpstr>Passo2-Energia</vt:lpstr>
      <vt:lpstr>5-1 Fuels</vt:lpstr>
      <vt:lpstr>Passo3-Metais-MatPrima</vt:lpstr>
      <vt:lpstr>5-2 Prim metal</vt:lpstr>
      <vt:lpstr>5-3 Other min + mat</vt:lpstr>
      <vt:lpstr>Passo4-Uso Industrial de Hg</vt:lpstr>
      <vt:lpstr>5-4 Int Hg in Industry</vt:lpstr>
      <vt:lpstr>Passo5-TratResíduos+Reciclágem</vt:lpstr>
      <vt:lpstr>Passo6-Produtos-Substâncias Hg</vt:lpstr>
      <vt:lpstr>5-6 Other int use</vt:lpstr>
      <vt:lpstr>Countrydata</vt:lpstr>
      <vt:lpstr>Passo7-Crematórios-cemitérios</vt:lpstr>
      <vt:lpstr>Passo8-Fontes Diversos de Hg</vt:lpstr>
      <vt:lpstr>Insira Resultados IN2 </vt:lpstr>
      <vt:lpstr>Range-thresholds</vt:lpstr>
      <vt:lpstr>Conversão de Unidades</vt:lpstr>
      <vt:lpstr>Nível1-ResumoExec</vt:lpstr>
      <vt:lpstr>Nível1-Gráficos</vt:lpstr>
      <vt:lpstr>Nível1-Fontes Hg identificadas</vt:lpstr>
      <vt:lpstr>Nível1-Resumo entradas Hg</vt:lpstr>
      <vt:lpstr>Nível1-Resumo liberações</vt:lpstr>
      <vt:lpstr>Nível 1-Resumo total</vt:lpstr>
      <vt:lpstr>Level 2-introduction</vt:lpstr>
      <vt:lpstr>Level 2-summary</vt:lpstr>
      <vt:lpstr>5-5 Cons prod</vt:lpstr>
      <vt:lpstr>Obs. Tradução</vt:lpstr>
      <vt:lpstr>5-7 Recycl metals</vt:lpstr>
      <vt:lpstr>5-8 Waste incin</vt:lpstr>
      <vt:lpstr>5-9 Waste depo and water treatm</vt:lpstr>
      <vt:lpstr>5-10 Cremat and cem</vt:lpstr>
      <vt:lpstr>Folha2</vt:lpstr>
      <vt:lpstr>'5-7 Recycl metals'!_Ref49683512</vt:lpstr>
      <vt:lpstr>'5-7 Recycl metals'!_Ref49683522</vt:lpstr>
      <vt:lpstr>'5-7 Recycl metals'!_Ref49683534</vt:lpstr>
      <vt:lpstr>'5-9 Waste depo and water treatm'!_Ref50871338</vt:lpstr>
      <vt:lpstr>'5-9 Waste depo and water treatm'!_Ref50871349</vt:lpstr>
      <vt:lpstr>'5-6 Other int use'!_Ref52957575</vt:lpstr>
      <vt:lpstr>_SeF4</vt:lpstr>
      <vt:lpstr>'Insira Resultados IN2 '!Area_de_impressao</vt:lpstr>
      <vt:lpstr>'Level 2-summary'!Area_de_impressao</vt:lpstr>
      <vt:lpstr>'Nível 1-Resumo total'!Area_de_impressao</vt:lpstr>
      <vt:lpstr>'Nível1-Fontes Hg identificadas'!Area_de_impressao</vt:lpstr>
      <vt:lpstr>'Nível1-Gráficos'!Area_de_impressao</vt:lpstr>
      <vt:lpstr>'Nível1-Resumo entradas Hg'!Area_de_impressao</vt:lpstr>
      <vt:lpstr>'Nível1-Resumo liberações'!Area_de_impressao</vt:lpstr>
      <vt:lpstr>'Nível1-ResumoExec'!Area_de_impressao</vt:lpstr>
      <vt:lpstr>'Passo1-Dados do país'!Area_de_impressao</vt:lpstr>
      <vt:lpstr>'Passo2-Energia'!Area_de_impressao</vt:lpstr>
      <vt:lpstr>'Passo3-Metais-MatPrima'!Area_de_impressao</vt:lpstr>
      <vt:lpstr>'Passo4-Uso Industrial de Hg'!Area_de_impressao</vt:lpstr>
      <vt:lpstr>'Passo5-TratResíduos+Reciclágem'!Area_de_impressao</vt:lpstr>
      <vt:lpstr>'Passo6-Produtos-Substâncias Hg'!Area_de_impressao</vt:lpstr>
      <vt:lpstr>'Passo7-Crematórios-cemitérios'!Area_de_impressao</vt:lpstr>
      <vt:lpstr>'Passo8-Fontes Diversos de Hg'!Area_de_impressao</vt:lpstr>
      <vt:lpstr>Country</vt:lpstr>
      <vt:lpstr>no</vt:lpstr>
      <vt:lpstr>pres</vt:lpstr>
      <vt:lpstr>que</vt:lpstr>
      <vt:lpstr>quest</vt:lpstr>
      <vt:lpstr>quest2</vt:lpstr>
      <vt:lpstr>trans1</vt:lpstr>
      <vt:lpstr>trans2</vt:lpstr>
      <vt:lpstr>trans3</vt:lpstr>
      <vt:lpstr>yes</vt:lpstr>
      <vt:lpstr>yn?</vt:lpstr>
    </vt:vector>
  </TitlesOfParts>
  <Company>COWI</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jam</dc:creator>
  <cp:lastModifiedBy>00261518208</cp:lastModifiedBy>
  <cp:lastPrinted>2012-09-10T09:31:09Z</cp:lastPrinted>
  <dcterms:created xsi:type="dcterms:W3CDTF">2005-10-18T14:46:44Z</dcterms:created>
  <dcterms:modified xsi:type="dcterms:W3CDTF">2016-06-28T17:12:44Z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142642220</vt:i4>
  </property>
  <property fmtid="{D5CDD505-2E9C-101B-9397-08002B2CF9AE}" pid="3" name="_NewReviewCycle">
    <vt:lpwstr/>
  </property>
  <property fmtid="{D5CDD505-2E9C-101B-9397-08002B2CF9AE}" pid="4" name="_EmailSubject">
    <vt:lpwstr>Hg-toolkit-IL1-JAM_SLAR_ver1-JAM-KS.xls - et par hurtige kommentarer/spørgsmål</vt:lpwstr>
  </property>
  <property fmtid="{D5CDD505-2E9C-101B-9397-08002B2CF9AE}" pid="5" name="_AuthorEmail">
    <vt:lpwstr>SLAR@cowi.dk</vt:lpwstr>
  </property>
  <property fmtid="{D5CDD505-2E9C-101B-9397-08002B2CF9AE}" pid="6" name="_AuthorEmailDisplayName">
    <vt:lpwstr>Søren Larsen</vt:lpwstr>
  </property>
  <property fmtid="{D5CDD505-2E9C-101B-9397-08002B2CF9AE}" pid="7" name="_PreviousAdHocReviewCycleID">
    <vt:i4>-217575388</vt:i4>
  </property>
  <property fmtid="{D5CDD505-2E9C-101B-9397-08002B2CF9AE}" pid="8" name="_ReviewingToolsShownOnce">
    <vt:lpwstr/>
  </property>
</Properties>
</file>