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68919778191\Documents\EURO SEGURANÇA\"/>
    </mc:Choice>
  </mc:AlternateContent>
  <xr:revisionPtr revIDLastSave="0" documentId="13_ncr:1_{7E2264F6-72C8-47B7-A3BF-7A77F509410A}" xr6:coauthVersionLast="47" xr6:coauthVersionMax="47" xr10:uidLastSave="{00000000-0000-0000-0000-000000000000}"/>
  <bookViews>
    <workbookView xWindow="28680" yWindow="-120" windowWidth="29040" windowHeight="15720" tabRatio="800" xr2:uid="{00000000-000D-0000-FFFF-FFFF00000000}"/>
  </bookViews>
  <sheets>
    <sheet name="PP" sheetId="14" r:id="rId1"/>
    <sheet name="RESUMO" sheetId="2" r:id="rId2"/>
    <sheet name="VIGILÂNCIA DES 44HRS SEG A SEX" sheetId="1" r:id="rId3"/>
    <sheet name="VIGILÂNCIA 12X36 DES NOTURNA" sheetId="3" r:id="rId4"/>
    <sheet name="VIGILÂNCIA 12X36 DESARMADA DIUR" sheetId="4" r:id="rId5"/>
    <sheet name="VIGILÂNCIA 12X36 ARMADA DIUR" sheetId="5" r:id="rId6"/>
    <sheet name="VIGILÂNCIA12 X36 ARM NOT" sheetId="6" r:id="rId7"/>
    <sheet name="SUPERVISOR 12X36 DESARMADO DIUR" sheetId="9" r:id="rId8"/>
    <sheet name="SUPERVISOR 12 X36 ARMADO NOT" sheetId="15" r:id="rId9"/>
    <sheet name="MATERIAIS" sheetId="11" r:id="rId10"/>
    <sheet name="UNIFORMES" sheetId="12" r:id="rId11"/>
  </sheets>
  <definedNames>
    <definedName name="_xlnm.Print_Area" localSheetId="9">MATERIAIS!$A$1:$F$44</definedName>
    <definedName name="_xlnm.Print_Area" localSheetId="0">PP!$A$1:$F$51</definedName>
    <definedName name="_xlnm.Print_Area" localSheetId="1">RESUMO!$A$1:$L$15</definedName>
    <definedName name="_xlnm.Print_Area" localSheetId="8">'SUPERVISOR 12 X36 ARMADO NOT'!$A$5:$D$137</definedName>
    <definedName name="_xlnm.Print_Area" localSheetId="7">'SUPERVISOR 12X36 DESARMADO DIUR'!$A$5:$D$137</definedName>
    <definedName name="_xlnm.Print_Area" localSheetId="10">UNIFORMES!$A$1:$G$20</definedName>
    <definedName name="_xlnm.Print_Area" localSheetId="5">'VIGILÂNCIA 12X36 ARMADA DIUR'!$A$5:$D$137</definedName>
    <definedName name="_xlnm.Print_Area" localSheetId="3">'VIGILÂNCIA 12X36 DES NOTURNA'!$A$5:$D$137</definedName>
    <definedName name="_xlnm.Print_Area" localSheetId="4">'VIGILÂNCIA 12X36 DESARMADA DIUR'!$A$5:$D$137</definedName>
    <definedName name="_xlnm.Print_Area" localSheetId="2">'VIGILÂNCIA DES 44HRS SEG A SEX'!$A$5:$D$137</definedName>
    <definedName name="_xlnm.Print_Area" localSheetId="6">'VIGILÂNCIA12 X36 ARM NOT'!$A$5:$D$137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I27" i="2"/>
  <c r="I25" i="2"/>
  <c r="I21" i="2"/>
  <c r="D58" i="15"/>
  <c r="D58" i="9"/>
  <c r="D58" i="6"/>
  <c r="D15" i="6"/>
  <c r="D58" i="5"/>
  <c r="D57" i="5"/>
  <c r="D58" i="4"/>
  <c r="D15" i="4"/>
  <c r="D58" i="3"/>
  <c r="D21" i="3"/>
  <c r="D64" i="1"/>
  <c r="D58" i="1"/>
  <c r="D15" i="1"/>
  <c r="A1" i="2" l="1"/>
  <c r="A1" i="3"/>
  <c r="A1" i="5"/>
  <c r="G19" i="12"/>
  <c r="A1" i="4"/>
  <c r="A6" i="14"/>
  <c r="A5" i="14"/>
  <c r="D64" i="15"/>
  <c r="C51" i="15"/>
  <c r="C91" i="15" s="1"/>
  <c r="C35" i="4"/>
  <c r="C35" i="3"/>
  <c r="F4" i="11"/>
  <c r="F3" i="11"/>
  <c r="C51" i="1"/>
  <c r="F28" i="11"/>
  <c r="F27" i="11"/>
  <c r="F29" i="11"/>
  <c r="F30" i="11"/>
  <c r="F31" i="11"/>
  <c r="F32" i="11"/>
  <c r="F33" i="11"/>
  <c r="F34" i="11"/>
  <c r="F35" i="11"/>
  <c r="F26" i="11"/>
  <c r="F11" i="11"/>
  <c r="F23" i="11"/>
  <c r="F22" i="11"/>
  <c r="F21" i="11"/>
  <c r="F20" i="11"/>
  <c r="F19" i="11"/>
  <c r="F18" i="11"/>
  <c r="F7" i="11"/>
  <c r="F42" i="11"/>
  <c r="F41" i="11"/>
  <c r="F40" i="11"/>
  <c r="F39" i="11"/>
  <c r="F38" i="11"/>
  <c r="G14" i="12"/>
  <c r="A2" i="2"/>
  <c r="A2" i="15"/>
  <c r="A1" i="15"/>
  <c r="A2" i="9"/>
  <c r="A1" i="9"/>
  <c r="A2" i="6"/>
  <c r="A1" i="6"/>
  <c r="A2" i="5"/>
  <c r="A2" i="4"/>
  <c r="A2" i="3"/>
  <c r="C119" i="15"/>
  <c r="C118" i="15"/>
  <c r="C122" i="15" s="1"/>
  <c r="D97" i="15"/>
  <c r="D102" i="15" s="1"/>
  <c r="C89" i="15"/>
  <c r="C87" i="15"/>
  <c r="C86" i="15"/>
  <c r="C78" i="15"/>
  <c r="C79" i="15" s="1"/>
  <c r="C75" i="15"/>
  <c r="C76" i="15" s="1"/>
  <c r="C45" i="15"/>
  <c r="C35" i="15"/>
  <c r="C36" i="15" s="1"/>
  <c r="D21" i="15"/>
  <c r="D22" i="15" s="1"/>
  <c r="D11" i="15"/>
  <c r="D9" i="15"/>
  <c r="C76" i="1"/>
  <c r="C86" i="9"/>
  <c r="C86" i="6"/>
  <c r="C86" i="5"/>
  <c r="C86" i="4"/>
  <c r="C86" i="3"/>
  <c r="D25" i="15" l="1"/>
  <c r="C92" i="15"/>
  <c r="D24" i="15"/>
  <c r="D28" i="15" s="1"/>
  <c r="F43" i="11"/>
  <c r="F44" i="11" s="1"/>
  <c r="C81" i="15"/>
  <c r="F36" i="11"/>
  <c r="D109" i="1" s="1"/>
  <c r="D71" i="15"/>
  <c r="D61" i="6"/>
  <c r="D61" i="5"/>
  <c r="D61" i="4"/>
  <c r="D61" i="3"/>
  <c r="D9" i="9"/>
  <c r="D9" i="6"/>
  <c r="D9" i="5"/>
  <c r="D9" i="4"/>
  <c r="D9" i="3"/>
  <c r="C119" i="9"/>
  <c r="C89" i="9"/>
  <c r="C87" i="9"/>
  <c r="C78" i="9"/>
  <c r="C75" i="9"/>
  <c r="C45" i="9"/>
  <c r="C51" i="9" s="1"/>
  <c r="C119" i="6"/>
  <c r="C89" i="6"/>
  <c r="C87" i="6"/>
  <c r="C78" i="6"/>
  <c r="C75" i="6"/>
  <c r="C45" i="6"/>
  <c r="C51" i="6" s="1"/>
  <c r="C119" i="5"/>
  <c r="C89" i="5"/>
  <c r="C87" i="5"/>
  <c r="C78" i="5"/>
  <c r="C75" i="5"/>
  <c r="C45" i="5"/>
  <c r="C51" i="5" s="1"/>
  <c r="C119" i="4"/>
  <c r="C89" i="4"/>
  <c r="C87" i="4"/>
  <c r="C78" i="4"/>
  <c r="C75" i="4"/>
  <c r="C45" i="4"/>
  <c r="C51" i="4" s="1"/>
  <c r="C119" i="3"/>
  <c r="C89" i="3"/>
  <c r="C87" i="3"/>
  <c r="C78" i="3"/>
  <c r="C75" i="3"/>
  <c r="C45" i="3"/>
  <c r="C51" i="3" s="1"/>
  <c r="F12" i="2"/>
  <c r="G8" i="12"/>
  <c r="D88" i="15" l="1"/>
  <c r="D47" i="15"/>
  <c r="D43" i="15"/>
  <c r="D91" i="15"/>
  <c r="D33" i="15"/>
  <c r="D35" i="15" s="1"/>
  <c r="D37" i="15" s="1"/>
  <c r="D69" i="15" s="1"/>
  <c r="D80" i="15"/>
  <c r="D77" i="15"/>
  <c r="D44" i="15"/>
  <c r="D86" i="15"/>
  <c r="D76" i="15"/>
  <c r="D48" i="15"/>
  <c r="D89" i="15"/>
  <c r="D87" i="15"/>
  <c r="D46" i="15"/>
  <c r="D45" i="15"/>
  <c r="D36" i="15"/>
  <c r="D129" i="15"/>
  <c r="D75" i="15"/>
  <c r="D79" i="15"/>
  <c r="D34" i="15"/>
  <c r="D50" i="15"/>
  <c r="D49" i="15"/>
  <c r="D78" i="15"/>
  <c r="D90" i="15"/>
  <c r="D109" i="15"/>
  <c r="D109" i="9"/>
  <c r="D108" i="1"/>
  <c r="D109" i="3"/>
  <c r="D15" i="5"/>
  <c r="D15" i="3"/>
  <c r="D11" i="9"/>
  <c r="D11" i="6"/>
  <c r="D11" i="5"/>
  <c r="D11" i="4"/>
  <c r="D11" i="3"/>
  <c r="D81" i="15" l="1"/>
  <c r="D131" i="15" s="1"/>
  <c r="D51" i="15"/>
  <c r="D70" i="15" s="1"/>
  <c r="D92" i="15"/>
  <c r="D101" i="15" s="1"/>
  <c r="D103" i="15" s="1"/>
  <c r="D132" i="15" s="1"/>
  <c r="G3" i="12"/>
  <c r="G9" i="2"/>
  <c r="G10" i="2"/>
  <c r="G11" i="2"/>
  <c r="G8" i="2"/>
  <c r="G7" i="2"/>
  <c r="G6" i="2"/>
  <c r="G5" i="2"/>
  <c r="D72" i="15" l="1"/>
  <c r="D130" i="15" s="1"/>
  <c r="G12" i="2"/>
  <c r="G15" i="12" l="1"/>
  <c r="G16" i="12"/>
  <c r="G17" i="12"/>
  <c r="G18" i="12"/>
  <c r="G4" i="12"/>
  <c r="G5" i="12"/>
  <c r="G6" i="12"/>
  <c r="G7" i="12"/>
  <c r="G9" i="12"/>
  <c r="F13" i="11"/>
  <c r="F14" i="11"/>
  <c r="F15" i="11"/>
  <c r="F16" i="11"/>
  <c r="F17" i="11"/>
  <c r="F12" i="11"/>
  <c r="F5" i="11"/>
  <c r="F6" i="11"/>
  <c r="F8" i="11"/>
  <c r="F9" i="11" s="1"/>
  <c r="D108" i="15" l="1"/>
  <c r="D108" i="9"/>
  <c r="F24" i="11"/>
  <c r="D109" i="5" s="1"/>
  <c r="D109" i="6" s="1"/>
  <c r="G10" i="12"/>
  <c r="D107" i="1" s="1"/>
  <c r="G20" i="12"/>
  <c r="C118" i="9"/>
  <c r="C122" i="9" s="1"/>
  <c r="D97" i="9"/>
  <c r="D102" i="9" s="1"/>
  <c r="C79" i="9"/>
  <c r="C76" i="9"/>
  <c r="C35" i="9"/>
  <c r="D21" i="9"/>
  <c r="C118" i="6"/>
  <c r="C122" i="6" s="1"/>
  <c r="D97" i="6"/>
  <c r="D102" i="6" s="1"/>
  <c r="C79" i="6"/>
  <c r="C76" i="6"/>
  <c r="C81" i="6" s="1"/>
  <c r="C35" i="6"/>
  <c r="D21" i="6"/>
  <c r="C118" i="5"/>
  <c r="C122" i="5" s="1"/>
  <c r="D97" i="5"/>
  <c r="D102" i="5" s="1"/>
  <c r="C79" i="5"/>
  <c r="C76" i="5"/>
  <c r="C35" i="5"/>
  <c r="D21" i="5"/>
  <c r="C118" i="4"/>
  <c r="C122" i="4" s="1"/>
  <c r="D97" i="4"/>
  <c r="D102" i="4" s="1"/>
  <c r="C79" i="4"/>
  <c r="C76" i="4"/>
  <c r="C81" i="4" s="1"/>
  <c r="D21" i="4"/>
  <c r="C118" i="3"/>
  <c r="C122" i="3" s="1"/>
  <c r="D97" i="3"/>
  <c r="D102" i="3" s="1"/>
  <c r="C79" i="3"/>
  <c r="C76" i="3"/>
  <c r="C81" i="3" s="1"/>
  <c r="C118" i="1"/>
  <c r="C122" i="1" s="1"/>
  <c r="D97" i="1"/>
  <c r="D102" i="1" s="1"/>
  <c r="C79" i="1"/>
  <c r="C35" i="1"/>
  <c r="D21" i="1"/>
  <c r="C81" i="5" l="1"/>
  <c r="C81" i="9"/>
  <c r="D57" i="1"/>
  <c r="D71" i="1" s="1"/>
  <c r="D107" i="4"/>
  <c r="D107" i="3"/>
  <c r="D107" i="5"/>
  <c r="D112" i="1"/>
  <c r="D107" i="9"/>
  <c r="D64" i="9"/>
  <c r="D71" i="9" s="1"/>
  <c r="C36" i="5"/>
  <c r="D25" i="3"/>
  <c r="D64" i="4"/>
  <c r="C36" i="9"/>
  <c r="C36" i="6"/>
  <c r="C36" i="4"/>
  <c r="C36" i="3"/>
  <c r="C36" i="1"/>
  <c r="C91" i="5"/>
  <c r="C92" i="5" s="1"/>
  <c r="C81" i="1"/>
  <c r="D109" i="4"/>
  <c r="D64" i="5"/>
  <c r="D22" i="3"/>
  <c r="D24" i="3" s="1"/>
  <c r="D24" i="6" s="1"/>
  <c r="D64" i="3"/>
  <c r="C91" i="3"/>
  <c r="C92" i="3" s="1"/>
  <c r="C91" i="4"/>
  <c r="C92" i="4" s="1"/>
  <c r="C91" i="9"/>
  <c r="C92" i="9" s="1"/>
  <c r="C91" i="6"/>
  <c r="C92" i="6" s="1"/>
  <c r="D22" i="9"/>
  <c r="D25" i="9"/>
  <c r="D22" i="6"/>
  <c r="D25" i="6"/>
  <c r="D22" i="5"/>
  <c r="D25" i="5"/>
  <c r="D22" i="4"/>
  <c r="D25" i="4"/>
  <c r="D22" i="1"/>
  <c r="D25" i="1"/>
  <c r="C91" i="1"/>
  <c r="C92" i="1" s="1"/>
  <c r="D28" i="9" l="1"/>
  <c r="D50" i="9" s="1"/>
  <c r="D28" i="6"/>
  <c r="D90" i="6" s="1"/>
  <c r="D28" i="5"/>
  <c r="D44" i="5" s="1"/>
  <c r="D28" i="1"/>
  <c r="D46" i="1" s="1"/>
  <c r="D28" i="4"/>
  <c r="D36" i="4" s="1"/>
  <c r="D107" i="6"/>
  <c r="D64" i="6"/>
  <c r="D71" i="6" s="1"/>
  <c r="D107" i="15"/>
  <c r="D112" i="9"/>
  <c r="D133" i="9"/>
  <c r="D71" i="5"/>
  <c r="D71" i="4"/>
  <c r="D28" i="3"/>
  <c r="D77" i="3" s="1"/>
  <c r="D71" i="3"/>
  <c r="D108" i="5"/>
  <c r="D133" i="1"/>
  <c r="D108" i="3"/>
  <c r="D112" i="3" s="1"/>
  <c r="D108" i="6"/>
  <c r="D88" i="9"/>
  <c r="D108" i="4"/>
  <c r="D112" i="4" s="1"/>
  <c r="D36" i="9"/>
  <c r="D90" i="9"/>
  <c r="D77" i="9"/>
  <c r="D89" i="9"/>
  <c r="D76" i="9"/>
  <c r="D75" i="9"/>
  <c r="D47" i="9"/>
  <c r="D129" i="9"/>
  <c r="D46" i="9"/>
  <c r="D45" i="9"/>
  <c r="D44" i="9"/>
  <c r="D129" i="4"/>
  <c r="D43" i="4" l="1"/>
  <c r="D48" i="4"/>
  <c r="D89" i="4"/>
  <c r="D87" i="4"/>
  <c r="D86" i="4"/>
  <c r="D33" i="4"/>
  <c r="D49" i="4"/>
  <c r="D50" i="3"/>
  <c r="D76" i="6"/>
  <c r="D129" i="6"/>
  <c r="D87" i="6"/>
  <c r="D77" i="6"/>
  <c r="D80" i="3"/>
  <c r="D80" i="6"/>
  <c r="D47" i="6"/>
  <c r="D49" i="6"/>
  <c r="D78" i="6"/>
  <c r="D45" i="3"/>
  <c r="D44" i="6"/>
  <c r="D33" i="6"/>
  <c r="D88" i="6"/>
  <c r="D92" i="6" s="1"/>
  <c r="D101" i="6" s="1"/>
  <c r="D103" i="6" s="1"/>
  <c r="D132" i="6" s="1"/>
  <c r="D36" i="6"/>
  <c r="D33" i="3"/>
  <c r="D91" i="6"/>
  <c r="D45" i="6"/>
  <c r="D48" i="6"/>
  <c r="D50" i="6"/>
  <c r="D34" i="3"/>
  <c r="D35" i="3" s="1"/>
  <c r="D37" i="3" s="1"/>
  <c r="D69" i="3" s="1"/>
  <c r="D86" i="6"/>
  <c r="D46" i="6"/>
  <c r="D75" i="6"/>
  <c r="D89" i="6"/>
  <c r="D78" i="3"/>
  <c r="D43" i="6"/>
  <c r="D79" i="6"/>
  <c r="D34" i="6"/>
  <c r="D86" i="3"/>
  <c r="D91" i="3"/>
  <c r="D129" i="3"/>
  <c r="D49" i="3"/>
  <c r="D36" i="3"/>
  <c r="D43" i="3"/>
  <c r="D47" i="3"/>
  <c r="D88" i="3"/>
  <c r="D44" i="3"/>
  <c r="D48" i="3"/>
  <c r="D89" i="3"/>
  <c r="D79" i="3"/>
  <c r="D75" i="3"/>
  <c r="D90" i="3"/>
  <c r="D76" i="3"/>
  <c r="D46" i="3"/>
  <c r="D87" i="3"/>
  <c r="D80" i="4"/>
  <c r="D88" i="4"/>
  <c r="D91" i="4"/>
  <c r="D45" i="4"/>
  <c r="D44" i="4"/>
  <c r="D78" i="4"/>
  <c r="D79" i="4"/>
  <c r="D47" i="4"/>
  <c r="D34" i="4"/>
  <c r="D76" i="4"/>
  <c r="D77" i="4"/>
  <c r="D90" i="4"/>
  <c r="D46" i="4"/>
  <c r="D75" i="4"/>
  <c r="D50" i="4"/>
  <c r="D133" i="5"/>
  <c r="D112" i="15"/>
  <c r="D133" i="15" s="1"/>
  <c r="D134" i="15" s="1"/>
  <c r="D112" i="5"/>
  <c r="D112" i="6"/>
  <c r="D133" i="6" s="1"/>
  <c r="D80" i="5"/>
  <c r="D87" i="5"/>
  <c r="D43" i="5"/>
  <c r="D33" i="5"/>
  <c r="D35" i="5" s="1"/>
  <c r="D50" i="5"/>
  <c r="D36" i="5"/>
  <c r="D45" i="5"/>
  <c r="D34" i="5"/>
  <c r="D77" i="5"/>
  <c r="D47" i="5"/>
  <c r="D79" i="5"/>
  <c r="D78" i="5"/>
  <c r="D91" i="5"/>
  <c r="D46" i="5"/>
  <c r="D48" i="5"/>
  <c r="D49" i="5"/>
  <c r="D76" i="5"/>
  <c r="D90" i="5"/>
  <c r="D86" i="5"/>
  <c r="D129" i="5"/>
  <c r="D75" i="5"/>
  <c r="D88" i="5"/>
  <c r="D89" i="5"/>
  <c r="D133" i="4"/>
  <c r="D133" i="3"/>
  <c r="D33" i="9"/>
  <c r="D78" i="9"/>
  <c r="D48" i="9"/>
  <c r="D79" i="9"/>
  <c r="D86" i="9"/>
  <c r="D87" i="9"/>
  <c r="D91" i="9"/>
  <c r="D34" i="9"/>
  <c r="D43" i="9"/>
  <c r="D49" i="9"/>
  <c r="D80" i="9"/>
  <c r="D47" i="1"/>
  <c r="D89" i="1"/>
  <c r="D36" i="1"/>
  <c r="D91" i="1"/>
  <c r="D45" i="1"/>
  <c r="D33" i="1"/>
  <c r="D78" i="1"/>
  <c r="D86" i="1"/>
  <c r="D129" i="1"/>
  <c r="D87" i="1"/>
  <c r="D44" i="1"/>
  <c r="D75" i="1"/>
  <c r="D43" i="1"/>
  <c r="D76" i="1"/>
  <c r="D49" i="1"/>
  <c r="D90" i="1"/>
  <c r="D88" i="1"/>
  <c r="D48" i="1"/>
  <c r="D79" i="1"/>
  <c r="D80" i="1"/>
  <c r="D34" i="1"/>
  <c r="D50" i="1"/>
  <c r="D77" i="1"/>
  <c r="D81" i="9" l="1"/>
  <c r="D35" i="9"/>
  <c r="D37" i="9" s="1"/>
  <c r="D51" i="6"/>
  <c r="D70" i="6" s="1"/>
  <c r="D35" i="4"/>
  <c r="D37" i="4" s="1"/>
  <c r="D81" i="3"/>
  <c r="D131" i="3" s="1"/>
  <c r="D81" i="6"/>
  <c r="D131" i="6" s="1"/>
  <c r="D92" i="3"/>
  <c r="D101" i="3" s="1"/>
  <c r="D103" i="3" s="1"/>
  <c r="D132" i="3" s="1"/>
  <c r="D35" i="6"/>
  <c r="D37" i="6" s="1"/>
  <c r="D69" i="6" s="1"/>
  <c r="D72" i="6" s="1"/>
  <c r="D130" i="6" s="1"/>
  <c r="D134" i="6" s="1"/>
  <c r="D92" i="4"/>
  <c r="D101" i="4" s="1"/>
  <c r="D103" i="4" s="1"/>
  <c r="D132" i="4" s="1"/>
  <c r="D81" i="4"/>
  <c r="D131" i="4" s="1"/>
  <c r="D51" i="4"/>
  <c r="D70" i="4" s="1"/>
  <c r="D51" i="3"/>
  <c r="D70" i="3" s="1"/>
  <c r="D72" i="3" s="1"/>
  <c r="D130" i="3" s="1"/>
  <c r="D92" i="1"/>
  <c r="D101" i="1" s="1"/>
  <c r="D103" i="1" s="1"/>
  <c r="D132" i="1" s="1"/>
  <c r="D51" i="1"/>
  <c r="D70" i="1" s="1"/>
  <c r="D116" i="15"/>
  <c r="D117" i="15"/>
  <c r="D118" i="15" s="1"/>
  <c r="D81" i="1"/>
  <c r="D131" i="1" s="1"/>
  <c r="D92" i="9"/>
  <c r="D101" i="9" s="1"/>
  <c r="D81" i="5"/>
  <c r="D131" i="5" s="1"/>
  <c r="D51" i="5"/>
  <c r="D70" i="5" s="1"/>
  <c r="D51" i="9"/>
  <c r="D69" i="4"/>
  <c r="D92" i="5"/>
  <c r="D101" i="5" s="1"/>
  <c r="D103" i="5" s="1"/>
  <c r="D132" i="5" s="1"/>
  <c r="D35" i="1"/>
  <c r="D37" i="1" s="1"/>
  <c r="D69" i="1" s="1"/>
  <c r="D37" i="5"/>
  <c r="D69" i="5" s="1"/>
  <c r="D69" i="9"/>
  <c r="D70" i="9"/>
  <c r="D131" i="9"/>
  <c r="D72" i="4" l="1"/>
  <c r="D130" i="4" s="1"/>
  <c r="D134" i="4" s="1"/>
  <c r="D134" i="3"/>
  <c r="D116" i="3" s="1"/>
  <c r="D117" i="3" s="1"/>
  <c r="D72" i="1"/>
  <c r="D72" i="9"/>
  <c r="D130" i="9" s="1"/>
  <c r="D134" i="9" s="1"/>
  <c r="D72" i="5"/>
  <c r="D130" i="5" s="1"/>
  <c r="D122" i="15"/>
  <c r="D135" i="15" s="1"/>
  <c r="D136" i="15" s="1"/>
  <c r="D120" i="15" s="1"/>
  <c r="D116" i="6"/>
  <c r="D103" i="9"/>
  <c r="D132" i="9" s="1"/>
  <c r="D130" i="1"/>
  <c r="D134" i="1" s="1"/>
  <c r="D116" i="1" s="1"/>
  <c r="D116" i="4" l="1"/>
  <c r="D117" i="4" s="1"/>
  <c r="D119" i="15"/>
  <c r="D137" i="15"/>
  <c r="D121" i="15"/>
  <c r="D134" i="5"/>
  <c r="D116" i="5" s="1"/>
  <c r="D117" i="5" s="1"/>
  <c r="C11" i="2"/>
  <c r="E11" i="2" s="1"/>
  <c r="D116" i="9"/>
  <c r="D117" i="6"/>
  <c r="D118" i="6" s="1"/>
  <c r="D118" i="3"/>
  <c r="D122" i="3" s="1"/>
  <c r="D135" i="3" s="1"/>
  <c r="D136" i="3" s="1"/>
  <c r="D117" i="1"/>
  <c r="D118" i="1" s="1"/>
  <c r="D118" i="4" l="1"/>
  <c r="D122" i="4" s="1"/>
  <c r="D135" i="4" s="1"/>
  <c r="D136" i="4" s="1"/>
  <c r="C7" i="2" s="1"/>
  <c r="M11" i="2"/>
  <c r="J11" i="2"/>
  <c r="D118" i="5"/>
  <c r="D122" i="5" s="1"/>
  <c r="D135" i="5" s="1"/>
  <c r="D136" i="5" s="1"/>
  <c r="D122" i="6"/>
  <c r="D135" i="6" s="1"/>
  <c r="D136" i="6" s="1"/>
  <c r="D117" i="9"/>
  <c r="D118" i="9" s="1"/>
  <c r="D122" i="1"/>
  <c r="D135" i="1" s="1"/>
  <c r="D136" i="1" s="1"/>
  <c r="D122" i="9" l="1"/>
  <c r="D135" i="9" s="1"/>
  <c r="D137" i="1"/>
  <c r="E5" i="2"/>
  <c r="D137" i="3"/>
  <c r="E6" i="2" s="1"/>
  <c r="J6" i="2" s="1"/>
  <c r="C6" i="2"/>
  <c r="D137" i="5"/>
  <c r="E8" i="2" s="1"/>
  <c r="J8" i="2" s="1"/>
  <c r="C8" i="2"/>
  <c r="C9" i="2"/>
  <c r="D137" i="6"/>
  <c r="E9" i="2" s="1"/>
  <c r="J9" i="2" s="1"/>
  <c r="C5" i="2"/>
  <c r="D119" i="4"/>
  <c r="D137" i="4"/>
  <c r="E7" i="2" s="1"/>
  <c r="J7" i="2" s="1"/>
  <c r="D120" i="4"/>
  <c r="D121" i="4"/>
  <c r="D120" i="3"/>
  <c r="D121" i="3"/>
  <c r="D119" i="3"/>
  <c r="H11" i="2"/>
  <c r="I11" i="2" s="1"/>
  <c r="D120" i="6"/>
  <c r="D119" i="6"/>
  <c r="D121" i="6"/>
  <c r="D119" i="5"/>
  <c r="D120" i="5"/>
  <c r="D121" i="5"/>
  <c r="D120" i="1"/>
  <c r="D119" i="1"/>
  <c r="D121" i="1"/>
  <c r="M5" i="2" l="1"/>
  <c r="J5" i="2"/>
  <c r="D136" i="9"/>
  <c r="D137" i="9" s="1"/>
  <c r="H7" i="2"/>
  <c r="I7" i="2" s="1"/>
  <c r="M7" i="2"/>
  <c r="H8" i="2"/>
  <c r="I8" i="2" s="1"/>
  <c r="M8" i="2"/>
  <c r="H6" i="2"/>
  <c r="I6" i="2" s="1"/>
  <c r="M6" i="2"/>
  <c r="H9" i="2"/>
  <c r="I9" i="2" s="1"/>
  <c r="M9" i="2"/>
  <c r="H5" i="2"/>
  <c r="I5" i="2" s="1"/>
  <c r="D121" i="9" l="1"/>
  <c r="D119" i="9"/>
  <c r="C10" i="2"/>
  <c r="E10" i="2" s="1"/>
  <c r="J10" i="2" s="1"/>
  <c r="J12" i="2" s="1"/>
  <c r="I13" i="2" s="1"/>
  <c r="F13" i="14" s="1"/>
  <c r="D120" i="9"/>
  <c r="H10" i="2" l="1"/>
  <c r="I10" i="2" s="1"/>
  <c r="M10" i="2"/>
  <c r="I15" i="2" l="1"/>
  <c r="F14"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1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1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2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2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3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3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4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4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5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5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00000000-0006-0000-0800-00000100000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00000000-0006-0000-0800-000002000000}">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Itamar Rodrigues Silva Filho</author>
  </authors>
  <commentList>
    <comment ref="B56" authorId="0" shapeId="0" xr:uid="{A76AB3D2-D138-43ED-B9F6-8CD15557FFC0}">
      <text>
        <r>
          <rPr>
            <b/>
            <sz val="9"/>
            <color indexed="81"/>
            <rFont val="Segoe UI"/>
            <family val="2"/>
          </rPr>
          <t>Itamar Rodrigues Silva Filho:</t>
        </r>
        <r>
          <rPr>
            <sz val="9"/>
            <color indexed="81"/>
            <rFont val="Segoe UI"/>
            <family val="2"/>
          </rPr>
          <t xml:space="preserve">
Faltam complementos conforme planilha indicada BASE</t>
        </r>
      </text>
    </comment>
    <comment ref="A84" authorId="0" shapeId="0" xr:uid="{6592A688-548A-486B-B57C-745DF4F8FC9D}">
      <text>
        <r>
          <rPr>
            <b/>
            <sz val="9"/>
            <color indexed="81"/>
            <rFont val="Segoe UI"/>
            <family val="2"/>
          </rPr>
          <t>Itamar Rodrigues Silva Filho:</t>
        </r>
        <r>
          <rPr>
            <sz val="9"/>
            <color indexed="81"/>
            <rFont val="Segoe UI"/>
            <family val="2"/>
          </rPr>
          <t xml:space="preserve">
Na IN5 de 2017 os títulos de 4,1 tem nome diferente, como férias se utiliza Substituto de férias</t>
        </r>
      </text>
    </comment>
  </commentList>
</comments>
</file>

<file path=xl/sharedStrings.xml><?xml version="1.0" encoding="utf-8"?>
<sst xmlns="http://schemas.openxmlformats.org/spreadsheetml/2006/main" count="1687" uniqueCount="278">
  <si>
    <t>PLANILHA DE CUSTOS E FORMAÇÃO DE CUSTOS</t>
  </si>
  <si>
    <t>Discriminação dos Serviços (dados referentes à contratação)</t>
  </si>
  <si>
    <t xml:space="preserve">A </t>
  </si>
  <si>
    <t xml:space="preserve">Data de apresentação da proposta (dia/mês/ano) </t>
  </si>
  <si>
    <t xml:space="preserve">B </t>
  </si>
  <si>
    <t xml:space="preserve">Município/UF </t>
  </si>
  <si>
    <t>Brasília/DF</t>
  </si>
  <si>
    <t xml:space="preserve">C </t>
  </si>
  <si>
    <t xml:space="preserve">Ano Acordo, Convenção ou Sentença Normativa em Dissídio Coletivo, Nº do registro no MTE </t>
  </si>
  <si>
    <t>D</t>
  </si>
  <si>
    <t xml:space="preserve">Nº de meses de execução contratual </t>
  </si>
  <si>
    <t xml:space="preserve">Dados complementares para composição dos custos referente à mão-de-obra </t>
  </si>
  <si>
    <t>Tipo de serviço (mesmo serviço com características distintas)</t>
  </si>
  <si>
    <t xml:space="preserve">Categoria profissional (vinculada à execução contratual) </t>
  </si>
  <si>
    <t>VIGILANTE</t>
  </si>
  <si>
    <t xml:space="preserve">Data base da categoria (dia/mês/ano) </t>
  </si>
  <si>
    <t>Módulo 1 - Composição da Remuneração</t>
  </si>
  <si>
    <t xml:space="preserve">Composição da remuneração </t>
  </si>
  <si>
    <t xml:space="preserve">Valor (R$) </t>
  </si>
  <si>
    <t xml:space="preserve">Salário Base </t>
  </si>
  <si>
    <t>Adicional de Periculosidade</t>
  </si>
  <si>
    <t xml:space="preserve">Adicional de insalubridade </t>
  </si>
  <si>
    <t xml:space="preserve">D </t>
  </si>
  <si>
    <t xml:space="preserve">Adicional noturno </t>
  </si>
  <si>
    <t xml:space="preserve">E </t>
  </si>
  <si>
    <t>Adicional de Hora Noturna reduzida</t>
  </si>
  <si>
    <t xml:space="preserve">G </t>
  </si>
  <si>
    <t xml:space="preserve">Intervalo Intrajornada </t>
  </si>
  <si>
    <t xml:space="preserve">H </t>
  </si>
  <si>
    <t>Descanso Semanal Remunerado</t>
  </si>
  <si>
    <t xml:space="preserve">Total da Remuneração </t>
  </si>
  <si>
    <t>Módulo 2 - Encargos e Benefícios Anuais, Mensais e Diários</t>
  </si>
  <si>
    <t>Submódulo 2.1 - 13º (décimo terceiro) Salário, Férias e Adicional de Férias</t>
  </si>
  <si>
    <t>2.1</t>
  </si>
  <si>
    <t>13º (décimo terceiro) Salário, Férias e Adicional de Férias</t>
  </si>
  <si>
    <t xml:space="preserve">% </t>
  </si>
  <si>
    <t xml:space="preserve">13 º Salário </t>
  </si>
  <si>
    <t>Férias e Adicional de Férias</t>
  </si>
  <si>
    <t xml:space="preserve">Subtotal </t>
  </si>
  <si>
    <t>C</t>
  </si>
  <si>
    <t>Incidência dos encargos previstos no Submódulo 2.2 sobre 13º Salário, Férias e Adicional de Férias</t>
  </si>
  <si>
    <t xml:space="preserve">Total </t>
  </si>
  <si>
    <t>Submódulo 2.2 - Encargos Previdenciários (GPS), Fundo de Garantia por Tempo de Serviço (FGTS) e outras contribuições.</t>
  </si>
  <si>
    <t>2.2</t>
  </si>
  <si>
    <t>GPS, FGTS e outras contribuições</t>
  </si>
  <si>
    <t xml:space="preserve">INSS </t>
  </si>
  <si>
    <t xml:space="preserve">Salário Educação </t>
  </si>
  <si>
    <t>SAT</t>
  </si>
  <si>
    <t>SESC ou SESI</t>
  </si>
  <si>
    <t>SENAI - SENAC</t>
  </si>
  <si>
    <t xml:space="preserve">F </t>
  </si>
  <si>
    <t xml:space="preserve">SEBRAE </t>
  </si>
  <si>
    <t>INCRA</t>
  </si>
  <si>
    <t>FGTS</t>
  </si>
  <si>
    <t xml:space="preserve">TOTAL </t>
  </si>
  <si>
    <t>Submódulo 2.3 - Benefícios Mensais e Diários.</t>
  </si>
  <si>
    <t>2.3</t>
  </si>
  <si>
    <t>Benefícios Mensais e Diários</t>
  </si>
  <si>
    <t xml:space="preserve">Transporte </t>
  </si>
  <si>
    <t>Auxílio- Refeição/ Alimentação  (Vales, Cestas básicas, etc)</t>
  </si>
  <si>
    <t xml:space="preserve">Fundo Social Odontológico </t>
  </si>
  <si>
    <t xml:space="preserve">Total de Benefícios mensais e diários </t>
  </si>
  <si>
    <t>Quadro-Resumo do Módulo 2 - Encargos e Benefícios anuais, mensais e diários</t>
  </si>
  <si>
    <t>Encargos e Benefícios Anuais, Mensais e Diários</t>
  </si>
  <si>
    <t>Valor (R$)</t>
  </si>
  <si>
    <t>Total</t>
  </si>
  <si>
    <t>Módulo 3 - Provisão para Rescisão</t>
  </si>
  <si>
    <t>Provisão para Rescisão</t>
  </si>
  <si>
    <t>%</t>
  </si>
  <si>
    <t>A</t>
  </si>
  <si>
    <t>Aviso Prévio Indenizado</t>
  </si>
  <si>
    <t>B</t>
  </si>
  <si>
    <t>Incidência do FGTS sobre o Aviso Prévio Indenizado</t>
  </si>
  <si>
    <t>Multa do FGTS sobre o Aviso Prévio Indenizado</t>
  </si>
  <si>
    <t>Aviso Prévio Trabalhado</t>
  </si>
  <si>
    <t>E</t>
  </si>
  <si>
    <t>F</t>
  </si>
  <si>
    <t>Multa do FGTS sobre o Aviso Prévio Trabalhado</t>
  </si>
  <si>
    <t>Módulo 4 - Custo de Reposição do Profissional Ausente</t>
  </si>
  <si>
    <t>Submódulo 4.1 - Ausências Legais</t>
  </si>
  <si>
    <t>4.1</t>
  </si>
  <si>
    <t>4.2</t>
  </si>
  <si>
    <t>Quadro-Resumo do Módulo 4 - Custo de Reposição do Profissional Ausente</t>
  </si>
  <si>
    <t>Custo de Reposição do Profissional Ausente</t>
  </si>
  <si>
    <t>Módulo 5 - Insumos Diversos</t>
  </si>
  <si>
    <t>Insumos Diversos</t>
  </si>
  <si>
    <t>Uniformes</t>
  </si>
  <si>
    <t>Materiais</t>
  </si>
  <si>
    <t>Equipamentos</t>
  </si>
  <si>
    <t>Módulo 6 - Custos Indiretos, Tributos e Lucro</t>
  </si>
  <si>
    <t>Custos Indiretos, Tributos e Lucro</t>
  </si>
  <si>
    <t>Custos Indiretos</t>
  </si>
  <si>
    <t>Lucro</t>
  </si>
  <si>
    <t>Tributos</t>
  </si>
  <si>
    <t>C.1. Tributos Federais (PIS, COFINS)</t>
  </si>
  <si>
    <t>C.2. Tributos Estaduais (ISS)</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</si>
  <si>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</si>
  <si>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</si>
  <si>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</si>
  <si>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</si>
  <si>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</si>
  <si>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</si>
  <si>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t>Salário Normativo da Categoria Profissional</t>
  </si>
  <si>
    <t>G</t>
  </si>
  <si>
    <t>Seguro de vida</t>
  </si>
  <si>
    <t>Fundo Ind. Aposentadoria / Doença</t>
  </si>
  <si>
    <t>Substituto na cobertura de Férias</t>
  </si>
  <si>
    <t>Substituto na cobertura de Licença-Paternidade</t>
  </si>
  <si>
    <t>Substituto na cobertura de Ausência por acidente de trabalho</t>
  </si>
  <si>
    <t>Substituto na cobertura de Afastamento Maternidade</t>
  </si>
  <si>
    <t>Nota 1: Custos Indiretos, Tributos e Lucro por empregado.</t>
  </si>
  <si>
    <t xml:space="preserve">INSTRUÇÃO NORMATIVA Nº 5, DE 26 DE MAIO DE 2017 (Atualizada) e </t>
  </si>
  <si>
    <t>INSTRUÇÃO NORMATIVA Nº 7, DE 20 DE SETEMBRO DE 2018.</t>
  </si>
  <si>
    <t>Classificação Brasileira de Ocupações (CBO):</t>
  </si>
  <si>
    <t>Nota 1: O Módulo 1 refere-se ao valor mensal devido ao empregado pela prestação do serviço no período de 12 meses.</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</si>
  <si>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</si>
  <si>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2: O adicional de férias contido no Submódulo 2.1 corresponde a 1/3 (um terço) da remuneração que por sua vez é divido por 12 (doze) conforme Nota 1 acima.</t>
  </si>
  <si>
    <t>Nota 3: Levando em consideração a vigência contratual prevista no art. 57 da Lei nº 8.666, de 23 de junho de 1993, a rubrica férias tem como objetivo principal suprir a necessidade do pagamento das férias remuneradas ao final do contrato de 12 meses. Esta rubrica, quando da prorrogação contratual, torna-se custo não renovável.  (Incluído pela Instrução Normativa nº 7, de 2018)</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</si>
  <si>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</si>
  <si>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</si>
  <si>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Esses percentuais incidem sobre o Módulo 1, o Submódulo 2.1. (Redação dada pela Instrução Normativa nº 7, de 2018)</t>
  </si>
  <si>
    <t>Plano de Saúde</t>
  </si>
  <si>
    <t>Nota 1: O valor informado deverá ser o custo real do benefício (descontado o valor eventualmente pago pelo posto).</t>
  </si>
  <si>
    <t>Nota 2: Observar a previsão dos benefícios contidos em Acordos, Convenções e Dissídios Coletivos de Trabalho e atentar-se ao disposto no art. 6º desta Instrução Normativa SEGES Nº 05/2017.</t>
  </si>
  <si>
    <t>Incidência de GPS, FGTS e outras contribuições sobre o Aviso Prévio Trabalhado</t>
  </si>
  <si>
    <t>Nota 1: O somatório dos percentuais referentes a Multa do FGTS e contribuição social sobre o Aviso Prévio Indenizado e a Multa do FGTS e contribuição social sobre o Aviso Prévio Trabalhado não deverão ultrapassar a 5% conforme o Anexo XI da IN 05/2017-SG/MPDG</t>
  </si>
  <si>
    <t>Substituto nas Ausências Legais</t>
  </si>
  <si>
    <t>Substituto na cobertura de Ausências Legais por doença</t>
  </si>
  <si>
    <t>Incidência do submódulo 2.2 sobre o somatório do submódulo 2.1 e sobre as alíneas A, B, C, D e E do submódulo 4.1</t>
  </si>
  <si>
    <t xml:space="preserve">                                                </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</si>
  <si>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</si>
  <si>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Submódulo 4.2 - Substituto na Intrajornada</t>
  </si>
  <si>
    <t>Substituto na Intrajornada</t>
  </si>
  <si>
    <t>Substituto na cobertura de Intervalo para repouso ou alimentação</t>
  </si>
  <si>
    <t>Utensílios</t>
  </si>
  <si>
    <t>Insumos</t>
  </si>
  <si>
    <t>Nota 2: Os percentuais de Custos Indiretos (5%) e de Lucro (5%) por posto indicados acima estão menores que os máximos aceitáveis, de acordo com o Acórdão 2.369/2011- TCU – Plenário.</t>
  </si>
  <si>
    <t>Nota 3: O orçamento dos custos dos serviços foi estimado levando-se em consideração empresas optantes pelo Lucro Real.</t>
  </si>
  <si>
    <t>CBO (5173-30)</t>
  </si>
  <si>
    <t>ITEM</t>
  </si>
  <si>
    <t>CATEGORIA PROFISSIONAL OU PRODUTO</t>
  </si>
  <si>
    <t>VALOR UNITÁRIO DO POSTO (R$) (B)</t>
  </si>
  <si>
    <t>VALOR TOTAL MENSAL</t>
  </si>
  <si>
    <t>VALOR TOTAL ANUAL</t>
  </si>
  <si>
    <t>Valor Total por Posto</t>
  </si>
  <si>
    <t>Item</t>
  </si>
  <si>
    <t>Period.</t>
  </si>
  <si>
    <t>Qtd.</t>
  </si>
  <si>
    <t>Valor Unitário</t>
  </si>
  <si>
    <t>Valor Total</t>
  </si>
  <si>
    <t>DESCRIÇÃO</t>
  </si>
  <si>
    <t>UNIDADE MEDIDA</t>
  </si>
  <si>
    <t>QUANTIDADE POR EMPREGADO</t>
  </si>
  <si>
    <t>Calça comprida com bolso lateral</t>
  </si>
  <si>
    <t>un</t>
  </si>
  <si>
    <t>Cinto de nylon</t>
  </si>
  <si>
    <t>Meias</t>
  </si>
  <si>
    <t>par</t>
  </si>
  <si>
    <t>Coturno meio couro e meio lona, leve, com zíper</t>
  </si>
  <si>
    <t>Jaqueta de frio ou japona com emblema da empresa</t>
  </si>
  <si>
    <t>VALOR UNITÁRIO</t>
  </si>
  <si>
    <t>VALOR TOTAL</t>
  </si>
  <si>
    <t>PERÍODO</t>
  </si>
  <si>
    <t>QUANTIDADE POR EMPREGADO </t>
  </si>
  <si>
    <t>Gravata lisa, em tecido de poliéster ou seda, na cor preta.</t>
  </si>
  <si>
    <t>Camisa social branca, manga longa</t>
  </si>
  <si>
    <t>Meia social na cor preta</t>
  </si>
  <si>
    <t>Cinto social na cor preta</t>
  </si>
  <si>
    <t>TOTAL MENSAL POR EMPREGADO</t>
  </si>
  <si>
    <t>Sapato tipo social preto</t>
  </si>
  <si>
    <t>Valor proposto por empregado</t>
  </si>
  <si>
    <t>Qtde. de empregados por posto</t>
  </si>
  <si>
    <t>Quantidade Total Funcionários</t>
  </si>
  <si>
    <t>Nº DE POSTOS</t>
  </si>
  <si>
    <t xml:space="preserve">VALOR MENSAL DO POSTO (R$)                               </t>
  </si>
  <si>
    <t xml:space="preserve">VALOR ANUAL DO ITEM (R$)                                           </t>
  </si>
  <si>
    <t>Quepe com emblema</t>
  </si>
  <si>
    <t>DF000333/2024 - SINDESV/DF</t>
  </si>
  <si>
    <t>Especificação dos Materiais e Equipamentos</t>
  </si>
  <si>
    <t>QUANTITATIVO TOTAL</t>
  </si>
  <si>
    <t>PROPOSTA DE PREÇOS</t>
  </si>
  <si>
    <r>
      <rPr>
        <b/>
        <sz val="10"/>
        <color indexed="8"/>
        <rFont val="Cambria"/>
        <family val="1"/>
      </rPr>
      <t xml:space="preserve">EURO Segurança Privada LTDA </t>
    </r>
    <r>
      <rPr>
        <sz val="10"/>
        <color indexed="8"/>
        <rFont val="Cambria"/>
        <family val="1"/>
      </rPr>
      <t>, inscrita no CNPJ sob o número  04.407.207/0001-36, estabelecida no SAAN QUADRA 01, LOTE 1.000 Zona Industrial - Brasília/DF, CEP: 70.632-100,O objeto da presente licitação  Contratação de empresa especializada na prestação dos serviços continuados de vigilância patrimonial, 
armada e desarmada, monitoramento em CFTV, com dedicação exclusiva de mão de obra e fornecimento de todos 
os insumos, materiais e equipamentos necessários à execução dos serviços</t>
    </r>
  </si>
  <si>
    <t>DO PREÇO</t>
  </si>
  <si>
    <t>O valor para execução dos serviços mensal  é de R$</t>
  </si>
  <si>
    <t>O valor para execução dos serviços anual   é de R$</t>
  </si>
  <si>
    <t>DADOS DA EMPRESA PROPONENTE:</t>
  </si>
  <si>
    <t>Razão Social do Licitante:</t>
  </si>
  <si>
    <t xml:space="preserve">EURO SEGURANÇA PRIVADA LTDA </t>
  </si>
  <si>
    <t>CNPJ:</t>
  </si>
  <si>
    <t>04.407.207/0001-36</t>
  </si>
  <si>
    <t>Endereço:</t>
  </si>
  <si>
    <t>SAAN QUADRA 01, LOTE 1.000, ZONA INDUSTRIAL, CEP: 70.632-100, BRASÍLIA/DF</t>
  </si>
  <si>
    <t>E-mail:</t>
  </si>
  <si>
    <t>comercial@euroseguranca.com.br</t>
  </si>
  <si>
    <t>Telefone/fax:</t>
  </si>
  <si>
    <t>(61) 3346-8710</t>
  </si>
  <si>
    <t>Dados Bancários</t>
  </si>
  <si>
    <t>Banco de Brasilia/BRB (070) Agência 108, Conta Corrente nº 002618-2</t>
  </si>
  <si>
    <t>Representante Legal</t>
  </si>
  <si>
    <t>Nome:</t>
  </si>
  <si>
    <t xml:space="preserve">Viviane de Sousa Passos </t>
  </si>
  <si>
    <t>Identificação:</t>
  </si>
  <si>
    <t>CPF:738.523.251-53 e RG sob nº 2.225.201 SSP DF</t>
  </si>
  <si>
    <t>Qualificação:</t>
  </si>
  <si>
    <t xml:space="preserve">SÓCIA DIRETORA </t>
  </si>
  <si>
    <t>O PROPONENTE DECLARA SOB AS PENAS DA LEI QUE:</t>
  </si>
  <si>
    <r>
      <t>* a validade da proposta é 60 dias</t>
    </r>
    <r>
      <rPr>
        <sz val="10"/>
        <color indexed="8"/>
        <rFont val="Calibri Light"/>
        <family val="2"/>
      </rPr>
      <t>,DATA BASE DA CATEGORIA 2024 SINDESV DF REGISTRO NO DF 000333/2024.</t>
    </r>
  </si>
  <si>
    <t>* tem condições para realizar os serviços objeto da presente proposta;</t>
  </si>
  <si>
    <t>*recebeu todos os elementos e informações para cumprimento das obrigações objeto da presente proposta;</t>
  </si>
  <si>
    <t>*que nesta data, não existem fatos impeditivos à participação desta empresa no presente processo, estando ciente integralmente dos requisitos de Habilitação;</t>
  </si>
  <si>
    <t>* nos preços contidos na proposta estão inclusos todos os custos diretos e indiretos, tributos incidentes, inclusive diferenças de alíquotas de ICMS, taxa de administração, serviços, instalações, encargos sociais e trabalhistas, seguros, lucro e outros de qualquer natureza.</t>
  </si>
  <si>
    <t>* para fins do disposto no art. 7º, inciso XXXIII, da Constituição Federal de 1988, esta empresa não emprega menor de 18 (dezoito) anos em trabalho noturno, perigoso ou insalubre, bem como menor de 16 (dezesseis) anos, salvo na condição de aprendiz, a partir de 14 (quatorze) anos;</t>
  </si>
  <si>
    <t>* a presente proposta foi elaborada de maneira independente por esta empresa, e que o conteúdo desta proposta não foi, no todo ou em parte, direta ou indiretamente, informado, discutido com ou recebido de qualquer outro participante potencial ou por qualquer meio ou por qualquer pessoa;</t>
  </si>
  <si>
    <r>
      <t>Que esta empresa cumpre rigorosamente as determinações estabelecidas em Lei e na CCT vigente e que o sindicato que rege a categoria envolvida na prestação dos serviços é o SINDESV/DF x SINDESP/DF; Sindicato dos Vigilantes do Distrito Federal e para a elaboração da proposta foi considerada a CCT DF 000333/2024</t>
    </r>
    <r>
      <rPr>
        <sz val="10"/>
        <color indexed="8"/>
        <rFont val="Calibri Light"/>
        <family val="2"/>
      </rPr>
      <t xml:space="preserve"> firmada entre SINDESV/DF x SINDESP/DF.</t>
    </r>
  </si>
  <si>
    <t>* Que dispomos de estrutura administrativa e operacional  em Brasília, compatível para execução dos serviços.</t>
  </si>
  <si>
    <t xml:space="preserve"> * Que o nosso regime tributário é como base no lucro REAL.</t>
  </si>
  <si>
    <t xml:space="preserve">* Que detém instalações, aparelhamento e pessoal técnico adequados e disponíveis para realização do objeto da licitação. </t>
  </si>
  <si>
    <t>* Esclarecemos que conforme a Lei n. 0 10.637, de 2002, Art. 8° , inciso 1, conjugada com a Lei N. 0 10.833, de 2003, Art. 10, Inciso 1, as empresas prestadoras de serviços de vigilância continuam sendo tributadas com as alíquotas de 0,65% para o PIS e 3,00% para o COFINS</t>
  </si>
  <si>
    <t>* Somos conhecedores da legislação de regência desta licitação e declaramos que aceitamos as condições estabelecidas no Instrumento Convocatório e seus anexos, não havendo dúvidas acerca do seu conteúdo;
* Renunciamos a qualquer direito de indenização ou reembolso de quaisquer despesas caso a presente proposta não seja aceita. 
* Temos ciência de que a contratação decorrente deste CONTRATO  dar-se-á mediante publicação de extrato de contrato e emissão de nota de empenho;
* Declaramos que nos preços ofertados estão incluídos todos os benefícios e os custos diretos e indiretos que forem exigidos para a prestação do serviço licitado, assim entendidas não só as despesas diretas com a aquisição de materiais e pagamento de mão-de-obra, como também as despesas indiretas, dentre elas: transporte, know-how, royalties, despesas financeiras, serviços de terceiros, equipamento, contribuições previdenciárias, encargos sociais e trabalhistas, impostos, taxas e emolumentos incidentes sobre a prestação do serviço e demais despesas, quaisquer que sejam as suas naturezas;
* Não possuímos em nosso quadro funcional empregados que sejam cônjuges, companheiros ou parentes em linha reta, colateral ou por afinidade até o terceiro grau, inclusive ocupantes de cargos em direção e de assessoramento, tampouco de servidores efetivos ou Parlamentares.</t>
  </si>
  <si>
    <t>Código Brasileiro de Ocupação: 5173-30;
Atividade Preponderante da Empresa: Vigilância;
Modalidade da tributação vinculada para 2024: Lucro Real 
Em caso de divergência entre o valor em algarismo e por extenso, prevalecerá o valor por extenso.</t>
  </si>
  <si>
    <t xml:space="preserve"> Declaramos que no preço proposto estão incluídos todos os custos relacionados com fretes, salários, encargos trabalhistas, previdenciários e sociais, tributos e contribuições, e todos os demais impostos, taxas e outras despesas decorrentes de exigência legal ou das condições de gestão do contrato a ser assinado, além dos materiais consumíveis e a depreciação dos equipamentos e bens duráveis.
Declaramos conhecer e concordar plenamente com o edital e seus anexos.
Propomos executar o serviço, objeto desta licitação, a CONTRATANTE, pelos preços indicados nesta proposta de preço, obedecendo às estipulações do correspondente PREGÃO e assegurando que observaremos,  integralmente, as normas e Leis existentes aplicadas ao objeto desta licitação.
Finalmente, esta proponente declara, sob as penas da lei, que até a presente data inexiste(m) fato(s) impeditivo(s) para a sua habilitação, estando ciente da obrigatoriedade de declarar ocorrências posteriores, independentemente de solicitação formal.
 Declaramos que em nossos preços e naqueles que por ventura vierem a serem ofertados através de lances verbais estão  ncluídos todos os custos diretos e indiretos para perfeita execução dos serviços, inclusive das despesas relativas a seguros em geral, ferramentas, encargos da Legislação Social Trabalhista, Previdenciária, da infortunística do trabalho e responsabilidade civil por qualquer dano causado a terceiros ou dispêndios resultantes de impostos, taxas, regulamentos e posturas municipais, estaduais e federais, enfim, tudo o que for necessário para a execução total e completa dos serviços, bem como nosso lucro, conforme especificações constantes do Edital, sem que nos caiba, em qualquer caso, direito regressivo em relação a CONTRATANTE.
Declaramos conhecer e concordar plenamente com o edital e seus anexos.
Esta proponente declara, sob as penas da lei, que:
cumpre plenamente os requisitos de habilitação, conforme Lei 10.520 de 17 de julho de 2002;
Não se encontra declarada inidônea para licitar ou contratar com órgãos da Administração Pública Federal,
Estadual, Municipal e do Distrito Federal; e não possui em seu quadro permanente menores de 16 anos.
Declaramos que concordamos com todos os itens, condições e especificações constantes do Edital e de seus anexos;</t>
  </si>
  <si>
    <t>Viviane de Sousa Passos</t>
  </si>
  <si>
    <t xml:space="preserve">LANCE </t>
  </si>
  <si>
    <t xml:space="preserve">MINISTERIO DO MEIO AMBIENTE E MUDANÇA DO CLIMA </t>
  </si>
  <si>
    <t xml:space="preserve">SUBSECRETARIA DE PLANEJAMENTO, ORÇAMENTO E ADMINISTRAÇÃO </t>
  </si>
  <si>
    <t xml:space="preserve">Posto de vigilancia desarmada 44 horas semanais seg à sex </t>
  </si>
  <si>
    <t>Posto de Vigilância Desarmada, 12x36 horas noturno, de segunda-feira a domingo</t>
  </si>
  <si>
    <t>Posto de Vigilância Desarmada, 12x36 horas diurnas, de segunda-feira a domingo</t>
  </si>
  <si>
    <t>Posto de Vigilância Armada, 12x36 horas diurnas, de segunda-feira a domingo</t>
  </si>
  <si>
    <t>Posto de Vigilância Armada, 12x36 horas noturno, de segunda-feira a domingo</t>
  </si>
  <si>
    <t>Posto de Supervisão de Vigilância Desarmada, 12x36 horas diurnas, de segunda-feira a domingo</t>
  </si>
  <si>
    <t>Posto de Supervisão de Vigilância Armada, 12x36 horas noturno, de segunda-feira a domingo</t>
  </si>
  <si>
    <t>RADIO PORTATIL (HT)</t>
  </si>
  <si>
    <t>FONE DE OUVIDO COM MICROFONE</t>
  </si>
  <si>
    <t xml:space="preserve">LANTERNA TÁTICA PROFISSIONAL </t>
  </si>
  <si>
    <t xml:space="preserve">APITO DE METAL COM CORDÃO </t>
  </si>
  <si>
    <t xml:space="preserve">CAPA DE CHUVA </t>
  </si>
  <si>
    <t xml:space="preserve">VALOR TOTAL </t>
  </si>
  <si>
    <t xml:space="preserve">MATERIAIS E EQUIPAMENTOS SUPERVISORES </t>
  </si>
  <si>
    <t xml:space="preserve">MATERIAL E EQUIPAMENTOS - VIGILANTES ARMADOS </t>
  </si>
  <si>
    <t>FONE DE OUVIDO COM MICROFONE E PTT</t>
  </si>
  <si>
    <t xml:space="preserve">ESPAGIADOR DE AGENTE QUIMICO LACRIMOGENIO </t>
  </si>
  <si>
    <t>LANTERNA TATICA PROFISSIONAL</t>
  </si>
  <si>
    <t xml:space="preserve">CASSETETE TIPO TONFA </t>
  </si>
  <si>
    <t xml:space="preserve">ARMA LETAL - REVOLVER CALIBRE .38 </t>
  </si>
  <si>
    <t xml:space="preserve">CINTO TATICO GUARNIÇÃO COMPLETA </t>
  </si>
  <si>
    <t xml:space="preserve">COLETE BALISTICO </t>
  </si>
  <si>
    <t xml:space="preserve">FIEL DUPLO </t>
  </si>
  <si>
    <t>BASTÃO RETRATIL EM AÇO</t>
  </si>
  <si>
    <t xml:space="preserve">MATERIAL E EQUIPAMENTOS - VIGILANTES DESARMADOS </t>
  </si>
  <si>
    <t xml:space="preserve">RADIO PORTÁTIL </t>
  </si>
  <si>
    <t xml:space="preserve">DEMAIS EQUIPAMENTOS </t>
  </si>
  <si>
    <t xml:space="preserve">Relogio de Ponto Eletronico Biometrico </t>
  </si>
  <si>
    <t xml:space="preserve">Livro de ocorrencia </t>
  </si>
  <si>
    <t xml:space="preserve">caneta esferografica </t>
  </si>
  <si>
    <t xml:space="preserve">cracha </t>
  </si>
  <si>
    <t xml:space="preserve">Posto VIGILANTES </t>
  </si>
  <si>
    <t xml:space="preserve">SUPERVISOR </t>
  </si>
  <si>
    <t xml:space="preserve">CAPA DE COLETE </t>
  </si>
  <si>
    <t xml:space="preserve">cofre para Revolveres </t>
  </si>
  <si>
    <t xml:space="preserve">ARMA </t>
  </si>
  <si>
    <t>Camisa de mangas longa , com o distintivo silk-screen/bordado no bolso.</t>
  </si>
  <si>
    <t>Terno completo composto por poliviscose com dois cortes traseiros, dois botões e modelagem Slim Fit composição 64% poliester, 33% viscose e 3% Elastano Forro: 100% poliester cor preto</t>
  </si>
  <si>
    <t xml:space="preserve">Equipamentos desarmados </t>
  </si>
  <si>
    <t>PROPOSTA COMERCIAL PREGÃO 90004/2024</t>
  </si>
  <si>
    <t xml:space="preserve">PREÇO MENSAL </t>
  </si>
  <si>
    <t>SUPERVISOR</t>
  </si>
  <si>
    <t xml:space="preserve">SUPERVISOR ARMADO </t>
  </si>
  <si>
    <t xml:space="preserve">SUPERVISOR DESARMADO </t>
  </si>
  <si>
    <t xml:space="preserve">VIGILANTE </t>
  </si>
  <si>
    <t xml:space="preserve">Diretora </t>
  </si>
  <si>
    <t>Brasília/DF,  14 de Abril  de 2025.</t>
  </si>
  <si>
    <t>VIGILANTE / 2025</t>
  </si>
  <si>
    <t>PRATICADO</t>
  </si>
  <si>
    <t xml:space="preserve">Outros (especificar) despesas com SESMT (cláusula quadragésima sexta) </t>
  </si>
  <si>
    <t xml:space="preserve">Outros (especificar) Despesas com SESMT </t>
  </si>
  <si>
    <t>Outros (especificar) Despesas com SESMT</t>
  </si>
  <si>
    <t>REPACTUAÇÃO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</si>
</sst>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0.000%"/>
    <numFmt numFmtId="165" formatCode="_(&quot;R$&quot;* #,##0.00_);_(&quot;R$&quot;* \(#,##0.00\);_(&quot;R$&quot;* &quot;-&quot;??_);_(@_)"/>
    <numFmt numFmtId="166" formatCode="_-&quot;R$&quot;* #,##0.00_-;\-&quot;R$&quot;* #,##0.00_-;_-&quot;R$&quot;* &quot;-&quot;??_-;_-@_-"/>
    <numFmt numFmtId="167" formatCode="_(&quot;R$ &quot;* #,##0.00_);_(&quot;R$ &quot;* \(#,##0.00\);_(&quot;R$ &quot;* &quot;-&quot;??_);_(@_)"/>
    <numFmt numFmtId="168" formatCode="_(* #,##0.00_);_(* \(#,##0.00\);_(* &quot;-&quot;??_);_(@_)"/>
    <numFmt numFmtId="169" formatCode="&quot;R$&quot;\ #,##0.00"/>
  </numFmts>
  <fonts count="34"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sz val="8"/>
      <name val="Calibri"/>
      <family val="2"/>
      <scheme val="minor"/>
    </font>
    <font>
      <sz val="9"/>
      <name val="Calibri"/>
      <family val="2"/>
      <scheme val="minor"/>
    </font>
    <font>
      <sz val="8"/>
      <name val="Calibri"/>
      <family val="2"/>
    </font>
    <font>
      <b/>
      <sz val="8"/>
      <name val="Calibri"/>
      <family val="2"/>
      <scheme val="minor"/>
    </font>
    <font>
      <b/>
      <sz val="9"/>
      <color indexed="81"/>
      <name val="Segoe UI"/>
      <family val="2"/>
    </font>
    <font>
      <sz val="9"/>
      <color indexed="81"/>
      <name val="Segoe UI"/>
      <family val="2"/>
    </font>
    <font>
      <sz val="10"/>
      <color rgb="FF000000"/>
      <name val="Times New Roman"/>
      <family val="1"/>
    </font>
    <font>
      <sz val="12"/>
      <name val="Calibri Light"/>
      <family val="2"/>
      <scheme val="major"/>
    </font>
    <font>
      <sz val="10"/>
      <color rgb="FF000000"/>
      <name val="Times New Roman"/>
      <family val="1"/>
    </font>
    <font>
      <sz val="10"/>
      <name val="Arial Narrow"/>
      <family val="2"/>
    </font>
    <font>
      <b/>
      <sz val="10"/>
      <name val="Arial Narrow"/>
      <family val="2"/>
    </font>
    <font>
      <sz val="10"/>
      <name val="Calibri Light"/>
      <family val="2"/>
      <scheme val="major"/>
    </font>
    <font>
      <sz val="10"/>
      <color theme="1"/>
      <name val="Calibri"/>
      <family val="2"/>
      <scheme val="minor"/>
    </font>
    <font>
      <b/>
      <sz val="11"/>
      <name val="Calibri Light"/>
      <family val="2"/>
      <scheme val="major"/>
    </font>
    <font>
      <sz val="11"/>
      <name val="Calibri Light"/>
      <family val="2"/>
      <scheme val="major"/>
    </font>
    <font>
      <sz val="10"/>
      <name val="Calibri"/>
      <family val="2"/>
    </font>
    <font>
      <sz val="10"/>
      <color rgb="FF000000"/>
      <name val="Calibri"/>
      <family val="2"/>
      <scheme val="minor"/>
    </font>
    <font>
      <sz val="10"/>
      <color rgb="FF000000"/>
      <name val="Calibri"/>
      <family val="2"/>
    </font>
    <font>
      <b/>
      <sz val="10"/>
      <color theme="1"/>
      <name val="Calibri"/>
      <family val="2"/>
      <scheme val="minor"/>
    </font>
    <font>
      <b/>
      <sz val="10"/>
      <color rgb="FF000000"/>
      <name val="Calibri"/>
      <family val="2"/>
    </font>
    <font>
      <b/>
      <sz val="10"/>
      <name val="Calibri Light"/>
      <family val="2"/>
      <scheme val="major"/>
    </font>
    <font>
      <u/>
      <sz val="11"/>
      <color theme="10"/>
      <name val="Calibri"/>
      <family val="2"/>
      <scheme val="minor"/>
    </font>
    <font>
      <sz val="10"/>
      <color theme="1"/>
      <name val="Calibri"/>
      <family val="2"/>
    </font>
    <font>
      <b/>
      <sz val="9"/>
      <name val="Calibri"/>
      <family val="2"/>
      <scheme val="minor"/>
    </font>
    <font>
      <b/>
      <sz val="10"/>
      <color theme="1"/>
      <name val="Calibri"/>
      <family val="2"/>
    </font>
    <font>
      <sz val="10"/>
      <color indexed="8"/>
      <name val="Cambria"/>
      <family val="1"/>
    </font>
    <font>
      <b/>
      <sz val="10"/>
      <color indexed="8"/>
      <name val="Cambria"/>
      <family val="1"/>
    </font>
    <font>
      <sz val="10"/>
      <color indexed="8"/>
      <name val="Calibri Light"/>
      <family val="2"/>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s>
  <borders count="7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thin">
        <color indexed="64"/>
      </bottom>
      <diagonal/>
    </border>
    <border>
      <left/>
      <right/>
      <top style="thin">
        <color indexed="8"/>
      </top>
      <bottom style="thin">
        <color indexed="8"/>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medium">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top style="thin">
        <color indexed="64"/>
      </top>
      <bottom style="thin">
        <color indexed="64"/>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thin">
        <color indexed="64"/>
      </right>
      <top/>
      <bottom/>
      <diagonal/>
    </border>
  </borders>
  <cellStyleXfs count="23">
    <xf numFmtId="0" fontId="0" fillId="0" borderId="0"/>
    <xf numFmtId="44" fontId="1" fillId="0" borderId="0" applyFont="0" applyFill="0" applyBorder="0" applyAlignment="0" applyProtection="0"/>
    <xf numFmtId="9" fontId="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167" fontId="2" fillId="0" borderId="0" applyFont="0" applyFill="0" applyBorder="0" applyAlignment="0" applyProtection="0"/>
    <xf numFmtId="0" fontId="11" fillId="0" borderId="0"/>
    <xf numFmtId="43" fontId="11" fillId="0" borderId="0" applyFont="0" applyFill="0" applyBorder="0" applyAlignment="0" applyProtection="0"/>
    <xf numFmtId="167" fontId="2" fillId="0" borderId="0" applyFont="0" applyFill="0" applyBorder="0" applyAlignment="0" applyProtection="0"/>
    <xf numFmtId="44" fontId="11" fillId="0" borderId="0" applyFont="0" applyFill="0" applyBorder="0" applyAlignment="0" applyProtection="0"/>
    <xf numFmtId="9" fontId="2" fillId="0" borderId="0" applyFill="0" applyBorder="0" applyAlignment="0" applyProtection="0"/>
    <xf numFmtId="167" fontId="2"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0" fontId="13" fillId="0" borderId="0"/>
    <xf numFmtId="43" fontId="2" fillId="0" borderId="0" applyFont="0" applyFill="0" applyBorder="0" applyAlignment="0" applyProtection="0"/>
    <xf numFmtId="0" fontId="26" fillId="0" borderId="0" applyNumberFormat="0" applyFill="0" applyBorder="0" applyAlignment="0" applyProtection="0"/>
    <xf numFmtId="0" fontId="1" fillId="0" borderId="0"/>
  </cellStyleXfs>
  <cellXfs count="459">
    <xf numFmtId="0" fontId="0" fillId="0" borderId="0" xfId="0"/>
    <xf numFmtId="0" fontId="4" fillId="0" borderId="0" xfId="0" applyFont="1"/>
    <xf numFmtId="0" fontId="3" fillId="0" borderId="22"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1" xfId="0" applyFont="1" applyBorder="1" applyAlignment="1">
      <alignment horizontal="center" vertical="center" shrinkToFit="1"/>
    </xf>
    <xf numFmtId="44" fontId="4" fillId="0" borderId="3" xfId="1" applyFont="1" applyFill="1" applyBorder="1" applyAlignment="1">
      <alignment horizontal="center" vertical="center" shrinkToFit="1"/>
    </xf>
    <xf numFmtId="44" fontId="4" fillId="0" borderId="3" xfId="1" applyFont="1" applyFill="1" applyBorder="1" applyAlignment="1">
      <alignment horizontal="center" vertical="center" wrapText="1" shrinkToFit="1"/>
    </xf>
    <xf numFmtId="0" fontId="4" fillId="0" borderId="6" xfId="0" applyFont="1" applyBorder="1" applyAlignment="1">
      <alignment horizontal="center" vertical="center" shrinkToFit="1"/>
    </xf>
    <xf numFmtId="0" fontId="4" fillId="0" borderId="8" xfId="1" applyNumberFormat="1" applyFont="1" applyFill="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justify" vertical="center" shrinkToFit="1"/>
    </xf>
    <xf numFmtId="0" fontId="4" fillId="0" borderId="12" xfId="0" applyFont="1" applyBorder="1" applyAlignment="1">
      <alignment horizontal="center" vertical="center" shrinkToFit="1"/>
    </xf>
    <xf numFmtId="44" fontId="4" fillId="0" borderId="15" xfId="1" applyFont="1" applyFill="1" applyBorder="1" applyAlignment="1">
      <alignment vertical="center" shrinkToFit="1"/>
    </xf>
    <xf numFmtId="4" fontId="2" fillId="0" borderId="0" xfId="0" applyNumberFormat="1" applyFont="1"/>
    <xf numFmtId="44" fontId="4" fillId="0" borderId="17" xfId="1" applyFont="1" applyFill="1" applyBorder="1" applyAlignment="1">
      <alignment horizontal="center" vertical="center" shrinkToFit="1"/>
    </xf>
    <xf numFmtId="0" fontId="4" fillId="0" borderId="43" xfId="0" applyFont="1" applyBorder="1" applyAlignment="1">
      <alignment horizontal="center" vertical="center" shrinkToFit="1"/>
    </xf>
    <xf numFmtId="0" fontId="4" fillId="0" borderId="59" xfId="0" applyFont="1" applyBorder="1" applyAlignment="1">
      <alignment horizontal="justify" vertical="center" shrinkToFit="1"/>
    </xf>
    <xf numFmtId="0" fontId="4" fillId="0" borderId="60" xfId="0" applyFont="1" applyBorder="1" applyAlignment="1">
      <alignment horizontal="justify" vertical="center" shrinkToFit="1"/>
    </xf>
    <xf numFmtId="44" fontId="4" fillId="0" borderId="44" xfId="1" applyFont="1" applyFill="1" applyBorder="1" applyAlignment="1">
      <alignment horizontal="center" vertical="center" shrinkToFit="1"/>
    </xf>
    <xf numFmtId="0" fontId="4" fillId="0" borderId="18" xfId="0" applyFont="1" applyBorder="1" applyAlignment="1">
      <alignment horizontal="center" vertical="center" shrinkToFit="1"/>
    </xf>
    <xf numFmtId="14" fontId="4" fillId="0" borderId="21" xfId="1" applyNumberFormat="1" applyFont="1" applyFill="1" applyBorder="1" applyAlignment="1">
      <alignment horizontal="center" vertical="center" shrinkToFit="1"/>
    </xf>
    <xf numFmtId="44" fontId="3" fillId="0" borderId="25" xfId="1" applyFont="1" applyFill="1" applyBorder="1" applyAlignment="1">
      <alignment vertical="center" shrinkToFit="1"/>
    </xf>
    <xf numFmtId="0" fontId="4" fillId="0" borderId="26" xfId="0" applyFont="1" applyBorder="1" applyAlignment="1">
      <alignment horizontal="center" vertical="center" shrinkToFit="1"/>
    </xf>
    <xf numFmtId="44" fontId="4" fillId="0" borderId="28" xfId="1" applyFont="1" applyFill="1" applyBorder="1" applyAlignment="1">
      <alignment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justify" vertical="center" shrinkToFit="1"/>
    </xf>
    <xf numFmtId="9" fontId="4" fillId="0" borderId="30" xfId="0" applyNumberFormat="1" applyFont="1" applyBorder="1" applyAlignment="1">
      <alignment horizontal="center" vertical="center" shrinkToFit="1"/>
    </xf>
    <xf numFmtId="44" fontId="4" fillId="0" borderId="31" xfId="1" applyFont="1" applyFill="1" applyBorder="1" applyAlignment="1">
      <alignment vertical="center" shrinkToFit="1"/>
    </xf>
    <xf numFmtId="10" fontId="4" fillId="0" borderId="30" xfId="0" applyNumberFormat="1" applyFont="1" applyBorder="1" applyAlignment="1">
      <alignment horizontal="center" vertical="center" shrinkToFit="1"/>
    </xf>
    <xf numFmtId="0" fontId="4" fillId="0" borderId="32" xfId="0" applyFont="1" applyBorder="1" applyAlignment="1">
      <alignment horizontal="center" vertical="center" shrinkToFit="1"/>
    </xf>
    <xf numFmtId="44" fontId="4" fillId="0" borderId="34" xfId="1" applyFont="1" applyFill="1" applyBorder="1" applyAlignment="1">
      <alignment vertical="center" shrinkToFit="1"/>
    </xf>
    <xf numFmtId="44" fontId="3" fillId="0" borderId="21" xfId="1" applyFont="1" applyFill="1" applyBorder="1" applyAlignment="1">
      <alignment vertical="center" shrinkToFit="1"/>
    </xf>
    <xf numFmtId="0" fontId="5" fillId="0" borderId="0" xfId="0" applyFont="1"/>
    <xf numFmtId="0" fontId="6" fillId="0" borderId="0" xfId="0" applyFont="1" applyAlignment="1">
      <alignment horizontal="left" vertical="center" shrinkToFit="1"/>
    </xf>
    <xf numFmtId="0" fontId="4" fillId="0" borderId="0" xfId="0" applyFont="1" applyAlignment="1">
      <alignment horizontal="center" vertical="center" shrinkToFit="1"/>
    </xf>
    <xf numFmtId="44" fontId="4" fillId="0" borderId="0" xfId="1" applyFont="1" applyFill="1" applyBorder="1" applyAlignment="1">
      <alignment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39" xfId="0" applyFont="1" applyBorder="1" applyAlignment="1">
      <alignment horizontal="center" vertical="center" shrinkToFit="1"/>
    </xf>
    <xf numFmtId="44" fontId="3" fillId="0" borderId="40" xfId="1" applyFont="1" applyFill="1" applyBorder="1" applyAlignment="1">
      <alignment vertical="center" shrinkToFit="1"/>
    </xf>
    <xf numFmtId="0" fontId="4" fillId="0" borderId="41" xfId="0" applyFont="1" applyBorder="1" applyAlignment="1">
      <alignment horizontal="center" vertical="center" shrinkToFit="1"/>
    </xf>
    <xf numFmtId="0" fontId="4" fillId="0" borderId="27" xfId="0" applyFont="1" applyBorder="1" applyAlignment="1">
      <alignment horizontal="left" vertical="center" shrinkToFit="1"/>
    </xf>
    <xf numFmtId="10" fontId="4" fillId="0" borderId="27" xfId="2" applyNumberFormat="1" applyFont="1" applyFill="1" applyBorder="1" applyAlignment="1" applyProtection="1">
      <alignment horizontal="center" vertical="center" shrinkToFit="1"/>
    </xf>
    <xf numFmtId="0" fontId="4" fillId="0" borderId="30" xfId="0" applyFont="1" applyBorder="1" applyAlignment="1">
      <alignment horizontal="left" vertical="center" shrinkToFit="1"/>
    </xf>
    <xf numFmtId="10" fontId="4" fillId="0" borderId="30" xfId="2" applyNumberFormat="1" applyFont="1" applyFill="1" applyBorder="1" applyAlignment="1" applyProtection="1">
      <alignment horizontal="center" vertical="center" shrinkToFit="1"/>
    </xf>
    <xf numFmtId="10" fontId="3" fillId="0" borderId="42" xfId="0" applyNumberFormat="1" applyFont="1" applyBorder="1" applyAlignment="1">
      <alignment horizontal="center" vertical="center" shrinkToFit="1"/>
    </xf>
    <xf numFmtId="0" fontId="4" fillId="2" borderId="0" xfId="0" applyFont="1" applyFill="1"/>
    <xf numFmtId="0" fontId="3" fillId="0" borderId="25" xfId="0" applyFont="1" applyBorder="1" applyAlignment="1">
      <alignment horizontal="center" vertical="center" wrapText="1"/>
    </xf>
    <xf numFmtId="10" fontId="4" fillId="2" borderId="30" xfId="2" applyNumberFormat="1" applyFont="1" applyFill="1" applyBorder="1" applyAlignment="1" applyProtection="1">
      <alignment horizontal="center" vertical="center" shrinkToFit="1"/>
    </xf>
    <xf numFmtId="0" fontId="4" fillId="0" borderId="33" xfId="0" applyFont="1" applyBorder="1" applyAlignment="1">
      <alignment horizontal="left" vertical="center" shrinkToFit="1"/>
    </xf>
    <xf numFmtId="10" fontId="3" fillId="0" borderId="19" xfId="2" applyNumberFormat="1" applyFont="1" applyFill="1" applyBorder="1" applyAlignment="1" applyProtection="1">
      <alignment horizontal="center" vertical="center" shrinkToFit="1"/>
    </xf>
    <xf numFmtId="44" fontId="3" fillId="0" borderId="8" xfId="1" applyFont="1" applyFill="1" applyBorder="1" applyAlignment="1">
      <alignment vertical="center" shrinkToFit="1"/>
    </xf>
    <xf numFmtId="0" fontId="7" fillId="0" borderId="0" xfId="0" applyFont="1" applyAlignment="1">
      <alignment vertical="center"/>
    </xf>
    <xf numFmtId="0" fontId="8" fillId="0" borderId="0" xfId="0" applyFont="1" applyAlignment="1">
      <alignment horizontal="justify" vertical="center" shrinkToFit="1"/>
    </xf>
    <xf numFmtId="10" fontId="8" fillId="0" borderId="0" xfId="2" applyNumberFormat="1" applyFont="1" applyFill="1" applyBorder="1" applyAlignment="1" applyProtection="1">
      <alignment horizontal="center" vertical="center" shrinkToFit="1"/>
    </xf>
    <xf numFmtId="44" fontId="8" fillId="0" borderId="0" xfId="1" applyFont="1" applyFill="1" applyBorder="1" applyAlignment="1">
      <alignment vertical="center" shrinkToFit="1"/>
    </xf>
    <xf numFmtId="44" fontId="3" fillId="0" borderId="40" xfId="1" applyFont="1" applyFill="1" applyBorder="1" applyAlignment="1">
      <alignment horizontal="center" vertical="center" shrinkToFit="1"/>
    </xf>
    <xf numFmtId="44" fontId="4" fillId="0" borderId="17" xfId="1" applyFont="1" applyFill="1" applyBorder="1" applyAlignment="1">
      <alignment vertical="center" shrinkToFit="1"/>
    </xf>
    <xf numFmtId="0" fontId="4" fillId="0" borderId="46" xfId="0" applyFont="1" applyBorder="1" applyAlignment="1">
      <alignment horizontal="justify" vertical="center" shrinkToFit="1"/>
    </xf>
    <xf numFmtId="0" fontId="4" fillId="0" borderId="16" xfId="0" applyFont="1" applyBorder="1" applyAlignment="1">
      <alignment horizontal="center" vertical="center" shrinkToFit="1"/>
    </xf>
    <xf numFmtId="0" fontId="4" fillId="0" borderId="46" xfId="0" applyFont="1" applyBorder="1" applyAlignment="1">
      <alignment horizontal="left" vertical="center" shrinkToFit="1"/>
    </xf>
    <xf numFmtId="44" fontId="3" fillId="0" borderId="48" xfId="1" applyFont="1" applyFill="1" applyBorder="1" applyAlignment="1">
      <alignment vertical="center" shrinkToFit="1"/>
    </xf>
    <xf numFmtId="0" fontId="3" fillId="0" borderId="0" xfId="0" applyFont="1" applyAlignment="1">
      <alignment horizontal="justify" vertical="center" shrinkToFit="1"/>
    </xf>
    <xf numFmtId="44" fontId="3" fillId="0" borderId="0" xfId="1" applyFont="1" applyFill="1" applyBorder="1" applyAlignment="1">
      <alignment vertical="center" shrinkToFit="1"/>
    </xf>
    <xf numFmtId="0" fontId="3" fillId="0" borderId="48" xfId="0" applyFont="1" applyBorder="1" applyAlignment="1">
      <alignment horizontal="center" vertical="center" wrapText="1"/>
    </xf>
    <xf numFmtId="0" fontId="3" fillId="0" borderId="22" xfId="0" applyFont="1" applyBorder="1" applyAlignment="1">
      <alignment horizontal="center" vertical="center" wrapText="1"/>
    </xf>
    <xf numFmtId="44" fontId="3" fillId="0" borderId="25" xfId="1" applyFont="1" applyFill="1" applyBorder="1" applyAlignment="1">
      <alignment horizontal="center" vertical="center" wrapText="1"/>
    </xf>
    <xf numFmtId="0" fontId="4" fillId="0" borderId="49" xfId="0" applyFont="1" applyBorder="1" applyAlignment="1">
      <alignment horizontal="center" vertical="center" wrapText="1"/>
    </xf>
    <xf numFmtId="44" fontId="4" fillId="0" borderId="50" xfId="1" applyFont="1" applyFill="1" applyBorder="1" applyAlignment="1">
      <alignment horizontal="center" vertical="center" wrapText="1"/>
    </xf>
    <xf numFmtId="44" fontId="3" fillId="0" borderId="50" xfId="1" applyFont="1" applyFill="1" applyBorder="1" applyAlignment="1">
      <alignment horizontal="center" vertical="center" wrapText="1"/>
    </xf>
    <xf numFmtId="0" fontId="3" fillId="0" borderId="48" xfId="0" applyFont="1" applyBorder="1" applyAlignment="1">
      <alignment horizontal="center" vertical="center" shrinkToFit="1"/>
    </xf>
    <xf numFmtId="0" fontId="4" fillId="0" borderId="50" xfId="0" applyFont="1" applyBorder="1" applyAlignment="1">
      <alignment horizontal="justify" vertical="center" wrapText="1"/>
    </xf>
    <xf numFmtId="10" fontId="4" fillId="0" borderId="48" xfId="2" applyNumberFormat="1" applyFont="1" applyFill="1" applyBorder="1" applyAlignment="1">
      <alignment horizontal="center" vertical="center" shrinkToFit="1"/>
    </xf>
    <xf numFmtId="10" fontId="4" fillId="2" borderId="48" xfId="2" applyNumberFormat="1" applyFont="1" applyFill="1" applyBorder="1" applyAlignment="1">
      <alignment horizontal="center" vertical="center" shrinkToFit="1"/>
    </xf>
    <xf numFmtId="10" fontId="3" fillId="0" borderId="49" xfId="2" applyNumberFormat="1" applyFont="1" applyFill="1" applyBorder="1" applyAlignment="1">
      <alignment horizontal="center" vertical="center" shrinkToFit="1"/>
    </xf>
    <xf numFmtId="44" fontId="3" fillId="0" borderId="48" xfId="1" applyFont="1" applyFill="1" applyBorder="1" applyAlignment="1">
      <alignment horizontal="center" vertical="center" wrapText="1"/>
    </xf>
    <xf numFmtId="164" fontId="4" fillId="0" borderId="50" xfId="2" applyNumberFormat="1" applyFont="1" applyFill="1" applyBorder="1" applyAlignment="1">
      <alignment horizontal="center" vertical="center" wrapText="1"/>
    </xf>
    <xf numFmtId="43" fontId="4" fillId="0" borderId="50" xfId="0" applyNumberFormat="1" applyFont="1" applyBorder="1" applyAlignment="1">
      <alignment horizontal="justify" vertical="center" wrapText="1"/>
    </xf>
    <xf numFmtId="10" fontId="4" fillId="0" borderId="50" xfId="2" applyNumberFormat="1" applyFont="1" applyFill="1" applyBorder="1" applyAlignment="1">
      <alignment horizontal="center" vertical="center" wrapText="1"/>
    </xf>
    <xf numFmtId="0" fontId="4" fillId="0" borderId="0" xfId="0" quotePrefix="1" applyFont="1"/>
    <xf numFmtId="10" fontId="3" fillId="0" borderId="48" xfId="2" applyNumberFormat="1" applyFont="1" applyFill="1" applyBorder="1" applyAlignment="1">
      <alignment horizontal="center" vertical="center" wrapText="1"/>
    </xf>
    <xf numFmtId="0" fontId="4" fillId="0" borderId="53" xfId="0" applyFont="1" applyBorder="1"/>
    <xf numFmtId="0" fontId="4" fillId="0" borderId="0" xfId="0" applyFont="1" applyAlignment="1">
      <alignment horizontal="center"/>
    </xf>
    <xf numFmtId="44" fontId="4" fillId="0" borderId="0" xfId="1" applyFont="1" applyFill="1" applyBorder="1"/>
    <xf numFmtId="0" fontId="4" fillId="0" borderId="47" xfId="0" applyFont="1" applyBorder="1" applyAlignment="1">
      <alignment horizontal="center" vertical="center" wrapText="1"/>
    </xf>
    <xf numFmtId="0" fontId="3" fillId="0" borderId="25" xfId="0" applyFont="1" applyBorder="1" applyAlignment="1">
      <alignment vertical="center" wrapText="1"/>
    </xf>
    <xf numFmtId="0" fontId="4" fillId="0" borderId="50" xfId="0" applyFont="1" applyBorder="1" applyAlignment="1">
      <alignment vertical="center" wrapText="1"/>
    </xf>
    <xf numFmtId="43" fontId="4" fillId="0" borderId="0" xfId="0" applyNumberFormat="1" applyFont="1"/>
    <xf numFmtId="9" fontId="4" fillId="0" borderId="50" xfId="2" applyFont="1" applyFill="1" applyBorder="1" applyAlignment="1">
      <alignment horizontal="center" vertical="center" wrapText="1"/>
    </xf>
    <xf numFmtId="0" fontId="3" fillId="0" borderId="49" xfId="0" applyFont="1" applyBorder="1" applyAlignment="1">
      <alignment horizontal="center" vertical="center" wrapText="1"/>
    </xf>
    <xf numFmtId="44" fontId="4" fillId="0" borderId="48" xfId="1" applyFont="1" applyFill="1" applyBorder="1" applyAlignment="1">
      <alignment horizontal="center" vertical="center" wrapText="1"/>
    </xf>
    <xf numFmtId="44" fontId="3" fillId="0" borderId="49" xfId="1" applyFont="1" applyFill="1" applyBorder="1" applyAlignment="1">
      <alignment horizontal="center" vertical="center" wrapText="1"/>
    </xf>
    <xf numFmtId="0" fontId="4" fillId="0" borderId="16" xfId="0" applyFont="1" applyBorder="1" applyAlignment="1">
      <alignment vertical="center" shrinkToFit="1"/>
    </xf>
    <xf numFmtId="0" fontId="4" fillId="0" borderId="14" xfId="0" applyFont="1" applyBorder="1" applyAlignment="1">
      <alignment vertical="center" shrinkToFit="1"/>
    </xf>
    <xf numFmtId="0" fontId="4" fillId="0" borderId="27" xfId="0" applyFont="1" applyBorder="1" applyAlignment="1">
      <alignment horizontal="center" vertical="center" shrinkToFit="1"/>
    </xf>
    <xf numFmtId="0" fontId="4" fillId="0" borderId="30" xfId="0" applyFont="1" applyBorder="1" applyAlignment="1">
      <alignment horizontal="center" vertical="center" shrinkToFit="1"/>
    </xf>
    <xf numFmtId="10" fontId="3" fillId="0" borderId="2" xfId="0" applyNumberFormat="1" applyFont="1" applyBorder="1" applyAlignment="1">
      <alignment vertical="center" shrinkToFit="1"/>
    </xf>
    <xf numFmtId="0" fontId="4" fillId="0" borderId="0" xfId="0" applyFont="1" applyAlignment="1">
      <alignment vertical="center"/>
    </xf>
    <xf numFmtId="0" fontId="14" fillId="2" borderId="0" xfId="7" applyFont="1" applyFill="1" applyAlignment="1">
      <alignment horizontal="center" vertical="center" wrapText="1"/>
    </xf>
    <xf numFmtId="43" fontId="14" fillId="4" borderId="0" xfId="20" applyFont="1" applyFill="1" applyAlignment="1">
      <alignment horizontal="justify" vertical="center" wrapText="1"/>
    </xf>
    <xf numFmtId="43" fontId="14" fillId="2" borderId="0" xfId="7" applyNumberFormat="1" applyFont="1" applyFill="1" applyAlignment="1">
      <alignment horizontal="justify" vertical="center" wrapText="1"/>
    </xf>
    <xf numFmtId="0" fontId="12" fillId="2" borderId="0" xfId="7" applyFont="1" applyFill="1" applyAlignment="1">
      <alignment vertical="center" wrapText="1"/>
    </xf>
    <xf numFmtId="167" fontId="15" fillId="2" borderId="0" xfId="15" applyFont="1" applyFill="1" applyAlignment="1">
      <alignment horizontal="center" vertical="center" wrapText="1"/>
    </xf>
    <xf numFmtId="0" fontId="17" fillId="0" borderId="0" xfId="0" applyFont="1"/>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44" fontId="4" fillId="0" borderId="2" xfId="1" applyFont="1" applyBorder="1" applyAlignment="1">
      <alignment horizontal="justify" vertical="center" wrapText="1"/>
    </xf>
    <xf numFmtId="44" fontId="4" fillId="0" borderId="2" xfId="1" applyFont="1" applyBorder="1" applyAlignment="1">
      <alignment horizontal="center" vertical="center" wrapText="1"/>
    </xf>
    <xf numFmtId="165" fontId="4" fillId="0" borderId="2" xfId="3" applyFont="1" applyBorder="1" applyAlignment="1">
      <alignment horizontal="center" vertical="center" wrapText="1"/>
    </xf>
    <xf numFmtId="165" fontId="3" fillId="3" borderId="2" xfId="0" applyNumberFormat="1" applyFont="1" applyFill="1" applyBorder="1" applyAlignment="1">
      <alignment horizontal="left" vertical="center" wrapText="1"/>
    </xf>
    <xf numFmtId="44" fontId="3" fillId="3" borderId="2" xfId="0" applyNumberFormat="1" applyFont="1" applyFill="1" applyBorder="1" applyAlignment="1">
      <alignment horizontal="left"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justify" vertical="center" wrapText="1"/>
    </xf>
    <xf numFmtId="164" fontId="4" fillId="2" borderId="50" xfId="2" applyNumberFormat="1" applyFont="1" applyFill="1" applyBorder="1" applyAlignment="1">
      <alignment horizontal="center" vertical="center" wrapText="1"/>
    </xf>
    <xf numFmtId="43" fontId="4" fillId="2" borderId="50" xfId="0" applyNumberFormat="1" applyFont="1" applyFill="1" applyBorder="1" applyAlignment="1">
      <alignment horizontal="justify" vertical="center" wrapText="1"/>
    </xf>
    <xf numFmtId="44" fontId="4" fillId="2" borderId="50" xfId="1" applyFont="1" applyFill="1" applyBorder="1" applyAlignment="1">
      <alignment horizontal="center" vertical="center" wrapText="1"/>
    </xf>
    <xf numFmtId="0" fontId="4" fillId="2" borderId="43" xfId="0" applyFont="1" applyFill="1" applyBorder="1" applyAlignment="1">
      <alignment horizontal="center" vertical="center" shrinkToFit="1"/>
    </xf>
    <xf numFmtId="0" fontId="4" fillId="2" borderId="33" xfId="0" applyFont="1" applyFill="1" applyBorder="1" applyAlignment="1">
      <alignment horizontal="left" vertical="center" wrapText="1"/>
    </xf>
    <xf numFmtId="10" fontId="4" fillId="2" borderId="33" xfId="2" applyNumberFormat="1" applyFont="1" applyFill="1" applyBorder="1" applyAlignment="1" applyProtection="1">
      <alignment horizontal="center" vertical="center" shrinkToFit="1"/>
    </xf>
    <xf numFmtId="44" fontId="4" fillId="2" borderId="15" xfId="1" applyFont="1" applyFill="1" applyBorder="1" applyAlignment="1">
      <alignment vertical="center" shrinkToFit="1"/>
    </xf>
    <xf numFmtId="0" fontId="3" fillId="2" borderId="22"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44" fontId="4" fillId="2" borderId="3" xfId="1" applyFont="1" applyFill="1" applyBorder="1" applyAlignment="1">
      <alignment horizontal="center" vertical="center" shrinkToFit="1"/>
    </xf>
    <xf numFmtId="44" fontId="4" fillId="2" borderId="3" xfId="1"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8" xfId="1" applyNumberFormat="1"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56" xfId="0" applyFont="1" applyFill="1" applyBorder="1" applyAlignment="1">
      <alignment horizontal="justify" vertical="center" shrinkToFit="1"/>
    </xf>
    <xf numFmtId="0" fontId="4" fillId="2" borderId="12" xfId="0" applyFont="1" applyFill="1" applyBorder="1" applyAlignment="1">
      <alignment horizontal="center" vertical="center" shrinkToFit="1"/>
    </xf>
    <xf numFmtId="4" fontId="2" fillId="2" borderId="0" xfId="0" applyNumberFormat="1" applyFont="1" applyFill="1"/>
    <xf numFmtId="44" fontId="4" fillId="2" borderId="17" xfId="1" applyFont="1" applyFill="1" applyBorder="1" applyAlignment="1">
      <alignment horizontal="center" vertical="center" shrinkToFit="1"/>
    </xf>
    <xf numFmtId="0" fontId="4" fillId="2" borderId="59" xfId="0" applyFont="1" applyFill="1" applyBorder="1" applyAlignment="1">
      <alignment horizontal="justify" vertical="center" shrinkToFit="1"/>
    </xf>
    <xf numFmtId="0" fontId="4" fillId="2" borderId="60" xfId="0" applyFont="1" applyFill="1" applyBorder="1" applyAlignment="1">
      <alignment horizontal="justify" vertical="center" shrinkToFit="1"/>
    </xf>
    <xf numFmtId="44" fontId="4" fillId="2" borderId="44" xfId="1" applyFont="1" applyFill="1" applyBorder="1" applyAlignment="1">
      <alignment horizontal="center" vertical="center" shrinkToFit="1"/>
    </xf>
    <xf numFmtId="0" fontId="4" fillId="2" borderId="18" xfId="0" applyFont="1" applyFill="1" applyBorder="1" applyAlignment="1">
      <alignment horizontal="center" vertical="center" shrinkToFit="1"/>
    </xf>
    <xf numFmtId="14" fontId="4" fillId="2" borderId="21" xfId="1" applyNumberFormat="1" applyFont="1" applyFill="1" applyBorder="1" applyAlignment="1">
      <alignment horizontal="center" vertical="center" shrinkToFit="1"/>
    </xf>
    <xf numFmtId="44" fontId="3" fillId="2" borderId="25" xfId="1" applyFont="1" applyFill="1" applyBorder="1" applyAlignment="1">
      <alignment vertical="center" shrinkToFit="1"/>
    </xf>
    <xf numFmtId="0" fontId="4" fillId="2" borderId="26" xfId="0" applyFont="1" applyFill="1" applyBorder="1" applyAlignment="1">
      <alignment horizontal="center" vertical="center" shrinkToFit="1"/>
    </xf>
    <xf numFmtId="44" fontId="4" fillId="2" borderId="28" xfId="1" applyFont="1" applyFill="1" applyBorder="1" applyAlignment="1">
      <alignment vertical="center" shrinkToFit="1"/>
    </xf>
    <xf numFmtId="0" fontId="4" fillId="2" borderId="29" xfId="0" applyFont="1" applyFill="1" applyBorder="1" applyAlignment="1">
      <alignment horizontal="center" vertical="center" shrinkToFit="1"/>
    </xf>
    <xf numFmtId="0" fontId="4" fillId="2" borderId="30" xfId="0" applyFont="1" applyFill="1" applyBorder="1" applyAlignment="1">
      <alignment horizontal="justify" vertical="center" shrinkToFit="1"/>
    </xf>
    <xf numFmtId="9" fontId="4" fillId="2" borderId="30" xfId="0" applyNumberFormat="1" applyFont="1" applyFill="1" applyBorder="1" applyAlignment="1">
      <alignment horizontal="center" vertical="center" shrinkToFit="1"/>
    </xf>
    <xf numFmtId="44" fontId="4" fillId="2" borderId="31" xfId="1" applyFont="1" applyFill="1" applyBorder="1" applyAlignment="1">
      <alignment vertical="center" shrinkToFit="1"/>
    </xf>
    <xf numFmtId="10" fontId="4" fillId="2" borderId="30" xfId="0" applyNumberFormat="1" applyFont="1" applyFill="1" applyBorder="1" applyAlignment="1">
      <alignment horizontal="center" vertical="center" shrinkToFit="1"/>
    </xf>
    <xf numFmtId="0" fontId="4" fillId="2" borderId="32" xfId="0" applyFont="1" applyFill="1" applyBorder="1" applyAlignment="1">
      <alignment horizontal="center" vertical="center" shrinkToFit="1"/>
    </xf>
    <xf numFmtId="44" fontId="4" fillId="2" borderId="34" xfId="1" applyFont="1" applyFill="1" applyBorder="1" applyAlignment="1">
      <alignment vertical="center" shrinkToFit="1"/>
    </xf>
    <xf numFmtId="44" fontId="3" fillId="2" borderId="21" xfId="1" applyFont="1" applyFill="1" applyBorder="1" applyAlignment="1">
      <alignment vertical="center" shrinkToFit="1"/>
    </xf>
    <xf numFmtId="0" fontId="5" fillId="2" borderId="0" xfId="0" applyFont="1" applyFill="1"/>
    <xf numFmtId="0" fontId="6" fillId="2" borderId="0" xfId="0" applyFont="1" applyFill="1" applyAlignment="1">
      <alignment horizontal="left" vertical="center" shrinkToFit="1"/>
    </xf>
    <xf numFmtId="0" fontId="4" fillId="2" borderId="0" xfId="0" applyFont="1" applyFill="1" applyAlignment="1">
      <alignment horizontal="center" vertical="center" shrinkToFit="1"/>
    </xf>
    <xf numFmtId="44" fontId="4" fillId="2" borderId="0" xfId="1" applyFont="1" applyFill="1" applyBorder="1" applyAlignment="1">
      <alignment vertical="center" shrinkToFit="1"/>
    </xf>
    <xf numFmtId="0" fontId="3" fillId="2" borderId="38" xfId="0" applyFont="1" applyFill="1" applyBorder="1" applyAlignment="1">
      <alignment horizontal="center" vertical="center" shrinkToFit="1"/>
    </xf>
    <xf numFmtId="0" fontId="3" fillId="2" borderId="39" xfId="0" applyFont="1" applyFill="1" applyBorder="1" applyAlignment="1">
      <alignment horizontal="left" vertical="center" shrinkToFit="1"/>
    </xf>
    <xf numFmtId="0" fontId="3" fillId="2" borderId="39" xfId="0" applyFont="1" applyFill="1" applyBorder="1" applyAlignment="1">
      <alignment horizontal="center" vertical="center" shrinkToFit="1"/>
    </xf>
    <xf numFmtId="44" fontId="3" fillId="2" borderId="40" xfId="1" applyFont="1" applyFill="1" applyBorder="1" applyAlignment="1">
      <alignment vertical="center" shrinkToFit="1"/>
    </xf>
    <xf numFmtId="0" fontId="4" fillId="2" borderId="41" xfId="0" applyFont="1" applyFill="1" applyBorder="1" applyAlignment="1">
      <alignment horizontal="center" vertical="center" shrinkToFit="1"/>
    </xf>
    <xf numFmtId="0" fontId="4" fillId="2" borderId="27" xfId="0" applyFont="1" applyFill="1" applyBorder="1" applyAlignment="1">
      <alignment horizontal="left" vertical="center" shrinkToFit="1"/>
    </xf>
    <xf numFmtId="10" fontId="4" fillId="2" borderId="27" xfId="2" applyNumberFormat="1" applyFont="1" applyFill="1" applyBorder="1" applyAlignment="1" applyProtection="1">
      <alignment horizontal="center" vertical="center" shrinkToFit="1"/>
    </xf>
    <xf numFmtId="0" fontId="4" fillId="2" borderId="30" xfId="0" applyFont="1" applyFill="1" applyBorder="1" applyAlignment="1">
      <alignment horizontal="left" vertical="center" shrinkToFit="1"/>
    </xf>
    <xf numFmtId="10" fontId="3" fillId="2" borderId="42" xfId="0" applyNumberFormat="1" applyFont="1" applyFill="1" applyBorder="1" applyAlignment="1">
      <alignment horizontal="center" vertical="center" shrinkToFit="1"/>
    </xf>
    <xf numFmtId="10" fontId="3" fillId="2" borderId="2" xfId="0" applyNumberFormat="1" applyFont="1" applyFill="1" applyBorder="1" applyAlignment="1">
      <alignment vertical="center" shrinkToFit="1"/>
    </xf>
    <xf numFmtId="0" fontId="3" fillId="2" borderId="25" xfId="0" applyFont="1" applyFill="1" applyBorder="1" applyAlignment="1">
      <alignment horizontal="center" vertical="center" wrapText="1"/>
    </xf>
    <xf numFmtId="0" fontId="4" fillId="2" borderId="33" xfId="0" applyFont="1" applyFill="1" applyBorder="1" applyAlignment="1">
      <alignment horizontal="left" vertical="center" shrinkToFit="1"/>
    </xf>
    <xf numFmtId="10" fontId="3" fillId="2" borderId="19" xfId="2" applyNumberFormat="1" applyFont="1" applyFill="1" applyBorder="1" applyAlignment="1" applyProtection="1">
      <alignment horizontal="center" vertical="center" shrinkToFit="1"/>
    </xf>
    <xf numFmtId="44" fontId="3" fillId="2" borderId="8" xfId="1" applyFont="1" applyFill="1" applyBorder="1" applyAlignment="1">
      <alignment vertical="center" shrinkToFit="1"/>
    </xf>
    <xf numFmtId="0" fontId="7" fillId="2" borderId="0" xfId="0" applyFont="1" applyFill="1" applyAlignment="1">
      <alignment vertical="center"/>
    </xf>
    <xf numFmtId="0" fontId="8" fillId="2" borderId="0" xfId="0" applyFont="1" applyFill="1" applyAlignment="1">
      <alignment horizontal="justify" vertical="center" shrinkToFit="1"/>
    </xf>
    <xf numFmtId="10" fontId="8" fillId="2" borderId="0" xfId="2" applyNumberFormat="1" applyFont="1" applyFill="1" applyBorder="1" applyAlignment="1" applyProtection="1">
      <alignment horizontal="center" vertical="center" shrinkToFit="1"/>
    </xf>
    <xf numFmtId="44" fontId="8" fillId="2" borderId="0" xfId="1" applyFont="1" applyFill="1" applyBorder="1" applyAlignment="1">
      <alignment vertical="center" shrinkToFit="1"/>
    </xf>
    <xf numFmtId="44" fontId="3" fillId="2" borderId="40" xfId="1" applyFont="1" applyFill="1" applyBorder="1" applyAlignment="1">
      <alignment horizontal="center" vertical="center" shrinkToFit="1"/>
    </xf>
    <xf numFmtId="0" fontId="4" fillId="2" borderId="14" xfId="0" applyFont="1" applyFill="1" applyBorder="1" applyAlignment="1">
      <alignment vertical="center" shrinkToFit="1"/>
    </xf>
    <xf numFmtId="0" fontId="4" fillId="2" borderId="27" xfId="0" applyFont="1" applyFill="1" applyBorder="1" applyAlignment="1">
      <alignment horizontal="center" vertical="center" shrinkToFit="1"/>
    </xf>
    <xf numFmtId="0" fontId="4" fillId="2" borderId="16" xfId="0" applyFont="1" applyFill="1" applyBorder="1" applyAlignment="1">
      <alignment vertical="center" shrinkToFit="1"/>
    </xf>
    <xf numFmtId="0" fontId="4" fillId="2" borderId="30" xfId="0" applyFont="1" applyFill="1" applyBorder="1" applyAlignment="1">
      <alignment horizontal="center" vertical="center" shrinkToFit="1"/>
    </xf>
    <xf numFmtId="44" fontId="4" fillId="2" borderId="17" xfId="1" applyFont="1" applyFill="1" applyBorder="1" applyAlignment="1">
      <alignment vertical="center" shrinkToFit="1"/>
    </xf>
    <xf numFmtId="0" fontId="4" fillId="2" borderId="46" xfId="0" applyFont="1" applyFill="1" applyBorder="1" applyAlignment="1">
      <alignment horizontal="justify" vertical="center" shrinkToFit="1"/>
    </xf>
    <xf numFmtId="0" fontId="4" fillId="2" borderId="16" xfId="0" applyFont="1" applyFill="1" applyBorder="1" applyAlignment="1">
      <alignment horizontal="center" vertical="center" shrinkToFit="1"/>
    </xf>
    <xf numFmtId="0" fontId="4" fillId="2" borderId="46" xfId="0" applyFont="1" applyFill="1" applyBorder="1" applyAlignment="1">
      <alignment horizontal="left" vertical="center" shrinkToFit="1"/>
    </xf>
    <xf numFmtId="44" fontId="3" fillId="2" borderId="48" xfId="1" applyFont="1" applyFill="1" applyBorder="1" applyAlignment="1">
      <alignment vertical="center" shrinkToFit="1"/>
    </xf>
    <xf numFmtId="0" fontId="3" fillId="2" borderId="0" xfId="0" applyFont="1" applyFill="1" applyAlignment="1">
      <alignment horizontal="justify" vertical="center" shrinkToFit="1"/>
    </xf>
    <xf numFmtId="44" fontId="3" fillId="2" borderId="0" xfId="1" applyFont="1" applyFill="1" applyBorder="1" applyAlignment="1">
      <alignment vertical="center" shrinkToFit="1"/>
    </xf>
    <xf numFmtId="0" fontId="3" fillId="2" borderId="48" xfId="0" applyFont="1" applyFill="1" applyBorder="1" applyAlignment="1">
      <alignment horizontal="center" vertical="center" wrapText="1"/>
    </xf>
    <xf numFmtId="0" fontId="3" fillId="2" borderId="22" xfId="0" applyFont="1" applyFill="1" applyBorder="1" applyAlignment="1">
      <alignment horizontal="center" vertical="center" wrapText="1"/>
    </xf>
    <xf numFmtId="44" fontId="3" fillId="2" borderId="25" xfId="1" applyFont="1" applyFill="1" applyBorder="1" applyAlignment="1">
      <alignment horizontal="center" vertical="center" wrapText="1"/>
    </xf>
    <xf numFmtId="44" fontId="3" fillId="2" borderId="50" xfId="1" applyFont="1" applyFill="1" applyBorder="1" applyAlignment="1">
      <alignment horizontal="center" vertical="center" wrapText="1"/>
    </xf>
    <xf numFmtId="0" fontId="3" fillId="2" borderId="48" xfId="0" applyFont="1" applyFill="1" applyBorder="1" applyAlignment="1">
      <alignment horizontal="center" vertical="center" shrinkToFit="1"/>
    </xf>
    <xf numFmtId="10" fontId="3" fillId="2" borderId="49" xfId="2" applyNumberFormat="1" applyFont="1" applyFill="1" applyBorder="1" applyAlignment="1">
      <alignment horizontal="center" vertical="center" shrinkToFit="1"/>
    </xf>
    <xf numFmtId="44" fontId="3" fillId="2" borderId="48" xfId="1" applyFont="1" applyFill="1" applyBorder="1" applyAlignment="1">
      <alignment horizontal="center" vertical="center" wrapText="1"/>
    </xf>
    <xf numFmtId="0" fontId="4" fillId="2" borderId="0" xfId="0" applyFont="1" applyFill="1" applyAlignment="1">
      <alignment vertical="center"/>
    </xf>
    <xf numFmtId="10" fontId="4" fillId="2" borderId="50" xfId="2" applyNumberFormat="1" applyFont="1" applyFill="1" applyBorder="1" applyAlignment="1">
      <alignment horizontal="center" vertical="center" wrapText="1"/>
    </xf>
    <xf numFmtId="0" fontId="4" fillId="2" borderId="0" xfId="0" quotePrefix="1" applyFont="1" applyFill="1"/>
    <xf numFmtId="10" fontId="3" fillId="2" borderId="48" xfId="2" applyNumberFormat="1" applyFont="1" applyFill="1" applyBorder="1" applyAlignment="1">
      <alignment horizontal="center" vertical="center" wrapText="1"/>
    </xf>
    <xf numFmtId="0" fontId="4" fillId="2" borderId="53" xfId="0" applyFont="1" applyFill="1" applyBorder="1"/>
    <xf numFmtId="0" fontId="4" fillId="2" borderId="0" xfId="0" applyFont="1" applyFill="1" applyAlignment="1">
      <alignment horizontal="center"/>
    </xf>
    <xf numFmtId="44" fontId="4" fillId="2" borderId="0" xfId="1" applyFont="1" applyFill="1" applyBorder="1"/>
    <xf numFmtId="0" fontId="4" fillId="2" borderId="47" xfId="0" applyFont="1" applyFill="1" applyBorder="1" applyAlignment="1">
      <alignment horizontal="center" vertical="center" wrapText="1"/>
    </xf>
    <xf numFmtId="0" fontId="3" fillId="2" borderId="25" xfId="0" applyFont="1" applyFill="1" applyBorder="1" applyAlignment="1">
      <alignment vertical="center" wrapText="1"/>
    </xf>
    <xf numFmtId="0" fontId="4" fillId="2" borderId="50" xfId="0" applyFont="1" applyFill="1" applyBorder="1" applyAlignment="1">
      <alignment vertical="center" wrapText="1"/>
    </xf>
    <xf numFmtId="43" fontId="4" fillId="2" borderId="0" xfId="0" applyNumberFormat="1" applyFont="1" applyFill="1"/>
    <xf numFmtId="9" fontId="4" fillId="2" borderId="50" xfId="2" applyFont="1" applyFill="1" applyBorder="1" applyAlignment="1">
      <alignment horizontal="center" vertical="center" wrapText="1"/>
    </xf>
    <xf numFmtId="0" fontId="3" fillId="2" borderId="49" xfId="0" applyFont="1" applyFill="1" applyBorder="1" applyAlignment="1">
      <alignment horizontal="center" vertical="center" wrapText="1"/>
    </xf>
    <xf numFmtId="44" fontId="4" fillId="2" borderId="48" xfId="1" applyFont="1" applyFill="1" applyBorder="1" applyAlignment="1">
      <alignment horizontal="center" vertical="center" wrapText="1"/>
    </xf>
    <xf numFmtId="44" fontId="3" fillId="2" borderId="49" xfId="1" applyFont="1" applyFill="1" applyBorder="1" applyAlignment="1">
      <alignment horizontal="center" vertical="center" wrapText="1"/>
    </xf>
    <xf numFmtId="44" fontId="17" fillId="0" borderId="0" xfId="0" applyNumberFormat="1" applyFont="1"/>
    <xf numFmtId="0" fontId="18" fillId="3" borderId="2" xfId="7" applyFont="1" applyFill="1" applyBorder="1" applyAlignment="1">
      <alignment horizontal="center" vertical="center" wrapText="1"/>
    </xf>
    <xf numFmtId="167" fontId="18" fillId="3" borderId="2" xfId="15" applyFont="1" applyFill="1" applyBorder="1" applyAlignment="1">
      <alignment horizontal="center" vertical="center" wrapText="1"/>
    </xf>
    <xf numFmtId="0" fontId="19" fillId="2" borderId="2" xfId="7" applyFont="1" applyFill="1" applyBorder="1" applyAlignment="1">
      <alignment horizontal="center" vertical="center" wrapText="1"/>
    </xf>
    <xf numFmtId="167" fontId="19" fillId="2" borderId="2" xfId="15" applyFont="1" applyFill="1" applyBorder="1" applyAlignment="1">
      <alignment vertical="center" wrapText="1"/>
    </xf>
    <xf numFmtId="167" fontId="19" fillId="2" borderId="2" xfId="15" applyFont="1" applyFill="1" applyBorder="1" applyAlignment="1">
      <alignment horizontal="justify" vertical="center" wrapText="1"/>
    </xf>
    <xf numFmtId="167" fontId="18" fillId="3" borderId="2" xfId="15" applyFont="1" applyFill="1" applyBorder="1" applyAlignment="1">
      <alignment horizontal="justify" vertical="center" wrapText="1"/>
    </xf>
    <xf numFmtId="0" fontId="16" fillId="2" borderId="2" xfId="7" applyFont="1" applyFill="1" applyBorder="1" applyAlignment="1">
      <alignment horizontal="justify" vertical="center" wrapText="1"/>
    </xf>
    <xf numFmtId="0" fontId="16" fillId="0" borderId="2" xfId="7" applyFont="1" applyBorder="1" applyAlignment="1">
      <alignment horizontal="justify" vertical="center" wrapText="1"/>
    </xf>
    <xf numFmtId="0" fontId="20" fillId="0" borderId="68" xfId="0" applyFont="1" applyBorder="1" applyAlignment="1">
      <alignment horizontal="left" vertical="center" wrapText="1"/>
    </xf>
    <xf numFmtId="0" fontId="21" fillId="0" borderId="0" xfId="0" applyFont="1"/>
    <xf numFmtId="0" fontId="22" fillId="0" borderId="71" xfId="0" applyFont="1" applyBorder="1" applyAlignment="1">
      <alignment horizontal="left" vertical="center" wrapText="1"/>
    </xf>
    <xf numFmtId="0" fontId="22" fillId="0" borderId="67" xfId="0" applyFont="1" applyBorder="1" applyAlignment="1">
      <alignment horizontal="left" vertical="center" wrapText="1"/>
    </xf>
    <xf numFmtId="0" fontId="17" fillId="0" borderId="0" xfId="0" applyFont="1" applyAlignment="1">
      <alignment horizontal="center" vertical="center"/>
    </xf>
    <xf numFmtId="0" fontId="17" fillId="3" borderId="2" xfId="0" applyFont="1" applyFill="1" applyBorder="1" applyAlignment="1">
      <alignment horizontal="center" vertical="center"/>
    </xf>
    <xf numFmtId="0" fontId="24" fillId="3" borderId="68" xfId="0" applyFont="1" applyFill="1" applyBorder="1" applyAlignment="1">
      <alignment horizontal="center" vertical="center" wrapText="1"/>
    </xf>
    <xf numFmtId="0" fontId="24" fillId="3" borderId="65" xfId="0" applyFont="1" applyFill="1" applyBorder="1" applyAlignment="1">
      <alignment horizontal="center" vertical="center" wrapText="1"/>
    </xf>
    <xf numFmtId="0" fontId="24" fillId="3" borderId="66"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17" fillId="0" borderId="2" xfId="0" applyFont="1" applyBorder="1" applyAlignment="1">
      <alignment horizontal="center" vertical="center"/>
    </xf>
    <xf numFmtId="0" fontId="22" fillId="0" borderId="65" xfId="0" applyFont="1" applyBorder="1" applyAlignment="1">
      <alignment horizontal="center" vertical="center" wrapText="1"/>
    </xf>
    <xf numFmtId="0" fontId="22" fillId="0" borderId="66" xfId="0" applyFont="1" applyBorder="1" applyAlignment="1">
      <alignment horizontal="center" vertical="center" wrapText="1"/>
    </xf>
    <xf numFmtId="167" fontId="16" fillId="2" borderId="2" xfId="15" applyFont="1" applyFill="1" applyBorder="1" applyAlignment="1">
      <alignment horizontal="justify" vertical="center" wrapText="1"/>
    </xf>
    <xf numFmtId="0" fontId="22" fillId="0" borderId="2" xfId="0" applyFont="1" applyBorder="1" applyAlignment="1">
      <alignment horizontal="center" vertical="center" wrapText="1"/>
    </xf>
    <xf numFmtId="0" fontId="17" fillId="3" borderId="2" xfId="0" applyFont="1" applyFill="1" applyBorder="1"/>
    <xf numFmtId="167" fontId="25" fillId="3" borderId="2" xfId="15" applyFont="1" applyFill="1" applyBorder="1" applyAlignment="1">
      <alignment horizontal="justify" vertical="center" wrapText="1"/>
    </xf>
    <xf numFmtId="0" fontId="22" fillId="0" borderId="0" xfId="0" applyFont="1" applyAlignment="1">
      <alignment horizontal="center" vertical="center" wrapText="1"/>
    </xf>
    <xf numFmtId="167" fontId="17" fillId="0" borderId="0" xfId="0" applyNumberFormat="1" applyFont="1"/>
    <xf numFmtId="0" fontId="17" fillId="0" borderId="51" xfId="0" applyFont="1" applyBorder="1" applyAlignment="1">
      <alignment horizontal="center" vertical="center"/>
    </xf>
    <xf numFmtId="0" fontId="22" fillId="0" borderId="51" xfId="0" applyFont="1" applyBorder="1" applyAlignment="1">
      <alignment horizontal="center" vertical="center" wrapText="1"/>
    </xf>
    <xf numFmtId="0" fontId="22" fillId="0" borderId="63" xfId="0" applyFont="1" applyBorder="1" applyAlignment="1">
      <alignment horizontal="center" vertical="center" wrapText="1"/>
    </xf>
    <xf numFmtId="167" fontId="16" fillId="2" borderId="51" xfId="15" applyFont="1" applyFill="1" applyBorder="1" applyAlignment="1">
      <alignment horizontal="justify" vertical="center" wrapText="1"/>
    </xf>
    <xf numFmtId="0" fontId="22" fillId="0" borderId="4" xfId="0" applyFont="1" applyBorder="1" applyAlignment="1">
      <alignment horizontal="center" vertical="center" wrapText="1"/>
    </xf>
    <xf numFmtId="167" fontId="23" fillId="3" borderId="2" xfId="0" applyNumberFormat="1" applyFont="1" applyFill="1" applyBorder="1"/>
    <xf numFmtId="0" fontId="17" fillId="0" borderId="0" xfId="0" applyFont="1" applyAlignment="1">
      <alignment horizontal="center"/>
    </xf>
    <xf numFmtId="0" fontId="23" fillId="3" borderId="2" xfId="0" applyFont="1" applyFill="1" applyBorder="1" applyAlignment="1">
      <alignment horizontal="center" vertical="center"/>
    </xf>
    <xf numFmtId="165" fontId="17" fillId="0" borderId="0" xfId="0" applyNumberFormat="1" applyFont="1"/>
    <xf numFmtId="0" fontId="3" fillId="0" borderId="2" xfId="0" applyFont="1" applyBorder="1" applyAlignment="1">
      <alignment horizontal="center" vertical="center" wrapText="1"/>
    </xf>
    <xf numFmtId="44" fontId="3" fillId="0" borderId="2" xfId="1" applyFont="1" applyBorder="1" applyAlignment="1">
      <alignment horizontal="center" vertical="center" wrapText="1"/>
    </xf>
    <xf numFmtId="166" fontId="3" fillId="0" borderId="2" xfId="4" applyFont="1" applyBorder="1" applyAlignment="1">
      <alignment horizontal="center" vertical="center" wrapText="1"/>
    </xf>
    <xf numFmtId="0" fontId="27" fillId="0" borderId="0" xfId="0" applyFont="1" applyAlignment="1">
      <alignment vertical="center" wrapText="1"/>
    </xf>
    <xf numFmtId="0" fontId="27" fillId="0" borderId="73" xfId="0" applyFont="1" applyBorder="1" applyAlignment="1">
      <alignment horizontal="center" vertical="center" wrapText="1"/>
    </xf>
    <xf numFmtId="168" fontId="29" fillId="0" borderId="75" xfId="0" applyNumberFormat="1" applyFont="1" applyBorder="1" applyAlignment="1">
      <alignment horizontal="right" vertical="center" wrapText="1"/>
    </xf>
    <xf numFmtId="0" fontId="27" fillId="0" borderId="76" xfId="0" applyFont="1" applyBorder="1" applyAlignment="1">
      <alignment vertical="center" wrapText="1"/>
    </xf>
    <xf numFmtId="0" fontId="27" fillId="0" borderId="77" xfId="0" applyFont="1" applyBorder="1" applyAlignment="1">
      <alignment vertical="center" wrapText="1"/>
    </xf>
    <xf numFmtId="14" fontId="4" fillId="0" borderId="54" xfId="1" applyNumberFormat="1" applyFont="1" applyFill="1" applyBorder="1" applyAlignment="1">
      <alignment horizontal="center" vertical="center" shrinkToFit="1"/>
    </xf>
    <xf numFmtId="14" fontId="4" fillId="2" borderId="54" xfId="1" applyNumberFormat="1" applyFont="1" applyFill="1" applyBorder="1" applyAlignment="1">
      <alignment horizontal="center" vertical="center" shrinkToFit="1"/>
    </xf>
    <xf numFmtId="0" fontId="19" fillId="2" borderId="2" xfId="7" applyFont="1" applyFill="1" applyBorder="1" applyAlignment="1">
      <alignment horizontal="left" vertical="center" wrapText="1"/>
    </xf>
    <xf numFmtId="0" fontId="19" fillId="2" borderId="72" xfId="7" applyFont="1" applyFill="1" applyBorder="1" applyAlignment="1">
      <alignment horizontal="center" vertical="center" wrapText="1"/>
    </xf>
    <xf numFmtId="167" fontId="18" fillId="2" borderId="2" xfId="15" applyFont="1" applyFill="1" applyBorder="1" applyAlignment="1">
      <alignment horizontal="justify" vertical="center" wrapText="1"/>
    </xf>
    <xf numFmtId="169" fontId="19" fillId="2" borderId="5" xfId="7" applyNumberFormat="1" applyFont="1" applyFill="1" applyBorder="1" applyAlignment="1">
      <alignment horizontal="center" vertical="center" wrapText="1"/>
    </xf>
    <xf numFmtId="169" fontId="19" fillId="2" borderId="5" xfId="7" applyNumberFormat="1" applyFont="1" applyFill="1" applyBorder="1" applyAlignment="1">
      <alignment vertical="center" wrapText="1"/>
    </xf>
    <xf numFmtId="43" fontId="18" fillId="2" borderId="5" xfId="7" applyNumberFormat="1" applyFont="1" applyFill="1" applyBorder="1" applyAlignment="1">
      <alignment vertical="center" wrapText="1"/>
    </xf>
    <xf numFmtId="44" fontId="4" fillId="0" borderId="2" xfId="0" applyNumberFormat="1" applyFont="1" applyBorder="1" applyAlignment="1">
      <alignment horizontal="center" vertical="center" wrapText="1"/>
    </xf>
    <xf numFmtId="44" fontId="4" fillId="0" borderId="0" xfId="0" applyNumberFormat="1" applyFont="1"/>
    <xf numFmtId="0" fontId="3" fillId="0" borderId="0" xfId="0" applyFont="1" applyAlignment="1">
      <alignment horizontal="center" vertical="center"/>
    </xf>
    <xf numFmtId="0" fontId="4" fillId="0" borderId="53" xfId="0" applyFont="1" applyBorder="1" applyAlignment="1"/>
    <xf numFmtId="2" fontId="4" fillId="0" borderId="0" xfId="0" applyNumberFormat="1" applyFont="1"/>
    <xf numFmtId="2" fontId="4" fillId="0" borderId="0" xfId="0" quotePrefix="1" applyNumberFormat="1" applyFont="1"/>
    <xf numFmtId="44" fontId="4" fillId="6" borderId="15" xfId="1" applyFont="1" applyFill="1" applyBorder="1" applyAlignment="1">
      <alignment vertical="center" shrinkToFit="1"/>
    </xf>
    <xf numFmtId="44" fontId="4" fillId="6" borderId="17" xfId="1" applyFont="1" applyFill="1" applyBorder="1" applyAlignment="1">
      <alignment vertical="center" shrinkToFit="1"/>
    </xf>
    <xf numFmtId="44" fontId="17" fillId="0" borderId="0" xfId="1" applyFont="1"/>
    <xf numFmtId="0" fontId="17" fillId="0" borderId="0" xfId="0" applyFont="1" applyBorder="1" applyAlignment="1">
      <alignment horizontal="center" vertical="center"/>
    </xf>
    <xf numFmtId="44" fontId="17" fillId="0" borderId="0" xfId="0" applyNumberFormat="1" applyFont="1" applyBorder="1" applyAlignment="1">
      <alignment horizontal="center" vertical="center"/>
    </xf>
    <xf numFmtId="17" fontId="17" fillId="0" borderId="0" xfId="0" applyNumberFormat="1" applyFont="1" applyBorder="1" applyAlignment="1">
      <alignment horizontal="center" vertical="center"/>
    </xf>
    <xf numFmtId="0" fontId="0" fillId="0" borderId="2" xfId="0" applyBorder="1" applyAlignment="1">
      <alignment horizontal="left"/>
    </xf>
    <xf numFmtId="0" fontId="0" fillId="0" borderId="2" xfId="0" applyBorder="1"/>
    <xf numFmtId="0" fontId="23" fillId="0" borderId="0" xfId="0" applyFont="1" applyAlignment="1">
      <alignment horizontal="left" vertical="center" wrapText="1"/>
    </xf>
    <xf numFmtId="0" fontId="23" fillId="0" borderId="0" xfId="0" applyFont="1" applyAlignment="1">
      <alignment vertical="center"/>
    </xf>
    <xf numFmtId="0" fontId="27" fillId="0" borderId="0" xfId="0" applyFont="1" applyAlignment="1">
      <alignment horizontal="right" vertical="center" wrapText="1"/>
    </xf>
    <xf numFmtId="0" fontId="28" fillId="0" borderId="0" xfId="22" applyFont="1" applyAlignment="1">
      <alignment horizontal="left" vertical="center"/>
    </xf>
    <xf numFmtId="0" fontId="27" fillId="0" borderId="66" xfId="0" applyFont="1" applyBorder="1" applyAlignment="1">
      <alignment horizontal="left" vertical="center" wrapText="1"/>
    </xf>
    <xf numFmtId="0" fontId="0" fillId="0" borderId="68" xfId="0" applyBorder="1" applyAlignment="1">
      <alignment vertical="center"/>
    </xf>
    <xf numFmtId="0" fontId="29" fillId="0" borderId="66" xfId="0" applyFont="1" applyBorder="1" applyAlignment="1">
      <alignment horizontal="left" vertical="center" wrapText="1"/>
    </xf>
    <xf numFmtId="0" fontId="0" fillId="0" borderId="67" xfId="0" applyBorder="1" applyAlignment="1">
      <alignment vertical="center"/>
    </xf>
    <xf numFmtId="0" fontId="28" fillId="0" borderId="71" xfId="22" applyFont="1" applyBorder="1" applyAlignment="1">
      <alignment horizontal="left" vertical="center"/>
    </xf>
    <xf numFmtId="0" fontId="29" fillId="0" borderId="70" xfId="0" applyFont="1" applyBorder="1" applyAlignment="1">
      <alignment horizontal="center" vertical="center" wrapText="1"/>
    </xf>
    <xf numFmtId="0" fontId="0" fillId="0" borderId="73" xfId="0" applyBorder="1" applyAlignment="1">
      <alignment vertical="center"/>
    </xf>
    <xf numFmtId="0" fontId="0" fillId="0" borderId="69" xfId="0" applyBorder="1" applyAlignment="1">
      <alignment vertical="center"/>
    </xf>
    <xf numFmtId="0" fontId="29" fillId="0" borderId="73" xfId="0" applyFont="1" applyBorder="1" applyAlignment="1">
      <alignment horizontal="center" vertical="center" wrapText="1"/>
    </xf>
    <xf numFmtId="0" fontId="30" fillId="0" borderId="66" xfId="0" applyFont="1" applyBorder="1" applyAlignment="1">
      <alignment horizontal="justify" vertical="justify" wrapText="1"/>
    </xf>
    <xf numFmtId="0" fontId="0" fillId="0" borderId="67" xfId="0" applyBorder="1" applyAlignment="1">
      <alignment horizontal="justify" vertical="justify"/>
    </xf>
    <xf numFmtId="0" fontId="0" fillId="0" borderId="68" xfId="0" applyBorder="1" applyAlignment="1">
      <alignment horizontal="justify" vertical="justify"/>
    </xf>
    <xf numFmtId="0" fontId="0" fillId="0" borderId="0" xfId="0"/>
    <xf numFmtId="0" fontId="29" fillId="0" borderId="70" xfId="0" applyFont="1" applyBorder="1" applyAlignment="1">
      <alignment horizontal="left" vertical="center" wrapText="1"/>
    </xf>
    <xf numFmtId="0" fontId="27" fillId="0" borderId="74" xfId="0" applyFont="1" applyBorder="1" applyAlignment="1">
      <alignment horizontal="left" vertical="center" wrapText="1"/>
    </xf>
    <xf numFmtId="0" fontId="17" fillId="0" borderId="0" xfId="0" applyFont="1" applyAlignment="1">
      <alignment vertical="center"/>
    </xf>
    <xf numFmtId="0" fontId="0" fillId="0" borderId="0" xfId="0" applyAlignment="1">
      <alignment vertical="center"/>
    </xf>
    <xf numFmtId="0" fontId="26" fillId="0" borderId="66" xfId="21" applyBorder="1" applyAlignment="1" applyProtection="1">
      <alignment horizontal="left" vertical="center" wrapText="1"/>
    </xf>
    <xf numFmtId="0" fontId="27" fillId="0" borderId="76" xfId="0" applyFont="1" applyBorder="1" applyAlignment="1">
      <alignment horizontal="justify" vertical="center" wrapText="1"/>
    </xf>
    <xf numFmtId="0" fontId="17" fillId="0" borderId="0" xfId="0" applyFont="1" applyAlignment="1">
      <alignment horizontal="justify" vertical="center"/>
    </xf>
    <xf numFmtId="0" fontId="0" fillId="0" borderId="75" xfId="0" applyBorder="1" applyAlignment="1">
      <alignment horizontal="justify" vertical="center"/>
    </xf>
    <xf numFmtId="0" fontId="27" fillId="0" borderId="0" xfId="0" applyFont="1" applyAlignment="1">
      <alignment horizontal="left" vertical="center" wrapText="1"/>
    </xf>
    <xf numFmtId="0" fontId="27" fillId="0" borderId="74" xfId="0" applyFont="1" applyBorder="1" applyAlignment="1">
      <alignment horizontal="justify" vertical="center" wrapText="1"/>
    </xf>
    <xf numFmtId="0" fontId="27" fillId="0" borderId="63" xfId="0" applyFont="1" applyBorder="1" applyAlignment="1">
      <alignment horizontal="center" vertical="center" wrapText="1"/>
    </xf>
    <xf numFmtId="0" fontId="17" fillId="0" borderId="62" xfId="0" applyFont="1" applyBorder="1" applyAlignment="1">
      <alignment vertical="center"/>
    </xf>
    <xf numFmtId="0" fontId="17" fillId="0" borderId="64" xfId="0" applyFont="1" applyBorder="1" applyAlignment="1">
      <alignment vertical="center"/>
    </xf>
    <xf numFmtId="0" fontId="0" fillId="0" borderId="77" xfId="0" applyBorder="1" applyAlignment="1">
      <alignment horizontal="justify" vertical="center"/>
    </xf>
    <xf numFmtId="0" fontId="27" fillId="0" borderId="76" xfId="0" applyFont="1" applyBorder="1" applyAlignment="1">
      <alignment horizontal="left" vertical="center" wrapText="1"/>
    </xf>
    <xf numFmtId="0" fontId="27" fillId="0" borderId="77" xfId="0" applyFont="1" applyBorder="1" applyAlignment="1">
      <alignment horizontal="left" vertical="center" wrapText="1"/>
    </xf>
    <xf numFmtId="0" fontId="27" fillId="0" borderId="76" xfId="0" applyFont="1" applyBorder="1" applyAlignment="1">
      <alignment horizontal="justify" vertical="justify" wrapText="1"/>
    </xf>
    <xf numFmtId="0" fontId="27" fillId="0" borderId="0" xfId="0" applyFont="1" applyAlignment="1">
      <alignment horizontal="justify" vertical="justify" wrapText="1"/>
    </xf>
    <xf numFmtId="0" fontId="27" fillId="0" borderId="77" xfId="0" applyFont="1" applyBorder="1" applyAlignment="1">
      <alignment horizontal="justify" vertical="justify" wrapText="1"/>
    </xf>
    <xf numFmtId="0" fontId="29" fillId="0" borderId="76" xfId="0" applyFont="1" applyBorder="1" applyAlignment="1">
      <alignment horizontal="center" vertical="center" wrapText="1"/>
    </xf>
    <xf numFmtId="0" fontId="17" fillId="0" borderId="77" xfId="0" applyFont="1" applyBorder="1" applyAlignment="1">
      <alignment vertical="center"/>
    </xf>
    <xf numFmtId="0" fontId="27" fillId="0" borderId="76" xfId="0" applyFont="1" applyBorder="1" applyAlignment="1">
      <alignment horizontal="center" vertical="center" wrapText="1"/>
    </xf>
    <xf numFmtId="0" fontId="23" fillId="0" borderId="2" xfId="0" applyFont="1" applyBorder="1" applyAlignment="1">
      <alignment horizontal="center"/>
    </xf>
    <xf numFmtId="44" fontId="23" fillId="5" borderId="2" xfId="0" applyNumberFormat="1" applyFont="1" applyFill="1" applyBorder="1" applyAlignment="1">
      <alignment horizontal="center"/>
    </xf>
    <xf numFmtId="0" fontId="23" fillId="5" borderId="2" xfId="0" applyFont="1" applyFill="1" applyBorder="1" applyAlignment="1">
      <alignment horizontal="center"/>
    </xf>
    <xf numFmtId="44" fontId="17" fillId="0" borderId="2" xfId="0" applyNumberFormat="1" applyFont="1" applyBorder="1" applyAlignment="1">
      <alignment horizontal="center"/>
    </xf>
    <xf numFmtId="0" fontId="17" fillId="0" borderId="2" xfId="0" applyFont="1" applyBorder="1" applyAlignment="1">
      <alignment horizontal="center"/>
    </xf>
    <xf numFmtId="44" fontId="23" fillId="0" borderId="76" xfId="0" applyNumberFormat="1" applyFont="1" applyBorder="1" applyAlignment="1">
      <alignment horizontal="center"/>
    </xf>
    <xf numFmtId="0" fontId="23" fillId="0" borderId="0" xfId="0" applyFont="1" applyAlignment="1">
      <alignment horizontal="center"/>
    </xf>
    <xf numFmtId="0" fontId="23" fillId="0" borderId="76" xfId="0" applyFont="1" applyBorder="1" applyAlignment="1">
      <alignment horizontal="center"/>
    </xf>
    <xf numFmtId="44" fontId="23" fillId="0" borderId="2" xfId="0" applyNumberFormat="1" applyFont="1" applyBorder="1" applyAlignment="1">
      <alignment horizontal="center"/>
    </xf>
    <xf numFmtId="0" fontId="3" fillId="0" borderId="2" xfId="0" applyFont="1" applyBorder="1" applyAlignment="1">
      <alignment horizontal="center"/>
    </xf>
    <xf numFmtId="0" fontId="3" fillId="3" borderId="2" xfId="0" applyFont="1" applyFill="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 xfId="0" applyFont="1" applyBorder="1" applyAlignment="1">
      <alignment horizontal="center" vertical="center" wrapText="1"/>
    </xf>
    <xf numFmtId="0" fontId="3" fillId="6" borderId="2" xfId="0" applyFont="1" applyFill="1" applyBorder="1" applyAlignment="1">
      <alignment horizontal="center" vertical="center" wrapText="1"/>
    </xf>
    <xf numFmtId="0" fontId="23" fillId="3" borderId="2" xfId="0" applyFont="1" applyFill="1" applyBorder="1" applyAlignment="1">
      <alignment horizontal="center" vertical="top"/>
    </xf>
    <xf numFmtId="0" fontId="3" fillId="0" borderId="2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47" xfId="0" applyFont="1" applyBorder="1" applyAlignment="1">
      <alignment horizontal="center" vertical="center" wrapText="1"/>
    </xf>
    <xf numFmtId="0" fontId="3" fillId="0" borderId="52" xfId="0" applyFont="1" applyBorder="1" applyAlignment="1">
      <alignment horizontal="center" vertical="center" wrapText="1"/>
    </xf>
    <xf numFmtId="0" fontId="4" fillId="0" borderId="22" xfId="0" applyFont="1" applyBorder="1" applyAlignment="1">
      <alignment vertical="center" wrapText="1"/>
    </xf>
    <xf numFmtId="0" fontId="4" fillId="0" borderId="25" xfId="0" applyFont="1" applyBorder="1" applyAlignment="1">
      <alignment vertical="center" wrapText="1"/>
    </xf>
    <xf numFmtId="0" fontId="7" fillId="0" borderId="0" xfId="0" applyFont="1" applyAlignment="1">
      <alignment horizontal="justify" vertical="justify" wrapText="1"/>
    </xf>
    <xf numFmtId="0" fontId="3" fillId="0" borderId="22" xfId="0" applyFont="1" applyBorder="1" applyAlignment="1">
      <alignment horizontal="left" vertical="center"/>
    </xf>
    <xf numFmtId="0" fontId="3" fillId="0" borderId="37" xfId="0" applyFont="1" applyBorder="1" applyAlignment="1">
      <alignment horizontal="left" vertical="center"/>
    </xf>
    <xf numFmtId="0" fontId="3" fillId="0" borderId="25" xfId="0" applyFont="1" applyBorder="1" applyAlignment="1">
      <alignment horizontal="left" vertical="center"/>
    </xf>
    <xf numFmtId="0" fontId="7" fillId="0" borderId="10" xfId="0" applyFont="1" applyBorder="1" applyAlignment="1">
      <alignment horizontal="justify" vertical="justify" wrapText="1"/>
    </xf>
    <xf numFmtId="0" fontId="7" fillId="0" borderId="0" xfId="0" applyFont="1" applyAlignment="1">
      <alignment wrapText="1"/>
    </xf>
    <xf numFmtId="0" fontId="3" fillId="0" borderId="22" xfId="0" applyFont="1" applyBorder="1" applyAlignment="1">
      <alignment horizontal="left" vertical="center" wrapText="1"/>
    </xf>
    <xf numFmtId="0" fontId="3" fillId="0" borderId="37" xfId="0" applyFont="1" applyBorder="1" applyAlignment="1">
      <alignment horizontal="left" vertical="center" wrapText="1"/>
    </xf>
    <xf numFmtId="0" fontId="3" fillId="0" borderId="25" xfId="0" applyFont="1" applyBorder="1" applyAlignment="1">
      <alignment horizontal="left" vertical="center" wrapText="1"/>
    </xf>
    <xf numFmtId="0" fontId="3" fillId="0" borderId="35" xfId="0" applyFont="1" applyBorder="1" applyAlignment="1">
      <alignment horizontal="center" vertical="center" shrinkToFit="1"/>
    </xf>
    <xf numFmtId="0" fontId="3" fillId="0" borderId="20" xfId="0" applyFont="1" applyBorder="1" applyAlignment="1">
      <alignment horizontal="center" vertical="center" shrinkToFit="1"/>
    </xf>
    <xf numFmtId="0" fontId="7" fillId="0" borderId="0" xfId="0" applyFont="1" applyAlignment="1">
      <alignment vertical="center" wrapText="1"/>
    </xf>
    <xf numFmtId="0" fontId="3" fillId="0" borderId="23" xfId="0" applyFont="1" applyBorder="1" applyAlignment="1">
      <alignment horizontal="center" vertical="center" wrapText="1"/>
    </xf>
    <xf numFmtId="0" fontId="3" fillId="0" borderId="35" xfId="0" applyFont="1" applyBorder="1" applyAlignment="1">
      <alignment horizontal="justify" vertical="center" shrinkToFit="1"/>
    </xf>
    <xf numFmtId="0" fontId="3" fillId="0" borderId="20" xfId="0" applyFont="1" applyBorder="1" applyAlignment="1">
      <alignment horizontal="justify" vertical="center" shrinkToFit="1"/>
    </xf>
    <xf numFmtId="0" fontId="3" fillId="0" borderId="6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37" xfId="0" applyFont="1" applyBorder="1" applyAlignment="1">
      <alignment horizontal="center" vertical="center" shrinkToFit="1"/>
    </xf>
    <xf numFmtId="0" fontId="4" fillId="0" borderId="7" xfId="0" applyFont="1" applyBorder="1" applyAlignment="1">
      <alignment horizontal="left" vertical="center" shrinkToFit="1"/>
    </xf>
    <xf numFmtId="0" fontId="3" fillId="0" borderId="57" xfId="0" applyFont="1" applyBorder="1" applyAlignment="1">
      <alignment horizontal="center" vertical="center" wrapText="1" shrinkToFit="1"/>
    </xf>
    <xf numFmtId="0" fontId="3" fillId="0" borderId="58" xfId="0" applyFont="1" applyBorder="1" applyAlignment="1">
      <alignment horizontal="center" vertical="center" wrapText="1" shrinkToFit="1"/>
    </xf>
    <xf numFmtId="0" fontId="4" fillId="0" borderId="13" xfId="0" applyFont="1" applyBorder="1" applyAlignment="1">
      <alignment horizontal="justify" vertical="center" shrinkToFit="1"/>
    </xf>
    <xf numFmtId="0" fontId="4" fillId="0" borderId="16" xfId="0" applyFont="1" applyBorder="1" applyAlignment="1">
      <alignment horizontal="justify" vertical="center" shrinkToFit="1"/>
    </xf>
    <xf numFmtId="0" fontId="4" fillId="0" borderId="19" xfId="0" applyFont="1" applyBorder="1" applyAlignment="1">
      <alignment horizontal="justify" vertical="center" shrinkToFit="1"/>
    </xf>
    <xf numFmtId="0" fontId="4" fillId="0" borderId="20" xfId="0" applyFont="1" applyBorder="1" applyAlignment="1">
      <alignment horizontal="justify" vertical="center" shrinkToFit="1"/>
    </xf>
    <xf numFmtId="0" fontId="3" fillId="0" borderId="47" xfId="0" applyFont="1" applyBorder="1" applyAlignment="1">
      <alignment horizontal="left" vertical="center"/>
    </xf>
    <xf numFmtId="0" fontId="3" fillId="0" borderId="52" xfId="0" applyFont="1" applyBorder="1" applyAlignment="1">
      <alignment horizontal="left" vertical="center"/>
    </xf>
    <xf numFmtId="0" fontId="4" fillId="0" borderId="30" xfId="0" applyFont="1" applyBorder="1" applyAlignment="1">
      <alignment horizontal="justify" vertical="center" shrinkToFit="1"/>
    </xf>
    <xf numFmtId="0" fontId="4" fillId="0" borderId="14" xfId="0" applyFont="1" applyBorder="1" applyAlignment="1">
      <alignment horizontal="justify" vertical="center" shrinkToFit="1"/>
    </xf>
    <xf numFmtId="0" fontId="3" fillId="0" borderId="23" xfId="0" applyFont="1" applyBorder="1" applyAlignment="1">
      <alignment horizontal="justify" vertical="center" shrinkToFit="1"/>
    </xf>
    <xf numFmtId="0" fontId="3" fillId="0" borderId="24" xfId="0" applyFont="1" applyBorder="1" applyAlignment="1">
      <alignment horizontal="justify" vertical="center" shrinkToFit="1"/>
    </xf>
    <xf numFmtId="0" fontId="4" fillId="0" borderId="27" xfId="0" applyFont="1" applyBorder="1" applyAlignment="1">
      <alignment horizontal="justify" vertical="center" shrinkToFit="1"/>
    </xf>
    <xf numFmtId="0" fontId="3" fillId="0" borderId="50" xfId="0" applyFont="1" applyBorder="1" applyAlignment="1">
      <alignment horizontal="center" vertical="center" wrapText="1"/>
    </xf>
    <xf numFmtId="0" fontId="4" fillId="0" borderId="5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4" xfId="0" applyFont="1" applyBorder="1" applyAlignment="1">
      <alignment horizontal="justify" vertical="center" wrapText="1" shrinkToFit="1"/>
    </xf>
    <xf numFmtId="0" fontId="4" fillId="0" borderId="5" xfId="0" applyFont="1" applyBorder="1" applyAlignment="1">
      <alignment horizontal="justify" vertical="center" wrapText="1" shrinkToFit="1"/>
    </xf>
    <xf numFmtId="0" fontId="4" fillId="0" borderId="33" xfId="0" applyFont="1" applyBorder="1" applyAlignment="1">
      <alignment horizontal="justify" vertical="center" shrinkToFit="1"/>
    </xf>
    <xf numFmtId="0" fontId="3" fillId="0" borderId="36"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37" xfId="0" applyFont="1" applyBorder="1" applyAlignment="1">
      <alignment horizontal="justify" vertical="center" shrinkToFit="1"/>
    </xf>
    <xf numFmtId="0" fontId="4" fillId="0" borderId="9" xfId="0" applyFont="1" applyBorder="1" applyAlignment="1">
      <alignment vertical="center" wrapText="1"/>
    </xf>
    <xf numFmtId="0" fontId="4" fillId="0" borderId="11" xfId="0" applyFont="1" applyBorder="1" applyAlignment="1">
      <alignment vertical="center" wrapText="1"/>
    </xf>
    <xf numFmtId="0" fontId="7" fillId="0" borderId="10" xfId="0" applyFont="1" applyBorder="1" applyAlignment="1">
      <alignment horizontal="left" vertical="center" wrapText="1"/>
    </xf>
    <xf numFmtId="0" fontId="4" fillId="2" borderId="22" xfId="0" applyFont="1" applyFill="1" applyBorder="1" applyAlignment="1">
      <alignment vertical="center" wrapText="1"/>
    </xf>
    <xf numFmtId="0" fontId="4" fillId="2" borderId="25" xfId="0" applyFont="1" applyFill="1" applyBorder="1" applyAlignment="1">
      <alignment vertical="center" wrapText="1"/>
    </xf>
    <xf numFmtId="0" fontId="0" fillId="0" borderId="25" xfId="0" applyBorder="1" applyAlignment="1">
      <alignment vertical="center" wrapText="1"/>
    </xf>
    <xf numFmtId="0" fontId="3" fillId="2" borderId="22"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4" xfId="0" applyFont="1" applyFill="1" applyBorder="1" applyAlignment="1">
      <alignment horizontal="justify" vertical="center" wrapText="1" shrinkToFit="1"/>
    </xf>
    <xf numFmtId="0" fontId="4" fillId="2" borderId="5" xfId="0" applyFont="1" applyFill="1" applyBorder="1" applyAlignment="1">
      <alignment horizontal="justify" vertical="center" wrapText="1" shrinkToFit="1"/>
    </xf>
    <xf numFmtId="0" fontId="4" fillId="2" borderId="7" xfId="0" applyFont="1" applyFill="1" applyBorder="1" applyAlignment="1">
      <alignment horizontal="left" vertical="center" shrinkToFit="1"/>
    </xf>
    <xf numFmtId="0" fontId="3" fillId="2" borderId="53" xfId="0" applyFont="1" applyFill="1" applyBorder="1" applyAlignment="1">
      <alignment horizontal="center" vertical="center" wrapText="1"/>
    </xf>
    <xf numFmtId="0" fontId="3" fillId="2" borderId="0" xfId="0" applyFont="1" applyFill="1" applyAlignment="1">
      <alignment horizontal="center" vertical="center" wrapText="1"/>
    </xf>
    <xf numFmtId="0" fontId="7" fillId="2" borderId="0" xfId="0" applyFont="1" applyFill="1" applyAlignment="1">
      <alignment vertical="center" wrapText="1"/>
    </xf>
    <xf numFmtId="0" fontId="4" fillId="2" borderId="9" xfId="0" applyFont="1" applyFill="1" applyBorder="1" applyAlignment="1">
      <alignment vertical="center" wrapText="1"/>
    </xf>
    <xf numFmtId="0" fontId="4" fillId="2" borderId="11" xfId="0" applyFont="1" applyFill="1" applyBorder="1" applyAlignment="1">
      <alignment vertical="center" wrapText="1"/>
    </xf>
    <xf numFmtId="0" fontId="3" fillId="2" borderId="47"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7" fillId="2" borderId="10" xfId="0" applyFont="1" applyFill="1" applyBorder="1" applyAlignment="1">
      <alignment horizontal="justify" vertical="justify" wrapText="1"/>
    </xf>
    <xf numFmtId="0" fontId="0" fillId="2" borderId="25" xfId="0" applyFill="1" applyBorder="1" applyAlignment="1">
      <alignment vertical="center" wrapText="1"/>
    </xf>
    <xf numFmtId="0" fontId="3" fillId="2" borderId="37" xfId="0" applyFont="1" applyFill="1" applyBorder="1" applyAlignment="1">
      <alignment horizontal="center" vertical="center" wrapText="1"/>
    </xf>
    <xf numFmtId="0" fontId="7" fillId="2" borderId="0" xfId="0" applyFont="1" applyFill="1" applyAlignment="1">
      <alignment wrapText="1"/>
    </xf>
    <xf numFmtId="0" fontId="3" fillId="2" borderId="37" xfId="0" applyFont="1" applyFill="1" applyBorder="1" applyAlignment="1">
      <alignment horizontal="left" vertical="center" wrapText="1"/>
    </xf>
    <xf numFmtId="0" fontId="4" fillId="2" borderId="16" xfId="0" applyFont="1" applyFill="1" applyBorder="1" applyAlignment="1">
      <alignment horizontal="justify" vertical="center" shrinkToFit="1"/>
    </xf>
    <xf numFmtId="0" fontId="4" fillId="2" borderId="30" xfId="0" applyFont="1" applyFill="1" applyBorder="1" applyAlignment="1">
      <alignment horizontal="justify" vertical="center" shrinkToFit="1"/>
    </xf>
    <xf numFmtId="0" fontId="3" fillId="2" borderId="35" xfId="0" applyFont="1" applyFill="1" applyBorder="1" applyAlignment="1">
      <alignment horizontal="justify" vertical="center" shrinkToFit="1"/>
    </xf>
    <xf numFmtId="0" fontId="3" fillId="2" borderId="20" xfId="0" applyFont="1" applyFill="1" applyBorder="1" applyAlignment="1">
      <alignment horizontal="justify" vertical="center" shrinkToFit="1"/>
    </xf>
    <xf numFmtId="0" fontId="3" fillId="2" borderId="23" xfId="0" applyFont="1" applyFill="1" applyBorder="1" applyAlignment="1">
      <alignment horizontal="center" vertical="center" wrapText="1"/>
    </xf>
    <xf numFmtId="0" fontId="4" fillId="2" borderId="14" xfId="0" applyFont="1" applyFill="1" applyBorder="1" applyAlignment="1">
      <alignment horizontal="justify" vertical="center" shrinkToFit="1"/>
    </xf>
    <xf numFmtId="0" fontId="4" fillId="2" borderId="27" xfId="0" applyFont="1" applyFill="1" applyBorder="1" applyAlignment="1">
      <alignment horizontal="justify" vertical="center" shrinkToFit="1"/>
    </xf>
    <xf numFmtId="0" fontId="3" fillId="2" borderId="22" xfId="0" applyFont="1" applyFill="1" applyBorder="1" applyAlignment="1">
      <alignment horizontal="left" vertical="center"/>
    </xf>
    <xf numFmtId="0" fontId="3" fillId="2" borderId="37" xfId="0" applyFont="1" applyFill="1" applyBorder="1" applyAlignment="1">
      <alignment horizontal="left" vertical="center"/>
    </xf>
    <xf numFmtId="0" fontId="3" fillId="2" borderId="25" xfId="0" applyFont="1" applyFill="1" applyBorder="1" applyAlignment="1">
      <alignment horizontal="left" vertical="center"/>
    </xf>
    <xf numFmtId="0" fontId="7" fillId="2" borderId="10" xfId="0" applyFont="1" applyFill="1" applyBorder="1" applyAlignment="1">
      <alignment horizontal="left" vertical="center" wrapText="1"/>
    </xf>
    <xf numFmtId="0" fontId="4" fillId="2" borderId="51"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37" xfId="0" applyFont="1" applyFill="1" applyBorder="1" applyAlignment="1">
      <alignment horizontal="left" vertical="center" shrinkToFit="1"/>
    </xf>
    <xf numFmtId="0" fontId="3" fillId="2" borderId="57" xfId="0" applyFont="1" applyFill="1" applyBorder="1" applyAlignment="1">
      <alignment horizontal="center" vertical="center" wrapText="1" shrinkToFit="1"/>
    </xf>
    <xf numFmtId="0" fontId="3" fillId="2" borderId="58" xfId="0" applyFont="1" applyFill="1" applyBorder="1" applyAlignment="1">
      <alignment horizontal="center" vertical="center" wrapText="1" shrinkToFit="1"/>
    </xf>
    <xf numFmtId="0" fontId="3" fillId="2" borderId="47" xfId="0" applyFont="1" applyFill="1" applyBorder="1" applyAlignment="1">
      <alignment horizontal="left" vertical="center"/>
    </xf>
    <xf numFmtId="0" fontId="3" fillId="2" borderId="52" xfId="0" applyFont="1" applyFill="1" applyBorder="1" applyAlignment="1">
      <alignment horizontal="left" vertical="center"/>
    </xf>
    <xf numFmtId="0" fontId="4" fillId="2" borderId="33" xfId="0" applyFont="1" applyFill="1" applyBorder="1" applyAlignment="1">
      <alignment horizontal="justify" vertical="center" shrinkToFit="1"/>
    </xf>
    <xf numFmtId="0" fontId="4" fillId="2" borderId="13" xfId="0" applyFont="1" applyFill="1" applyBorder="1" applyAlignment="1">
      <alignment horizontal="justify" vertical="center" shrinkToFit="1"/>
    </xf>
    <xf numFmtId="0" fontId="4" fillId="2" borderId="19" xfId="0" applyFont="1" applyFill="1" applyBorder="1" applyAlignment="1">
      <alignment horizontal="justify" vertical="center" shrinkToFit="1"/>
    </xf>
    <xf numFmtId="0" fontId="4" fillId="2" borderId="20" xfId="0" applyFont="1" applyFill="1" applyBorder="1" applyAlignment="1">
      <alignment horizontal="justify" vertical="center" shrinkToFit="1"/>
    </xf>
    <xf numFmtId="0" fontId="3" fillId="2" borderId="23" xfId="0" applyFont="1" applyFill="1" applyBorder="1" applyAlignment="1">
      <alignment horizontal="justify" vertical="center" shrinkToFit="1"/>
    </xf>
    <xf numFmtId="0" fontId="3" fillId="2" borderId="24" xfId="0" applyFont="1" applyFill="1" applyBorder="1" applyAlignment="1">
      <alignment horizontal="justify" vertical="center" shrinkToFit="1"/>
    </xf>
    <xf numFmtId="0" fontId="3" fillId="2" borderId="36" xfId="0" applyFont="1" applyFill="1" applyBorder="1" applyAlignment="1">
      <alignment horizontal="justify" vertical="center" shrinkToFit="1"/>
    </xf>
    <xf numFmtId="0" fontId="3" fillId="2" borderId="35"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61"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22" xfId="0" applyFont="1" applyFill="1" applyBorder="1" applyAlignment="1">
      <alignment horizontal="justify" vertical="center" shrinkToFit="1"/>
    </xf>
    <xf numFmtId="0" fontId="3" fillId="2" borderId="37" xfId="0" applyFont="1" applyFill="1" applyBorder="1" applyAlignment="1">
      <alignment horizontal="justify" vertical="center" shrinkToFit="1"/>
    </xf>
    <xf numFmtId="0" fontId="7" fillId="2" borderId="0" xfId="0" applyFont="1" applyFill="1" applyAlignment="1">
      <alignment horizontal="justify" vertical="justify" wrapText="1"/>
    </xf>
    <xf numFmtId="0" fontId="18" fillId="3" borderId="2" xfId="7" applyFont="1" applyFill="1" applyBorder="1" applyAlignment="1">
      <alignment horizontal="center" vertical="center" wrapText="1"/>
    </xf>
    <xf numFmtId="0" fontId="18" fillId="2" borderId="4" xfId="7" applyFont="1" applyFill="1" applyBorder="1" applyAlignment="1">
      <alignment horizontal="center" vertical="center" wrapText="1"/>
    </xf>
    <xf numFmtId="0" fontId="18" fillId="2" borderId="72" xfId="7" applyFont="1" applyFill="1" applyBorder="1" applyAlignment="1">
      <alignment horizontal="center" vertical="center" wrapText="1"/>
    </xf>
    <xf numFmtId="0" fontId="18" fillId="2" borderId="5" xfId="7" applyFont="1" applyFill="1" applyBorder="1" applyAlignment="1">
      <alignment horizontal="center" vertical="center" wrapText="1"/>
    </xf>
    <xf numFmtId="0" fontId="33" fillId="0" borderId="62" xfId="0" applyFont="1" applyBorder="1" applyAlignment="1">
      <alignment horizontal="center"/>
    </xf>
    <xf numFmtId="0" fontId="18" fillId="2" borderId="2" xfId="7"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xf>
    <xf numFmtId="0" fontId="24" fillId="3" borderId="63" xfId="0" applyFont="1" applyFill="1" applyBorder="1" applyAlignment="1">
      <alignment horizontal="center" vertical="center" wrapText="1"/>
    </xf>
    <xf numFmtId="0" fontId="24" fillId="3" borderId="62" xfId="0" applyFont="1" applyFill="1" applyBorder="1" applyAlignment="1">
      <alignment horizontal="center" vertical="center" wrapText="1"/>
    </xf>
    <xf numFmtId="0" fontId="24" fillId="3" borderId="64" xfId="0" applyFont="1" applyFill="1" applyBorder="1" applyAlignment="1">
      <alignment horizontal="center" vertical="center" wrapText="1"/>
    </xf>
  </cellXfs>
  <cellStyles count="23">
    <cellStyle name="Hiperlink" xfId="21" builtinId="8"/>
    <cellStyle name="Moeda" xfId="1" builtinId="4"/>
    <cellStyle name="Moeda 2" xfId="6" xr:uid="{00000000-0005-0000-0000-000001000000}"/>
    <cellStyle name="Moeda 2 2" xfId="15" xr:uid="{00000000-0005-0000-0000-000002000000}"/>
    <cellStyle name="Moeda 3" xfId="13" xr:uid="{00000000-0005-0000-0000-000003000000}"/>
    <cellStyle name="Moeda 4" xfId="12" xr:uid="{00000000-0005-0000-0000-000004000000}"/>
    <cellStyle name="Moeda 5" xfId="9" xr:uid="{00000000-0005-0000-0000-000005000000}"/>
    <cellStyle name="Moeda 6" xfId="16" xr:uid="{00000000-0005-0000-0000-000006000000}"/>
    <cellStyle name="Moeda 9" xfId="3" xr:uid="{00000000-0005-0000-0000-000007000000}"/>
    <cellStyle name="Moeda 9 2" xfId="4" xr:uid="{00000000-0005-0000-0000-000008000000}"/>
    <cellStyle name="Normal" xfId="0" builtinId="0"/>
    <cellStyle name="Normal 2 2" xfId="7" xr:uid="{00000000-0005-0000-0000-00000A000000}"/>
    <cellStyle name="Normal 2 3" xfId="22" xr:uid="{43280A56-58BC-4A8F-A607-140804593B48}"/>
    <cellStyle name="Normal 3" xfId="8" xr:uid="{00000000-0005-0000-0000-00000B000000}"/>
    <cellStyle name="Normal 4" xfId="19" xr:uid="{00000000-0005-0000-0000-00000C000000}"/>
    <cellStyle name="Normal 5" xfId="10" xr:uid="{00000000-0005-0000-0000-00000D000000}"/>
    <cellStyle name="Porcentagem" xfId="2" builtinId="5"/>
    <cellStyle name="Porcentagem 2" xfId="14" xr:uid="{00000000-0005-0000-0000-00000F000000}"/>
    <cellStyle name="Separador de milhares 2 2" xfId="18" xr:uid="{00000000-0005-0000-0000-000010000000}"/>
    <cellStyle name="Vírgula 2" xfId="17" xr:uid="{00000000-0005-0000-0000-000011000000}"/>
    <cellStyle name="Vírgula 3" xfId="11" xr:uid="{00000000-0005-0000-0000-000012000000}"/>
    <cellStyle name="Vírgula 4" xfId="20" xr:uid="{00000000-0005-0000-0000-000013000000}"/>
    <cellStyle name="Vírgula 5" xfId="5"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ercial@euroseguranca.com.b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B81E-31D7-4FD6-A15A-4CA9EFC01010}">
  <sheetPr>
    <pageSetUpPr fitToPage="1"/>
  </sheetPr>
  <dimension ref="A1:F51"/>
  <sheetViews>
    <sheetView tabSelected="1" workbookViewId="0">
      <selection activeCell="Q15" sqref="Q15"/>
    </sheetView>
  </sheetViews>
  <sheetFormatPr defaultRowHeight="15" x14ac:dyDescent="0.25"/>
  <cols>
    <col min="6" max="6" width="63.140625" customWidth="1"/>
  </cols>
  <sheetData>
    <row r="1" spans="1:6" x14ac:dyDescent="0.25">
      <c r="A1" s="272" t="s">
        <v>264</v>
      </c>
      <c r="B1" s="273"/>
      <c r="C1" s="273"/>
      <c r="D1" s="273"/>
      <c r="E1" s="273"/>
      <c r="F1" s="273"/>
    </row>
    <row r="2" spans="1:6" x14ac:dyDescent="0.25">
      <c r="A2" s="274" t="s">
        <v>271</v>
      </c>
      <c r="B2" s="274"/>
      <c r="C2" s="274"/>
      <c r="D2" s="274"/>
      <c r="E2" s="274"/>
      <c r="F2" s="274"/>
    </row>
    <row r="3" spans="1:6" x14ac:dyDescent="0.25">
      <c r="A3" s="245"/>
      <c r="B3" s="245"/>
      <c r="C3" s="245"/>
      <c r="D3" s="245"/>
      <c r="E3" s="245"/>
      <c r="F3" s="245"/>
    </row>
    <row r="4" spans="1:6" x14ac:dyDescent="0.25">
      <c r="A4" s="275"/>
      <c r="B4" s="275"/>
      <c r="C4" s="275"/>
      <c r="D4" s="275"/>
      <c r="E4" s="275"/>
      <c r="F4" s="275"/>
    </row>
    <row r="5" spans="1:6" x14ac:dyDescent="0.25">
      <c r="A5" s="275" t="str">
        <f>'VIGILÂNCIA DES 44HRS SEG A SEX'!A1:D1</f>
        <v xml:space="preserve">MINISTERIO DO MEIO AMBIENTE E MUDANÇA DO CLIMA </v>
      </c>
      <c r="B5" s="275"/>
      <c r="C5" s="275"/>
      <c r="D5" s="275"/>
      <c r="E5" s="275"/>
      <c r="F5" s="275"/>
    </row>
    <row r="6" spans="1:6" x14ac:dyDescent="0.25">
      <c r="A6" s="275" t="str">
        <f>'VIGILÂNCIA DES 44HRS SEG A SEX'!A2:D2</f>
        <v xml:space="preserve">SUBSECRETARIA DE PLANEJAMENTO, ORÇAMENTO E ADMINISTRAÇÃO </v>
      </c>
      <c r="B6" s="275"/>
      <c r="C6" s="275"/>
      <c r="D6" s="275"/>
      <c r="E6" s="275"/>
      <c r="F6" s="275"/>
    </row>
    <row r="7" spans="1:6" x14ac:dyDescent="0.25">
      <c r="A7" s="280"/>
      <c r="B7" s="280"/>
      <c r="C7" s="280"/>
      <c r="D7" s="280"/>
      <c r="E7" s="280"/>
      <c r="F7" s="280"/>
    </row>
    <row r="8" spans="1:6" x14ac:dyDescent="0.25">
      <c r="A8" s="281" t="s">
        <v>180</v>
      </c>
      <c r="B8" s="282"/>
      <c r="C8" s="282"/>
      <c r="D8" s="282"/>
      <c r="E8" s="282"/>
      <c r="F8" s="283"/>
    </row>
    <row r="9" spans="1:6" x14ac:dyDescent="0.25">
      <c r="A9" s="284"/>
      <c r="B9" s="282"/>
      <c r="C9" s="282"/>
      <c r="D9" s="282"/>
      <c r="E9" s="282"/>
      <c r="F9" s="282"/>
    </row>
    <row r="10" spans="1:6" x14ac:dyDescent="0.25">
      <c r="A10" s="285" t="s">
        <v>181</v>
      </c>
      <c r="B10" s="286"/>
      <c r="C10" s="286"/>
      <c r="D10" s="286"/>
      <c r="E10" s="286"/>
      <c r="F10" s="287"/>
    </row>
    <row r="11" spans="1:6" x14ac:dyDescent="0.25">
      <c r="A11" s="288"/>
      <c r="B11" s="288"/>
      <c r="C11" s="288"/>
      <c r="D11" s="288"/>
      <c r="E11" s="288"/>
      <c r="F11" s="288"/>
    </row>
    <row r="12" spans="1:6" x14ac:dyDescent="0.25">
      <c r="A12" s="289" t="s">
        <v>182</v>
      </c>
      <c r="B12" s="282"/>
      <c r="C12" s="282"/>
      <c r="D12" s="282"/>
      <c r="E12" s="282"/>
      <c r="F12" s="283"/>
    </row>
    <row r="13" spans="1:6" x14ac:dyDescent="0.25">
      <c r="A13" s="290" t="s">
        <v>183</v>
      </c>
      <c r="B13" s="291"/>
      <c r="C13" s="291"/>
      <c r="D13" s="291"/>
      <c r="E13" s="292"/>
      <c r="F13" s="247">
        <f>RESUMO!I13</f>
        <v>377927.58</v>
      </c>
    </row>
    <row r="14" spans="1:6" x14ac:dyDescent="0.25">
      <c r="A14" s="290" t="s">
        <v>184</v>
      </c>
      <c r="B14" s="291"/>
      <c r="C14" s="291"/>
      <c r="D14" s="291"/>
      <c r="E14" s="292"/>
      <c r="F14" s="247">
        <f>RESUMO!I15</f>
        <v>4535130.96</v>
      </c>
    </row>
    <row r="15" spans="1:6" x14ac:dyDescent="0.25">
      <c r="A15" s="246"/>
      <c r="B15" s="246"/>
      <c r="C15" s="246"/>
      <c r="D15" s="246"/>
      <c r="E15" s="246"/>
      <c r="F15" s="246"/>
    </row>
    <row r="16" spans="1:6" x14ac:dyDescent="0.25">
      <c r="A16" s="289" t="s">
        <v>185</v>
      </c>
      <c r="B16" s="282"/>
      <c r="C16" s="282"/>
      <c r="D16" s="282"/>
      <c r="E16" s="282"/>
      <c r="F16" s="283"/>
    </row>
    <row r="17" spans="1:6" ht="22.5" customHeight="1" x14ac:dyDescent="0.25">
      <c r="A17" s="276" t="s">
        <v>186</v>
      </c>
      <c r="B17" s="277"/>
      <c r="C17" s="278" t="s">
        <v>187</v>
      </c>
      <c r="D17" s="279"/>
      <c r="E17" s="279"/>
      <c r="F17" s="277"/>
    </row>
    <row r="18" spans="1:6" x14ac:dyDescent="0.25">
      <c r="A18" s="276" t="s">
        <v>188</v>
      </c>
      <c r="B18" s="277"/>
      <c r="C18" s="278" t="s">
        <v>189</v>
      </c>
      <c r="D18" s="279"/>
      <c r="E18" s="279"/>
      <c r="F18" s="277"/>
    </row>
    <row r="19" spans="1:6" x14ac:dyDescent="0.25">
      <c r="A19" s="276" t="s">
        <v>190</v>
      </c>
      <c r="B19" s="277"/>
      <c r="C19" s="278" t="s">
        <v>191</v>
      </c>
      <c r="D19" s="279"/>
      <c r="E19" s="279"/>
      <c r="F19" s="277"/>
    </row>
    <row r="20" spans="1:6" x14ac:dyDescent="0.25">
      <c r="A20" s="276" t="s">
        <v>192</v>
      </c>
      <c r="B20" s="277"/>
      <c r="C20" s="293" t="s">
        <v>193</v>
      </c>
      <c r="D20" s="279"/>
      <c r="E20" s="279"/>
      <c r="F20" s="277"/>
    </row>
    <row r="21" spans="1:6" x14ac:dyDescent="0.25">
      <c r="A21" s="276" t="s">
        <v>194</v>
      </c>
      <c r="B21" s="277"/>
      <c r="C21" s="278" t="s">
        <v>195</v>
      </c>
      <c r="D21" s="279"/>
      <c r="E21" s="279"/>
      <c r="F21" s="277"/>
    </row>
    <row r="22" spans="1:6" x14ac:dyDescent="0.25">
      <c r="A22" s="276" t="s">
        <v>196</v>
      </c>
      <c r="B22" s="277"/>
      <c r="C22" s="278" t="s">
        <v>197</v>
      </c>
      <c r="D22" s="279"/>
      <c r="E22" s="279"/>
      <c r="F22" s="277"/>
    </row>
    <row r="23" spans="1:6" x14ac:dyDescent="0.25">
      <c r="A23" s="278" t="s">
        <v>198</v>
      </c>
      <c r="B23" s="279"/>
      <c r="C23" s="279"/>
      <c r="D23" s="279"/>
      <c r="E23" s="279"/>
      <c r="F23" s="277"/>
    </row>
    <row r="24" spans="1:6" x14ac:dyDescent="0.25">
      <c r="A24" s="276" t="s">
        <v>199</v>
      </c>
      <c r="B24" s="277"/>
      <c r="C24" s="278" t="s">
        <v>200</v>
      </c>
      <c r="D24" s="279"/>
      <c r="E24" s="279"/>
      <c r="F24" s="277"/>
    </row>
    <row r="25" spans="1:6" x14ac:dyDescent="0.25">
      <c r="A25" s="276" t="s">
        <v>201</v>
      </c>
      <c r="B25" s="277"/>
      <c r="C25" s="278" t="s">
        <v>202</v>
      </c>
      <c r="D25" s="279"/>
      <c r="E25" s="279"/>
      <c r="F25" s="277"/>
    </row>
    <row r="26" spans="1:6" x14ac:dyDescent="0.25">
      <c r="A26" s="276" t="s">
        <v>203</v>
      </c>
      <c r="B26" s="277"/>
      <c r="C26" s="278" t="s">
        <v>204</v>
      </c>
      <c r="D26" s="279"/>
      <c r="E26" s="279"/>
      <c r="F26" s="277"/>
    </row>
    <row r="27" spans="1:6" x14ac:dyDescent="0.25">
      <c r="A27" s="245"/>
      <c r="B27" s="297"/>
      <c r="C27" s="291"/>
      <c r="D27" s="291"/>
      <c r="E27" s="291"/>
      <c r="F27" s="291"/>
    </row>
    <row r="28" spans="1:6" x14ac:dyDescent="0.25">
      <c r="A28" s="289" t="s">
        <v>205</v>
      </c>
      <c r="B28" s="282"/>
      <c r="C28" s="282"/>
      <c r="D28" s="282"/>
      <c r="E28" s="282"/>
      <c r="F28" s="283"/>
    </row>
    <row r="29" spans="1:6" x14ac:dyDescent="0.25">
      <c r="A29" s="298" t="s">
        <v>206</v>
      </c>
      <c r="B29" s="295"/>
      <c r="C29" s="295"/>
      <c r="D29" s="295"/>
      <c r="E29" s="295"/>
      <c r="F29" s="296"/>
    </row>
    <row r="30" spans="1:6" x14ac:dyDescent="0.25">
      <c r="A30" s="294" t="s">
        <v>207</v>
      </c>
      <c r="B30" s="295"/>
      <c r="C30" s="295"/>
      <c r="D30" s="295"/>
      <c r="E30" s="295"/>
      <c r="F30" s="296"/>
    </row>
    <row r="31" spans="1:6" ht="30.75" customHeight="1" x14ac:dyDescent="0.25">
      <c r="A31" s="294" t="s">
        <v>208</v>
      </c>
      <c r="B31" s="295"/>
      <c r="C31" s="295"/>
      <c r="D31" s="295"/>
      <c r="E31" s="295"/>
      <c r="F31" s="296"/>
    </row>
    <row r="32" spans="1:6" ht="31.5" customHeight="1" x14ac:dyDescent="0.25">
      <c r="A32" s="294" t="s">
        <v>209</v>
      </c>
      <c r="B32" s="295"/>
      <c r="C32" s="295"/>
      <c r="D32" s="295"/>
      <c r="E32" s="295"/>
      <c r="F32" s="296"/>
    </row>
    <row r="33" spans="1:6" ht="43.5" customHeight="1" x14ac:dyDescent="0.25">
      <c r="A33" s="294" t="s">
        <v>210</v>
      </c>
      <c r="B33" s="295"/>
      <c r="C33" s="295"/>
      <c r="D33" s="295"/>
      <c r="E33" s="295"/>
      <c r="F33" s="296"/>
    </row>
    <row r="34" spans="1:6" ht="33" customHeight="1" x14ac:dyDescent="0.25">
      <c r="A34" s="294" t="s">
        <v>211</v>
      </c>
      <c r="B34" s="295"/>
      <c r="C34" s="295"/>
      <c r="D34" s="295"/>
      <c r="E34" s="295"/>
      <c r="F34" s="296"/>
    </row>
    <row r="35" spans="1:6" ht="50.25" customHeight="1" x14ac:dyDescent="0.25">
      <c r="A35" s="294" t="s">
        <v>212</v>
      </c>
      <c r="B35" s="295"/>
      <c r="C35" s="295"/>
      <c r="D35" s="295"/>
      <c r="E35" s="295"/>
      <c r="F35" s="296"/>
    </row>
    <row r="36" spans="1:6" ht="44.25" customHeight="1" x14ac:dyDescent="0.25">
      <c r="A36" s="294" t="s">
        <v>213</v>
      </c>
      <c r="B36" s="295"/>
      <c r="C36" s="295"/>
      <c r="D36" s="295"/>
      <c r="E36" s="295"/>
      <c r="F36" s="296"/>
    </row>
    <row r="37" spans="1:6" x14ac:dyDescent="0.25">
      <c r="A37" s="294" t="s">
        <v>214</v>
      </c>
      <c r="B37" s="295"/>
      <c r="C37" s="295"/>
      <c r="D37" s="295"/>
      <c r="E37" s="295"/>
      <c r="F37" s="296"/>
    </row>
    <row r="38" spans="1:6" x14ac:dyDescent="0.25">
      <c r="A38" s="294" t="s">
        <v>215</v>
      </c>
      <c r="B38" s="295"/>
      <c r="C38" s="295"/>
      <c r="D38" s="295"/>
      <c r="E38" s="295"/>
      <c r="F38" s="296"/>
    </row>
    <row r="39" spans="1:6" x14ac:dyDescent="0.25">
      <c r="A39" s="294" t="s">
        <v>216</v>
      </c>
      <c r="B39" s="295"/>
      <c r="C39" s="295"/>
      <c r="D39" s="295"/>
      <c r="E39" s="295"/>
      <c r="F39" s="302"/>
    </row>
    <row r="40" spans="1:6" ht="33" customHeight="1" x14ac:dyDescent="0.25">
      <c r="A40" s="303" t="s">
        <v>217</v>
      </c>
      <c r="B40" s="297"/>
      <c r="C40" s="297"/>
      <c r="D40" s="297"/>
      <c r="E40" s="297"/>
      <c r="F40" s="304"/>
    </row>
    <row r="41" spans="1:6" x14ac:dyDescent="0.25">
      <c r="A41" s="305" t="s">
        <v>218</v>
      </c>
      <c r="B41" s="306"/>
      <c r="C41" s="306"/>
      <c r="D41" s="306"/>
      <c r="E41" s="306"/>
      <c r="F41" s="307"/>
    </row>
    <row r="42" spans="1:6" ht="53.25" customHeight="1" x14ac:dyDescent="0.25">
      <c r="A42" s="303" t="s">
        <v>219</v>
      </c>
      <c r="B42" s="297"/>
      <c r="C42" s="297"/>
      <c r="D42" s="297"/>
      <c r="E42" s="297"/>
      <c r="F42" s="304"/>
    </row>
    <row r="43" spans="1:6" ht="335.25" customHeight="1" x14ac:dyDescent="0.25">
      <c r="A43" s="305" t="s">
        <v>220</v>
      </c>
      <c r="B43" s="306"/>
      <c r="C43" s="306"/>
      <c r="D43" s="306"/>
      <c r="E43" s="306"/>
      <c r="F43" s="307"/>
    </row>
    <row r="44" spans="1:6" x14ac:dyDescent="0.25">
      <c r="A44" s="303"/>
      <c r="B44" s="297"/>
      <c r="C44" s="297"/>
      <c r="D44" s="297"/>
      <c r="E44" s="297"/>
      <c r="F44" s="304"/>
    </row>
    <row r="45" spans="1:6" x14ac:dyDescent="0.25">
      <c r="A45" s="303"/>
      <c r="B45" s="297"/>
      <c r="C45" s="297"/>
      <c r="D45" s="297"/>
      <c r="E45" s="297"/>
      <c r="F45" s="304"/>
    </row>
    <row r="46" spans="1:6" x14ac:dyDescent="0.25">
      <c r="A46" s="248"/>
      <c r="B46" s="245"/>
      <c r="C46" s="245"/>
      <c r="D46" s="245"/>
      <c r="E46" s="245"/>
      <c r="F46" s="249"/>
    </row>
    <row r="47" spans="1:6" x14ac:dyDescent="0.25">
      <c r="A47" s="248"/>
      <c r="B47" s="245"/>
      <c r="C47" s="245"/>
      <c r="D47" s="245"/>
      <c r="E47" s="245"/>
      <c r="F47" s="249"/>
    </row>
    <row r="48" spans="1:6" x14ac:dyDescent="0.25">
      <c r="A48" s="248"/>
      <c r="B48" s="245"/>
      <c r="C48" s="245"/>
      <c r="D48" s="245"/>
      <c r="E48" s="245"/>
      <c r="F48" s="249"/>
    </row>
    <row r="49" spans="1:6" x14ac:dyDescent="0.25">
      <c r="A49" s="308" t="s">
        <v>187</v>
      </c>
      <c r="B49" s="291"/>
      <c r="C49" s="291"/>
      <c r="D49" s="291"/>
      <c r="E49" s="291"/>
      <c r="F49" s="309"/>
    </row>
    <row r="50" spans="1:6" x14ac:dyDescent="0.25">
      <c r="A50" s="310" t="s">
        <v>221</v>
      </c>
      <c r="B50" s="291"/>
      <c r="C50" s="291"/>
      <c r="D50" s="291"/>
      <c r="E50" s="291"/>
      <c r="F50" s="309"/>
    </row>
    <row r="51" spans="1:6" x14ac:dyDescent="0.25">
      <c r="A51" s="299" t="s">
        <v>270</v>
      </c>
      <c r="B51" s="300"/>
      <c r="C51" s="300"/>
      <c r="D51" s="300"/>
      <c r="E51" s="300"/>
      <c r="F51" s="301"/>
    </row>
  </sheetData>
  <mergeCells count="55">
    <mergeCell ref="A51:F51"/>
    <mergeCell ref="A37:F37"/>
    <mergeCell ref="A38:F38"/>
    <mergeCell ref="A39:F39"/>
    <mergeCell ref="A40:F40"/>
    <mergeCell ref="A41:F41"/>
    <mergeCell ref="A42:F42"/>
    <mergeCell ref="A43:F43"/>
    <mergeCell ref="A44:F44"/>
    <mergeCell ref="A45:F45"/>
    <mergeCell ref="A49:F49"/>
    <mergeCell ref="A50:F50"/>
    <mergeCell ref="A36:F36"/>
    <mergeCell ref="A26:B26"/>
    <mergeCell ref="C26:F26"/>
    <mergeCell ref="B27:F27"/>
    <mergeCell ref="A28:F28"/>
    <mergeCell ref="A29:F29"/>
    <mergeCell ref="A30:F30"/>
    <mergeCell ref="A31:F31"/>
    <mergeCell ref="A32:F32"/>
    <mergeCell ref="A33:F33"/>
    <mergeCell ref="A34:F34"/>
    <mergeCell ref="A35:F35"/>
    <mergeCell ref="A25:B25"/>
    <mergeCell ref="C25:F25"/>
    <mergeCell ref="A19:B19"/>
    <mergeCell ref="C19:F19"/>
    <mergeCell ref="A20:B20"/>
    <mergeCell ref="C20:F20"/>
    <mergeCell ref="A21:B21"/>
    <mergeCell ref="C21:F21"/>
    <mergeCell ref="A22:B22"/>
    <mergeCell ref="C22:F22"/>
    <mergeCell ref="A23:F23"/>
    <mergeCell ref="A24:B24"/>
    <mergeCell ref="C24:F24"/>
    <mergeCell ref="A18:B18"/>
    <mergeCell ref="C18:F18"/>
    <mergeCell ref="A7:F7"/>
    <mergeCell ref="A8:F8"/>
    <mergeCell ref="A9:F9"/>
    <mergeCell ref="A10:F10"/>
    <mergeCell ref="A11:F11"/>
    <mergeCell ref="A12:F12"/>
    <mergeCell ref="A13:E13"/>
    <mergeCell ref="A14:E14"/>
    <mergeCell ref="A16:F16"/>
    <mergeCell ref="A17:B17"/>
    <mergeCell ref="C17:F17"/>
    <mergeCell ref="A1:F1"/>
    <mergeCell ref="A2:F2"/>
    <mergeCell ref="A4:F4"/>
    <mergeCell ref="A5:F5"/>
    <mergeCell ref="A6:F6"/>
  </mergeCells>
  <hyperlinks>
    <hyperlink ref="C20" r:id="rId1" xr:uid="{B6EBF618-BBFE-4A88-8E71-D4941ED1B49C}"/>
  </hyperlinks>
  <pageMargins left="0.51181102362204722" right="0.51181102362204722" top="0.78740157480314965" bottom="0.78740157480314965" header="0.31496062992125984" footer="0.31496062992125984"/>
  <pageSetup paperSize="9" scale="58"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2"/>
  <sheetViews>
    <sheetView zoomScale="115" zoomScaleNormal="115" workbookViewId="0">
      <selection activeCell="H11" sqref="H11"/>
    </sheetView>
  </sheetViews>
  <sheetFormatPr defaultRowHeight="15" x14ac:dyDescent="0.25"/>
  <cols>
    <col min="2" max="2" width="52" customWidth="1"/>
    <col min="5" max="5" width="16.140625" customWidth="1"/>
    <col min="6" max="6" width="17.85546875" customWidth="1"/>
  </cols>
  <sheetData>
    <row r="1" spans="1:9" x14ac:dyDescent="0.25">
      <c r="A1" s="451" t="s">
        <v>238</v>
      </c>
      <c r="B1" s="451"/>
      <c r="C1" s="451"/>
      <c r="D1" s="451"/>
      <c r="E1" s="451"/>
      <c r="F1" s="451"/>
    </row>
    <row r="2" spans="1:9" x14ac:dyDescent="0.25">
      <c r="A2" s="206" t="s">
        <v>145</v>
      </c>
      <c r="B2" s="206" t="s">
        <v>178</v>
      </c>
      <c r="C2" s="206" t="s">
        <v>146</v>
      </c>
      <c r="D2" s="206" t="s">
        <v>147</v>
      </c>
      <c r="E2" s="207" t="s">
        <v>148</v>
      </c>
      <c r="F2" s="207" t="s">
        <v>149</v>
      </c>
      <c r="G2" s="102"/>
      <c r="H2" s="98"/>
      <c r="I2" s="98"/>
    </row>
    <row r="3" spans="1:9" x14ac:dyDescent="0.25">
      <c r="A3" s="208">
        <v>1</v>
      </c>
      <c r="B3" s="213" t="s">
        <v>232</v>
      </c>
      <c r="C3" s="208">
        <v>12</v>
      </c>
      <c r="D3" s="208">
        <v>1</v>
      </c>
      <c r="E3" s="209">
        <v>700</v>
      </c>
      <c r="F3" s="210">
        <f t="shared" ref="F3:F8" si="0">(E3*D3)/C3</f>
        <v>58.333333333333336</v>
      </c>
      <c r="G3" s="99"/>
    </row>
    <row r="4" spans="1:9" x14ac:dyDescent="0.25">
      <c r="A4" s="208">
        <v>2</v>
      </c>
      <c r="B4" s="213" t="s">
        <v>233</v>
      </c>
      <c r="C4" s="208">
        <v>12</v>
      </c>
      <c r="D4" s="208">
        <v>4</v>
      </c>
      <c r="E4" s="209">
        <v>11</v>
      </c>
      <c r="F4" s="210">
        <f t="shared" si="0"/>
        <v>3.6666666666666665</v>
      </c>
      <c r="G4" s="99"/>
    </row>
    <row r="5" spans="1:9" x14ac:dyDescent="0.25">
      <c r="A5" s="208">
        <v>3</v>
      </c>
      <c r="B5" s="212" t="s">
        <v>234</v>
      </c>
      <c r="C5" s="208">
        <v>12</v>
      </c>
      <c r="D5" s="208">
        <v>1</v>
      </c>
      <c r="E5" s="209">
        <v>38</v>
      </c>
      <c r="F5" s="210">
        <f t="shared" si="0"/>
        <v>3.1666666666666665</v>
      </c>
      <c r="G5" s="99"/>
      <c r="I5" s="100"/>
    </row>
    <row r="6" spans="1:9" x14ac:dyDescent="0.25">
      <c r="A6" s="208">
        <v>4</v>
      </c>
      <c r="B6" s="213" t="s">
        <v>235</v>
      </c>
      <c r="C6" s="208">
        <v>12</v>
      </c>
      <c r="D6" s="208">
        <v>4</v>
      </c>
      <c r="E6" s="209">
        <v>16</v>
      </c>
      <c r="F6" s="210">
        <f t="shared" si="0"/>
        <v>5.333333333333333</v>
      </c>
      <c r="G6" s="99"/>
    </row>
    <row r="7" spans="1:9" x14ac:dyDescent="0.25">
      <c r="A7" s="208">
        <v>5</v>
      </c>
      <c r="B7" s="213" t="s">
        <v>260</v>
      </c>
      <c r="C7" s="208">
        <v>120</v>
      </c>
      <c r="D7" s="208">
        <v>1</v>
      </c>
      <c r="E7" s="209">
        <v>900</v>
      </c>
      <c r="F7" s="210">
        <f t="shared" si="0"/>
        <v>7.5</v>
      </c>
      <c r="G7" s="99"/>
    </row>
    <row r="8" spans="1:9" ht="16.5" customHeight="1" x14ac:dyDescent="0.25">
      <c r="A8" s="208">
        <v>6</v>
      </c>
      <c r="B8" s="213" t="s">
        <v>236</v>
      </c>
      <c r="C8" s="208">
        <v>12</v>
      </c>
      <c r="D8" s="208">
        <v>1</v>
      </c>
      <c r="E8" s="209">
        <v>90</v>
      </c>
      <c r="F8" s="210">
        <f t="shared" si="0"/>
        <v>7.5</v>
      </c>
      <c r="G8" s="99"/>
    </row>
    <row r="9" spans="1:9" ht="41.25" customHeight="1" x14ac:dyDescent="0.25">
      <c r="A9" s="448" t="s">
        <v>237</v>
      </c>
      <c r="B9" s="449"/>
      <c r="C9" s="449"/>
      <c r="D9" s="449"/>
      <c r="E9" s="450"/>
      <c r="F9" s="254">
        <f>SUM(F3:F8)/4</f>
        <v>21.375</v>
      </c>
      <c r="G9" s="99"/>
    </row>
    <row r="10" spans="1:9" ht="41.25" customHeight="1" x14ac:dyDescent="0.25">
      <c r="A10" s="448" t="s">
        <v>239</v>
      </c>
      <c r="B10" s="449"/>
      <c r="C10" s="449"/>
      <c r="D10" s="449"/>
      <c r="E10" s="449"/>
      <c r="F10" s="450"/>
      <c r="G10" s="99"/>
    </row>
    <row r="11" spans="1:9" x14ac:dyDescent="0.25">
      <c r="A11" s="208">
        <v>1</v>
      </c>
      <c r="B11" s="213" t="s">
        <v>232</v>
      </c>
      <c r="C11" s="208">
        <v>12</v>
      </c>
      <c r="D11" s="208">
        <v>7</v>
      </c>
      <c r="E11" s="209">
        <v>700</v>
      </c>
      <c r="F11" s="210">
        <f t="shared" ref="F11:F23" si="1">(E11*D11)/C11</f>
        <v>408.33333333333331</v>
      </c>
      <c r="G11" s="99"/>
    </row>
    <row r="12" spans="1:9" x14ac:dyDescent="0.25">
      <c r="A12" s="208">
        <v>2</v>
      </c>
      <c r="B12" s="212" t="s">
        <v>240</v>
      </c>
      <c r="C12" s="208">
        <v>12</v>
      </c>
      <c r="D12" s="208">
        <v>28</v>
      </c>
      <c r="E12" s="209">
        <v>11</v>
      </c>
      <c r="F12" s="210">
        <f t="shared" si="1"/>
        <v>25.666666666666668</v>
      </c>
      <c r="G12" s="99"/>
    </row>
    <row r="13" spans="1:9" x14ac:dyDescent="0.25">
      <c r="A13" s="208">
        <v>3</v>
      </c>
      <c r="B13" s="212" t="s">
        <v>241</v>
      </c>
      <c r="C13" s="208">
        <v>12</v>
      </c>
      <c r="D13" s="208">
        <v>7</v>
      </c>
      <c r="E13" s="209">
        <v>200</v>
      </c>
      <c r="F13" s="210">
        <f t="shared" si="1"/>
        <v>116.66666666666667</v>
      </c>
      <c r="G13" s="99"/>
    </row>
    <row r="14" spans="1:9" x14ac:dyDescent="0.25">
      <c r="A14" s="208">
        <v>4</v>
      </c>
      <c r="B14" s="212" t="s">
        <v>242</v>
      </c>
      <c r="C14" s="208">
        <v>12</v>
      </c>
      <c r="D14" s="208">
        <v>7</v>
      </c>
      <c r="E14" s="209">
        <v>38</v>
      </c>
      <c r="F14" s="210">
        <f t="shared" si="1"/>
        <v>22.166666666666668</v>
      </c>
      <c r="G14" s="99"/>
    </row>
    <row r="15" spans="1:9" x14ac:dyDescent="0.25">
      <c r="A15" s="208">
        <v>5</v>
      </c>
      <c r="B15" s="212" t="s">
        <v>235</v>
      </c>
      <c r="C15" s="208">
        <v>12</v>
      </c>
      <c r="D15" s="208">
        <v>28</v>
      </c>
      <c r="E15" s="209">
        <v>16</v>
      </c>
      <c r="F15" s="210">
        <f t="shared" si="1"/>
        <v>37.333333333333336</v>
      </c>
      <c r="G15" s="99"/>
    </row>
    <row r="16" spans="1:9" x14ac:dyDescent="0.25">
      <c r="A16" s="208">
        <v>6</v>
      </c>
      <c r="B16" s="212" t="s">
        <v>243</v>
      </c>
      <c r="C16" s="208">
        <v>12</v>
      </c>
      <c r="D16" s="208">
        <v>7</v>
      </c>
      <c r="E16" s="209">
        <v>30</v>
      </c>
      <c r="F16" s="210">
        <f t="shared" si="1"/>
        <v>17.5</v>
      </c>
      <c r="G16" s="99"/>
    </row>
    <row r="17" spans="1:7" x14ac:dyDescent="0.25">
      <c r="A17" s="208">
        <v>7</v>
      </c>
      <c r="B17" s="212" t="s">
        <v>244</v>
      </c>
      <c r="C17" s="208">
        <v>120</v>
      </c>
      <c r="D17" s="208">
        <v>7</v>
      </c>
      <c r="E17" s="209">
        <v>900</v>
      </c>
      <c r="F17" s="210">
        <f t="shared" si="1"/>
        <v>52.5</v>
      </c>
      <c r="G17" s="99"/>
    </row>
    <row r="18" spans="1:7" x14ac:dyDescent="0.25">
      <c r="A18" s="208">
        <v>8</v>
      </c>
      <c r="B18" s="212" t="s">
        <v>245</v>
      </c>
      <c r="C18" s="208">
        <v>12</v>
      </c>
      <c r="D18" s="208">
        <v>28</v>
      </c>
      <c r="E18" s="209">
        <v>40</v>
      </c>
      <c r="F18" s="210">
        <f t="shared" si="1"/>
        <v>93.333333333333329</v>
      </c>
      <c r="G18" s="99"/>
    </row>
    <row r="19" spans="1:7" x14ac:dyDescent="0.25">
      <c r="A19" s="208">
        <v>9</v>
      </c>
      <c r="B19" s="212" t="s">
        <v>246</v>
      </c>
      <c r="C19" s="208">
        <v>60</v>
      </c>
      <c r="D19" s="208">
        <v>7</v>
      </c>
      <c r="E19" s="209">
        <v>200</v>
      </c>
      <c r="F19" s="210">
        <f t="shared" si="1"/>
        <v>23.333333333333332</v>
      </c>
      <c r="G19" s="99"/>
    </row>
    <row r="20" spans="1:7" x14ac:dyDescent="0.25">
      <c r="A20" s="208">
        <v>10</v>
      </c>
      <c r="B20" s="212" t="s">
        <v>258</v>
      </c>
      <c r="C20" s="208">
        <v>12</v>
      </c>
      <c r="D20" s="208">
        <v>28</v>
      </c>
      <c r="E20" s="209">
        <v>85</v>
      </c>
      <c r="F20" s="210">
        <f t="shared" si="1"/>
        <v>198.33333333333334</v>
      </c>
      <c r="G20" s="99"/>
    </row>
    <row r="21" spans="1:7" x14ac:dyDescent="0.25">
      <c r="A21" s="208">
        <v>11</v>
      </c>
      <c r="B21" s="212" t="s">
        <v>247</v>
      </c>
      <c r="C21" s="208">
        <v>12</v>
      </c>
      <c r="D21" s="208">
        <v>28</v>
      </c>
      <c r="E21" s="209">
        <v>14</v>
      </c>
      <c r="F21" s="210">
        <f t="shared" si="1"/>
        <v>32.666666666666664</v>
      </c>
      <c r="G21" s="99"/>
    </row>
    <row r="22" spans="1:7" x14ac:dyDescent="0.25">
      <c r="A22" s="208">
        <v>12</v>
      </c>
      <c r="B22" s="212" t="s">
        <v>248</v>
      </c>
      <c r="C22" s="208">
        <v>60</v>
      </c>
      <c r="D22" s="208">
        <v>7</v>
      </c>
      <c r="E22" s="209">
        <v>400</v>
      </c>
      <c r="F22" s="210">
        <f t="shared" si="1"/>
        <v>46.666666666666664</v>
      </c>
      <c r="G22" s="99"/>
    </row>
    <row r="23" spans="1:7" x14ac:dyDescent="0.25">
      <c r="A23" s="208">
        <v>13</v>
      </c>
      <c r="B23" s="212" t="s">
        <v>236</v>
      </c>
      <c r="C23" s="208">
        <v>12</v>
      </c>
      <c r="D23" s="208">
        <v>7</v>
      </c>
      <c r="E23" s="209">
        <v>90</v>
      </c>
      <c r="F23" s="210">
        <f t="shared" si="1"/>
        <v>52.5</v>
      </c>
      <c r="G23" s="99"/>
    </row>
    <row r="24" spans="1:7" x14ac:dyDescent="0.25">
      <c r="A24" s="448" t="s">
        <v>237</v>
      </c>
      <c r="B24" s="449"/>
      <c r="C24" s="449"/>
      <c r="D24" s="449"/>
      <c r="E24" s="450"/>
      <c r="F24" s="254">
        <f>SUM(F11:F23)/28</f>
        <v>40.250000000000007</v>
      </c>
      <c r="G24" s="99"/>
    </row>
    <row r="25" spans="1:7" x14ac:dyDescent="0.25">
      <c r="A25" s="448" t="s">
        <v>249</v>
      </c>
      <c r="B25" s="449"/>
      <c r="C25" s="449"/>
      <c r="D25" s="449"/>
      <c r="E25" s="449"/>
      <c r="F25" s="450"/>
      <c r="G25" s="99"/>
    </row>
    <row r="26" spans="1:7" x14ac:dyDescent="0.25">
      <c r="A26" s="208">
        <v>1</v>
      </c>
      <c r="B26" s="252" t="s">
        <v>250</v>
      </c>
      <c r="C26" s="208">
        <v>12</v>
      </c>
      <c r="D26" s="208">
        <v>7</v>
      </c>
      <c r="E26" s="209">
        <v>700</v>
      </c>
      <c r="F26" s="210">
        <f>(E26*D26)/C26</f>
        <v>408.33333333333331</v>
      </c>
      <c r="G26" s="99"/>
    </row>
    <row r="27" spans="1:7" x14ac:dyDescent="0.25">
      <c r="A27" s="208">
        <v>2</v>
      </c>
      <c r="B27" s="252" t="s">
        <v>240</v>
      </c>
      <c r="C27" s="208">
        <v>12</v>
      </c>
      <c r="D27" s="208">
        <v>13</v>
      </c>
      <c r="E27" s="209">
        <v>5</v>
      </c>
      <c r="F27" s="210">
        <f>(E27*D27)/C27</f>
        <v>5.416666666666667</v>
      </c>
      <c r="G27" s="99"/>
    </row>
    <row r="28" spans="1:7" x14ac:dyDescent="0.25">
      <c r="A28" s="208">
        <v>3</v>
      </c>
      <c r="B28" s="252" t="s">
        <v>241</v>
      </c>
      <c r="C28" s="208">
        <v>12</v>
      </c>
      <c r="D28" s="208">
        <v>7</v>
      </c>
      <c r="E28" s="209">
        <v>200</v>
      </c>
      <c r="F28" s="210">
        <f>(E28*D28)/C28</f>
        <v>116.66666666666667</v>
      </c>
      <c r="G28" s="99"/>
    </row>
    <row r="29" spans="1:7" x14ac:dyDescent="0.25">
      <c r="A29" s="208">
        <v>4</v>
      </c>
      <c r="B29" s="252" t="s">
        <v>242</v>
      </c>
      <c r="C29" s="208">
        <v>12</v>
      </c>
      <c r="D29" s="208">
        <v>7</v>
      </c>
      <c r="E29" s="209">
        <v>38</v>
      </c>
      <c r="F29" s="210">
        <f t="shared" ref="F29:F35" si="2">(E29*D29)/C29</f>
        <v>22.166666666666668</v>
      </c>
      <c r="G29" s="99"/>
    </row>
    <row r="30" spans="1:7" x14ac:dyDescent="0.25">
      <c r="A30" s="208">
        <v>5</v>
      </c>
      <c r="B30" s="252" t="s">
        <v>235</v>
      </c>
      <c r="C30" s="208">
        <v>12</v>
      </c>
      <c r="D30" s="208">
        <v>13</v>
      </c>
      <c r="E30" s="209">
        <v>16</v>
      </c>
      <c r="F30" s="210">
        <f t="shared" si="2"/>
        <v>17.333333333333332</v>
      </c>
      <c r="G30" s="99"/>
    </row>
    <row r="31" spans="1:7" x14ac:dyDescent="0.25">
      <c r="A31" s="208">
        <v>6</v>
      </c>
      <c r="B31" s="252" t="s">
        <v>236</v>
      </c>
      <c r="C31" s="208">
        <v>12</v>
      </c>
      <c r="D31" s="208">
        <v>7</v>
      </c>
      <c r="E31" s="209">
        <v>90</v>
      </c>
      <c r="F31" s="210">
        <f t="shared" si="2"/>
        <v>52.5</v>
      </c>
      <c r="G31" s="99"/>
    </row>
    <row r="32" spans="1:7" x14ac:dyDescent="0.25">
      <c r="A32" s="208">
        <v>7</v>
      </c>
      <c r="B32" s="252" t="s">
        <v>243</v>
      </c>
      <c r="C32" s="208">
        <v>12</v>
      </c>
      <c r="D32" s="208">
        <v>7</v>
      </c>
      <c r="E32" s="209">
        <v>35</v>
      </c>
      <c r="F32" s="210">
        <f t="shared" si="2"/>
        <v>20.416666666666668</v>
      </c>
      <c r="G32" s="99"/>
    </row>
    <row r="33" spans="1:10" x14ac:dyDescent="0.25">
      <c r="A33" s="208">
        <v>8</v>
      </c>
      <c r="B33" s="252" t="s">
        <v>248</v>
      </c>
      <c r="C33" s="208">
        <v>12</v>
      </c>
      <c r="D33" s="208">
        <v>7</v>
      </c>
      <c r="E33" s="209">
        <v>400</v>
      </c>
      <c r="F33" s="210">
        <f t="shared" si="2"/>
        <v>233.33333333333334</v>
      </c>
      <c r="G33" s="99"/>
    </row>
    <row r="34" spans="1:10" x14ac:dyDescent="0.25">
      <c r="A34" s="208">
        <v>9</v>
      </c>
      <c r="B34" s="252" t="s">
        <v>247</v>
      </c>
      <c r="C34" s="208">
        <v>12</v>
      </c>
      <c r="D34" s="208">
        <v>13</v>
      </c>
      <c r="E34" s="209">
        <v>14</v>
      </c>
      <c r="F34" s="210">
        <f t="shared" si="2"/>
        <v>15.166666666666666</v>
      </c>
      <c r="G34" s="99"/>
    </row>
    <row r="35" spans="1:10" x14ac:dyDescent="0.25">
      <c r="A35" s="208">
        <v>10</v>
      </c>
      <c r="B35" s="252" t="s">
        <v>245</v>
      </c>
      <c r="C35" s="208">
        <v>12</v>
      </c>
      <c r="D35" s="208">
        <v>13</v>
      </c>
      <c r="E35" s="209">
        <v>40</v>
      </c>
      <c r="F35" s="210">
        <f t="shared" si="2"/>
        <v>43.333333333333336</v>
      </c>
      <c r="G35" s="99"/>
    </row>
    <row r="36" spans="1:10" ht="15" customHeight="1" x14ac:dyDescent="0.25">
      <c r="A36" s="452" t="s">
        <v>161</v>
      </c>
      <c r="B36" s="452"/>
      <c r="C36" s="452"/>
      <c r="D36" s="452"/>
      <c r="E36" s="452"/>
      <c r="F36" s="257">
        <f>SUM(F26:F35)/13</f>
        <v>71.897435897435898</v>
      </c>
      <c r="G36" s="99"/>
    </row>
    <row r="37" spans="1:10" ht="15" customHeight="1" x14ac:dyDescent="0.25">
      <c r="A37" s="448" t="s">
        <v>251</v>
      </c>
      <c r="B37" s="449"/>
      <c r="C37" s="449"/>
      <c r="D37" s="449"/>
      <c r="E37" s="449"/>
      <c r="F37" s="450"/>
      <c r="G37" s="99"/>
    </row>
    <row r="38" spans="1:10" ht="15" customHeight="1" x14ac:dyDescent="0.25">
      <c r="A38" s="208">
        <v>1</v>
      </c>
      <c r="B38" s="252" t="s">
        <v>252</v>
      </c>
      <c r="C38" s="253">
        <v>60</v>
      </c>
      <c r="D38" s="208">
        <v>1</v>
      </c>
      <c r="E38" s="255">
        <v>1660</v>
      </c>
      <c r="F38" s="256">
        <f>E38/C38</f>
        <v>27.666666666666668</v>
      </c>
      <c r="G38" s="99"/>
    </row>
    <row r="39" spans="1:10" ht="15" customHeight="1" x14ac:dyDescent="0.25">
      <c r="A39" s="208">
        <v>2</v>
      </c>
      <c r="B39" s="252" t="s">
        <v>253</v>
      </c>
      <c r="C39" s="253">
        <v>1</v>
      </c>
      <c r="D39" s="208">
        <v>23</v>
      </c>
      <c r="E39" s="255">
        <v>13.9</v>
      </c>
      <c r="F39" s="256">
        <f>E39*D39</f>
        <v>319.7</v>
      </c>
      <c r="G39" s="99"/>
    </row>
    <row r="40" spans="1:10" ht="15" customHeight="1" x14ac:dyDescent="0.25">
      <c r="A40" s="208">
        <v>3</v>
      </c>
      <c r="B40" s="252" t="s">
        <v>254</v>
      </c>
      <c r="C40" s="253">
        <v>1</v>
      </c>
      <c r="D40" s="208">
        <v>23</v>
      </c>
      <c r="E40" s="255">
        <v>1.5</v>
      </c>
      <c r="F40" s="256">
        <f>E40*D40</f>
        <v>34.5</v>
      </c>
      <c r="G40" s="99"/>
    </row>
    <row r="41" spans="1:10" ht="15" customHeight="1" x14ac:dyDescent="0.25">
      <c r="A41" s="208">
        <v>4</v>
      </c>
      <c r="B41" s="252" t="s">
        <v>255</v>
      </c>
      <c r="C41" s="253">
        <v>12</v>
      </c>
      <c r="D41" s="208">
        <v>45</v>
      </c>
      <c r="E41" s="255">
        <v>5</v>
      </c>
      <c r="F41" s="256">
        <f>E41*D41</f>
        <v>225</v>
      </c>
      <c r="G41" s="99"/>
    </row>
    <row r="42" spans="1:10" x14ac:dyDescent="0.25">
      <c r="A42" s="208">
        <v>5</v>
      </c>
      <c r="B42" s="252" t="s">
        <v>259</v>
      </c>
      <c r="C42" s="253">
        <v>60</v>
      </c>
      <c r="D42" s="208">
        <v>1</v>
      </c>
      <c r="E42" s="255">
        <v>600</v>
      </c>
      <c r="F42" s="210">
        <f>E42/C42</f>
        <v>10</v>
      </c>
      <c r="G42" s="99"/>
    </row>
    <row r="43" spans="1:10" x14ac:dyDescent="0.25">
      <c r="A43" s="447" t="s">
        <v>237</v>
      </c>
      <c r="B43" s="447"/>
      <c r="C43" s="447"/>
      <c r="D43" s="447"/>
      <c r="E43" s="447"/>
      <c r="F43" s="211">
        <f>SUM(F38:F42)</f>
        <v>616.86666666666667</v>
      </c>
      <c r="G43" s="99"/>
      <c r="I43" s="100"/>
      <c r="J43" s="100"/>
    </row>
    <row r="44" spans="1:10" x14ac:dyDescent="0.25">
      <c r="A44" s="447"/>
      <c r="B44" s="447"/>
      <c r="C44" s="447"/>
      <c r="D44" s="447"/>
      <c r="E44" s="447"/>
      <c r="F44" s="211">
        <f>F43/45</f>
        <v>13.708148148148148</v>
      </c>
    </row>
    <row r="49" spans="2:6" ht="15.75" x14ac:dyDescent="0.25">
      <c r="B49" s="101"/>
      <c r="C49" s="101"/>
      <c r="D49" s="101"/>
      <c r="E49" s="101"/>
      <c r="F49" s="101"/>
    </row>
    <row r="50" spans="2:6" ht="15.75" x14ac:dyDescent="0.25">
      <c r="B50" s="101"/>
      <c r="C50" s="101"/>
      <c r="D50" s="101"/>
      <c r="E50" s="101"/>
      <c r="F50" s="101"/>
    </row>
    <row r="51" spans="2:6" ht="15.75" x14ac:dyDescent="0.25">
      <c r="B51" s="101"/>
      <c r="C51" s="101"/>
      <c r="D51" s="101"/>
      <c r="E51" s="101"/>
      <c r="F51" s="101"/>
    </row>
    <row r="52" spans="2:6" ht="15.75" x14ac:dyDescent="0.25">
      <c r="B52" s="101"/>
      <c r="C52" s="101"/>
      <c r="D52" s="101"/>
      <c r="E52" s="101"/>
      <c r="F52" s="101"/>
    </row>
    <row r="53" spans="2:6" ht="15.75" x14ac:dyDescent="0.25">
      <c r="B53" s="101"/>
      <c r="C53" s="101"/>
      <c r="D53" s="101"/>
      <c r="E53" s="101"/>
      <c r="F53" s="101"/>
    </row>
    <row r="54" spans="2:6" ht="15.75" x14ac:dyDescent="0.25">
      <c r="B54" s="101"/>
      <c r="C54" s="101"/>
      <c r="D54" s="101"/>
      <c r="E54" s="101"/>
      <c r="F54" s="101"/>
    </row>
    <row r="55" spans="2:6" ht="15.75" x14ac:dyDescent="0.25">
      <c r="B55" s="101"/>
      <c r="C55" s="101"/>
      <c r="D55" s="101"/>
      <c r="E55" s="101"/>
      <c r="F55" s="101"/>
    </row>
    <row r="56" spans="2:6" ht="15.75" x14ac:dyDescent="0.25">
      <c r="B56" s="101"/>
      <c r="C56" s="101"/>
      <c r="D56" s="101"/>
      <c r="E56" s="101"/>
      <c r="F56" s="101"/>
    </row>
    <row r="57" spans="2:6" ht="15.75" x14ac:dyDescent="0.25">
      <c r="B57" s="101"/>
      <c r="C57" s="101"/>
      <c r="D57" s="101"/>
      <c r="E57" s="101"/>
      <c r="F57" s="101"/>
    </row>
    <row r="58" spans="2:6" ht="15.75" x14ac:dyDescent="0.25">
      <c r="B58" s="101"/>
      <c r="C58" s="101"/>
      <c r="D58" s="101"/>
      <c r="E58" s="101"/>
      <c r="F58" s="101"/>
    </row>
    <row r="59" spans="2:6" ht="15.75" x14ac:dyDescent="0.25">
      <c r="B59" s="101"/>
      <c r="C59" s="101"/>
      <c r="D59" s="101"/>
      <c r="E59" s="101"/>
      <c r="F59" s="101"/>
    </row>
    <row r="60" spans="2:6" ht="15.75" x14ac:dyDescent="0.25">
      <c r="B60" s="101"/>
      <c r="C60" s="101"/>
      <c r="D60" s="101"/>
      <c r="E60" s="101"/>
      <c r="F60" s="101"/>
    </row>
    <row r="61" spans="2:6" ht="15.75" x14ac:dyDescent="0.25">
      <c r="B61" s="101"/>
      <c r="C61" s="101"/>
      <c r="D61" s="101"/>
      <c r="E61" s="101"/>
      <c r="F61" s="101"/>
    </row>
    <row r="62" spans="2:6" ht="15.75" x14ac:dyDescent="0.25">
      <c r="B62" s="101"/>
      <c r="C62" s="101"/>
      <c r="D62" s="101"/>
      <c r="E62" s="101"/>
      <c r="F62" s="101"/>
    </row>
  </sheetData>
  <mergeCells count="9">
    <mergeCell ref="A43:E43"/>
    <mergeCell ref="A44:E44"/>
    <mergeCell ref="A9:E9"/>
    <mergeCell ref="A1:F1"/>
    <mergeCell ref="A10:F10"/>
    <mergeCell ref="A24:E24"/>
    <mergeCell ref="A25:F25"/>
    <mergeCell ref="A36:E36"/>
    <mergeCell ref="A37:F37"/>
  </mergeCells>
  <pageMargins left="0.51181102362204722" right="0.51181102362204722" top="0.78740157480314965" bottom="0.78740157480314965"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0"/>
  <sheetViews>
    <sheetView workbookViewId="0">
      <selection sqref="A1:G20"/>
    </sheetView>
  </sheetViews>
  <sheetFormatPr defaultRowHeight="12.75" x14ac:dyDescent="0.2"/>
  <cols>
    <col min="1" max="1" width="9.140625" style="218"/>
    <col min="2" max="2" width="59.140625" style="103" customWidth="1"/>
    <col min="3" max="3" width="9.28515625" style="239" bestFit="1" customWidth="1"/>
    <col min="4" max="4" width="9" style="239" bestFit="1" customWidth="1"/>
    <col min="5" max="5" width="17" style="239" customWidth="1"/>
    <col min="6" max="6" width="20" style="103" customWidth="1"/>
    <col min="7" max="7" width="17.7109375" style="103" customWidth="1"/>
    <col min="8" max="16384" width="9.140625" style="103"/>
  </cols>
  <sheetData>
    <row r="1" spans="1:7" ht="28.5" customHeight="1" x14ac:dyDescent="0.2">
      <c r="B1" s="455" t="s">
        <v>256</v>
      </c>
      <c r="C1" s="455"/>
      <c r="D1" s="455"/>
      <c r="E1" s="455"/>
      <c r="F1" s="455"/>
      <c r="G1" s="455"/>
    </row>
    <row r="2" spans="1:7" ht="25.5" x14ac:dyDescent="0.2">
      <c r="A2" s="240" t="s">
        <v>145</v>
      </c>
      <c r="B2" s="220" t="s">
        <v>150</v>
      </c>
      <c r="C2" s="221" t="s">
        <v>151</v>
      </c>
      <c r="D2" s="222" t="s">
        <v>162</v>
      </c>
      <c r="E2" s="222" t="s">
        <v>152</v>
      </c>
      <c r="F2" s="223" t="s">
        <v>160</v>
      </c>
      <c r="G2" s="223" t="s">
        <v>161</v>
      </c>
    </row>
    <row r="3" spans="1:7" x14ac:dyDescent="0.2">
      <c r="A3" s="224">
        <v>1</v>
      </c>
      <c r="B3" s="214" t="s">
        <v>153</v>
      </c>
      <c r="C3" s="225" t="s">
        <v>154</v>
      </c>
      <c r="D3" s="226">
        <v>6</v>
      </c>
      <c r="E3" s="226">
        <v>2</v>
      </c>
      <c r="F3" s="227">
        <v>50</v>
      </c>
      <c r="G3" s="227">
        <f t="shared" ref="G3:G9" si="0">(F3*E3)/D3</f>
        <v>16.666666666666668</v>
      </c>
    </row>
    <row r="4" spans="1:7" ht="25.5" x14ac:dyDescent="0.2">
      <c r="A4" s="224">
        <v>2</v>
      </c>
      <c r="B4" s="214" t="s">
        <v>261</v>
      </c>
      <c r="C4" s="225" t="s">
        <v>154</v>
      </c>
      <c r="D4" s="226">
        <v>6</v>
      </c>
      <c r="E4" s="226">
        <v>2</v>
      </c>
      <c r="F4" s="227">
        <v>44.97</v>
      </c>
      <c r="G4" s="227">
        <f t="shared" si="0"/>
        <v>14.99</v>
      </c>
    </row>
    <row r="5" spans="1:7" x14ac:dyDescent="0.2">
      <c r="A5" s="224">
        <v>3</v>
      </c>
      <c r="B5" s="214" t="s">
        <v>155</v>
      </c>
      <c r="C5" s="225" t="s">
        <v>154</v>
      </c>
      <c r="D5" s="226">
        <v>12</v>
      </c>
      <c r="E5" s="226">
        <v>2</v>
      </c>
      <c r="F5" s="227">
        <v>13</v>
      </c>
      <c r="G5" s="227">
        <f t="shared" si="0"/>
        <v>2.1666666666666665</v>
      </c>
    </row>
    <row r="6" spans="1:7" x14ac:dyDescent="0.2">
      <c r="A6" s="224">
        <v>4</v>
      </c>
      <c r="B6" s="214" t="s">
        <v>156</v>
      </c>
      <c r="C6" s="225" t="s">
        <v>157</v>
      </c>
      <c r="D6" s="226">
        <v>6</v>
      </c>
      <c r="E6" s="226">
        <v>3</v>
      </c>
      <c r="F6" s="227">
        <v>5</v>
      </c>
      <c r="G6" s="227">
        <f t="shared" si="0"/>
        <v>2.5</v>
      </c>
    </row>
    <row r="7" spans="1:7" x14ac:dyDescent="0.2">
      <c r="A7" s="224">
        <v>5</v>
      </c>
      <c r="B7" s="214" t="s">
        <v>158</v>
      </c>
      <c r="C7" s="225" t="s">
        <v>157</v>
      </c>
      <c r="D7" s="226">
        <v>12</v>
      </c>
      <c r="E7" s="226">
        <v>1</v>
      </c>
      <c r="F7" s="227">
        <v>40</v>
      </c>
      <c r="G7" s="227">
        <f t="shared" si="0"/>
        <v>3.3333333333333335</v>
      </c>
    </row>
    <row r="8" spans="1:7" x14ac:dyDescent="0.2">
      <c r="A8" s="224">
        <v>6</v>
      </c>
      <c r="B8" s="215" t="s">
        <v>176</v>
      </c>
      <c r="C8" s="225" t="s">
        <v>154</v>
      </c>
      <c r="D8" s="226">
        <v>12</v>
      </c>
      <c r="E8" s="226">
        <v>1</v>
      </c>
      <c r="F8" s="227">
        <v>5</v>
      </c>
      <c r="G8" s="227">
        <f t="shared" si="0"/>
        <v>0.41666666666666669</v>
      </c>
    </row>
    <row r="9" spans="1:7" x14ac:dyDescent="0.2">
      <c r="A9" s="224">
        <v>7</v>
      </c>
      <c r="B9" s="214" t="s">
        <v>159</v>
      </c>
      <c r="C9" s="225" t="s">
        <v>154</v>
      </c>
      <c r="D9" s="226">
        <v>12</v>
      </c>
      <c r="E9" s="226">
        <v>2</v>
      </c>
      <c r="F9" s="227">
        <v>40</v>
      </c>
      <c r="G9" s="227">
        <f t="shared" si="0"/>
        <v>6.666666666666667</v>
      </c>
    </row>
    <row r="10" spans="1:7" ht="15.75" customHeight="1" x14ac:dyDescent="0.2">
      <c r="A10" s="219"/>
      <c r="B10" s="453" t="s">
        <v>168</v>
      </c>
      <c r="C10" s="453"/>
      <c r="D10" s="453"/>
      <c r="E10" s="453"/>
      <c r="F10" s="229"/>
      <c r="G10" s="230">
        <f>SUM(G3:G9)</f>
        <v>46.739999999999995</v>
      </c>
    </row>
    <row r="11" spans="1:7" x14ac:dyDescent="0.2">
      <c r="B11" s="231"/>
      <c r="C11" s="231"/>
      <c r="D11" s="231"/>
      <c r="E11" s="231"/>
      <c r="G11" s="232"/>
    </row>
    <row r="12" spans="1:7" x14ac:dyDescent="0.2">
      <c r="B12" s="454" t="s">
        <v>257</v>
      </c>
      <c r="C12" s="454"/>
      <c r="D12" s="454"/>
      <c r="E12" s="454"/>
      <c r="F12" s="454"/>
      <c r="G12" s="454"/>
    </row>
    <row r="13" spans="1:7" ht="25.5" x14ac:dyDescent="0.2">
      <c r="A13" s="240" t="s">
        <v>145</v>
      </c>
      <c r="B13" s="223" t="s">
        <v>150</v>
      </c>
      <c r="C13" s="223" t="s">
        <v>151</v>
      </c>
      <c r="D13" s="223" t="s">
        <v>162</v>
      </c>
      <c r="E13" s="223" t="s">
        <v>163</v>
      </c>
      <c r="F13" s="223" t="s">
        <v>160</v>
      </c>
      <c r="G13" s="223" t="s">
        <v>161</v>
      </c>
    </row>
    <row r="14" spans="1:7" ht="38.25" x14ac:dyDescent="0.2">
      <c r="A14" s="233">
        <v>1</v>
      </c>
      <c r="B14" s="216" t="s">
        <v>262</v>
      </c>
      <c r="C14" s="234" t="s">
        <v>154</v>
      </c>
      <c r="D14" s="233">
        <v>12</v>
      </c>
      <c r="E14" s="235">
        <v>4</v>
      </c>
      <c r="F14" s="236">
        <v>333</v>
      </c>
      <c r="G14" s="236">
        <f>(F14*E14)/D14</f>
        <v>111</v>
      </c>
    </row>
    <row r="15" spans="1:7" x14ac:dyDescent="0.2">
      <c r="A15" s="224">
        <v>2</v>
      </c>
      <c r="B15" s="217" t="s">
        <v>164</v>
      </c>
      <c r="C15" s="228" t="s">
        <v>154</v>
      </c>
      <c r="D15" s="224">
        <v>12</v>
      </c>
      <c r="E15" s="237">
        <v>4</v>
      </c>
      <c r="F15" s="227">
        <v>15.9</v>
      </c>
      <c r="G15" s="227">
        <f t="shared" ref="G15:G18" si="1">(F15*E15)/D15</f>
        <v>5.3</v>
      </c>
    </row>
    <row r="16" spans="1:7" x14ac:dyDescent="0.2">
      <c r="A16" s="224">
        <v>3</v>
      </c>
      <c r="B16" s="217" t="s">
        <v>165</v>
      </c>
      <c r="C16" s="228" t="s">
        <v>154</v>
      </c>
      <c r="D16" s="224">
        <v>12</v>
      </c>
      <c r="E16" s="237">
        <v>8</v>
      </c>
      <c r="F16" s="227">
        <v>68</v>
      </c>
      <c r="G16" s="227">
        <f t="shared" si="1"/>
        <v>45.333333333333336</v>
      </c>
    </row>
    <row r="17" spans="1:7" x14ac:dyDescent="0.2">
      <c r="A17" s="224">
        <v>4</v>
      </c>
      <c r="B17" s="217" t="s">
        <v>166</v>
      </c>
      <c r="C17" s="228" t="s">
        <v>157</v>
      </c>
      <c r="D17" s="224">
        <v>6</v>
      </c>
      <c r="E17" s="237">
        <v>1</v>
      </c>
      <c r="F17" s="227">
        <v>3.9</v>
      </c>
      <c r="G17" s="227">
        <f t="shared" si="1"/>
        <v>0.65</v>
      </c>
    </row>
    <row r="18" spans="1:7" x14ac:dyDescent="0.2">
      <c r="A18" s="224">
        <v>5</v>
      </c>
      <c r="B18" s="217" t="s">
        <v>167</v>
      </c>
      <c r="C18" s="228" t="s">
        <v>154</v>
      </c>
      <c r="D18" s="224">
        <v>12</v>
      </c>
      <c r="E18" s="237">
        <v>2</v>
      </c>
      <c r="F18" s="227">
        <v>20</v>
      </c>
      <c r="G18" s="227">
        <f t="shared" si="1"/>
        <v>3.3333333333333335</v>
      </c>
    </row>
    <row r="19" spans="1:7" x14ac:dyDescent="0.2">
      <c r="A19" s="224">
        <v>6</v>
      </c>
      <c r="B19" s="217" t="s">
        <v>169</v>
      </c>
      <c r="C19" s="228" t="s">
        <v>157</v>
      </c>
      <c r="D19" s="224">
        <v>6</v>
      </c>
      <c r="E19" s="237">
        <v>2</v>
      </c>
      <c r="F19" s="227">
        <v>55</v>
      </c>
      <c r="G19" s="227">
        <f>(F19*E19)/D19</f>
        <v>18.333333333333332</v>
      </c>
    </row>
    <row r="20" spans="1:7" ht="15" customHeight="1" x14ac:dyDescent="0.2">
      <c r="A20" s="456" t="s">
        <v>168</v>
      </c>
      <c r="B20" s="457"/>
      <c r="C20" s="457"/>
      <c r="D20" s="457"/>
      <c r="E20" s="458"/>
      <c r="F20" s="229"/>
      <c r="G20" s="238">
        <f>SUM(G14:G19)</f>
        <v>183.95000000000002</v>
      </c>
    </row>
  </sheetData>
  <mergeCells count="4">
    <mergeCell ref="B10:E10"/>
    <mergeCell ref="B12:G12"/>
    <mergeCell ref="B1:G1"/>
    <mergeCell ref="A20:E20"/>
  </mergeCells>
  <pageMargins left="0.51181102362204722" right="0.51181102362204722" top="0.78740157480314965" bottom="0.78740157480314965"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zoomScaleNormal="100" workbookViewId="0">
      <selection activeCell="E25" sqref="E25"/>
    </sheetView>
  </sheetViews>
  <sheetFormatPr defaultRowHeight="12.75" x14ac:dyDescent="0.2"/>
  <cols>
    <col min="1" max="1" width="10.85546875" style="103" customWidth="1"/>
    <col min="2" max="2" width="86.85546875" style="103" customWidth="1"/>
    <col min="3" max="3" width="16" style="103" bestFit="1" customWidth="1"/>
    <col min="4" max="4" width="16.5703125" style="103" customWidth="1"/>
    <col min="5" max="5" width="19.42578125" style="103" customWidth="1"/>
    <col min="6" max="6" width="10.85546875" style="103" customWidth="1"/>
    <col min="7" max="7" width="14" style="103" customWidth="1"/>
    <col min="8" max="8" width="36.140625" style="103" hidden="1" customWidth="1"/>
    <col min="9" max="9" width="19.28515625" style="103" customWidth="1"/>
    <col min="10" max="10" width="9.140625" style="103"/>
    <col min="11" max="11" width="10.140625" style="103" customWidth="1"/>
    <col min="12" max="16384" width="9.140625" style="103"/>
  </cols>
  <sheetData>
    <row r="1" spans="1:15" ht="15" customHeight="1" x14ac:dyDescent="0.2">
      <c r="A1" s="322" t="str">
        <f>'VIGILÂNCIA DES 44HRS SEG A SEX'!A1:D1</f>
        <v xml:space="preserve">MINISTERIO DO MEIO AMBIENTE E MUDANÇA DO CLIMA </v>
      </c>
      <c r="B1" s="323"/>
      <c r="C1" s="323"/>
      <c r="D1" s="323"/>
      <c r="E1" s="323"/>
      <c r="F1" s="323"/>
      <c r="G1" s="323"/>
      <c r="H1" s="323"/>
      <c r="I1" s="323"/>
    </row>
    <row r="2" spans="1:15" ht="15" customHeight="1" x14ac:dyDescent="0.2">
      <c r="A2" s="322" t="str">
        <f>'VIGILÂNCIA DES 44HRS SEG A SEX'!A2:D2</f>
        <v xml:space="preserve">SUBSECRETARIA DE PLANEJAMENTO, ORÇAMENTO E ADMINISTRAÇÃO </v>
      </c>
      <c r="B2" s="323"/>
      <c r="C2" s="323"/>
      <c r="D2" s="323"/>
      <c r="E2" s="323"/>
      <c r="F2" s="323"/>
      <c r="G2" s="323"/>
      <c r="H2" s="323"/>
      <c r="I2" s="323"/>
    </row>
    <row r="3" spans="1:15" ht="21.75" customHeight="1" x14ac:dyDescent="0.2">
      <c r="A3" s="327" t="s">
        <v>277</v>
      </c>
      <c r="B3" s="327"/>
      <c r="C3" s="327"/>
      <c r="D3" s="327"/>
      <c r="E3" s="327"/>
      <c r="F3" s="327"/>
      <c r="G3" s="327"/>
      <c r="H3" s="327"/>
      <c r="I3" s="327"/>
      <c r="J3" s="327"/>
      <c r="K3" s="327"/>
      <c r="L3" s="327"/>
    </row>
    <row r="4" spans="1:15" ht="38.25" x14ac:dyDescent="0.2">
      <c r="A4" s="104" t="s">
        <v>139</v>
      </c>
      <c r="B4" s="105" t="s">
        <v>140</v>
      </c>
      <c r="C4" s="105" t="s">
        <v>170</v>
      </c>
      <c r="D4" s="105" t="s">
        <v>171</v>
      </c>
      <c r="E4" s="105" t="s">
        <v>141</v>
      </c>
      <c r="F4" s="105" t="s">
        <v>173</v>
      </c>
      <c r="G4" s="105" t="s">
        <v>172</v>
      </c>
      <c r="H4" s="105" t="s">
        <v>174</v>
      </c>
      <c r="I4" s="105" t="s">
        <v>175</v>
      </c>
      <c r="J4" s="328" t="s">
        <v>265</v>
      </c>
      <c r="K4" s="328"/>
      <c r="L4" s="328"/>
      <c r="M4" s="311" t="s">
        <v>222</v>
      </c>
      <c r="N4" s="311"/>
      <c r="O4" s="311"/>
    </row>
    <row r="5" spans="1:15" ht="18" customHeight="1" x14ac:dyDescent="0.25">
      <c r="A5" s="106">
        <v>1</v>
      </c>
      <c r="B5" s="270" t="s">
        <v>225</v>
      </c>
      <c r="C5" s="258">
        <f>'VIGILÂNCIA DES 44HRS SEG A SEX'!D136</f>
        <v>8203.2199999999993</v>
      </c>
      <c r="D5" s="106">
        <v>1</v>
      </c>
      <c r="E5" s="107">
        <f>'VIGILÂNCIA DES 44HRS SEG A SEX'!D136</f>
        <v>8203.2199999999993</v>
      </c>
      <c r="F5" s="106">
        <v>1</v>
      </c>
      <c r="G5" s="106">
        <f>D5*F5</f>
        <v>1</v>
      </c>
      <c r="H5" s="108">
        <f t="shared" ref="H5:H11" si="0">F5*E5</f>
        <v>8203.2199999999993</v>
      </c>
      <c r="I5" s="109">
        <f>H5*12</f>
        <v>98438.639999999985</v>
      </c>
      <c r="J5" s="314">
        <f>E5*F5</f>
        <v>8203.2199999999993</v>
      </c>
      <c r="K5" s="315"/>
      <c r="L5" s="315"/>
      <c r="M5" s="312">
        <f t="shared" ref="M5:M11" si="1">E5*12</f>
        <v>98438.639999999985</v>
      </c>
      <c r="N5" s="313"/>
      <c r="O5" s="313"/>
    </row>
    <row r="6" spans="1:15" ht="15" x14ac:dyDescent="0.25">
      <c r="A6" s="106">
        <v>2</v>
      </c>
      <c r="B6" s="271" t="s">
        <v>226</v>
      </c>
      <c r="C6" s="258">
        <f>'VIGILÂNCIA 12X36 DES NOTURNA'!D136</f>
        <v>8638.5400000000009</v>
      </c>
      <c r="D6" s="106">
        <v>2</v>
      </c>
      <c r="E6" s="107">
        <f>'VIGILÂNCIA 12X36 DES NOTURNA'!D137</f>
        <v>17277.080000000002</v>
      </c>
      <c r="F6" s="106">
        <v>1</v>
      </c>
      <c r="G6" s="106">
        <f>D6*F6</f>
        <v>2</v>
      </c>
      <c r="H6" s="108">
        <f t="shared" si="0"/>
        <v>17277.080000000002</v>
      </c>
      <c r="I6" s="109">
        <f t="shared" ref="I6:I11" si="2">H6*12</f>
        <v>207324.96000000002</v>
      </c>
      <c r="J6" s="314">
        <f t="shared" ref="J6:J11" si="3">E6*F6</f>
        <v>17277.080000000002</v>
      </c>
      <c r="K6" s="315"/>
      <c r="L6" s="315"/>
      <c r="M6" s="312">
        <f t="shared" si="1"/>
        <v>207324.96000000002</v>
      </c>
      <c r="N6" s="313"/>
      <c r="O6" s="313"/>
    </row>
    <row r="7" spans="1:15" ht="15" x14ac:dyDescent="0.25">
      <c r="A7" s="106">
        <v>3</v>
      </c>
      <c r="B7" s="271" t="s">
        <v>227</v>
      </c>
      <c r="C7" s="258">
        <f>'VIGILÂNCIA 12X36 DESARMADA DIUR'!D136</f>
        <v>7882.17</v>
      </c>
      <c r="D7" s="106">
        <v>2</v>
      </c>
      <c r="E7" s="107">
        <f>'VIGILÂNCIA 12X36 DESARMADA DIUR'!D137</f>
        <v>15764.34</v>
      </c>
      <c r="F7" s="106">
        <v>5</v>
      </c>
      <c r="G7" s="106">
        <f>D7*F7</f>
        <v>10</v>
      </c>
      <c r="H7" s="108">
        <f t="shared" si="0"/>
        <v>78821.7</v>
      </c>
      <c r="I7" s="109">
        <f t="shared" si="2"/>
        <v>945860.39999999991</v>
      </c>
      <c r="J7" s="314">
        <f t="shared" si="3"/>
        <v>78821.7</v>
      </c>
      <c r="K7" s="315"/>
      <c r="L7" s="315"/>
      <c r="M7" s="312">
        <f t="shared" si="1"/>
        <v>189172.08000000002</v>
      </c>
      <c r="N7" s="313"/>
      <c r="O7" s="313"/>
    </row>
    <row r="8" spans="1:15" ht="15" x14ac:dyDescent="0.25">
      <c r="A8" s="106">
        <v>4</v>
      </c>
      <c r="B8" s="271" t="s">
        <v>228</v>
      </c>
      <c r="C8" s="258">
        <f>'VIGILÂNCIA 12X36 ARMADA DIUR'!D136</f>
        <v>7884.38</v>
      </c>
      <c r="D8" s="106">
        <v>2</v>
      </c>
      <c r="E8" s="107">
        <f>'VIGILÂNCIA 12X36 ARMADA DIUR'!D137</f>
        <v>15768.76</v>
      </c>
      <c r="F8" s="106">
        <v>7</v>
      </c>
      <c r="G8" s="106">
        <f>D8*F8</f>
        <v>14</v>
      </c>
      <c r="H8" s="108">
        <f t="shared" si="0"/>
        <v>110381.32</v>
      </c>
      <c r="I8" s="109">
        <f t="shared" si="2"/>
        <v>1324575.8400000001</v>
      </c>
      <c r="J8" s="314">
        <f t="shared" si="3"/>
        <v>110381.32</v>
      </c>
      <c r="K8" s="315"/>
      <c r="L8" s="315"/>
      <c r="M8" s="312">
        <f t="shared" si="1"/>
        <v>189225.12</v>
      </c>
      <c r="N8" s="313"/>
      <c r="O8" s="313"/>
    </row>
    <row r="9" spans="1:15" ht="15" x14ac:dyDescent="0.25">
      <c r="A9" s="106">
        <v>5</v>
      </c>
      <c r="B9" s="271" t="s">
        <v>229</v>
      </c>
      <c r="C9" s="258">
        <f>'VIGILÂNCIA12 X36 ARM NOT'!D136</f>
        <v>8784.8799999999992</v>
      </c>
      <c r="D9" s="106">
        <v>2</v>
      </c>
      <c r="E9" s="107">
        <f>'VIGILÂNCIA12 X36 ARM NOT'!D137</f>
        <v>17569.759999999998</v>
      </c>
      <c r="F9" s="106">
        <v>7</v>
      </c>
      <c r="G9" s="106">
        <f t="shared" ref="G9:G11" si="4">D9*F9</f>
        <v>14</v>
      </c>
      <c r="H9" s="108">
        <f t="shared" si="0"/>
        <v>122988.31999999999</v>
      </c>
      <c r="I9" s="109">
        <f t="shared" si="2"/>
        <v>1475859.8399999999</v>
      </c>
      <c r="J9" s="314">
        <f t="shared" si="3"/>
        <v>122988.31999999999</v>
      </c>
      <c r="K9" s="315"/>
      <c r="L9" s="315"/>
      <c r="M9" s="312">
        <f t="shared" si="1"/>
        <v>210837.12</v>
      </c>
      <c r="N9" s="313"/>
      <c r="O9" s="313"/>
    </row>
    <row r="10" spans="1:15" ht="15" x14ac:dyDescent="0.25">
      <c r="A10" s="106">
        <v>6</v>
      </c>
      <c r="B10" s="271" t="s">
        <v>230</v>
      </c>
      <c r="C10" s="258">
        <f>'SUPERVISOR 12X36 DESARMADO DIUR'!D136</f>
        <v>9567.5400000000009</v>
      </c>
      <c r="D10" s="106">
        <v>2</v>
      </c>
      <c r="E10" s="107">
        <f>C10*D10</f>
        <v>19135.080000000002</v>
      </c>
      <c r="F10" s="106">
        <v>1</v>
      </c>
      <c r="G10" s="106">
        <f t="shared" si="4"/>
        <v>2</v>
      </c>
      <c r="H10" s="108">
        <f t="shared" si="0"/>
        <v>19135.080000000002</v>
      </c>
      <c r="I10" s="109">
        <f t="shared" si="2"/>
        <v>229620.96000000002</v>
      </c>
      <c r="J10" s="314">
        <f t="shared" si="3"/>
        <v>19135.080000000002</v>
      </c>
      <c r="K10" s="315"/>
      <c r="L10" s="315"/>
      <c r="M10" s="312">
        <f t="shared" si="1"/>
        <v>229620.96000000002</v>
      </c>
      <c r="N10" s="313"/>
      <c r="O10" s="313"/>
    </row>
    <row r="11" spans="1:15" ht="15" x14ac:dyDescent="0.25">
      <c r="A11" s="106">
        <v>7</v>
      </c>
      <c r="B11" s="271" t="s">
        <v>231</v>
      </c>
      <c r="C11" s="258">
        <f>'SUPERVISOR 12 X36 ARMADO NOT'!D136</f>
        <v>10560.43</v>
      </c>
      <c r="D11" s="106">
        <v>2</v>
      </c>
      <c r="E11" s="107">
        <f>C11*D11</f>
        <v>21120.86</v>
      </c>
      <c r="F11" s="106">
        <v>1</v>
      </c>
      <c r="G11" s="106">
        <f t="shared" si="4"/>
        <v>2</v>
      </c>
      <c r="H11" s="108">
        <f t="shared" si="0"/>
        <v>21120.86</v>
      </c>
      <c r="I11" s="109">
        <f t="shared" si="2"/>
        <v>253450.32</v>
      </c>
      <c r="J11" s="314">
        <f t="shared" si="3"/>
        <v>21120.86</v>
      </c>
      <c r="K11" s="315"/>
      <c r="L11" s="315"/>
      <c r="M11" s="312">
        <f t="shared" si="1"/>
        <v>253450.32</v>
      </c>
      <c r="N11" s="313"/>
      <c r="O11" s="313"/>
    </row>
    <row r="12" spans="1:15" x14ac:dyDescent="0.2">
      <c r="A12" s="324" t="s">
        <v>179</v>
      </c>
      <c r="B12" s="325"/>
      <c r="C12" s="325"/>
      <c r="D12" s="325"/>
      <c r="E12" s="326"/>
      <c r="F12" s="242">
        <f>SUM(F5:F11)</f>
        <v>23</v>
      </c>
      <c r="G12" s="242">
        <f>SUM(G5:G11)</f>
        <v>45</v>
      </c>
      <c r="H12" s="243"/>
      <c r="I12" s="244"/>
      <c r="J12" s="319">
        <f>SUM(J5:L11)</f>
        <v>377927.58</v>
      </c>
      <c r="K12" s="311"/>
      <c r="L12" s="311"/>
      <c r="M12" s="316"/>
      <c r="N12" s="317"/>
      <c r="O12" s="317"/>
    </row>
    <row r="13" spans="1:15" x14ac:dyDescent="0.2">
      <c r="A13" s="321" t="s">
        <v>142</v>
      </c>
      <c r="B13" s="321"/>
      <c r="C13" s="321"/>
      <c r="D13" s="321"/>
      <c r="E13" s="321"/>
      <c r="F13" s="321"/>
      <c r="G13" s="321"/>
      <c r="H13" s="321"/>
      <c r="I13" s="110">
        <f>J12</f>
        <v>377927.58</v>
      </c>
      <c r="J13" s="315"/>
      <c r="K13" s="315"/>
      <c r="L13" s="315"/>
      <c r="M13" s="318"/>
      <c r="N13" s="317"/>
      <c r="O13" s="317"/>
    </row>
    <row r="14" spans="1:15" x14ac:dyDescent="0.2">
      <c r="A14" s="320"/>
      <c r="B14" s="320"/>
      <c r="C14" s="320"/>
      <c r="D14" s="320"/>
      <c r="E14" s="320"/>
      <c r="F14" s="320"/>
      <c r="G14" s="320"/>
      <c r="H14" s="320"/>
      <c r="I14" s="320"/>
      <c r="M14" s="318"/>
      <c r="N14" s="317"/>
      <c r="O14" s="317"/>
    </row>
    <row r="15" spans="1:15" x14ac:dyDescent="0.2">
      <c r="A15" s="321" t="s">
        <v>143</v>
      </c>
      <c r="B15" s="321"/>
      <c r="C15" s="321"/>
      <c r="D15" s="321"/>
      <c r="E15" s="321"/>
      <c r="F15" s="321"/>
      <c r="G15" s="321"/>
      <c r="H15" s="321"/>
      <c r="I15" s="111">
        <f>SUM(I5:I11)</f>
        <v>4535130.96</v>
      </c>
      <c r="M15" s="318"/>
      <c r="N15" s="317"/>
      <c r="O15" s="317"/>
    </row>
    <row r="16" spans="1:15" x14ac:dyDescent="0.2">
      <c r="I16" s="241"/>
    </row>
    <row r="17" spans="5:11" x14ac:dyDescent="0.2">
      <c r="I17" s="205"/>
    </row>
    <row r="20" spans="5:11" x14ac:dyDescent="0.2">
      <c r="I20" s="205"/>
      <c r="K20" s="205"/>
    </row>
    <row r="21" spans="5:11" x14ac:dyDescent="0.2">
      <c r="I21" s="205">
        <f>5%*I15</f>
        <v>226756.54800000001</v>
      </c>
    </row>
    <row r="22" spans="5:11" x14ac:dyDescent="0.2">
      <c r="I22" s="205"/>
    </row>
    <row r="24" spans="5:11" x14ac:dyDescent="0.2">
      <c r="I24" s="266">
        <v>4301964.12</v>
      </c>
    </row>
    <row r="25" spans="5:11" x14ac:dyDescent="0.2">
      <c r="I25" s="266">
        <f>I24/12</f>
        <v>358497.01</v>
      </c>
    </row>
    <row r="26" spans="5:11" x14ac:dyDescent="0.2">
      <c r="I26" s="205"/>
    </row>
    <row r="27" spans="5:11" x14ac:dyDescent="0.2">
      <c r="I27" s="205">
        <f>I15-I24</f>
        <v>233166.83999999985</v>
      </c>
    </row>
    <row r="28" spans="5:11" x14ac:dyDescent="0.2">
      <c r="I28" s="205">
        <f>I13-I25</f>
        <v>19430.570000000007</v>
      </c>
    </row>
    <row r="31" spans="5:11" x14ac:dyDescent="0.2">
      <c r="E31" s="266"/>
    </row>
    <row r="32" spans="5:11" x14ac:dyDescent="0.2">
      <c r="E32" s="205"/>
    </row>
    <row r="35" spans="2:3" x14ac:dyDescent="0.2">
      <c r="B35" s="267"/>
      <c r="C35" s="268"/>
    </row>
    <row r="36" spans="2:3" x14ac:dyDescent="0.2">
      <c r="B36" s="269"/>
      <c r="C36" s="268"/>
    </row>
    <row r="37" spans="2:3" x14ac:dyDescent="0.2">
      <c r="B37" s="269"/>
      <c r="C37" s="268"/>
    </row>
    <row r="38" spans="2:3" x14ac:dyDescent="0.2">
      <c r="B38" s="267"/>
      <c r="C38" s="268"/>
    </row>
  </sheetData>
  <mergeCells count="26">
    <mergeCell ref="A14:I14"/>
    <mergeCell ref="A15:H15"/>
    <mergeCell ref="A1:I1"/>
    <mergeCell ref="A2:I2"/>
    <mergeCell ref="A12:E12"/>
    <mergeCell ref="A3:L3"/>
    <mergeCell ref="J4:L4"/>
    <mergeCell ref="J5:L5"/>
    <mergeCell ref="J6:L6"/>
    <mergeCell ref="J7:L7"/>
    <mergeCell ref="A13:H13"/>
    <mergeCell ref="J13:L13"/>
    <mergeCell ref="J8:L8"/>
    <mergeCell ref="J9:L9"/>
    <mergeCell ref="J10:L10"/>
    <mergeCell ref="J11:L11"/>
    <mergeCell ref="M12:O15"/>
    <mergeCell ref="M9:O9"/>
    <mergeCell ref="M10:O10"/>
    <mergeCell ref="M11:O11"/>
    <mergeCell ref="J12:L12"/>
    <mergeCell ref="M4:O4"/>
    <mergeCell ref="M5:O5"/>
    <mergeCell ref="M6:O6"/>
    <mergeCell ref="M7:O7"/>
    <mergeCell ref="M8:O8"/>
  </mergeCells>
  <pageMargins left="0.51181102362204722" right="0.51181102362204722" top="0.78740157480314965" bottom="0.78740157480314965" header="0.31496062992125984" footer="0.31496062992125984"/>
  <pageSetup paperSize="9" scale="61"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37"/>
  <sheetViews>
    <sheetView topLeftCell="A29" zoomScale="115" zoomScaleNormal="115" workbookViewId="0">
      <selection activeCell="E32" sqref="E32"/>
    </sheetView>
  </sheetViews>
  <sheetFormatPr defaultRowHeight="12.75" x14ac:dyDescent="0.2"/>
  <cols>
    <col min="1" max="1" width="5" style="1" customWidth="1"/>
    <col min="2" max="2" width="47.7109375" style="1" customWidth="1"/>
    <col min="3" max="3" width="11.28515625" style="1" customWidth="1"/>
    <col min="4" max="4" width="37" style="1" customWidth="1"/>
    <col min="5" max="5" width="21.7109375" style="1" customWidth="1"/>
    <col min="6" max="6" width="9.140625" style="1"/>
    <col min="7" max="7" width="11.42578125" style="1" bestFit="1" customWidth="1"/>
    <col min="8" max="16384" width="9.140625" style="1"/>
  </cols>
  <sheetData>
    <row r="1" spans="1:7" x14ac:dyDescent="0.2">
      <c r="A1" s="322" t="s">
        <v>223</v>
      </c>
      <c r="B1" s="323"/>
      <c r="C1" s="323"/>
      <c r="D1" s="323"/>
    </row>
    <row r="2" spans="1:7" x14ac:dyDescent="0.2">
      <c r="A2" s="322" t="s">
        <v>224</v>
      </c>
      <c r="B2" s="323"/>
      <c r="C2" s="323"/>
      <c r="D2" s="323"/>
    </row>
    <row r="3" spans="1:7" x14ac:dyDescent="0.2">
      <c r="A3" s="322"/>
      <c r="B3" s="323"/>
      <c r="C3" s="323"/>
      <c r="D3" s="323"/>
    </row>
    <row r="4" spans="1:7" x14ac:dyDescent="0.2">
      <c r="A4" s="322"/>
      <c r="B4" s="323"/>
      <c r="C4" s="323"/>
      <c r="D4" s="323"/>
    </row>
    <row r="5" spans="1:7" ht="13.5" thickBot="1" x14ac:dyDescent="0.25">
      <c r="A5" s="334" t="s">
        <v>0</v>
      </c>
      <c r="B5" s="335"/>
      <c r="C5" s="335"/>
      <c r="D5" s="335"/>
    </row>
    <row r="6" spans="1:7" x14ac:dyDescent="0.2">
      <c r="A6" s="355" t="s">
        <v>111</v>
      </c>
      <c r="B6" s="356"/>
      <c r="C6" s="356"/>
      <c r="D6" s="357"/>
    </row>
    <row r="7" spans="1:7" ht="13.5" thickBot="1" x14ac:dyDescent="0.25">
      <c r="A7" s="334" t="s">
        <v>112</v>
      </c>
      <c r="B7" s="335"/>
      <c r="C7" s="335"/>
      <c r="D7" s="374"/>
    </row>
    <row r="8" spans="1:7" ht="13.5" thickBot="1" x14ac:dyDescent="0.25">
      <c r="A8" s="358" t="s">
        <v>1</v>
      </c>
      <c r="B8" s="359"/>
      <c r="C8" s="359"/>
      <c r="D8" s="359"/>
    </row>
    <row r="9" spans="1:7" x14ac:dyDescent="0.2">
      <c r="A9" s="3" t="s">
        <v>2</v>
      </c>
      <c r="B9" s="375" t="s">
        <v>3</v>
      </c>
      <c r="C9" s="375"/>
      <c r="D9" s="250">
        <v>45751</v>
      </c>
    </row>
    <row r="10" spans="1:7" x14ac:dyDescent="0.2">
      <c r="A10" s="4" t="s">
        <v>4</v>
      </c>
      <c r="B10" s="376" t="s">
        <v>5</v>
      </c>
      <c r="C10" s="376"/>
      <c r="D10" s="5" t="s">
        <v>6</v>
      </c>
    </row>
    <row r="11" spans="1:7" x14ac:dyDescent="0.2">
      <c r="A11" s="4" t="s">
        <v>7</v>
      </c>
      <c r="B11" s="377" t="s">
        <v>8</v>
      </c>
      <c r="C11" s="378"/>
      <c r="D11" s="6" t="s">
        <v>177</v>
      </c>
    </row>
    <row r="12" spans="1:7" ht="13.5" thickBot="1" x14ac:dyDescent="0.25">
      <c r="A12" s="7" t="s">
        <v>9</v>
      </c>
      <c r="B12" s="360" t="s">
        <v>10</v>
      </c>
      <c r="C12" s="360"/>
      <c r="D12" s="8">
        <v>12</v>
      </c>
    </row>
    <row r="13" spans="1:7" ht="13.5" thickBot="1" x14ac:dyDescent="0.25">
      <c r="A13" s="332" t="s">
        <v>11</v>
      </c>
      <c r="B13" s="333"/>
      <c r="C13" s="333"/>
      <c r="D13" s="333"/>
    </row>
    <row r="14" spans="1:7" ht="25.5" x14ac:dyDescent="0.2">
      <c r="A14" s="9">
        <v>1</v>
      </c>
      <c r="B14" s="10" t="s">
        <v>12</v>
      </c>
      <c r="C14" s="361" t="s">
        <v>272</v>
      </c>
      <c r="D14" s="362"/>
      <c r="E14" s="260" t="s">
        <v>273</v>
      </c>
      <c r="G14" s="259"/>
    </row>
    <row r="15" spans="1:7" x14ac:dyDescent="0.2">
      <c r="A15" s="11">
        <v>2</v>
      </c>
      <c r="B15" s="363" t="s">
        <v>102</v>
      </c>
      <c r="C15" s="370"/>
      <c r="D15" s="264">
        <f>(E15*5%)+E15</f>
        <v>2859.5805</v>
      </c>
      <c r="E15" s="1">
        <v>2723.41</v>
      </c>
      <c r="F15" s="13"/>
    </row>
    <row r="16" spans="1:7" x14ac:dyDescent="0.2">
      <c r="A16" s="11">
        <v>3</v>
      </c>
      <c r="B16" s="363" t="s">
        <v>13</v>
      </c>
      <c r="C16" s="364"/>
    </row>
    <row r="17" spans="1:5" x14ac:dyDescent="0.2">
      <c r="A17" s="15">
        <v>4</v>
      </c>
      <c r="B17" s="16" t="s">
        <v>113</v>
      </c>
      <c r="C17" s="17"/>
      <c r="D17" s="18" t="s">
        <v>138</v>
      </c>
    </row>
    <row r="18" spans="1:5" ht="13.5" thickBot="1" x14ac:dyDescent="0.25">
      <c r="A18" s="19">
        <v>5</v>
      </c>
      <c r="B18" s="365" t="s">
        <v>15</v>
      </c>
      <c r="C18" s="366"/>
      <c r="D18" s="20">
        <v>45658</v>
      </c>
    </row>
    <row r="19" spans="1:5" ht="13.5" thickBot="1" x14ac:dyDescent="0.25">
      <c r="A19" s="367" t="s">
        <v>16</v>
      </c>
      <c r="B19" s="368"/>
      <c r="C19" s="368"/>
      <c r="D19" s="368"/>
    </row>
    <row r="20" spans="1:5" ht="13.5" thickBot="1" x14ac:dyDescent="0.25">
      <c r="A20" s="2">
        <v>1</v>
      </c>
      <c r="B20" s="371" t="s">
        <v>17</v>
      </c>
      <c r="C20" s="372"/>
      <c r="D20" s="21" t="s">
        <v>18</v>
      </c>
    </row>
    <row r="21" spans="1:5" x14ac:dyDescent="0.2">
      <c r="A21" s="22" t="s">
        <v>2</v>
      </c>
      <c r="B21" s="373" t="s">
        <v>19</v>
      </c>
      <c r="C21" s="373"/>
      <c r="D21" s="23">
        <f>D15</f>
        <v>2859.5805</v>
      </c>
      <c r="E21" s="1">
        <v>2723.41</v>
      </c>
    </row>
    <row r="22" spans="1:5" x14ac:dyDescent="0.2">
      <c r="A22" s="24" t="s">
        <v>4</v>
      </c>
      <c r="B22" s="25" t="s">
        <v>20</v>
      </c>
      <c r="C22" s="26">
        <v>0.3</v>
      </c>
      <c r="D22" s="27">
        <f t="shared" ref="D22" si="0">C22*D21</f>
        <v>857.87414999999999</v>
      </c>
      <c r="E22" s="1">
        <v>817.02299999999991</v>
      </c>
    </row>
    <row r="23" spans="1:5" x14ac:dyDescent="0.2">
      <c r="A23" s="24" t="s">
        <v>7</v>
      </c>
      <c r="B23" s="369" t="s">
        <v>21</v>
      </c>
      <c r="C23" s="369"/>
      <c r="D23" s="27">
        <v>0</v>
      </c>
      <c r="E23" s="1">
        <v>0</v>
      </c>
    </row>
    <row r="24" spans="1:5" x14ac:dyDescent="0.2">
      <c r="A24" s="24" t="s">
        <v>22</v>
      </c>
      <c r="B24" s="25" t="s">
        <v>23</v>
      </c>
      <c r="C24" s="28">
        <v>0</v>
      </c>
      <c r="D24" s="27">
        <v>0</v>
      </c>
      <c r="E24" s="1">
        <v>0</v>
      </c>
    </row>
    <row r="25" spans="1:5" x14ac:dyDescent="0.2">
      <c r="A25" s="24" t="s">
        <v>24</v>
      </c>
      <c r="B25" s="369" t="s">
        <v>25</v>
      </c>
      <c r="C25" s="369"/>
      <c r="D25" s="27">
        <f t="shared" ref="D25" si="1">D21/220*0.2*0*15</f>
        <v>0</v>
      </c>
      <c r="E25" s="1">
        <v>0</v>
      </c>
    </row>
    <row r="26" spans="1:5" x14ac:dyDescent="0.2">
      <c r="A26" s="24" t="s">
        <v>26</v>
      </c>
      <c r="B26" s="369" t="s">
        <v>27</v>
      </c>
      <c r="C26" s="369"/>
      <c r="D26" s="27">
        <v>0</v>
      </c>
      <c r="E26" s="1">
        <v>0</v>
      </c>
    </row>
    <row r="27" spans="1:5" x14ac:dyDescent="0.2">
      <c r="A27" s="29" t="s">
        <v>28</v>
      </c>
      <c r="B27" s="379" t="s">
        <v>29</v>
      </c>
      <c r="C27" s="379"/>
      <c r="D27" s="30">
        <v>0</v>
      </c>
      <c r="E27" s="1">
        <v>0</v>
      </c>
    </row>
    <row r="28" spans="1:5" ht="13.5" thickBot="1" x14ac:dyDescent="0.25">
      <c r="A28" s="351" t="s">
        <v>30</v>
      </c>
      <c r="B28" s="380"/>
      <c r="C28" s="352"/>
      <c r="D28" s="31">
        <f>ROUND(SUM(D21:D27),2)</f>
        <v>3717.45</v>
      </c>
      <c r="E28" s="1">
        <v>3540.43</v>
      </c>
    </row>
    <row r="29" spans="1:5" ht="13.5" thickBot="1" x14ac:dyDescent="0.25">
      <c r="A29" s="32" t="s">
        <v>114</v>
      </c>
      <c r="B29" s="33"/>
      <c r="C29" s="34"/>
      <c r="D29" s="35"/>
    </row>
    <row r="30" spans="1:5" ht="13.5" thickBot="1" x14ac:dyDescent="0.25">
      <c r="A30" s="339" t="s">
        <v>31</v>
      </c>
      <c r="B30" s="340"/>
      <c r="C30" s="340"/>
      <c r="D30" s="341"/>
    </row>
    <row r="31" spans="1:5" ht="13.5" thickBot="1" x14ac:dyDescent="0.25">
      <c r="A31" s="339" t="s">
        <v>32</v>
      </c>
      <c r="B31" s="340"/>
      <c r="C31" s="340"/>
      <c r="D31" s="341"/>
    </row>
    <row r="32" spans="1:5" ht="13.5" thickBot="1" x14ac:dyDescent="0.25">
      <c r="A32" s="36" t="s">
        <v>33</v>
      </c>
      <c r="B32" s="37" t="s">
        <v>34</v>
      </c>
      <c r="C32" s="38" t="s">
        <v>35</v>
      </c>
      <c r="D32" s="39" t="s">
        <v>18</v>
      </c>
    </row>
    <row r="33" spans="1:5" x14ac:dyDescent="0.2">
      <c r="A33" s="40" t="s">
        <v>2</v>
      </c>
      <c r="B33" s="41" t="s">
        <v>36</v>
      </c>
      <c r="C33" s="42">
        <v>8.3299999999999999E-2</v>
      </c>
      <c r="D33" s="12">
        <f>ROUND(D$28*C33,2)</f>
        <v>309.66000000000003</v>
      </c>
      <c r="E33" s="261">
        <v>294.92</v>
      </c>
    </row>
    <row r="34" spans="1:5" x14ac:dyDescent="0.2">
      <c r="A34" s="11" t="s">
        <v>4</v>
      </c>
      <c r="B34" s="43" t="s">
        <v>37</v>
      </c>
      <c r="C34" s="44">
        <v>0.121</v>
      </c>
      <c r="D34" s="12">
        <f t="shared" ref="D34" si="2">ROUND(D$28*C34,2)</f>
        <v>449.81</v>
      </c>
      <c r="E34" s="261">
        <v>428.39</v>
      </c>
    </row>
    <row r="35" spans="1:5" ht="13.5" thickBot="1" x14ac:dyDescent="0.25">
      <c r="A35" s="347" t="s">
        <v>38</v>
      </c>
      <c r="B35" s="348"/>
      <c r="C35" s="45">
        <f>SUM(A33:C34)</f>
        <v>0.20429999999999998</v>
      </c>
      <c r="D35" s="12">
        <f>SUM(D33:D34)</f>
        <v>759.47</v>
      </c>
      <c r="E35" s="261">
        <v>723.31</v>
      </c>
    </row>
    <row r="36" spans="1:5" ht="25.5" x14ac:dyDescent="0.2">
      <c r="A36" s="117" t="s">
        <v>39</v>
      </c>
      <c r="B36" s="118" t="s">
        <v>40</v>
      </c>
      <c r="C36" s="119">
        <f>C35*C51</f>
        <v>7.2117899999999999E-2</v>
      </c>
      <c r="D36" s="120">
        <f>ROUND(D$28*C36,2)</f>
        <v>268.08999999999997</v>
      </c>
      <c r="E36" s="261">
        <v>255.33</v>
      </c>
    </row>
    <row r="37" spans="1:5" x14ac:dyDescent="0.2">
      <c r="A37" s="353" t="s">
        <v>41</v>
      </c>
      <c r="B37" s="354"/>
      <c r="C37" s="96"/>
      <c r="D37" s="12">
        <f>SUM(D35:D36)</f>
        <v>1027.56</v>
      </c>
      <c r="E37" s="261">
        <v>978.64</v>
      </c>
    </row>
    <row r="38" spans="1:5" ht="36.75" customHeight="1" x14ac:dyDescent="0.2">
      <c r="A38" s="349" t="s">
        <v>115</v>
      </c>
      <c r="B38" s="349"/>
      <c r="C38" s="349"/>
      <c r="D38" s="349"/>
    </row>
    <row r="39" spans="1:5" ht="27.75" customHeight="1" x14ac:dyDescent="0.2">
      <c r="A39" s="349" t="s">
        <v>116</v>
      </c>
      <c r="B39" s="349"/>
      <c r="C39" s="349"/>
      <c r="D39" s="349"/>
    </row>
    <row r="40" spans="1:5" ht="36" customHeight="1" thickBot="1" x14ac:dyDescent="0.25">
      <c r="A40" s="343" t="s">
        <v>117</v>
      </c>
      <c r="B40" s="343"/>
      <c r="C40" s="343"/>
      <c r="D40" s="343"/>
    </row>
    <row r="41" spans="1:5" ht="13.5" thickBot="1" x14ac:dyDescent="0.25">
      <c r="A41" s="344" t="s">
        <v>42</v>
      </c>
      <c r="B41" s="345"/>
      <c r="C41" s="345"/>
      <c r="D41" s="346"/>
    </row>
    <row r="42" spans="1:5" ht="13.5" thickBot="1" x14ac:dyDescent="0.25">
      <c r="A42" s="36" t="s">
        <v>43</v>
      </c>
      <c r="B42" s="47" t="s">
        <v>44</v>
      </c>
      <c r="C42" s="38" t="s">
        <v>35</v>
      </c>
      <c r="D42" s="39" t="s">
        <v>18</v>
      </c>
    </row>
    <row r="43" spans="1:5" x14ac:dyDescent="0.2">
      <c r="A43" s="40" t="s">
        <v>2</v>
      </c>
      <c r="B43" s="41" t="s">
        <v>45</v>
      </c>
      <c r="C43" s="42">
        <v>0.2</v>
      </c>
      <c r="D43" s="12">
        <f>ROUND(D$28*C43,2)</f>
        <v>743.49</v>
      </c>
      <c r="E43" s="1">
        <v>708.09</v>
      </c>
    </row>
    <row r="44" spans="1:5" x14ac:dyDescent="0.2">
      <c r="A44" s="11" t="s">
        <v>4</v>
      </c>
      <c r="B44" s="43" t="s">
        <v>46</v>
      </c>
      <c r="C44" s="44">
        <v>2.5000000000000001E-2</v>
      </c>
      <c r="D44" s="12">
        <f t="shared" ref="D44:D50" si="3">ROUND(D$28*C44,2)</f>
        <v>92.94</v>
      </c>
      <c r="E44" s="1">
        <v>88.51</v>
      </c>
    </row>
    <row r="45" spans="1:5" x14ac:dyDescent="0.2">
      <c r="A45" s="11" t="s">
        <v>7</v>
      </c>
      <c r="B45" s="43" t="s">
        <v>47</v>
      </c>
      <c r="C45" s="44">
        <v>1.4999999999999999E-2</v>
      </c>
      <c r="D45" s="12">
        <f t="shared" si="3"/>
        <v>55.76</v>
      </c>
      <c r="E45" s="1">
        <v>53.11</v>
      </c>
    </row>
    <row r="46" spans="1:5" x14ac:dyDescent="0.2">
      <c r="A46" s="11" t="s">
        <v>22</v>
      </c>
      <c r="B46" s="43" t="s">
        <v>48</v>
      </c>
      <c r="C46" s="44">
        <v>1.4999999999999999E-2</v>
      </c>
      <c r="D46" s="12">
        <f t="shared" si="3"/>
        <v>55.76</v>
      </c>
      <c r="E46" s="1">
        <v>53.11</v>
      </c>
    </row>
    <row r="47" spans="1:5" x14ac:dyDescent="0.2">
      <c r="A47" s="11" t="s">
        <v>24</v>
      </c>
      <c r="B47" s="43" t="s">
        <v>49</v>
      </c>
      <c r="C47" s="44">
        <v>0.01</v>
      </c>
      <c r="D47" s="12">
        <f t="shared" si="3"/>
        <v>37.17</v>
      </c>
      <c r="E47" s="1">
        <v>35.4</v>
      </c>
    </row>
    <row r="48" spans="1:5" x14ac:dyDescent="0.2">
      <c r="A48" s="11" t="s">
        <v>50</v>
      </c>
      <c r="B48" s="43" t="s">
        <v>51</v>
      </c>
      <c r="C48" s="44">
        <v>6.0000000000000001E-3</v>
      </c>
      <c r="D48" s="12">
        <f t="shared" si="3"/>
        <v>22.3</v>
      </c>
      <c r="E48" s="1">
        <v>21.24</v>
      </c>
    </row>
    <row r="49" spans="1:5" x14ac:dyDescent="0.2">
      <c r="A49" s="11" t="s">
        <v>26</v>
      </c>
      <c r="B49" s="43" t="s">
        <v>52</v>
      </c>
      <c r="C49" s="44">
        <v>2E-3</v>
      </c>
      <c r="D49" s="12">
        <f t="shared" si="3"/>
        <v>7.43</v>
      </c>
      <c r="E49" s="1">
        <v>7.08</v>
      </c>
    </row>
    <row r="50" spans="1:5" x14ac:dyDescent="0.2">
      <c r="A50" s="15" t="s">
        <v>28</v>
      </c>
      <c r="B50" s="49" t="s">
        <v>53</v>
      </c>
      <c r="C50" s="44">
        <v>0.08</v>
      </c>
      <c r="D50" s="12">
        <f t="shared" si="3"/>
        <v>297.39999999999998</v>
      </c>
      <c r="E50" s="1">
        <v>283.23</v>
      </c>
    </row>
    <row r="51" spans="1:5" ht="13.5" thickBot="1" x14ac:dyDescent="0.25">
      <c r="A51" s="351" t="s">
        <v>54</v>
      </c>
      <c r="B51" s="352"/>
      <c r="C51" s="50">
        <f>SUM(C43:C50)</f>
        <v>0.35300000000000004</v>
      </c>
      <c r="D51" s="51">
        <f>SUM(D43:D50)</f>
        <v>1312.25</v>
      </c>
      <c r="E51" s="1">
        <v>1249.77</v>
      </c>
    </row>
    <row r="52" spans="1:5" x14ac:dyDescent="0.2">
      <c r="A52" s="52" t="s">
        <v>118</v>
      </c>
      <c r="B52" s="53"/>
      <c r="C52" s="54"/>
      <c r="D52" s="55"/>
      <c r="E52" s="32"/>
    </row>
    <row r="53" spans="1:5" x14ac:dyDescent="0.2">
      <c r="A53" s="52" t="s">
        <v>119</v>
      </c>
      <c r="B53" s="53"/>
      <c r="C53" s="54"/>
      <c r="D53" s="55"/>
      <c r="E53" s="32"/>
    </row>
    <row r="54" spans="1:5" ht="13.5" thickBot="1" x14ac:dyDescent="0.25">
      <c r="A54" s="32" t="s">
        <v>120</v>
      </c>
      <c r="B54" s="53"/>
      <c r="C54" s="54"/>
      <c r="D54" s="55"/>
      <c r="E54" s="32"/>
    </row>
    <row r="55" spans="1:5" ht="13.5" thickBot="1" x14ac:dyDescent="0.25">
      <c r="A55" s="339" t="s">
        <v>55</v>
      </c>
      <c r="B55" s="340"/>
      <c r="C55" s="340"/>
      <c r="D55" s="341"/>
    </row>
    <row r="56" spans="1:5" ht="13.5" thickBot="1" x14ac:dyDescent="0.25">
      <c r="A56" s="36" t="s">
        <v>56</v>
      </c>
      <c r="B56" s="350" t="s">
        <v>57</v>
      </c>
      <c r="C56" s="331"/>
      <c r="D56" s="56" t="s">
        <v>18</v>
      </c>
    </row>
    <row r="57" spans="1:5" x14ac:dyDescent="0.2">
      <c r="A57" s="3" t="s">
        <v>2</v>
      </c>
      <c r="B57" s="93" t="s">
        <v>58</v>
      </c>
      <c r="C57" s="94">
        <v>20</v>
      </c>
      <c r="D57" s="12">
        <f>5.5*2*C57-6%*D21</f>
        <v>48.425170000000008</v>
      </c>
      <c r="E57" s="262">
        <v>56.595400000000012</v>
      </c>
    </row>
    <row r="58" spans="1:5" x14ac:dyDescent="0.2">
      <c r="A58" s="4" t="s">
        <v>4</v>
      </c>
      <c r="B58" s="92" t="s">
        <v>59</v>
      </c>
      <c r="C58" s="95">
        <v>20</v>
      </c>
      <c r="D58" s="265">
        <f>C58*49.63</f>
        <v>992.6</v>
      </c>
      <c r="E58" s="1">
        <v>928.40000000000009</v>
      </c>
    </row>
    <row r="59" spans="1:5" x14ac:dyDescent="0.2">
      <c r="A59" s="4" t="s">
        <v>39</v>
      </c>
      <c r="B59" s="58" t="s">
        <v>60</v>
      </c>
      <c r="C59" s="59"/>
      <c r="D59" s="57">
        <v>0</v>
      </c>
      <c r="E59" s="1">
        <v>0</v>
      </c>
    </row>
    <row r="60" spans="1:5" x14ac:dyDescent="0.2">
      <c r="A60" s="4" t="s">
        <v>22</v>
      </c>
      <c r="B60" s="60" t="s">
        <v>121</v>
      </c>
      <c r="C60" s="59"/>
      <c r="D60" s="57">
        <v>0</v>
      </c>
      <c r="E60" s="1">
        <v>0</v>
      </c>
    </row>
    <row r="61" spans="1:5" x14ac:dyDescent="0.2">
      <c r="A61" s="3" t="s">
        <v>75</v>
      </c>
      <c r="B61" s="370" t="s">
        <v>104</v>
      </c>
      <c r="C61" s="373"/>
      <c r="D61" s="264">
        <v>17.73</v>
      </c>
      <c r="E61" s="1">
        <v>17.32</v>
      </c>
    </row>
    <row r="62" spans="1:5" x14ac:dyDescent="0.2">
      <c r="A62" s="4" t="s">
        <v>50</v>
      </c>
      <c r="B62" s="364" t="s">
        <v>105</v>
      </c>
      <c r="C62" s="369"/>
      <c r="D62" s="57">
        <v>0</v>
      </c>
      <c r="E62" s="1">
        <v>0</v>
      </c>
    </row>
    <row r="63" spans="1:5" ht="26.25" thickBot="1" x14ac:dyDescent="0.25">
      <c r="A63" s="4" t="s">
        <v>103</v>
      </c>
      <c r="B63" s="58" t="s">
        <v>274</v>
      </c>
      <c r="C63" s="59"/>
      <c r="D63" s="265">
        <v>25</v>
      </c>
      <c r="E63" s="1">
        <v>0</v>
      </c>
    </row>
    <row r="64" spans="1:5" ht="13.5" thickBot="1" x14ac:dyDescent="0.25">
      <c r="A64" s="381" t="s">
        <v>61</v>
      </c>
      <c r="B64" s="382" t="s">
        <v>61</v>
      </c>
      <c r="C64" s="382"/>
      <c r="D64" s="61">
        <f>SUM(D57:D63)</f>
        <v>1083.7551700000001</v>
      </c>
      <c r="E64" s="262">
        <v>1002.3154000000002</v>
      </c>
    </row>
    <row r="65" spans="1:5" x14ac:dyDescent="0.2">
      <c r="A65" s="52" t="s">
        <v>122</v>
      </c>
      <c r="B65" s="62"/>
      <c r="C65" s="62"/>
      <c r="D65" s="63"/>
    </row>
    <row r="66" spans="1:5" ht="13.5" thickBot="1" x14ac:dyDescent="0.25">
      <c r="A66" s="338" t="s">
        <v>123</v>
      </c>
      <c r="B66" s="338"/>
      <c r="C66" s="338"/>
      <c r="D66" s="338"/>
    </row>
    <row r="67" spans="1:5" ht="13.5" thickBot="1" x14ac:dyDescent="0.25">
      <c r="A67" s="339" t="s">
        <v>62</v>
      </c>
      <c r="B67" s="340"/>
      <c r="C67" s="340"/>
      <c r="D67" s="341"/>
    </row>
    <row r="68" spans="1:5" ht="13.5" thickBot="1" x14ac:dyDescent="0.25">
      <c r="A68" s="64">
        <v>2</v>
      </c>
      <c r="B68" s="329" t="s">
        <v>63</v>
      </c>
      <c r="C68" s="331"/>
      <c r="D68" s="66" t="s">
        <v>64</v>
      </c>
    </row>
    <row r="69" spans="1:5" ht="13.5" thickBot="1" x14ac:dyDescent="0.25">
      <c r="A69" s="67" t="s">
        <v>33</v>
      </c>
      <c r="B69" s="383" t="s">
        <v>34</v>
      </c>
      <c r="C69" s="384"/>
      <c r="D69" s="116">
        <f>D37</f>
        <v>1027.56</v>
      </c>
      <c r="E69" s="1">
        <v>978.64</v>
      </c>
    </row>
    <row r="70" spans="1:5" ht="13.5" thickBot="1" x14ac:dyDescent="0.25">
      <c r="A70" s="67" t="s">
        <v>43</v>
      </c>
      <c r="B70" s="383" t="s">
        <v>44</v>
      </c>
      <c r="C70" s="384"/>
      <c r="D70" s="68">
        <f>D51</f>
        <v>1312.25</v>
      </c>
      <c r="E70" s="1">
        <v>1249.77</v>
      </c>
    </row>
    <row r="71" spans="1:5" ht="13.5" thickBot="1" x14ac:dyDescent="0.25">
      <c r="A71" s="67" t="s">
        <v>56</v>
      </c>
      <c r="B71" s="336" t="s">
        <v>57</v>
      </c>
      <c r="C71" s="337"/>
      <c r="D71" s="68">
        <f>D64</f>
        <v>1083.7551700000001</v>
      </c>
      <c r="E71" s="262">
        <v>1002.3154000000002</v>
      </c>
    </row>
    <row r="72" spans="1:5" ht="13.5" thickBot="1" x14ac:dyDescent="0.25">
      <c r="A72" s="329" t="s">
        <v>65</v>
      </c>
      <c r="B72" s="330"/>
      <c r="C72" s="331"/>
      <c r="D72" s="69">
        <f>SUM(D69:D71)</f>
        <v>3423.5651699999999</v>
      </c>
      <c r="E72" s="262">
        <v>3230.7254000000003</v>
      </c>
    </row>
    <row r="73" spans="1:5" ht="13.5" thickBot="1" x14ac:dyDescent="0.25">
      <c r="A73" s="339" t="s">
        <v>66</v>
      </c>
      <c r="B73" s="340"/>
      <c r="C73" s="340"/>
      <c r="D73" s="341"/>
    </row>
    <row r="74" spans="1:5" ht="13.5" thickBot="1" x14ac:dyDescent="0.25">
      <c r="A74" s="64">
        <v>3</v>
      </c>
      <c r="B74" s="47" t="s">
        <v>67</v>
      </c>
      <c r="C74" s="70" t="s">
        <v>68</v>
      </c>
      <c r="D74" s="66" t="s">
        <v>64</v>
      </c>
    </row>
    <row r="75" spans="1:5" ht="13.5" thickBot="1" x14ac:dyDescent="0.25">
      <c r="A75" s="67" t="s">
        <v>69</v>
      </c>
      <c r="B75" s="71" t="s">
        <v>70</v>
      </c>
      <c r="C75" s="72">
        <v>8.0000000000000004E-4</v>
      </c>
      <c r="D75" s="68">
        <f t="shared" ref="D75:D80" si="4">C75*$D$28</f>
        <v>2.9739599999999999</v>
      </c>
      <c r="E75" s="262">
        <v>2.832344</v>
      </c>
    </row>
    <row r="76" spans="1:5" ht="13.5" thickBot="1" x14ac:dyDescent="0.25">
      <c r="A76" s="67" t="s">
        <v>71</v>
      </c>
      <c r="B76" s="71" t="s">
        <v>72</v>
      </c>
      <c r="C76" s="72">
        <f>8%*C75</f>
        <v>6.4000000000000011E-5</v>
      </c>
      <c r="D76" s="68">
        <f t="shared" si="4"/>
        <v>0.23791680000000004</v>
      </c>
      <c r="E76" s="262">
        <v>0.22658752000000001</v>
      </c>
    </row>
    <row r="77" spans="1:5" ht="13.5" thickBot="1" x14ac:dyDescent="0.25">
      <c r="A77" s="67" t="s">
        <v>39</v>
      </c>
      <c r="B77" s="71" t="s">
        <v>73</v>
      </c>
      <c r="C77" s="73">
        <v>3.9800000000000002E-2</v>
      </c>
      <c r="D77" s="68">
        <f t="shared" si="4"/>
        <v>147.95451</v>
      </c>
      <c r="E77" s="262">
        <v>140.90911399999999</v>
      </c>
    </row>
    <row r="78" spans="1:5" ht="13.5" thickBot="1" x14ac:dyDescent="0.25">
      <c r="A78" s="67" t="s">
        <v>9</v>
      </c>
      <c r="B78" s="71" t="s">
        <v>74</v>
      </c>
      <c r="C78" s="72">
        <v>4.0000000000000002E-4</v>
      </c>
      <c r="D78" s="68">
        <f t="shared" si="4"/>
        <v>1.48698</v>
      </c>
      <c r="E78" s="262">
        <v>1.416172</v>
      </c>
    </row>
    <row r="79" spans="1:5" ht="26.25" thickBot="1" x14ac:dyDescent="0.25">
      <c r="A79" s="67" t="s">
        <v>75</v>
      </c>
      <c r="B79" s="71" t="s">
        <v>124</v>
      </c>
      <c r="C79" s="72">
        <f>1*36.8%*C78</f>
        <v>1.472E-4</v>
      </c>
      <c r="D79" s="68">
        <f t="shared" si="4"/>
        <v>0.54720864000000002</v>
      </c>
      <c r="E79" s="262">
        <v>0.52115129599999999</v>
      </c>
    </row>
    <row r="80" spans="1:5" ht="13.5" thickBot="1" x14ac:dyDescent="0.25">
      <c r="A80" s="67" t="s">
        <v>76</v>
      </c>
      <c r="B80" s="71" t="s">
        <v>77</v>
      </c>
      <c r="C80" s="73">
        <v>2.0000000000000001E-4</v>
      </c>
      <c r="D80" s="68">
        <f t="shared" si="4"/>
        <v>0.74348999999999998</v>
      </c>
      <c r="E80" s="262">
        <v>0.70808599999999999</v>
      </c>
    </row>
    <row r="81" spans="1:6" ht="13.5" thickBot="1" x14ac:dyDescent="0.25">
      <c r="A81" s="329" t="s">
        <v>65</v>
      </c>
      <c r="B81" s="331"/>
      <c r="C81" s="74">
        <f t="shared" ref="C81" si="5">SUM(C75:C80)</f>
        <v>4.1411199999999995E-2</v>
      </c>
      <c r="D81" s="75">
        <f>SUM(D75:D80)</f>
        <v>153.94406544</v>
      </c>
      <c r="E81" s="262">
        <v>146.61345481599997</v>
      </c>
    </row>
    <row r="82" spans="1:6" ht="36.75" customHeight="1" thickBot="1" x14ac:dyDescent="0.25">
      <c r="A82" s="385" t="s">
        <v>125</v>
      </c>
      <c r="B82" s="385"/>
      <c r="C82" s="385"/>
      <c r="D82" s="385"/>
      <c r="F82" s="97"/>
    </row>
    <row r="83" spans="1:6" ht="13.5" thickBot="1" x14ac:dyDescent="0.25">
      <c r="A83" s="339" t="s">
        <v>78</v>
      </c>
      <c r="B83" s="340"/>
      <c r="C83" s="340"/>
      <c r="D83" s="341"/>
    </row>
    <row r="84" spans="1:6" ht="13.5" thickBot="1" x14ac:dyDescent="0.25">
      <c r="A84" s="329" t="s">
        <v>79</v>
      </c>
      <c r="B84" s="330"/>
      <c r="C84" s="330"/>
      <c r="D84" s="331"/>
    </row>
    <row r="85" spans="1:6" ht="13.5" thickBot="1" x14ac:dyDescent="0.25">
      <c r="A85" s="64" t="s">
        <v>80</v>
      </c>
      <c r="B85" s="65" t="s">
        <v>126</v>
      </c>
      <c r="C85" s="64" t="s">
        <v>68</v>
      </c>
      <c r="D85" s="66" t="s">
        <v>64</v>
      </c>
    </row>
    <row r="86" spans="1:6" ht="13.5" thickBot="1" x14ac:dyDescent="0.25">
      <c r="A86" s="67" t="s">
        <v>69</v>
      </c>
      <c r="B86" s="71" t="s">
        <v>106</v>
      </c>
      <c r="C86" s="78">
        <v>9.2999999999999992E-3</v>
      </c>
      <c r="D86" s="77">
        <f>C86*$D$28</f>
        <v>34.572284999999994</v>
      </c>
      <c r="E86" s="262">
        <v>32.925998999999997</v>
      </c>
    </row>
    <row r="87" spans="1:6" ht="13.5" thickBot="1" x14ac:dyDescent="0.25">
      <c r="A87" s="67" t="s">
        <v>71</v>
      </c>
      <c r="B87" s="71" t="s">
        <v>127</v>
      </c>
      <c r="C87" s="78">
        <v>1E-3</v>
      </c>
      <c r="D87" s="77">
        <f>C87*$D$28</f>
        <v>3.7174499999999999</v>
      </c>
      <c r="E87" s="262">
        <v>3.5404299999999997</v>
      </c>
    </row>
    <row r="88" spans="1:6" ht="13.5" thickBot="1" x14ac:dyDescent="0.25">
      <c r="A88" s="67" t="s">
        <v>39</v>
      </c>
      <c r="B88" s="71" t="s">
        <v>107</v>
      </c>
      <c r="C88" s="78">
        <v>2.0000000000000001E-4</v>
      </c>
      <c r="D88" s="77">
        <f>C88*$D$28</f>
        <v>0.74348999999999998</v>
      </c>
      <c r="E88" s="262">
        <v>0.70808599999999999</v>
      </c>
    </row>
    <row r="89" spans="1:6" ht="26.25" thickBot="1" x14ac:dyDescent="0.25">
      <c r="A89" s="67" t="s">
        <v>9</v>
      </c>
      <c r="B89" s="71" t="s">
        <v>108</v>
      </c>
      <c r="C89" s="78">
        <v>1E-3</v>
      </c>
      <c r="D89" s="77">
        <f>C89*$D$28</f>
        <v>3.7174499999999999</v>
      </c>
      <c r="E89" s="262">
        <v>3.5404299999999997</v>
      </c>
    </row>
    <row r="90" spans="1:6" ht="13.5" thickBot="1" x14ac:dyDescent="0.25">
      <c r="A90" s="67" t="s">
        <v>75</v>
      </c>
      <c r="B90" s="71" t="s">
        <v>109</v>
      </c>
      <c r="C90" s="78">
        <v>2.0000000000000001E-4</v>
      </c>
      <c r="D90" s="77">
        <f>C90*$D$28</f>
        <v>0.74348999999999998</v>
      </c>
      <c r="E90" s="262">
        <v>0.70808599999999999</v>
      </c>
    </row>
    <row r="91" spans="1:6" ht="39" thickBot="1" x14ac:dyDescent="0.25">
      <c r="A91" s="112" t="s">
        <v>76</v>
      </c>
      <c r="B91" s="113" t="s">
        <v>128</v>
      </c>
      <c r="C91" s="114">
        <f>SUM(C86:C90)*C51</f>
        <v>4.1301000000000003E-3</v>
      </c>
      <c r="D91" s="115">
        <f t="shared" ref="D91" si="6">C91*$D$28</f>
        <v>15.353440245</v>
      </c>
      <c r="E91" s="263">
        <v>14.622329943</v>
      </c>
    </row>
    <row r="92" spans="1:6" ht="13.5" thickBot="1" x14ac:dyDescent="0.25">
      <c r="A92" s="329" t="s">
        <v>41</v>
      </c>
      <c r="B92" s="330"/>
      <c r="C92" s="80">
        <f>SUM(C86:C91)</f>
        <v>1.58301E-2</v>
      </c>
      <c r="D92" s="75">
        <f>SUM(D86:D91)</f>
        <v>58.847605244999997</v>
      </c>
      <c r="E92" s="262">
        <v>56.045360943000006</v>
      </c>
    </row>
    <row r="93" spans="1:6" ht="33.75" customHeight="1" thickBot="1" x14ac:dyDescent="0.25">
      <c r="A93" s="342" t="s">
        <v>130</v>
      </c>
      <c r="B93" s="342"/>
      <c r="C93" s="342"/>
      <c r="D93" s="342"/>
    </row>
    <row r="94" spans="1:6" ht="13.5" thickBot="1" x14ac:dyDescent="0.25">
      <c r="A94" s="339" t="s">
        <v>131</v>
      </c>
      <c r="B94" s="340"/>
      <c r="C94" s="340"/>
      <c r="D94" s="341"/>
    </row>
    <row r="95" spans="1:6" ht="13.5" thickBot="1" x14ac:dyDescent="0.25">
      <c r="A95" s="64" t="s">
        <v>81</v>
      </c>
      <c r="B95" s="329" t="s">
        <v>132</v>
      </c>
      <c r="C95" s="331"/>
      <c r="D95" s="66" t="s">
        <v>64</v>
      </c>
    </row>
    <row r="96" spans="1:6" ht="13.5" thickBot="1" x14ac:dyDescent="0.25">
      <c r="A96" s="67" t="s">
        <v>69</v>
      </c>
      <c r="B96" s="336" t="s">
        <v>133</v>
      </c>
      <c r="C96" s="337"/>
      <c r="D96" s="68">
        <v>0</v>
      </c>
      <c r="E96" s="1">
        <v>0</v>
      </c>
    </row>
    <row r="97" spans="1:5" ht="13.5" thickBot="1" x14ac:dyDescent="0.25">
      <c r="A97" s="329" t="s">
        <v>65</v>
      </c>
      <c r="B97" s="330"/>
      <c r="C97" s="331"/>
      <c r="D97" s="68">
        <f>SUM(D96)</f>
        <v>0</v>
      </c>
      <c r="E97" s="1">
        <v>0</v>
      </c>
    </row>
    <row r="98" spans="1:5" ht="13.5" thickBot="1" x14ac:dyDescent="0.25">
      <c r="A98" s="81"/>
      <c r="C98" s="82"/>
      <c r="D98" s="83"/>
    </row>
    <row r="99" spans="1:5" ht="13.5" thickBot="1" x14ac:dyDescent="0.25">
      <c r="A99" s="339" t="s">
        <v>82</v>
      </c>
      <c r="B99" s="340"/>
      <c r="C99" s="340"/>
      <c r="D99" s="341"/>
    </row>
    <row r="100" spans="1:5" ht="13.5" thickBot="1" x14ac:dyDescent="0.25">
      <c r="A100" s="64">
        <v>4</v>
      </c>
      <c r="B100" s="329" t="s">
        <v>83</v>
      </c>
      <c r="C100" s="331"/>
      <c r="D100" s="66" t="s">
        <v>64</v>
      </c>
    </row>
    <row r="101" spans="1:5" ht="13.5" thickBot="1" x14ac:dyDescent="0.25">
      <c r="A101" s="67" t="s">
        <v>80</v>
      </c>
      <c r="B101" s="336" t="s">
        <v>126</v>
      </c>
      <c r="C101" s="337"/>
      <c r="D101" s="68">
        <f>D92</f>
        <v>58.847605244999997</v>
      </c>
      <c r="E101" s="262">
        <v>56.045360943000006</v>
      </c>
    </row>
    <row r="102" spans="1:5" ht="13.5" thickBot="1" x14ac:dyDescent="0.25">
      <c r="A102" s="67" t="s">
        <v>81</v>
      </c>
      <c r="B102" s="336" t="s">
        <v>132</v>
      </c>
      <c r="C102" s="337"/>
      <c r="D102" s="68">
        <f>D97</f>
        <v>0</v>
      </c>
      <c r="E102" s="1">
        <v>0</v>
      </c>
    </row>
    <row r="103" spans="1:5" ht="13.5" thickBot="1" x14ac:dyDescent="0.25">
      <c r="A103" s="329" t="s">
        <v>65</v>
      </c>
      <c r="B103" s="330"/>
      <c r="C103" s="331"/>
      <c r="D103" s="75">
        <f>SUM(D101:D102)</f>
        <v>58.847605244999997</v>
      </c>
      <c r="E103" s="262">
        <v>56.045360943000006</v>
      </c>
    </row>
    <row r="104" spans="1:5" ht="13.5" thickBot="1" x14ac:dyDescent="0.25">
      <c r="A104" s="81"/>
      <c r="C104" s="82"/>
      <c r="D104" s="83"/>
    </row>
    <row r="105" spans="1:5" ht="13.5" thickBot="1" x14ac:dyDescent="0.25">
      <c r="A105" s="339" t="s">
        <v>84</v>
      </c>
      <c r="B105" s="340"/>
      <c r="C105" s="340"/>
      <c r="D105" s="341"/>
    </row>
    <row r="106" spans="1:5" ht="13.5" thickBot="1" x14ac:dyDescent="0.25">
      <c r="A106" s="64">
        <v>5</v>
      </c>
      <c r="B106" s="329" t="s">
        <v>85</v>
      </c>
      <c r="C106" s="331"/>
      <c r="D106" s="66" t="s">
        <v>64</v>
      </c>
    </row>
    <row r="107" spans="1:5" ht="13.5" thickBot="1" x14ac:dyDescent="0.25">
      <c r="A107" s="67" t="s">
        <v>69</v>
      </c>
      <c r="B107" s="336" t="s">
        <v>86</v>
      </c>
      <c r="C107" s="337"/>
      <c r="D107" s="68">
        <f>UNIFORMES!G10</f>
        <v>46.739999999999995</v>
      </c>
    </row>
    <row r="108" spans="1:5" ht="13.5" thickBot="1" x14ac:dyDescent="0.25">
      <c r="A108" s="67" t="s">
        <v>71</v>
      </c>
      <c r="B108" s="386" t="s">
        <v>87</v>
      </c>
      <c r="C108" s="387"/>
      <c r="D108" s="68">
        <f>MATERIAIS!F44</f>
        <v>13.708148148148148</v>
      </c>
    </row>
    <row r="109" spans="1:5" ht="13.5" thickBot="1" x14ac:dyDescent="0.25">
      <c r="A109" s="67" t="s">
        <v>39</v>
      </c>
      <c r="B109" s="386" t="s">
        <v>263</v>
      </c>
      <c r="C109" s="387"/>
      <c r="D109" s="68">
        <f>MATERIAIS!F36</f>
        <v>71.897435897435898</v>
      </c>
    </row>
    <row r="110" spans="1:5" ht="13.5" thickBot="1" x14ac:dyDescent="0.25">
      <c r="A110" s="67" t="s">
        <v>9</v>
      </c>
      <c r="B110" s="336" t="s">
        <v>134</v>
      </c>
      <c r="C110" s="337"/>
      <c r="D110" s="68">
        <v>0</v>
      </c>
    </row>
    <row r="111" spans="1:5" ht="15.75" thickBot="1" x14ac:dyDescent="0.25">
      <c r="A111" s="84" t="s">
        <v>75</v>
      </c>
      <c r="B111" s="336" t="s">
        <v>135</v>
      </c>
      <c r="C111" s="388"/>
      <c r="D111" s="68">
        <v>0</v>
      </c>
    </row>
    <row r="112" spans="1:5" ht="13.5" thickBot="1" x14ac:dyDescent="0.25">
      <c r="A112" s="329" t="s">
        <v>41</v>
      </c>
      <c r="B112" s="330"/>
      <c r="C112" s="331"/>
      <c r="D112" s="69">
        <f>SUM(D107:D111)</f>
        <v>132.34558404558405</v>
      </c>
    </row>
    <row r="113" spans="1:5" ht="13.5" thickBot="1" x14ac:dyDescent="0.25">
      <c r="A113" s="81"/>
      <c r="C113" s="82"/>
      <c r="D113" s="83"/>
    </row>
    <row r="114" spans="1:5" ht="13.5" thickBot="1" x14ac:dyDescent="0.25">
      <c r="A114" s="339" t="s">
        <v>89</v>
      </c>
      <c r="B114" s="340"/>
      <c r="C114" s="340"/>
      <c r="D114" s="341"/>
    </row>
    <row r="115" spans="1:5" ht="13.5" thickBot="1" x14ac:dyDescent="0.25">
      <c r="A115" s="64">
        <v>6</v>
      </c>
      <c r="B115" s="85" t="s">
        <v>90</v>
      </c>
      <c r="C115" s="47" t="s">
        <v>68</v>
      </c>
      <c r="D115" s="66" t="s">
        <v>64</v>
      </c>
    </row>
    <row r="116" spans="1:5" ht="13.5" thickBot="1" x14ac:dyDescent="0.25">
      <c r="A116" s="67" t="s">
        <v>69</v>
      </c>
      <c r="B116" s="86" t="s">
        <v>91</v>
      </c>
      <c r="C116" s="191">
        <v>5.0000000000000001E-4</v>
      </c>
      <c r="D116" s="68">
        <f>C116*D134</f>
        <v>3.7430762123652919</v>
      </c>
    </row>
    <row r="117" spans="1:5" ht="13.5" thickBot="1" x14ac:dyDescent="0.25">
      <c r="A117" s="67" t="s">
        <v>71</v>
      </c>
      <c r="B117" s="86" t="s">
        <v>92</v>
      </c>
      <c r="C117" s="191">
        <v>5.0000000000000001E-4</v>
      </c>
      <c r="D117" s="68">
        <f>(D134+D116)*C117</f>
        <v>3.7449477504714741</v>
      </c>
    </row>
    <row r="118" spans="1:5" ht="13.5" thickBot="1" x14ac:dyDescent="0.25">
      <c r="A118" s="67" t="s">
        <v>39</v>
      </c>
      <c r="B118" s="86" t="s">
        <v>93</v>
      </c>
      <c r="C118" s="78">
        <f>C119+C120+C121</f>
        <v>8.6499999999999994E-2</v>
      </c>
      <c r="D118" s="68">
        <f>((D134+D116+D117)/(1-C118))*C118</f>
        <v>709.57843329171408</v>
      </c>
      <c r="E118" s="87"/>
    </row>
    <row r="119" spans="1:5" ht="13.5" thickBot="1" x14ac:dyDescent="0.25">
      <c r="A119" s="67"/>
      <c r="B119" s="86" t="s">
        <v>94</v>
      </c>
      <c r="C119" s="191">
        <v>3.6499999999999998E-2</v>
      </c>
      <c r="D119" s="68">
        <f>C119*D136</f>
        <v>299.41752999999994</v>
      </c>
    </row>
    <row r="120" spans="1:5" ht="13.5" thickBot="1" x14ac:dyDescent="0.25">
      <c r="A120" s="67"/>
      <c r="B120" s="86" t="s">
        <v>95</v>
      </c>
      <c r="C120" s="88">
        <v>0.05</v>
      </c>
      <c r="D120" s="68">
        <f>C120*D136</f>
        <v>410.161</v>
      </c>
    </row>
    <row r="121" spans="1:5" ht="13.5" thickBot="1" x14ac:dyDescent="0.25">
      <c r="A121" s="67"/>
      <c r="B121" s="86" t="s">
        <v>96</v>
      </c>
      <c r="C121" s="88">
        <v>0</v>
      </c>
      <c r="D121" s="68">
        <f>C121*D136</f>
        <v>0</v>
      </c>
    </row>
    <row r="122" spans="1:5" ht="13.5" thickBot="1" x14ac:dyDescent="0.25">
      <c r="A122" s="329" t="s">
        <v>41</v>
      </c>
      <c r="B122" s="331"/>
      <c r="C122" s="80">
        <f>C118+C116+C117</f>
        <v>8.7499999999999994E-2</v>
      </c>
      <c r="D122" s="66">
        <f>SUM(D116,D117,D118)</f>
        <v>717.06645725455087</v>
      </c>
    </row>
    <row r="123" spans="1:5" x14ac:dyDescent="0.2">
      <c r="A123" s="52" t="s">
        <v>110</v>
      </c>
      <c r="C123" s="82"/>
      <c r="D123" s="83"/>
    </row>
    <row r="124" spans="1:5" x14ac:dyDescent="0.2">
      <c r="A124" s="338" t="s">
        <v>136</v>
      </c>
      <c r="B124" s="338"/>
      <c r="C124" s="338"/>
      <c r="D124" s="338"/>
    </row>
    <row r="125" spans="1:5" x14ac:dyDescent="0.2">
      <c r="A125" s="52" t="s">
        <v>137</v>
      </c>
      <c r="C125" s="82"/>
      <c r="D125" s="83"/>
    </row>
    <row r="126" spans="1:5" ht="13.5" thickBot="1" x14ac:dyDescent="0.25">
      <c r="A126" s="81"/>
      <c r="C126" s="82"/>
      <c r="D126" s="83"/>
    </row>
    <row r="127" spans="1:5" ht="13.5" thickBot="1" x14ac:dyDescent="0.25">
      <c r="A127" s="339" t="s">
        <v>97</v>
      </c>
      <c r="B127" s="340"/>
      <c r="C127" s="340"/>
      <c r="D127" s="341"/>
    </row>
    <row r="128" spans="1:5" ht="13.5" thickBot="1" x14ac:dyDescent="0.25">
      <c r="A128" s="64"/>
      <c r="B128" s="344" t="s">
        <v>98</v>
      </c>
      <c r="C128" s="346"/>
      <c r="D128" s="66" t="s">
        <v>64</v>
      </c>
    </row>
    <row r="129" spans="1:4" ht="13.5" thickBot="1" x14ac:dyDescent="0.25">
      <c r="A129" s="89" t="s">
        <v>69</v>
      </c>
      <c r="B129" s="383" t="s">
        <v>16</v>
      </c>
      <c r="C129" s="384"/>
      <c r="D129" s="68">
        <f>D28</f>
        <v>3717.45</v>
      </c>
    </row>
    <row r="130" spans="1:4" ht="13.5" thickBot="1" x14ac:dyDescent="0.25">
      <c r="A130" s="89" t="s">
        <v>71</v>
      </c>
      <c r="B130" s="336" t="s">
        <v>31</v>
      </c>
      <c r="C130" s="337"/>
      <c r="D130" s="68">
        <f>D72</f>
        <v>3423.5651699999999</v>
      </c>
    </row>
    <row r="131" spans="1:4" ht="13.5" thickBot="1" x14ac:dyDescent="0.25">
      <c r="A131" s="89" t="s">
        <v>39</v>
      </c>
      <c r="B131" s="336" t="s">
        <v>66</v>
      </c>
      <c r="C131" s="337"/>
      <c r="D131" s="68">
        <f>D81</f>
        <v>153.94406544</v>
      </c>
    </row>
    <row r="132" spans="1:4" ht="13.5" thickBot="1" x14ac:dyDescent="0.25">
      <c r="A132" s="89" t="s">
        <v>9</v>
      </c>
      <c r="B132" s="336" t="s">
        <v>78</v>
      </c>
      <c r="C132" s="337"/>
      <c r="D132" s="68">
        <f>D103</f>
        <v>58.847605244999997</v>
      </c>
    </row>
    <row r="133" spans="1:4" ht="13.5" thickBot="1" x14ac:dyDescent="0.25">
      <c r="A133" s="89" t="s">
        <v>75</v>
      </c>
      <c r="B133" s="336" t="s">
        <v>84</v>
      </c>
      <c r="C133" s="337"/>
      <c r="D133" s="68">
        <f>D112</f>
        <v>132.34558404558405</v>
      </c>
    </row>
    <row r="134" spans="1:4" ht="13.5" thickBot="1" x14ac:dyDescent="0.25">
      <c r="A134" s="329" t="s">
        <v>99</v>
      </c>
      <c r="B134" s="330"/>
      <c r="C134" s="331"/>
      <c r="D134" s="68">
        <f>SUM(D129:D133)</f>
        <v>7486.1524247305833</v>
      </c>
    </row>
    <row r="135" spans="1:4" ht="13.5" thickBot="1" x14ac:dyDescent="0.25">
      <c r="A135" s="89" t="s">
        <v>76</v>
      </c>
      <c r="B135" s="383" t="s">
        <v>100</v>
      </c>
      <c r="C135" s="384"/>
      <c r="D135" s="90">
        <f>D122</f>
        <v>717.06645725455087</v>
      </c>
    </row>
    <row r="136" spans="1:4" ht="13.5" thickBot="1" x14ac:dyDescent="0.25">
      <c r="A136" s="329" t="s">
        <v>101</v>
      </c>
      <c r="B136" s="330"/>
      <c r="C136" s="331"/>
      <c r="D136" s="91">
        <f>ROUND((D134+D135),2)</f>
        <v>8203.2199999999993</v>
      </c>
    </row>
    <row r="137" spans="1:4" ht="15" customHeight="1" thickBot="1" x14ac:dyDescent="0.25">
      <c r="A137" s="329" t="s">
        <v>144</v>
      </c>
      <c r="B137" s="330"/>
      <c r="C137" s="331"/>
      <c r="D137" s="91">
        <f>D136*1</f>
        <v>8203.2199999999993</v>
      </c>
    </row>
  </sheetData>
  <mergeCells count="84">
    <mergeCell ref="B133:C133"/>
    <mergeCell ref="A134:C134"/>
    <mergeCell ref="B135:C135"/>
    <mergeCell ref="B96:C96"/>
    <mergeCell ref="A97:C97"/>
    <mergeCell ref="A99:D99"/>
    <mergeCell ref="A103:C103"/>
    <mergeCell ref="A105:D105"/>
    <mergeCell ref="B106:C106"/>
    <mergeCell ref="A136:C136"/>
    <mergeCell ref="B107:C107"/>
    <mergeCell ref="B108:C108"/>
    <mergeCell ref="B109:C109"/>
    <mergeCell ref="B110:C110"/>
    <mergeCell ref="B111:C111"/>
    <mergeCell ref="A112:C112"/>
    <mergeCell ref="B128:C128"/>
    <mergeCell ref="B130:C130"/>
    <mergeCell ref="B131:C131"/>
    <mergeCell ref="B132:C132"/>
    <mergeCell ref="A114:D114"/>
    <mergeCell ref="A124:D124"/>
    <mergeCell ref="A122:B122"/>
    <mergeCell ref="B129:C129"/>
    <mergeCell ref="A127:D127"/>
    <mergeCell ref="A92:B92"/>
    <mergeCell ref="B61:C61"/>
    <mergeCell ref="B62:C62"/>
    <mergeCell ref="A64:C64"/>
    <mergeCell ref="B68:C68"/>
    <mergeCell ref="B69:C69"/>
    <mergeCell ref="B70:C70"/>
    <mergeCell ref="A83:D83"/>
    <mergeCell ref="A84:D84"/>
    <mergeCell ref="B71:C71"/>
    <mergeCell ref="A72:C72"/>
    <mergeCell ref="A73:D73"/>
    <mergeCell ref="A81:B81"/>
    <mergeCell ref="A82:D82"/>
    <mergeCell ref="B25:C25"/>
    <mergeCell ref="B26:C26"/>
    <mergeCell ref="B27:C27"/>
    <mergeCell ref="A28:C28"/>
    <mergeCell ref="A30:D30"/>
    <mergeCell ref="A31:D31"/>
    <mergeCell ref="A6:D6"/>
    <mergeCell ref="A8:D8"/>
    <mergeCell ref="B12:C12"/>
    <mergeCell ref="C14:D14"/>
    <mergeCell ref="B16:C16"/>
    <mergeCell ref="B18:C18"/>
    <mergeCell ref="A19:D19"/>
    <mergeCell ref="B23:C23"/>
    <mergeCell ref="B15:C15"/>
    <mergeCell ref="B20:C20"/>
    <mergeCell ref="B21:C21"/>
    <mergeCell ref="A7:D7"/>
    <mergeCell ref="B9:C9"/>
    <mergeCell ref="B10:C10"/>
    <mergeCell ref="B11:C11"/>
    <mergeCell ref="A41:D41"/>
    <mergeCell ref="A35:B35"/>
    <mergeCell ref="A38:D38"/>
    <mergeCell ref="A39:D39"/>
    <mergeCell ref="B56:C56"/>
    <mergeCell ref="A55:D55"/>
    <mergeCell ref="A51:B51"/>
    <mergeCell ref="A37:B37"/>
    <mergeCell ref="A137:C137"/>
    <mergeCell ref="A13:D13"/>
    <mergeCell ref="A1:D1"/>
    <mergeCell ref="A2:D2"/>
    <mergeCell ref="A3:D3"/>
    <mergeCell ref="A4:D4"/>
    <mergeCell ref="A5:D5"/>
    <mergeCell ref="B102:C102"/>
    <mergeCell ref="B95:C95"/>
    <mergeCell ref="B100:C100"/>
    <mergeCell ref="B101:C101"/>
    <mergeCell ref="A66:D66"/>
    <mergeCell ref="A67:D67"/>
    <mergeCell ref="A93:D93"/>
    <mergeCell ref="A94:D94"/>
    <mergeCell ref="A40:D40"/>
  </mergeCells>
  <pageMargins left="0.51181102362204722" right="0.51181102362204722" top="0.78740157480314965" bottom="0.78740157480314965" header="0.31496062992125984" footer="0.31496062992125984"/>
  <pageSetup paperSize="9" scale="76" fitToHeight="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37"/>
  <sheetViews>
    <sheetView topLeftCell="A53" zoomScale="130" zoomScaleNormal="130" workbookViewId="0">
      <selection activeCell="F58" sqref="F58"/>
    </sheetView>
  </sheetViews>
  <sheetFormatPr defaultRowHeight="12.75" x14ac:dyDescent="0.2"/>
  <cols>
    <col min="1" max="1" width="5" style="46" customWidth="1"/>
    <col min="2" max="2" width="47.7109375" style="46" customWidth="1"/>
    <col min="3" max="3" width="11.28515625" style="46" customWidth="1"/>
    <col min="4" max="4" width="24.28515625" style="46" customWidth="1"/>
    <col min="5" max="16384" width="9.140625" style="46"/>
  </cols>
  <sheetData>
    <row r="1" spans="1:6" x14ac:dyDescent="0.2">
      <c r="A1" s="395" t="str">
        <f>'VIGILÂNCIA DES 44HRS SEG A SEX'!A1:D1</f>
        <v xml:space="preserve">MINISTERIO DO MEIO AMBIENTE E MUDANÇA DO CLIMA </v>
      </c>
      <c r="B1" s="396"/>
      <c r="C1" s="396"/>
      <c r="D1" s="396"/>
    </row>
    <row r="2" spans="1:6" x14ac:dyDescent="0.2">
      <c r="A2" s="395" t="str">
        <f>'VIGILÂNCIA DES 44HRS SEG A SEX'!A2:D2</f>
        <v xml:space="preserve">SUBSECRETARIA DE PLANEJAMENTO, ORÇAMENTO E ADMINISTRAÇÃO </v>
      </c>
      <c r="B2" s="396"/>
      <c r="C2" s="396"/>
      <c r="D2" s="396"/>
    </row>
    <row r="3" spans="1:6" x14ac:dyDescent="0.2">
      <c r="A3" s="395"/>
      <c r="B3" s="396"/>
      <c r="C3" s="396"/>
      <c r="D3" s="396"/>
    </row>
    <row r="4" spans="1:6" x14ac:dyDescent="0.2">
      <c r="A4" s="395"/>
      <c r="B4" s="396"/>
      <c r="C4" s="396"/>
      <c r="D4" s="396"/>
    </row>
    <row r="5" spans="1:6" ht="13.5" thickBot="1" x14ac:dyDescent="0.25">
      <c r="A5" s="400" t="s">
        <v>0</v>
      </c>
      <c r="B5" s="401"/>
      <c r="C5" s="401"/>
      <c r="D5" s="401"/>
    </row>
    <row r="6" spans="1:6" x14ac:dyDescent="0.2">
      <c r="A6" s="402" t="s">
        <v>111</v>
      </c>
      <c r="B6" s="403"/>
      <c r="C6" s="403"/>
      <c r="D6" s="404"/>
    </row>
    <row r="7" spans="1:6" ht="13.5" thickBot="1" x14ac:dyDescent="0.25">
      <c r="A7" s="400" t="s">
        <v>112</v>
      </c>
      <c r="B7" s="401"/>
      <c r="C7" s="401"/>
      <c r="D7" s="405"/>
    </row>
    <row r="8" spans="1:6" ht="13.5" thickBot="1" x14ac:dyDescent="0.25">
      <c r="A8" s="389" t="s">
        <v>1</v>
      </c>
      <c r="B8" s="390"/>
      <c r="C8" s="390"/>
      <c r="D8" s="390"/>
    </row>
    <row r="9" spans="1:6" x14ac:dyDescent="0.2">
      <c r="A9" s="122" t="s">
        <v>2</v>
      </c>
      <c r="B9" s="426" t="s">
        <v>3</v>
      </c>
      <c r="C9" s="426"/>
      <c r="D9" s="251">
        <f>'VIGILÂNCIA DES 44HRS SEG A SEX'!D9</f>
        <v>45751</v>
      </c>
    </row>
    <row r="10" spans="1:6" x14ac:dyDescent="0.2">
      <c r="A10" s="123" t="s">
        <v>4</v>
      </c>
      <c r="B10" s="391" t="s">
        <v>5</v>
      </c>
      <c r="C10" s="391"/>
      <c r="D10" s="124" t="s">
        <v>6</v>
      </c>
    </row>
    <row r="11" spans="1:6" ht="25.5" x14ac:dyDescent="0.2">
      <c r="A11" s="123" t="s">
        <v>7</v>
      </c>
      <c r="B11" s="392" t="s">
        <v>8</v>
      </c>
      <c r="C11" s="393"/>
      <c r="D11" s="125" t="str">
        <f>'VIGILÂNCIA DES 44HRS SEG A SEX'!D11</f>
        <v>DF000333/2024 - SINDESV/DF</v>
      </c>
    </row>
    <row r="12" spans="1:6" ht="13.5" thickBot="1" x14ac:dyDescent="0.25">
      <c r="A12" s="126" t="s">
        <v>9</v>
      </c>
      <c r="B12" s="394" t="s">
        <v>10</v>
      </c>
      <c r="C12" s="394"/>
      <c r="D12" s="127">
        <v>12</v>
      </c>
    </row>
    <row r="13" spans="1:6" ht="13.5" thickBot="1" x14ac:dyDescent="0.25">
      <c r="A13" s="427" t="s">
        <v>11</v>
      </c>
      <c r="B13" s="428"/>
      <c r="C13" s="428"/>
      <c r="D13" s="428"/>
    </row>
    <row r="14" spans="1:6" ht="25.5" x14ac:dyDescent="0.2">
      <c r="A14" s="128">
        <v>1</v>
      </c>
      <c r="B14" s="129" t="s">
        <v>12</v>
      </c>
      <c r="C14" s="429" t="s">
        <v>269</v>
      </c>
      <c r="D14" s="430"/>
    </row>
    <row r="15" spans="1:6" x14ac:dyDescent="0.2">
      <c r="A15" s="130">
        <v>2</v>
      </c>
      <c r="B15" s="434" t="s">
        <v>102</v>
      </c>
      <c r="C15" s="420"/>
      <c r="D15" s="120">
        <f>'VIGILÂNCIA DES 44HRS SEG A SEX'!D15</f>
        <v>2859.5805</v>
      </c>
      <c r="F15" s="131">
        <v>2859.58</v>
      </c>
    </row>
    <row r="16" spans="1:6" x14ac:dyDescent="0.2">
      <c r="A16" s="130">
        <v>3</v>
      </c>
      <c r="B16" s="434" t="s">
        <v>13</v>
      </c>
      <c r="C16" s="415"/>
      <c r="D16" s="132" t="s">
        <v>14</v>
      </c>
    </row>
    <row r="17" spans="1:4" x14ac:dyDescent="0.2">
      <c r="A17" s="117">
        <v>4</v>
      </c>
      <c r="B17" s="133" t="s">
        <v>113</v>
      </c>
      <c r="C17" s="134"/>
      <c r="D17" s="135" t="s">
        <v>138</v>
      </c>
    </row>
    <row r="18" spans="1:4" ht="13.5" thickBot="1" x14ac:dyDescent="0.25">
      <c r="A18" s="136">
        <v>5</v>
      </c>
      <c r="B18" s="435" t="s">
        <v>15</v>
      </c>
      <c r="C18" s="436"/>
      <c r="D18" s="137">
        <v>45658</v>
      </c>
    </row>
    <row r="19" spans="1:4" ht="13.5" thickBot="1" x14ac:dyDescent="0.25">
      <c r="A19" s="431" t="s">
        <v>16</v>
      </c>
      <c r="B19" s="432"/>
      <c r="C19" s="432"/>
      <c r="D19" s="432"/>
    </row>
    <row r="20" spans="1:4" ht="13.5" thickBot="1" x14ac:dyDescent="0.25">
      <c r="A20" s="121">
        <v>1</v>
      </c>
      <c r="B20" s="437" t="s">
        <v>17</v>
      </c>
      <c r="C20" s="438"/>
      <c r="D20" s="138" t="s">
        <v>18</v>
      </c>
    </row>
    <row r="21" spans="1:4" x14ac:dyDescent="0.2">
      <c r="A21" s="139" t="s">
        <v>2</v>
      </c>
      <c r="B21" s="421" t="s">
        <v>19</v>
      </c>
      <c r="C21" s="421"/>
      <c r="D21" s="140">
        <f>D15</f>
        <v>2859.5805</v>
      </c>
    </row>
    <row r="22" spans="1:4" x14ac:dyDescent="0.2">
      <c r="A22" s="141" t="s">
        <v>4</v>
      </c>
      <c r="B22" s="142" t="s">
        <v>20</v>
      </c>
      <c r="C22" s="143">
        <v>0.3</v>
      </c>
      <c r="D22" s="144">
        <f t="shared" ref="D22" si="0">C22*D21</f>
        <v>857.87414999999999</v>
      </c>
    </row>
    <row r="23" spans="1:4" x14ac:dyDescent="0.2">
      <c r="A23" s="141" t="s">
        <v>7</v>
      </c>
      <c r="B23" s="416" t="s">
        <v>21</v>
      </c>
      <c r="C23" s="416"/>
      <c r="D23" s="144">
        <v>0</v>
      </c>
    </row>
    <row r="24" spans="1:4" x14ac:dyDescent="0.2">
      <c r="A24" s="141" t="s">
        <v>22</v>
      </c>
      <c r="B24" s="142" t="s">
        <v>23</v>
      </c>
      <c r="C24" s="145">
        <v>0</v>
      </c>
      <c r="D24" s="144">
        <f>(D21+D22)/(220)*(20%)*(120)</f>
        <v>405.54050727272733</v>
      </c>
    </row>
    <row r="25" spans="1:4" x14ac:dyDescent="0.2">
      <c r="A25" s="141" t="s">
        <v>24</v>
      </c>
      <c r="B25" s="416" t="s">
        <v>25</v>
      </c>
      <c r="C25" s="416"/>
      <c r="D25" s="144">
        <f t="shared" ref="D25" si="1">D21/220*0.2*0*15</f>
        <v>0</v>
      </c>
    </row>
    <row r="26" spans="1:4" x14ac:dyDescent="0.2">
      <c r="A26" s="141" t="s">
        <v>26</v>
      </c>
      <c r="B26" s="416" t="s">
        <v>27</v>
      </c>
      <c r="C26" s="416"/>
      <c r="D26" s="144">
        <v>0</v>
      </c>
    </row>
    <row r="27" spans="1:4" x14ac:dyDescent="0.2">
      <c r="A27" s="146" t="s">
        <v>28</v>
      </c>
      <c r="B27" s="433" t="s">
        <v>29</v>
      </c>
      <c r="C27" s="433"/>
      <c r="D27" s="147">
        <v>0</v>
      </c>
    </row>
    <row r="28" spans="1:4" ht="13.5" thickBot="1" x14ac:dyDescent="0.25">
      <c r="A28" s="417" t="s">
        <v>30</v>
      </c>
      <c r="B28" s="439"/>
      <c r="C28" s="418"/>
      <c r="D28" s="148">
        <f>ROUND(SUM(D21:D27),2)</f>
        <v>4123</v>
      </c>
    </row>
    <row r="29" spans="1:4" ht="13.5" thickBot="1" x14ac:dyDescent="0.25">
      <c r="A29" s="149" t="s">
        <v>114</v>
      </c>
      <c r="B29" s="150"/>
      <c r="C29" s="151"/>
      <c r="D29" s="152"/>
    </row>
    <row r="30" spans="1:4" ht="13.5" thickBot="1" x14ac:dyDescent="0.25">
      <c r="A30" s="422" t="s">
        <v>31</v>
      </c>
      <c r="B30" s="423"/>
      <c r="C30" s="423"/>
      <c r="D30" s="424"/>
    </row>
    <row r="31" spans="1:4" ht="13.5" thickBot="1" x14ac:dyDescent="0.25">
      <c r="A31" s="422" t="s">
        <v>32</v>
      </c>
      <c r="B31" s="423"/>
      <c r="C31" s="423"/>
      <c r="D31" s="424"/>
    </row>
    <row r="32" spans="1:4" ht="13.5" thickBot="1" x14ac:dyDescent="0.25">
      <c r="A32" s="153" t="s">
        <v>33</v>
      </c>
      <c r="B32" s="154" t="s">
        <v>34</v>
      </c>
      <c r="C32" s="155" t="s">
        <v>35</v>
      </c>
      <c r="D32" s="156" t="s">
        <v>18</v>
      </c>
    </row>
    <row r="33" spans="1:4" x14ac:dyDescent="0.2">
      <c r="A33" s="157" t="s">
        <v>2</v>
      </c>
      <c r="B33" s="158" t="s">
        <v>36</v>
      </c>
      <c r="C33" s="159">
        <v>8.3299999999999999E-2</v>
      </c>
      <c r="D33" s="120">
        <f>ROUND(D$28*C33,2)</f>
        <v>343.45</v>
      </c>
    </row>
    <row r="34" spans="1:4" x14ac:dyDescent="0.2">
      <c r="A34" s="130" t="s">
        <v>4</v>
      </c>
      <c r="B34" s="160" t="s">
        <v>37</v>
      </c>
      <c r="C34" s="48">
        <v>0.121</v>
      </c>
      <c r="D34" s="120">
        <f t="shared" ref="D34" si="2">ROUND(D$28*C34,2)</f>
        <v>498.88</v>
      </c>
    </row>
    <row r="35" spans="1:4" ht="13.5" thickBot="1" x14ac:dyDescent="0.25">
      <c r="A35" s="440" t="s">
        <v>38</v>
      </c>
      <c r="B35" s="441"/>
      <c r="C35" s="161">
        <f>SUM(A33:C34)</f>
        <v>0.20429999999999998</v>
      </c>
      <c r="D35" s="120">
        <f>SUM(D33:D34)</f>
        <v>842.32999999999993</v>
      </c>
    </row>
    <row r="36" spans="1:4" ht="25.5" x14ac:dyDescent="0.2">
      <c r="A36" s="117" t="s">
        <v>39</v>
      </c>
      <c r="B36" s="118" t="s">
        <v>40</v>
      </c>
      <c r="C36" s="119">
        <f>C35*C51</f>
        <v>7.2117899999999999E-2</v>
      </c>
      <c r="D36" s="120">
        <f>ROUND(D$28*C36,2)</f>
        <v>297.33999999999997</v>
      </c>
    </row>
    <row r="37" spans="1:4" x14ac:dyDescent="0.2">
      <c r="A37" s="442" t="s">
        <v>41</v>
      </c>
      <c r="B37" s="443"/>
      <c r="C37" s="162"/>
      <c r="D37" s="120">
        <f>SUM(D35:D36)</f>
        <v>1139.6699999999998</v>
      </c>
    </row>
    <row r="38" spans="1:4" ht="36.75" customHeight="1" x14ac:dyDescent="0.2">
      <c r="A38" s="397" t="s">
        <v>115</v>
      </c>
      <c r="B38" s="397"/>
      <c r="C38" s="397"/>
      <c r="D38" s="397"/>
    </row>
    <row r="39" spans="1:4" ht="27.75" customHeight="1" x14ac:dyDescent="0.2">
      <c r="A39" s="397" t="s">
        <v>116</v>
      </c>
      <c r="B39" s="397"/>
      <c r="C39" s="397"/>
      <c r="D39" s="397"/>
    </row>
    <row r="40" spans="1:4" ht="36" customHeight="1" thickBot="1" x14ac:dyDescent="0.25">
      <c r="A40" s="413" t="s">
        <v>117</v>
      </c>
      <c r="B40" s="413"/>
      <c r="C40" s="413"/>
      <c r="D40" s="413"/>
    </row>
    <row r="41" spans="1:4" ht="13.5" thickBot="1" x14ac:dyDescent="0.25">
      <c r="A41" s="406" t="s">
        <v>42</v>
      </c>
      <c r="B41" s="414"/>
      <c r="C41" s="414"/>
      <c r="D41" s="407"/>
    </row>
    <row r="42" spans="1:4" ht="13.5" thickBot="1" x14ac:dyDescent="0.25">
      <c r="A42" s="153" t="s">
        <v>43</v>
      </c>
      <c r="B42" s="163" t="s">
        <v>44</v>
      </c>
      <c r="C42" s="155" t="s">
        <v>35</v>
      </c>
      <c r="D42" s="156" t="s">
        <v>18</v>
      </c>
    </row>
    <row r="43" spans="1:4" x14ac:dyDescent="0.2">
      <c r="A43" s="157" t="s">
        <v>2</v>
      </c>
      <c r="B43" s="158" t="s">
        <v>45</v>
      </c>
      <c r="C43" s="159">
        <v>0.2</v>
      </c>
      <c r="D43" s="120">
        <f>ROUND(D$28*C43,2)</f>
        <v>824.6</v>
      </c>
    </row>
    <row r="44" spans="1:4" x14ac:dyDescent="0.2">
      <c r="A44" s="130" t="s">
        <v>4</v>
      </c>
      <c r="B44" s="160" t="s">
        <v>46</v>
      </c>
      <c r="C44" s="48">
        <v>2.5000000000000001E-2</v>
      </c>
      <c r="D44" s="120">
        <f t="shared" ref="D44:D50" si="3">ROUND(D$28*C44,2)</f>
        <v>103.08</v>
      </c>
    </row>
    <row r="45" spans="1:4" x14ac:dyDescent="0.2">
      <c r="A45" s="130" t="s">
        <v>7</v>
      </c>
      <c r="B45" s="160" t="s">
        <v>47</v>
      </c>
      <c r="C45" s="48">
        <f>'VIGILÂNCIA DES 44HRS SEG A SEX'!C45</f>
        <v>1.4999999999999999E-2</v>
      </c>
      <c r="D45" s="120">
        <f t="shared" si="3"/>
        <v>61.85</v>
      </c>
    </row>
    <row r="46" spans="1:4" x14ac:dyDescent="0.2">
      <c r="A46" s="130" t="s">
        <v>22</v>
      </c>
      <c r="B46" s="160" t="s">
        <v>48</v>
      </c>
      <c r="C46" s="48">
        <v>1.4999999999999999E-2</v>
      </c>
      <c r="D46" s="120">
        <f t="shared" si="3"/>
        <v>61.85</v>
      </c>
    </row>
    <row r="47" spans="1:4" x14ac:dyDescent="0.2">
      <c r="A47" s="130" t="s">
        <v>24</v>
      </c>
      <c r="B47" s="160" t="s">
        <v>49</v>
      </c>
      <c r="C47" s="48">
        <v>0.01</v>
      </c>
      <c r="D47" s="120">
        <f t="shared" si="3"/>
        <v>41.23</v>
      </c>
    </row>
    <row r="48" spans="1:4" x14ac:dyDescent="0.2">
      <c r="A48" s="130" t="s">
        <v>50</v>
      </c>
      <c r="B48" s="160" t="s">
        <v>51</v>
      </c>
      <c r="C48" s="48">
        <v>6.0000000000000001E-3</v>
      </c>
      <c r="D48" s="120">
        <f t="shared" si="3"/>
        <v>24.74</v>
      </c>
    </row>
    <row r="49" spans="1:5" x14ac:dyDescent="0.2">
      <c r="A49" s="130" t="s">
        <v>26</v>
      </c>
      <c r="B49" s="160" t="s">
        <v>52</v>
      </c>
      <c r="C49" s="48">
        <v>2E-3</v>
      </c>
      <c r="D49" s="120">
        <f t="shared" si="3"/>
        <v>8.25</v>
      </c>
    </row>
    <row r="50" spans="1:5" x14ac:dyDescent="0.2">
      <c r="A50" s="117" t="s">
        <v>28</v>
      </c>
      <c r="B50" s="164" t="s">
        <v>53</v>
      </c>
      <c r="C50" s="48">
        <v>0.08</v>
      </c>
      <c r="D50" s="120">
        <f t="shared" si="3"/>
        <v>329.84</v>
      </c>
    </row>
    <row r="51" spans="1:5" ht="13.5" thickBot="1" x14ac:dyDescent="0.25">
      <c r="A51" s="417" t="s">
        <v>54</v>
      </c>
      <c r="B51" s="418"/>
      <c r="C51" s="165">
        <f>SUM(C43:C50)</f>
        <v>0.35300000000000004</v>
      </c>
      <c r="D51" s="166">
        <f>SUM(D43:D50)</f>
        <v>1455.44</v>
      </c>
    </row>
    <row r="52" spans="1:5" x14ac:dyDescent="0.2">
      <c r="A52" s="167" t="s">
        <v>118</v>
      </c>
      <c r="B52" s="168"/>
      <c r="C52" s="169"/>
      <c r="D52" s="170"/>
      <c r="E52" s="149"/>
    </row>
    <row r="53" spans="1:5" x14ac:dyDescent="0.2">
      <c r="A53" s="167" t="s">
        <v>119</v>
      </c>
      <c r="B53" s="168"/>
      <c r="C53" s="169"/>
      <c r="D53" s="170"/>
      <c r="E53" s="149"/>
    </row>
    <row r="54" spans="1:5" ht="13.5" thickBot="1" x14ac:dyDescent="0.25">
      <c r="A54" s="149" t="s">
        <v>120</v>
      </c>
      <c r="B54" s="168"/>
      <c r="C54" s="169"/>
      <c r="D54" s="170"/>
      <c r="E54" s="149"/>
    </row>
    <row r="55" spans="1:5" ht="13.5" thickBot="1" x14ac:dyDescent="0.25">
      <c r="A55" s="422" t="s">
        <v>55</v>
      </c>
      <c r="B55" s="423"/>
      <c r="C55" s="423"/>
      <c r="D55" s="424"/>
    </row>
    <row r="56" spans="1:5" ht="13.5" thickBot="1" x14ac:dyDescent="0.25">
      <c r="A56" s="153" t="s">
        <v>56</v>
      </c>
      <c r="B56" s="419" t="s">
        <v>57</v>
      </c>
      <c r="C56" s="409"/>
      <c r="D56" s="171" t="s">
        <v>18</v>
      </c>
    </row>
    <row r="57" spans="1:5" x14ac:dyDescent="0.2">
      <c r="A57" s="122" t="s">
        <v>2</v>
      </c>
      <c r="B57" s="172" t="s">
        <v>58</v>
      </c>
      <c r="C57" s="173">
        <v>15</v>
      </c>
      <c r="D57" s="120">
        <v>0</v>
      </c>
    </row>
    <row r="58" spans="1:5" x14ac:dyDescent="0.2">
      <c r="A58" s="123" t="s">
        <v>4</v>
      </c>
      <c r="B58" s="174" t="s">
        <v>59</v>
      </c>
      <c r="C58" s="175">
        <v>15</v>
      </c>
      <c r="D58" s="265">
        <f>C58*49.6</f>
        <v>744</v>
      </c>
    </row>
    <row r="59" spans="1:5" x14ac:dyDescent="0.2">
      <c r="A59" s="123" t="s">
        <v>39</v>
      </c>
      <c r="B59" s="177" t="s">
        <v>60</v>
      </c>
      <c r="C59" s="178"/>
      <c r="D59" s="176">
        <v>0</v>
      </c>
    </row>
    <row r="60" spans="1:5" x14ac:dyDescent="0.2">
      <c r="A60" s="123" t="s">
        <v>22</v>
      </c>
      <c r="B60" s="179" t="s">
        <v>121</v>
      </c>
      <c r="C60" s="178"/>
      <c r="D60" s="176">
        <v>0</v>
      </c>
    </row>
    <row r="61" spans="1:5" x14ac:dyDescent="0.2">
      <c r="A61" s="122" t="s">
        <v>75</v>
      </c>
      <c r="B61" s="420" t="s">
        <v>104</v>
      </c>
      <c r="C61" s="421"/>
      <c r="D61" s="264">
        <f>'VIGILÂNCIA DES 44HRS SEG A SEX'!D61</f>
        <v>17.73</v>
      </c>
    </row>
    <row r="62" spans="1:5" x14ac:dyDescent="0.2">
      <c r="A62" s="123" t="s">
        <v>50</v>
      </c>
      <c r="B62" s="415" t="s">
        <v>105</v>
      </c>
      <c r="C62" s="416"/>
      <c r="D62" s="176">
        <v>0</v>
      </c>
    </row>
    <row r="63" spans="1:5" ht="24.75" customHeight="1" thickBot="1" x14ac:dyDescent="0.25">
      <c r="A63" s="123" t="s">
        <v>103</v>
      </c>
      <c r="B63" s="177" t="s">
        <v>274</v>
      </c>
      <c r="C63" s="178"/>
      <c r="D63" s="265">
        <v>25</v>
      </c>
    </row>
    <row r="64" spans="1:5" ht="13.5" thickBot="1" x14ac:dyDescent="0.25">
      <c r="A64" s="444" t="s">
        <v>61</v>
      </c>
      <c r="B64" s="445" t="s">
        <v>61</v>
      </c>
      <c r="C64" s="445"/>
      <c r="D64" s="180">
        <f>SUM(D57:D63)</f>
        <v>786.73</v>
      </c>
    </row>
    <row r="65" spans="1:4" x14ac:dyDescent="0.2">
      <c r="A65" s="167" t="s">
        <v>122</v>
      </c>
      <c r="B65" s="181"/>
      <c r="C65" s="181"/>
      <c r="D65" s="182"/>
    </row>
    <row r="66" spans="1:4" ht="13.5" thickBot="1" x14ac:dyDescent="0.25">
      <c r="A66" s="446" t="s">
        <v>123</v>
      </c>
      <c r="B66" s="446"/>
      <c r="C66" s="446"/>
      <c r="D66" s="446"/>
    </row>
    <row r="67" spans="1:4" ht="13.5" thickBot="1" x14ac:dyDescent="0.25">
      <c r="A67" s="422" t="s">
        <v>62</v>
      </c>
      <c r="B67" s="423"/>
      <c r="C67" s="423"/>
      <c r="D67" s="424"/>
    </row>
    <row r="68" spans="1:4" ht="13.5" thickBot="1" x14ac:dyDescent="0.25">
      <c r="A68" s="183">
        <v>2</v>
      </c>
      <c r="B68" s="408" t="s">
        <v>63</v>
      </c>
      <c r="C68" s="409"/>
      <c r="D68" s="185" t="s">
        <v>64</v>
      </c>
    </row>
    <row r="69" spans="1:4" ht="13.5" thickBot="1" x14ac:dyDescent="0.25">
      <c r="A69" s="112" t="s">
        <v>33</v>
      </c>
      <c r="B69" s="398" t="s">
        <v>34</v>
      </c>
      <c r="C69" s="399"/>
      <c r="D69" s="116">
        <f>D37</f>
        <v>1139.6699999999998</v>
      </c>
    </row>
    <row r="70" spans="1:4" ht="13.5" thickBot="1" x14ac:dyDescent="0.25">
      <c r="A70" s="112" t="s">
        <v>43</v>
      </c>
      <c r="B70" s="398" t="s">
        <v>44</v>
      </c>
      <c r="C70" s="399"/>
      <c r="D70" s="116">
        <f>D51</f>
        <v>1455.44</v>
      </c>
    </row>
    <row r="71" spans="1:4" ht="13.5" thickBot="1" x14ac:dyDescent="0.25">
      <c r="A71" s="112" t="s">
        <v>56</v>
      </c>
      <c r="B71" s="386" t="s">
        <v>57</v>
      </c>
      <c r="C71" s="387"/>
      <c r="D71" s="116">
        <f>D64</f>
        <v>786.73</v>
      </c>
    </row>
    <row r="72" spans="1:4" ht="13.5" thickBot="1" x14ac:dyDescent="0.25">
      <c r="A72" s="408" t="s">
        <v>65</v>
      </c>
      <c r="B72" s="412"/>
      <c r="C72" s="409"/>
      <c r="D72" s="186">
        <f>SUM(D69:D71)</f>
        <v>3381.8399999999997</v>
      </c>
    </row>
    <row r="73" spans="1:4" ht="13.5" thickBot="1" x14ac:dyDescent="0.25">
      <c r="A73" s="422" t="s">
        <v>66</v>
      </c>
      <c r="B73" s="423"/>
      <c r="C73" s="423"/>
      <c r="D73" s="424"/>
    </row>
    <row r="74" spans="1:4" ht="13.5" thickBot="1" x14ac:dyDescent="0.25">
      <c r="A74" s="183">
        <v>3</v>
      </c>
      <c r="B74" s="163" t="s">
        <v>67</v>
      </c>
      <c r="C74" s="187" t="s">
        <v>68</v>
      </c>
      <c r="D74" s="185" t="s">
        <v>64</v>
      </c>
    </row>
    <row r="75" spans="1:4" ht="13.5" thickBot="1" x14ac:dyDescent="0.25">
      <c r="A75" s="112" t="s">
        <v>69</v>
      </c>
      <c r="B75" s="113" t="s">
        <v>70</v>
      </c>
      <c r="C75" s="73">
        <f>'VIGILÂNCIA DES 44HRS SEG A SEX'!C75</f>
        <v>8.0000000000000004E-4</v>
      </c>
      <c r="D75" s="116">
        <f t="shared" ref="D75:D80" si="4">C75*$D$28</f>
        <v>3.2984</v>
      </c>
    </row>
    <row r="76" spans="1:4" ht="13.5" thickBot="1" x14ac:dyDescent="0.25">
      <c r="A76" s="112" t="s">
        <v>71</v>
      </c>
      <c r="B76" s="113" t="s">
        <v>72</v>
      </c>
      <c r="C76" s="73">
        <f>8%*C75</f>
        <v>6.4000000000000011E-5</v>
      </c>
      <c r="D76" s="116">
        <f t="shared" si="4"/>
        <v>0.26387200000000005</v>
      </c>
    </row>
    <row r="77" spans="1:4" ht="13.5" thickBot="1" x14ac:dyDescent="0.25">
      <c r="A77" s="112" t="s">
        <v>39</v>
      </c>
      <c r="B77" s="113" t="s">
        <v>73</v>
      </c>
      <c r="C77" s="73">
        <v>3.9800000000000002E-2</v>
      </c>
      <c r="D77" s="116">
        <f t="shared" si="4"/>
        <v>164.09540000000001</v>
      </c>
    </row>
    <row r="78" spans="1:4" ht="13.5" thickBot="1" x14ac:dyDescent="0.25">
      <c r="A78" s="112" t="s">
        <v>9</v>
      </c>
      <c r="B78" s="113" t="s">
        <v>74</v>
      </c>
      <c r="C78" s="73">
        <f>'VIGILÂNCIA DES 44HRS SEG A SEX'!C78</f>
        <v>4.0000000000000002E-4</v>
      </c>
      <c r="D78" s="116">
        <f t="shared" si="4"/>
        <v>1.6492</v>
      </c>
    </row>
    <row r="79" spans="1:4" ht="26.25" thickBot="1" x14ac:dyDescent="0.25">
      <c r="A79" s="112" t="s">
        <v>75</v>
      </c>
      <c r="B79" s="113" t="s">
        <v>124</v>
      </c>
      <c r="C79" s="73">
        <f>1*36.8%*C78</f>
        <v>1.472E-4</v>
      </c>
      <c r="D79" s="116">
        <f t="shared" si="4"/>
        <v>0.60690560000000005</v>
      </c>
    </row>
    <row r="80" spans="1:4" ht="13.5" thickBot="1" x14ac:dyDescent="0.25">
      <c r="A80" s="112" t="s">
        <v>76</v>
      </c>
      <c r="B80" s="113" t="s">
        <v>77</v>
      </c>
      <c r="C80" s="73">
        <v>2.0000000000000001E-4</v>
      </c>
      <c r="D80" s="116">
        <f t="shared" si="4"/>
        <v>0.8246</v>
      </c>
    </row>
    <row r="81" spans="1:6" ht="13.5" thickBot="1" x14ac:dyDescent="0.25">
      <c r="A81" s="408" t="s">
        <v>65</v>
      </c>
      <c r="B81" s="409"/>
      <c r="C81" s="188">
        <f>SUM(C75:C80)</f>
        <v>4.1411199999999995E-2</v>
      </c>
      <c r="D81" s="189">
        <f>SUM(D75:D80)</f>
        <v>170.73837760000004</v>
      </c>
    </row>
    <row r="82" spans="1:6" ht="36.75" customHeight="1" thickBot="1" x14ac:dyDescent="0.25">
      <c r="A82" s="425" t="s">
        <v>125</v>
      </c>
      <c r="B82" s="425"/>
      <c r="C82" s="425"/>
      <c r="D82" s="425"/>
      <c r="F82" s="190"/>
    </row>
    <row r="83" spans="1:6" ht="13.5" thickBot="1" x14ac:dyDescent="0.25">
      <c r="A83" s="422" t="s">
        <v>78</v>
      </c>
      <c r="B83" s="423"/>
      <c r="C83" s="423"/>
      <c r="D83" s="424"/>
    </row>
    <row r="84" spans="1:6" ht="13.5" thickBot="1" x14ac:dyDescent="0.25">
      <c r="A84" s="408" t="s">
        <v>79</v>
      </c>
      <c r="B84" s="412"/>
      <c r="C84" s="412"/>
      <c r="D84" s="409"/>
    </row>
    <row r="85" spans="1:6" ht="13.5" thickBot="1" x14ac:dyDescent="0.25">
      <c r="A85" s="183" t="s">
        <v>80</v>
      </c>
      <c r="B85" s="184" t="s">
        <v>126</v>
      </c>
      <c r="C85" s="183" t="s">
        <v>68</v>
      </c>
      <c r="D85" s="185" t="s">
        <v>64</v>
      </c>
    </row>
    <row r="86" spans="1:6" ht="13.5" thickBot="1" x14ac:dyDescent="0.25">
      <c r="A86" s="112" t="s">
        <v>69</v>
      </c>
      <c r="B86" s="113" t="s">
        <v>106</v>
      </c>
      <c r="C86" s="114">
        <f>'VIGILÂNCIA DES 44HRS SEG A SEX'!C86</f>
        <v>9.2999999999999992E-3</v>
      </c>
      <c r="D86" s="115">
        <f>C86*$D$28</f>
        <v>38.343899999999998</v>
      </c>
    </row>
    <row r="87" spans="1:6" ht="13.5" thickBot="1" x14ac:dyDescent="0.25">
      <c r="A87" s="112" t="s">
        <v>71</v>
      </c>
      <c r="B87" s="113" t="s">
        <v>127</v>
      </c>
      <c r="C87" s="191">
        <f>'VIGILÂNCIA DES 44HRS SEG A SEX'!C87</f>
        <v>1E-3</v>
      </c>
      <c r="D87" s="115">
        <f>C87*$D$28</f>
        <v>4.1230000000000002</v>
      </c>
    </row>
    <row r="88" spans="1:6" ht="13.5" thickBot="1" x14ac:dyDescent="0.25">
      <c r="A88" s="112" t="s">
        <v>39</v>
      </c>
      <c r="B88" s="113" t="s">
        <v>107</v>
      </c>
      <c r="C88" s="191">
        <v>2.0000000000000001E-4</v>
      </c>
      <c r="D88" s="115">
        <f>C88*$D$28</f>
        <v>0.8246</v>
      </c>
    </row>
    <row r="89" spans="1:6" ht="26.25" thickBot="1" x14ac:dyDescent="0.25">
      <c r="A89" s="112" t="s">
        <v>9</v>
      </c>
      <c r="B89" s="113" t="s">
        <v>108</v>
      </c>
      <c r="C89" s="191">
        <f>'VIGILÂNCIA DES 44HRS SEG A SEX'!C89</f>
        <v>1E-3</v>
      </c>
      <c r="D89" s="115">
        <f>C89*$D$28</f>
        <v>4.1230000000000002</v>
      </c>
    </row>
    <row r="90" spans="1:6" ht="13.5" thickBot="1" x14ac:dyDescent="0.25">
      <c r="A90" s="112" t="s">
        <v>75</v>
      </c>
      <c r="B90" s="113" t="s">
        <v>109</v>
      </c>
      <c r="C90" s="191">
        <v>2.0000000000000001E-4</v>
      </c>
      <c r="D90" s="115">
        <f>C90*$D$28</f>
        <v>0.8246</v>
      </c>
    </row>
    <row r="91" spans="1:6" ht="39" thickBot="1" x14ac:dyDescent="0.25">
      <c r="A91" s="112" t="s">
        <v>76</v>
      </c>
      <c r="B91" s="113" t="s">
        <v>128</v>
      </c>
      <c r="C91" s="114">
        <f>SUM(C86:C90)*C51</f>
        <v>4.1301000000000003E-3</v>
      </c>
      <c r="D91" s="115">
        <f t="shared" ref="D91" si="5">C91*$D$28</f>
        <v>17.0284023</v>
      </c>
      <c r="E91" s="192" t="s">
        <v>129</v>
      </c>
    </row>
    <row r="92" spans="1:6" ht="13.5" thickBot="1" x14ac:dyDescent="0.25">
      <c r="A92" s="408" t="s">
        <v>41</v>
      </c>
      <c r="B92" s="412"/>
      <c r="C92" s="193">
        <f>SUM(C86:C91)</f>
        <v>1.58301E-2</v>
      </c>
      <c r="D92" s="189">
        <f>SUM(D86:D91)</f>
        <v>65.26750229999999</v>
      </c>
    </row>
    <row r="93" spans="1:6" ht="33.75" customHeight="1" thickBot="1" x14ac:dyDescent="0.25">
      <c r="A93" s="410" t="s">
        <v>130</v>
      </c>
      <c r="B93" s="410"/>
      <c r="C93" s="410"/>
      <c r="D93" s="410"/>
    </row>
    <row r="94" spans="1:6" ht="13.5" thickBot="1" x14ac:dyDescent="0.25">
      <c r="A94" s="422" t="s">
        <v>131</v>
      </c>
      <c r="B94" s="423"/>
      <c r="C94" s="423"/>
      <c r="D94" s="424"/>
    </row>
    <row r="95" spans="1:6" ht="13.5" thickBot="1" x14ac:dyDescent="0.25">
      <c r="A95" s="183" t="s">
        <v>81</v>
      </c>
      <c r="B95" s="408" t="s">
        <v>132</v>
      </c>
      <c r="C95" s="409"/>
      <c r="D95" s="185" t="s">
        <v>64</v>
      </c>
    </row>
    <row r="96" spans="1:6" ht="13.5" thickBot="1" x14ac:dyDescent="0.25">
      <c r="A96" s="112" t="s">
        <v>69</v>
      </c>
      <c r="B96" s="386" t="s">
        <v>133</v>
      </c>
      <c r="C96" s="387"/>
      <c r="D96" s="116">
        <v>0</v>
      </c>
    </row>
    <row r="97" spans="1:4" ht="13.5" thickBot="1" x14ac:dyDescent="0.25">
      <c r="A97" s="408" t="s">
        <v>65</v>
      </c>
      <c r="B97" s="412"/>
      <c r="C97" s="409"/>
      <c r="D97" s="116">
        <f>SUM(D96)</f>
        <v>0</v>
      </c>
    </row>
    <row r="98" spans="1:4" ht="13.5" thickBot="1" x14ac:dyDescent="0.25">
      <c r="A98" s="194"/>
      <c r="C98" s="195"/>
      <c r="D98" s="196"/>
    </row>
    <row r="99" spans="1:4" ht="13.5" thickBot="1" x14ac:dyDescent="0.25">
      <c r="A99" s="422" t="s">
        <v>82</v>
      </c>
      <c r="B99" s="423"/>
      <c r="C99" s="423"/>
      <c r="D99" s="424"/>
    </row>
    <row r="100" spans="1:4" ht="13.5" thickBot="1" x14ac:dyDescent="0.25">
      <c r="A100" s="183">
        <v>4</v>
      </c>
      <c r="B100" s="408" t="s">
        <v>83</v>
      </c>
      <c r="C100" s="409"/>
      <c r="D100" s="185" t="s">
        <v>64</v>
      </c>
    </row>
    <row r="101" spans="1:4" ht="13.5" thickBot="1" x14ac:dyDescent="0.25">
      <c r="A101" s="112" t="s">
        <v>80</v>
      </c>
      <c r="B101" s="386" t="s">
        <v>126</v>
      </c>
      <c r="C101" s="387"/>
      <c r="D101" s="116">
        <f>D92</f>
        <v>65.26750229999999</v>
      </c>
    </row>
    <row r="102" spans="1:4" ht="13.5" thickBot="1" x14ac:dyDescent="0.25">
      <c r="A102" s="112" t="s">
        <v>81</v>
      </c>
      <c r="B102" s="386" t="s">
        <v>132</v>
      </c>
      <c r="C102" s="387"/>
      <c r="D102" s="116">
        <f>D97</f>
        <v>0</v>
      </c>
    </row>
    <row r="103" spans="1:4" ht="13.5" thickBot="1" x14ac:dyDescent="0.25">
      <c r="A103" s="408" t="s">
        <v>65</v>
      </c>
      <c r="B103" s="412"/>
      <c r="C103" s="409"/>
      <c r="D103" s="189">
        <f>SUM(D101:D102)</f>
        <v>65.26750229999999</v>
      </c>
    </row>
    <row r="104" spans="1:4" ht="13.5" thickBot="1" x14ac:dyDescent="0.25">
      <c r="A104" s="194"/>
      <c r="C104" s="195"/>
      <c r="D104" s="196"/>
    </row>
    <row r="105" spans="1:4" ht="13.5" thickBot="1" x14ac:dyDescent="0.25">
      <c r="A105" s="422" t="s">
        <v>84</v>
      </c>
      <c r="B105" s="423"/>
      <c r="C105" s="423"/>
      <c r="D105" s="424"/>
    </row>
    <row r="106" spans="1:4" ht="13.5" thickBot="1" x14ac:dyDescent="0.25">
      <c r="A106" s="183">
        <v>5</v>
      </c>
      <c r="B106" s="408" t="s">
        <v>85</v>
      </c>
      <c r="C106" s="409"/>
      <c r="D106" s="185" t="s">
        <v>64</v>
      </c>
    </row>
    <row r="107" spans="1:4" ht="13.5" thickBot="1" x14ac:dyDescent="0.25">
      <c r="A107" s="112" t="s">
        <v>69</v>
      </c>
      <c r="B107" s="386" t="s">
        <v>86</v>
      </c>
      <c r="C107" s="387"/>
      <c r="D107" s="116">
        <f>'VIGILÂNCIA DES 44HRS SEG A SEX'!D107</f>
        <v>46.739999999999995</v>
      </c>
    </row>
    <row r="108" spans="1:4" ht="13.5" thickBot="1" x14ac:dyDescent="0.25">
      <c r="A108" s="112" t="s">
        <v>71</v>
      </c>
      <c r="B108" s="386" t="s">
        <v>87</v>
      </c>
      <c r="C108" s="387"/>
      <c r="D108" s="116">
        <f>'VIGILÂNCIA DES 44HRS SEG A SEX'!D108</f>
        <v>13.708148148148148</v>
      </c>
    </row>
    <row r="109" spans="1:4" ht="13.5" thickBot="1" x14ac:dyDescent="0.25">
      <c r="A109" s="112" t="s">
        <v>39</v>
      </c>
      <c r="B109" s="386" t="s">
        <v>88</v>
      </c>
      <c r="C109" s="387"/>
      <c r="D109" s="116">
        <f>'VIGILÂNCIA DES 44HRS SEG A SEX'!D109</f>
        <v>71.897435897435898</v>
      </c>
    </row>
    <row r="110" spans="1:4" ht="13.5" thickBot="1" x14ac:dyDescent="0.25">
      <c r="A110" s="112" t="s">
        <v>9</v>
      </c>
      <c r="B110" s="386" t="s">
        <v>134</v>
      </c>
      <c r="C110" s="387"/>
      <c r="D110" s="116">
        <v>0</v>
      </c>
    </row>
    <row r="111" spans="1:4" ht="15.75" thickBot="1" x14ac:dyDescent="0.25">
      <c r="A111" s="197" t="s">
        <v>75</v>
      </c>
      <c r="B111" s="386" t="s">
        <v>135</v>
      </c>
      <c r="C111" s="411"/>
      <c r="D111" s="116">
        <v>0</v>
      </c>
    </row>
    <row r="112" spans="1:4" ht="13.5" thickBot="1" x14ac:dyDescent="0.25">
      <c r="A112" s="408" t="s">
        <v>41</v>
      </c>
      <c r="B112" s="412"/>
      <c r="C112" s="409"/>
      <c r="D112" s="186">
        <f>SUM(D107:D111)</f>
        <v>132.34558404558405</v>
      </c>
    </row>
    <row r="113" spans="1:5" ht="13.5" thickBot="1" x14ac:dyDescent="0.25">
      <c r="A113" s="194"/>
      <c r="C113" s="195"/>
      <c r="D113" s="196"/>
    </row>
    <row r="114" spans="1:5" ht="13.5" thickBot="1" x14ac:dyDescent="0.25">
      <c r="A114" s="422" t="s">
        <v>89</v>
      </c>
      <c r="B114" s="423"/>
      <c r="C114" s="423"/>
      <c r="D114" s="424"/>
    </row>
    <row r="115" spans="1:5" ht="13.5" thickBot="1" x14ac:dyDescent="0.25">
      <c r="A115" s="183">
        <v>6</v>
      </c>
      <c r="B115" s="198" t="s">
        <v>90</v>
      </c>
      <c r="C115" s="163" t="s">
        <v>68</v>
      </c>
      <c r="D115" s="185" t="s">
        <v>64</v>
      </c>
    </row>
    <row r="116" spans="1:5" ht="13.5" thickBot="1" x14ac:dyDescent="0.25">
      <c r="A116" s="112" t="s">
        <v>69</v>
      </c>
      <c r="B116" s="199" t="s">
        <v>91</v>
      </c>
      <c r="C116" s="191">
        <v>1.6999999999999999E-3</v>
      </c>
      <c r="D116" s="116">
        <f>C116*D134</f>
        <v>13.384425488707492</v>
      </c>
    </row>
    <row r="117" spans="1:5" ht="13.5" thickBot="1" x14ac:dyDescent="0.25">
      <c r="A117" s="112" t="s">
        <v>71</v>
      </c>
      <c r="B117" s="199" t="s">
        <v>92</v>
      </c>
      <c r="C117" s="191">
        <v>5.9999999999999995E-4</v>
      </c>
      <c r="D117" s="116">
        <f>(D134+D116)*C117</f>
        <v>4.7319455336605749</v>
      </c>
    </row>
    <row r="118" spans="1:5" ht="13.5" thickBot="1" x14ac:dyDescent="0.25">
      <c r="A118" s="112" t="s">
        <v>39</v>
      </c>
      <c r="B118" s="199" t="s">
        <v>93</v>
      </c>
      <c r="C118" s="191">
        <f>C119+C120+C121</f>
        <v>8.6499999999999994E-2</v>
      </c>
      <c r="D118" s="116">
        <f>((D134+D116+D117)/(1-C118))*C118</f>
        <v>747.23385629417396</v>
      </c>
      <c r="E118" s="200"/>
    </row>
    <row r="119" spans="1:5" ht="13.5" thickBot="1" x14ac:dyDescent="0.25">
      <c r="A119" s="112"/>
      <c r="B119" s="199" t="s">
        <v>94</v>
      </c>
      <c r="C119" s="191">
        <f>'VIGILÂNCIA DES 44HRS SEG A SEX'!C119</f>
        <v>3.6499999999999998E-2</v>
      </c>
      <c r="D119" s="116">
        <f>C119*D136</f>
        <v>315.30671000000001</v>
      </c>
    </row>
    <row r="120" spans="1:5" ht="13.5" thickBot="1" x14ac:dyDescent="0.25">
      <c r="A120" s="112"/>
      <c r="B120" s="199" t="s">
        <v>95</v>
      </c>
      <c r="C120" s="201">
        <v>0.05</v>
      </c>
      <c r="D120" s="116">
        <f>C120*D136</f>
        <v>431.92700000000008</v>
      </c>
    </row>
    <row r="121" spans="1:5" ht="13.5" thickBot="1" x14ac:dyDescent="0.25">
      <c r="A121" s="112"/>
      <c r="B121" s="199" t="s">
        <v>96</v>
      </c>
      <c r="C121" s="201">
        <v>0</v>
      </c>
      <c r="D121" s="116">
        <f>C121*D136</f>
        <v>0</v>
      </c>
    </row>
    <row r="122" spans="1:5" ht="13.5" thickBot="1" x14ac:dyDescent="0.25">
      <c r="A122" s="408" t="s">
        <v>41</v>
      </c>
      <c r="B122" s="409"/>
      <c r="C122" s="193">
        <f>C118+C116+C117</f>
        <v>8.879999999999999E-2</v>
      </c>
      <c r="D122" s="185">
        <f>SUM(D116,D117,D118)</f>
        <v>765.35022731654203</v>
      </c>
    </row>
    <row r="123" spans="1:5" x14ac:dyDescent="0.2">
      <c r="A123" s="167" t="s">
        <v>110</v>
      </c>
      <c r="C123" s="195"/>
      <c r="D123" s="196"/>
    </row>
    <row r="124" spans="1:5" x14ac:dyDescent="0.2">
      <c r="A124" s="446" t="s">
        <v>136</v>
      </c>
      <c r="B124" s="446"/>
      <c r="C124" s="446"/>
      <c r="D124" s="446"/>
    </row>
    <row r="125" spans="1:5" x14ac:dyDescent="0.2">
      <c r="A125" s="167" t="s">
        <v>137</v>
      </c>
      <c r="C125" s="195"/>
      <c r="D125" s="196"/>
    </row>
    <row r="126" spans="1:5" ht="13.5" thickBot="1" x14ac:dyDescent="0.25">
      <c r="A126" s="194"/>
      <c r="C126" s="195"/>
      <c r="D126" s="196"/>
    </row>
    <row r="127" spans="1:5" ht="13.5" thickBot="1" x14ac:dyDescent="0.25">
      <c r="A127" s="422" t="s">
        <v>97</v>
      </c>
      <c r="B127" s="423"/>
      <c r="C127" s="423"/>
      <c r="D127" s="424"/>
    </row>
    <row r="128" spans="1:5" ht="13.5" thickBot="1" x14ac:dyDescent="0.25">
      <c r="A128" s="183"/>
      <c r="B128" s="406" t="s">
        <v>98</v>
      </c>
      <c r="C128" s="407"/>
      <c r="D128" s="185" t="s">
        <v>64</v>
      </c>
    </row>
    <row r="129" spans="1:4" ht="13.5" thickBot="1" x14ac:dyDescent="0.25">
      <c r="A129" s="202" t="s">
        <v>69</v>
      </c>
      <c r="B129" s="398" t="s">
        <v>16</v>
      </c>
      <c r="C129" s="399"/>
      <c r="D129" s="116">
        <f>D28</f>
        <v>4123</v>
      </c>
    </row>
    <row r="130" spans="1:4" ht="13.5" thickBot="1" x14ac:dyDescent="0.25">
      <c r="A130" s="202" t="s">
        <v>71</v>
      </c>
      <c r="B130" s="386" t="s">
        <v>31</v>
      </c>
      <c r="C130" s="387"/>
      <c r="D130" s="116">
        <f>D72</f>
        <v>3381.8399999999997</v>
      </c>
    </row>
    <row r="131" spans="1:4" ht="13.5" thickBot="1" x14ac:dyDescent="0.25">
      <c r="A131" s="202" t="s">
        <v>39</v>
      </c>
      <c r="B131" s="386" t="s">
        <v>66</v>
      </c>
      <c r="C131" s="387"/>
      <c r="D131" s="116">
        <f>D81</f>
        <v>170.73837760000004</v>
      </c>
    </row>
    <row r="132" spans="1:4" ht="13.5" thickBot="1" x14ac:dyDescent="0.25">
      <c r="A132" s="202" t="s">
        <v>9</v>
      </c>
      <c r="B132" s="386" t="s">
        <v>78</v>
      </c>
      <c r="C132" s="387"/>
      <c r="D132" s="116">
        <f>D103</f>
        <v>65.26750229999999</v>
      </c>
    </row>
    <row r="133" spans="1:4" ht="13.5" thickBot="1" x14ac:dyDescent="0.25">
      <c r="A133" s="202" t="s">
        <v>75</v>
      </c>
      <c r="B133" s="386" t="s">
        <v>84</v>
      </c>
      <c r="C133" s="387"/>
      <c r="D133" s="116">
        <f>D112</f>
        <v>132.34558404558405</v>
      </c>
    </row>
    <row r="134" spans="1:4" ht="13.5" thickBot="1" x14ac:dyDescent="0.25">
      <c r="A134" s="408" t="s">
        <v>99</v>
      </c>
      <c r="B134" s="412"/>
      <c r="C134" s="409"/>
      <c r="D134" s="116">
        <f>SUM(D129:D133)</f>
        <v>7873.1914639455845</v>
      </c>
    </row>
    <row r="135" spans="1:4" ht="13.5" thickBot="1" x14ac:dyDescent="0.25">
      <c r="A135" s="202" t="s">
        <v>76</v>
      </c>
      <c r="B135" s="398" t="s">
        <v>100</v>
      </c>
      <c r="C135" s="399"/>
      <c r="D135" s="203">
        <f>D122</f>
        <v>765.35022731654203</v>
      </c>
    </row>
    <row r="136" spans="1:4" ht="13.5" thickBot="1" x14ac:dyDescent="0.25">
      <c r="A136" s="408" t="s">
        <v>101</v>
      </c>
      <c r="B136" s="412"/>
      <c r="C136" s="409"/>
      <c r="D136" s="204">
        <f>ROUND((D134+D135),2)</f>
        <v>8638.5400000000009</v>
      </c>
    </row>
    <row r="137" spans="1:4" ht="13.5" thickBot="1" x14ac:dyDescent="0.25">
      <c r="A137" s="408" t="s">
        <v>144</v>
      </c>
      <c r="B137" s="412"/>
      <c r="C137" s="409"/>
      <c r="D137" s="204">
        <f>D136*2</f>
        <v>17277.080000000002</v>
      </c>
    </row>
  </sheetData>
  <mergeCells count="84">
    <mergeCell ref="A137:C137"/>
    <mergeCell ref="A99:D99"/>
    <mergeCell ref="B100:C100"/>
    <mergeCell ref="A122:B122"/>
    <mergeCell ref="A124:D124"/>
    <mergeCell ref="A127:D127"/>
    <mergeCell ref="B107:C107"/>
    <mergeCell ref="A105:D105"/>
    <mergeCell ref="A112:C112"/>
    <mergeCell ref="A114:D114"/>
    <mergeCell ref="A136:C136"/>
    <mergeCell ref="B130:C130"/>
    <mergeCell ref="B132:C132"/>
    <mergeCell ref="B133:C133"/>
    <mergeCell ref="B135:C135"/>
    <mergeCell ref="B110:C110"/>
    <mergeCell ref="A30:D30"/>
    <mergeCell ref="A35:B35"/>
    <mergeCell ref="A37:B37"/>
    <mergeCell ref="A103:C103"/>
    <mergeCell ref="A64:C64"/>
    <mergeCell ref="A66:D66"/>
    <mergeCell ref="B68:C68"/>
    <mergeCell ref="A72:C72"/>
    <mergeCell ref="A73:D73"/>
    <mergeCell ref="A81:B81"/>
    <mergeCell ref="B101:C101"/>
    <mergeCell ref="A67:D67"/>
    <mergeCell ref="B69:C69"/>
    <mergeCell ref="A84:D84"/>
    <mergeCell ref="A83:D83"/>
    <mergeCell ref="A94:D94"/>
    <mergeCell ref="A38:D38"/>
    <mergeCell ref="B9:C9"/>
    <mergeCell ref="A13:D13"/>
    <mergeCell ref="C14:D14"/>
    <mergeCell ref="A19:D19"/>
    <mergeCell ref="B23:C23"/>
    <mergeCell ref="A31:D31"/>
    <mergeCell ref="B26:C26"/>
    <mergeCell ref="B27:C27"/>
    <mergeCell ref="B15:C15"/>
    <mergeCell ref="B16:C16"/>
    <mergeCell ref="B18:C18"/>
    <mergeCell ref="B20:C20"/>
    <mergeCell ref="B21:C21"/>
    <mergeCell ref="B25:C25"/>
    <mergeCell ref="A28:C28"/>
    <mergeCell ref="B111:C111"/>
    <mergeCell ref="A134:C134"/>
    <mergeCell ref="A40:D40"/>
    <mergeCell ref="A41:D41"/>
    <mergeCell ref="B62:C62"/>
    <mergeCell ref="A51:B51"/>
    <mergeCell ref="B56:C56"/>
    <mergeCell ref="B61:C61"/>
    <mergeCell ref="A55:D55"/>
    <mergeCell ref="B70:C70"/>
    <mergeCell ref="B71:C71"/>
    <mergeCell ref="A82:D82"/>
    <mergeCell ref="A92:B92"/>
    <mergeCell ref="A97:C97"/>
    <mergeCell ref="A39:D39"/>
    <mergeCell ref="B129:C129"/>
    <mergeCell ref="B131:C131"/>
    <mergeCell ref="A3:D3"/>
    <mergeCell ref="A4:D4"/>
    <mergeCell ref="A5:D5"/>
    <mergeCell ref="A6:D6"/>
    <mergeCell ref="A7:D7"/>
    <mergeCell ref="B128:C128"/>
    <mergeCell ref="B106:C106"/>
    <mergeCell ref="B108:C108"/>
    <mergeCell ref="B109:C109"/>
    <mergeCell ref="B96:C96"/>
    <mergeCell ref="B102:C102"/>
    <mergeCell ref="A93:D93"/>
    <mergeCell ref="B95:C95"/>
    <mergeCell ref="A8:D8"/>
    <mergeCell ref="B10:C10"/>
    <mergeCell ref="B11:C11"/>
    <mergeCell ref="B12:C12"/>
    <mergeCell ref="A1:D1"/>
    <mergeCell ref="A2:D2"/>
  </mergeCells>
  <pageMargins left="0.51181102362204722" right="0.51181102362204722" top="0.78740157480314965" bottom="0.78740157480314965" header="0.31496062992125984" footer="0.31496062992125984"/>
  <pageSetup paperSize="9" scale="76" fitToHeight="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37"/>
  <sheetViews>
    <sheetView topLeftCell="A40" zoomScale="130" zoomScaleNormal="130" workbookViewId="0">
      <selection activeCell="F62" sqref="F62"/>
    </sheetView>
  </sheetViews>
  <sheetFormatPr defaultRowHeight="12.75" x14ac:dyDescent="0.2"/>
  <cols>
    <col min="1" max="1" width="5" style="46" customWidth="1"/>
    <col min="2" max="2" width="47.7109375" style="46" customWidth="1"/>
    <col min="3" max="3" width="11.28515625" style="46" customWidth="1"/>
    <col min="4" max="4" width="24.28515625" style="46" customWidth="1"/>
    <col min="5" max="16384" width="9.140625" style="46"/>
  </cols>
  <sheetData>
    <row r="1" spans="1:6" x14ac:dyDescent="0.2">
      <c r="A1" s="395" t="str">
        <f>'VIGILÂNCIA DES 44HRS SEG A SEX'!A1:D1</f>
        <v xml:space="preserve">MINISTERIO DO MEIO AMBIENTE E MUDANÇA DO CLIMA </v>
      </c>
      <c r="B1" s="396"/>
      <c r="C1" s="396"/>
      <c r="D1" s="396"/>
    </row>
    <row r="2" spans="1:6" x14ac:dyDescent="0.2">
      <c r="A2" s="395" t="str">
        <f>'VIGILÂNCIA DES 44HRS SEG A SEX'!A2:D2</f>
        <v xml:space="preserve">SUBSECRETARIA DE PLANEJAMENTO, ORÇAMENTO E ADMINISTRAÇÃO </v>
      </c>
      <c r="B2" s="396"/>
      <c r="C2" s="396"/>
      <c r="D2" s="396"/>
    </row>
    <row r="3" spans="1:6" x14ac:dyDescent="0.2">
      <c r="A3" s="395"/>
      <c r="B3" s="396"/>
      <c r="C3" s="396"/>
      <c r="D3" s="396"/>
    </row>
    <row r="4" spans="1:6" x14ac:dyDescent="0.2">
      <c r="A4" s="395"/>
      <c r="B4" s="396"/>
      <c r="C4" s="396"/>
      <c r="D4" s="396"/>
    </row>
    <row r="5" spans="1:6" ht="13.5" thickBot="1" x14ac:dyDescent="0.25">
      <c r="A5" s="400" t="s">
        <v>0</v>
      </c>
      <c r="B5" s="401"/>
      <c r="C5" s="401"/>
      <c r="D5" s="401"/>
    </row>
    <row r="6" spans="1:6" x14ac:dyDescent="0.2">
      <c r="A6" s="402" t="s">
        <v>111</v>
      </c>
      <c r="B6" s="403"/>
      <c r="C6" s="403"/>
      <c r="D6" s="404"/>
    </row>
    <row r="7" spans="1:6" ht="13.5" thickBot="1" x14ac:dyDescent="0.25">
      <c r="A7" s="400" t="s">
        <v>112</v>
      </c>
      <c r="B7" s="401"/>
      <c r="C7" s="401"/>
      <c r="D7" s="405"/>
    </row>
    <row r="8" spans="1:6" ht="13.5" thickBot="1" x14ac:dyDescent="0.25">
      <c r="A8" s="389" t="s">
        <v>1</v>
      </c>
      <c r="B8" s="390"/>
      <c r="C8" s="390"/>
      <c r="D8" s="390"/>
    </row>
    <row r="9" spans="1:6" x14ac:dyDescent="0.2">
      <c r="A9" s="122" t="s">
        <v>2</v>
      </c>
      <c r="B9" s="426" t="s">
        <v>3</v>
      </c>
      <c r="C9" s="426"/>
      <c r="D9" s="251">
        <f>'VIGILÂNCIA DES 44HRS SEG A SEX'!D9</f>
        <v>45751</v>
      </c>
    </row>
    <row r="10" spans="1:6" x14ac:dyDescent="0.2">
      <c r="A10" s="123" t="s">
        <v>4</v>
      </c>
      <c r="B10" s="391" t="s">
        <v>5</v>
      </c>
      <c r="C10" s="391"/>
      <c r="D10" s="124" t="s">
        <v>6</v>
      </c>
    </row>
    <row r="11" spans="1:6" ht="25.5" x14ac:dyDescent="0.2">
      <c r="A11" s="123" t="s">
        <v>7</v>
      </c>
      <c r="B11" s="392" t="s">
        <v>8</v>
      </c>
      <c r="C11" s="393"/>
      <c r="D11" s="125" t="str">
        <f>'VIGILÂNCIA DES 44HRS SEG A SEX'!D11</f>
        <v>DF000333/2024 - SINDESV/DF</v>
      </c>
    </row>
    <row r="12" spans="1:6" ht="13.5" thickBot="1" x14ac:dyDescent="0.25">
      <c r="A12" s="126" t="s">
        <v>9</v>
      </c>
      <c r="B12" s="394" t="s">
        <v>10</v>
      </c>
      <c r="C12" s="394"/>
      <c r="D12" s="127">
        <v>12</v>
      </c>
    </row>
    <row r="13" spans="1:6" ht="13.5" thickBot="1" x14ac:dyDescent="0.25">
      <c r="A13" s="427" t="s">
        <v>11</v>
      </c>
      <c r="B13" s="428"/>
      <c r="C13" s="428"/>
      <c r="D13" s="428"/>
    </row>
    <row r="14" spans="1:6" ht="25.5" x14ac:dyDescent="0.2">
      <c r="A14" s="128">
        <v>1</v>
      </c>
      <c r="B14" s="129" t="s">
        <v>12</v>
      </c>
      <c r="C14" s="429" t="s">
        <v>269</v>
      </c>
      <c r="D14" s="430"/>
    </row>
    <row r="15" spans="1:6" x14ac:dyDescent="0.2">
      <c r="A15" s="130">
        <v>2</v>
      </c>
      <c r="B15" s="434" t="s">
        <v>102</v>
      </c>
      <c r="C15" s="420"/>
      <c r="D15" s="120">
        <f>'VIGILÂNCIA DES 44HRS SEG A SEX'!D15</f>
        <v>2859.5805</v>
      </c>
      <c r="F15" s="131"/>
    </row>
    <row r="16" spans="1:6" x14ac:dyDescent="0.2">
      <c r="A16" s="130">
        <v>3</v>
      </c>
      <c r="B16" s="434" t="s">
        <v>13</v>
      </c>
      <c r="C16" s="415"/>
      <c r="D16" s="132" t="s">
        <v>14</v>
      </c>
    </row>
    <row r="17" spans="1:4" x14ac:dyDescent="0.2">
      <c r="A17" s="117">
        <v>4</v>
      </c>
      <c r="B17" s="133" t="s">
        <v>113</v>
      </c>
      <c r="C17" s="134"/>
      <c r="D17" s="135" t="s">
        <v>138</v>
      </c>
    </row>
    <row r="18" spans="1:4" ht="13.5" thickBot="1" x14ac:dyDescent="0.25">
      <c r="A18" s="136">
        <v>5</v>
      </c>
      <c r="B18" s="435" t="s">
        <v>15</v>
      </c>
      <c r="C18" s="436"/>
      <c r="D18" s="137">
        <v>45658</v>
      </c>
    </row>
    <row r="19" spans="1:4" ht="13.5" thickBot="1" x14ac:dyDescent="0.25">
      <c r="A19" s="431" t="s">
        <v>16</v>
      </c>
      <c r="B19" s="432"/>
      <c r="C19" s="432"/>
      <c r="D19" s="432"/>
    </row>
    <row r="20" spans="1:4" ht="13.5" thickBot="1" x14ac:dyDescent="0.25">
      <c r="A20" s="121">
        <v>1</v>
      </c>
      <c r="B20" s="437" t="s">
        <v>17</v>
      </c>
      <c r="C20" s="438"/>
      <c r="D20" s="138" t="s">
        <v>18</v>
      </c>
    </row>
    <row r="21" spans="1:4" x14ac:dyDescent="0.2">
      <c r="A21" s="139" t="s">
        <v>2</v>
      </c>
      <c r="B21" s="421" t="s">
        <v>19</v>
      </c>
      <c r="C21" s="421"/>
      <c r="D21" s="140">
        <f>D15</f>
        <v>2859.5805</v>
      </c>
    </row>
    <row r="22" spans="1:4" x14ac:dyDescent="0.2">
      <c r="A22" s="141" t="s">
        <v>4</v>
      </c>
      <c r="B22" s="142" t="s">
        <v>20</v>
      </c>
      <c r="C22" s="143">
        <v>0.3</v>
      </c>
      <c r="D22" s="144">
        <f t="shared" ref="D22" si="0">C22*D21</f>
        <v>857.87414999999999</v>
      </c>
    </row>
    <row r="23" spans="1:4" x14ac:dyDescent="0.2">
      <c r="A23" s="141" t="s">
        <v>7</v>
      </c>
      <c r="B23" s="416" t="s">
        <v>21</v>
      </c>
      <c r="C23" s="416"/>
      <c r="D23" s="144">
        <v>0</v>
      </c>
    </row>
    <row r="24" spans="1:4" x14ac:dyDescent="0.2">
      <c r="A24" s="141" t="s">
        <v>22</v>
      </c>
      <c r="B24" s="142" t="s">
        <v>23</v>
      </c>
      <c r="C24" s="145">
        <v>0</v>
      </c>
      <c r="D24" s="144">
        <v>0</v>
      </c>
    </row>
    <row r="25" spans="1:4" x14ac:dyDescent="0.2">
      <c r="A25" s="141" t="s">
        <v>24</v>
      </c>
      <c r="B25" s="416" t="s">
        <v>25</v>
      </c>
      <c r="C25" s="416"/>
      <c r="D25" s="144">
        <f t="shared" ref="D25" si="1">D21/220*0.2*0*15</f>
        <v>0</v>
      </c>
    </row>
    <row r="26" spans="1:4" x14ac:dyDescent="0.2">
      <c r="A26" s="141" t="s">
        <v>26</v>
      </c>
      <c r="B26" s="416" t="s">
        <v>27</v>
      </c>
      <c r="C26" s="416"/>
      <c r="D26" s="144">
        <v>0</v>
      </c>
    </row>
    <row r="27" spans="1:4" x14ac:dyDescent="0.2">
      <c r="A27" s="146" t="s">
        <v>28</v>
      </c>
      <c r="B27" s="433" t="s">
        <v>29</v>
      </c>
      <c r="C27" s="433"/>
      <c r="D27" s="147">
        <v>0</v>
      </c>
    </row>
    <row r="28" spans="1:4" ht="13.5" thickBot="1" x14ac:dyDescent="0.25">
      <c r="A28" s="417" t="s">
        <v>30</v>
      </c>
      <c r="B28" s="439"/>
      <c r="C28" s="418"/>
      <c r="D28" s="148">
        <f>ROUND(SUM(D21:D27),2)</f>
        <v>3717.45</v>
      </c>
    </row>
    <row r="29" spans="1:4" ht="13.5" thickBot="1" x14ac:dyDescent="0.25">
      <c r="A29" s="149" t="s">
        <v>114</v>
      </c>
      <c r="B29" s="150"/>
      <c r="C29" s="151"/>
      <c r="D29" s="152"/>
    </row>
    <row r="30" spans="1:4" ht="13.5" thickBot="1" x14ac:dyDescent="0.25">
      <c r="A30" s="422" t="s">
        <v>31</v>
      </c>
      <c r="B30" s="423"/>
      <c r="C30" s="423"/>
      <c r="D30" s="424"/>
    </row>
    <row r="31" spans="1:4" ht="13.5" thickBot="1" x14ac:dyDescent="0.25">
      <c r="A31" s="422" t="s">
        <v>32</v>
      </c>
      <c r="B31" s="423"/>
      <c r="C31" s="423"/>
      <c r="D31" s="424"/>
    </row>
    <row r="32" spans="1:4" ht="13.5" thickBot="1" x14ac:dyDescent="0.25">
      <c r="A32" s="153" t="s">
        <v>33</v>
      </c>
      <c r="B32" s="154" t="s">
        <v>34</v>
      </c>
      <c r="C32" s="155" t="s">
        <v>35</v>
      </c>
      <c r="D32" s="156" t="s">
        <v>18</v>
      </c>
    </row>
    <row r="33" spans="1:4" x14ac:dyDescent="0.2">
      <c r="A33" s="157" t="s">
        <v>2</v>
      </c>
      <c r="B33" s="158" t="s">
        <v>36</v>
      </c>
      <c r="C33" s="159">
        <v>8.3299999999999999E-2</v>
      </c>
      <c r="D33" s="120">
        <f>ROUND(D$28*C33,2)</f>
        <v>309.66000000000003</v>
      </c>
    </row>
    <row r="34" spans="1:4" x14ac:dyDescent="0.2">
      <c r="A34" s="130" t="s">
        <v>4</v>
      </c>
      <c r="B34" s="160" t="s">
        <v>37</v>
      </c>
      <c r="C34" s="48">
        <v>0.121</v>
      </c>
      <c r="D34" s="120">
        <f t="shared" ref="D34" si="2">ROUND(D$28*C34,2)</f>
        <v>449.81</v>
      </c>
    </row>
    <row r="35" spans="1:4" ht="13.5" thickBot="1" x14ac:dyDescent="0.25">
      <c r="A35" s="440" t="s">
        <v>38</v>
      </c>
      <c r="B35" s="441"/>
      <c r="C35" s="161">
        <f>SUM(A33:C34)</f>
        <v>0.20429999999999998</v>
      </c>
      <c r="D35" s="120">
        <f>SUM(D33:D34)</f>
        <v>759.47</v>
      </c>
    </row>
    <row r="36" spans="1:4" ht="25.5" x14ac:dyDescent="0.2">
      <c r="A36" s="117" t="s">
        <v>39</v>
      </c>
      <c r="B36" s="118" t="s">
        <v>40</v>
      </c>
      <c r="C36" s="119">
        <f>C35*C51</f>
        <v>7.2117899999999999E-2</v>
      </c>
      <c r="D36" s="120">
        <f>ROUND(D$28*C36,2)</f>
        <v>268.08999999999997</v>
      </c>
    </row>
    <row r="37" spans="1:4" x14ac:dyDescent="0.2">
      <c r="A37" s="442" t="s">
        <v>41</v>
      </c>
      <c r="B37" s="443"/>
      <c r="C37" s="162"/>
      <c r="D37" s="120">
        <f>SUM(D35:D36)</f>
        <v>1027.56</v>
      </c>
    </row>
    <row r="38" spans="1:4" ht="36.75" customHeight="1" x14ac:dyDescent="0.2">
      <c r="A38" s="397" t="s">
        <v>115</v>
      </c>
      <c r="B38" s="397"/>
      <c r="C38" s="397"/>
      <c r="D38" s="397"/>
    </row>
    <row r="39" spans="1:4" ht="27.75" customHeight="1" x14ac:dyDescent="0.2">
      <c r="A39" s="397" t="s">
        <v>116</v>
      </c>
      <c r="B39" s="397"/>
      <c r="C39" s="397"/>
      <c r="D39" s="397"/>
    </row>
    <row r="40" spans="1:4" ht="36" customHeight="1" thickBot="1" x14ac:dyDescent="0.25">
      <c r="A40" s="413" t="s">
        <v>117</v>
      </c>
      <c r="B40" s="413"/>
      <c r="C40" s="413"/>
      <c r="D40" s="413"/>
    </row>
    <row r="41" spans="1:4" ht="13.5" thickBot="1" x14ac:dyDescent="0.25">
      <c r="A41" s="406" t="s">
        <v>42</v>
      </c>
      <c r="B41" s="414"/>
      <c r="C41" s="414"/>
      <c r="D41" s="407"/>
    </row>
    <row r="42" spans="1:4" ht="13.5" thickBot="1" x14ac:dyDescent="0.25">
      <c r="A42" s="153" t="s">
        <v>43</v>
      </c>
      <c r="B42" s="163" t="s">
        <v>44</v>
      </c>
      <c r="C42" s="155" t="s">
        <v>35</v>
      </c>
      <c r="D42" s="156" t="s">
        <v>18</v>
      </c>
    </row>
    <row r="43" spans="1:4" x14ac:dyDescent="0.2">
      <c r="A43" s="157" t="s">
        <v>2</v>
      </c>
      <c r="B43" s="158" t="s">
        <v>45</v>
      </c>
      <c r="C43" s="159">
        <v>0.2</v>
      </c>
      <c r="D43" s="120">
        <f>ROUND(D$28*C43,2)</f>
        <v>743.49</v>
      </c>
    </row>
    <row r="44" spans="1:4" x14ac:dyDescent="0.2">
      <c r="A44" s="130" t="s">
        <v>4</v>
      </c>
      <c r="B44" s="160" t="s">
        <v>46</v>
      </c>
      <c r="C44" s="48">
        <v>2.5000000000000001E-2</v>
      </c>
      <c r="D44" s="120">
        <f t="shared" ref="D44:D50" si="3">ROUND(D$28*C44,2)</f>
        <v>92.94</v>
      </c>
    </row>
    <row r="45" spans="1:4" x14ac:dyDescent="0.2">
      <c r="A45" s="130" t="s">
        <v>7</v>
      </c>
      <c r="B45" s="160" t="s">
        <v>47</v>
      </c>
      <c r="C45" s="48">
        <f>'VIGILÂNCIA DES 44HRS SEG A SEX'!C45</f>
        <v>1.4999999999999999E-2</v>
      </c>
      <c r="D45" s="120">
        <f t="shared" si="3"/>
        <v>55.76</v>
      </c>
    </row>
    <row r="46" spans="1:4" x14ac:dyDescent="0.2">
      <c r="A46" s="130" t="s">
        <v>22</v>
      </c>
      <c r="B46" s="160" t="s">
        <v>48</v>
      </c>
      <c r="C46" s="48">
        <v>1.4999999999999999E-2</v>
      </c>
      <c r="D46" s="120">
        <f t="shared" si="3"/>
        <v>55.76</v>
      </c>
    </row>
    <row r="47" spans="1:4" x14ac:dyDescent="0.2">
      <c r="A47" s="130" t="s">
        <v>24</v>
      </c>
      <c r="B47" s="160" t="s">
        <v>49</v>
      </c>
      <c r="C47" s="48">
        <v>0.01</v>
      </c>
      <c r="D47" s="120">
        <f t="shared" si="3"/>
        <v>37.17</v>
      </c>
    </row>
    <row r="48" spans="1:4" x14ac:dyDescent="0.2">
      <c r="A48" s="130" t="s">
        <v>50</v>
      </c>
      <c r="B48" s="160" t="s">
        <v>51</v>
      </c>
      <c r="C48" s="48">
        <v>6.0000000000000001E-3</v>
      </c>
      <c r="D48" s="120">
        <f t="shared" si="3"/>
        <v>22.3</v>
      </c>
    </row>
    <row r="49" spans="1:5" x14ac:dyDescent="0.2">
      <c r="A49" s="130" t="s">
        <v>26</v>
      </c>
      <c r="B49" s="160" t="s">
        <v>52</v>
      </c>
      <c r="C49" s="48">
        <v>2E-3</v>
      </c>
      <c r="D49" s="120">
        <f t="shared" si="3"/>
        <v>7.43</v>
      </c>
    </row>
    <row r="50" spans="1:5" x14ac:dyDescent="0.2">
      <c r="A50" s="117" t="s">
        <v>28</v>
      </c>
      <c r="B50" s="164" t="s">
        <v>53</v>
      </c>
      <c r="C50" s="48">
        <v>0.08</v>
      </c>
      <c r="D50" s="120">
        <f t="shared" si="3"/>
        <v>297.39999999999998</v>
      </c>
    </row>
    <row r="51" spans="1:5" ht="13.5" thickBot="1" x14ac:dyDescent="0.25">
      <c r="A51" s="417" t="s">
        <v>54</v>
      </c>
      <c r="B51" s="418"/>
      <c r="C51" s="165">
        <f>SUM(C43:C50)</f>
        <v>0.35300000000000004</v>
      </c>
      <c r="D51" s="166">
        <f>SUM(D43:D50)</f>
        <v>1312.25</v>
      </c>
    </row>
    <row r="52" spans="1:5" x14ac:dyDescent="0.2">
      <c r="A52" s="167" t="s">
        <v>118</v>
      </c>
      <c r="B52" s="168"/>
      <c r="C52" s="169"/>
      <c r="D52" s="170"/>
      <c r="E52" s="149"/>
    </row>
    <row r="53" spans="1:5" x14ac:dyDescent="0.2">
      <c r="A53" s="167" t="s">
        <v>119</v>
      </c>
      <c r="B53" s="168"/>
      <c r="C53" s="169"/>
      <c r="D53" s="170"/>
      <c r="E53" s="149"/>
    </row>
    <row r="54" spans="1:5" ht="13.5" thickBot="1" x14ac:dyDescent="0.25">
      <c r="A54" s="149" t="s">
        <v>120</v>
      </c>
      <c r="B54" s="168"/>
      <c r="C54" s="169"/>
      <c r="D54" s="170"/>
      <c r="E54" s="149"/>
    </row>
    <row r="55" spans="1:5" ht="13.5" thickBot="1" x14ac:dyDescent="0.25">
      <c r="A55" s="422" t="s">
        <v>55</v>
      </c>
      <c r="B55" s="423"/>
      <c r="C55" s="423"/>
      <c r="D55" s="424"/>
    </row>
    <row r="56" spans="1:5" ht="13.5" thickBot="1" x14ac:dyDescent="0.25">
      <c r="A56" s="153" t="s">
        <v>56</v>
      </c>
      <c r="B56" s="419" t="s">
        <v>57</v>
      </c>
      <c r="C56" s="409"/>
      <c r="D56" s="171" t="s">
        <v>18</v>
      </c>
    </row>
    <row r="57" spans="1:5" x14ac:dyDescent="0.2">
      <c r="A57" s="122" t="s">
        <v>2</v>
      </c>
      <c r="B57" s="172" t="s">
        <v>58</v>
      </c>
      <c r="C57" s="173">
        <v>15</v>
      </c>
      <c r="D57" s="120">
        <v>0</v>
      </c>
    </row>
    <row r="58" spans="1:5" x14ac:dyDescent="0.2">
      <c r="A58" s="123" t="s">
        <v>4</v>
      </c>
      <c r="B58" s="174" t="s">
        <v>59</v>
      </c>
      <c r="C58" s="175">
        <v>15</v>
      </c>
      <c r="D58" s="265">
        <f>C58*49.63</f>
        <v>744.45</v>
      </c>
    </row>
    <row r="59" spans="1:5" x14ac:dyDescent="0.2">
      <c r="A59" s="123" t="s">
        <v>39</v>
      </c>
      <c r="B59" s="177" t="s">
        <v>60</v>
      </c>
      <c r="C59" s="178"/>
      <c r="D59" s="176">
        <v>0</v>
      </c>
    </row>
    <row r="60" spans="1:5" x14ac:dyDescent="0.2">
      <c r="A60" s="123" t="s">
        <v>22</v>
      </c>
      <c r="B60" s="179" t="s">
        <v>121</v>
      </c>
      <c r="C60" s="178"/>
      <c r="D60" s="176">
        <v>0</v>
      </c>
    </row>
    <row r="61" spans="1:5" x14ac:dyDescent="0.2">
      <c r="A61" s="122" t="s">
        <v>75</v>
      </c>
      <c r="B61" s="420" t="s">
        <v>104</v>
      </c>
      <c r="C61" s="421"/>
      <c r="D61" s="264">
        <f>'VIGILÂNCIA DES 44HRS SEG A SEX'!D61</f>
        <v>17.73</v>
      </c>
    </row>
    <row r="62" spans="1:5" x14ac:dyDescent="0.2">
      <c r="A62" s="123" t="s">
        <v>50</v>
      </c>
      <c r="B62" s="415" t="s">
        <v>105</v>
      </c>
      <c r="C62" s="416"/>
      <c r="D62" s="176">
        <v>0</v>
      </c>
    </row>
    <row r="63" spans="1:5" ht="29.25" customHeight="1" thickBot="1" x14ac:dyDescent="0.25">
      <c r="A63" s="123" t="s">
        <v>103</v>
      </c>
      <c r="B63" s="177" t="s">
        <v>274</v>
      </c>
      <c r="C63" s="178"/>
      <c r="D63" s="265">
        <v>25</v>
      </c>
    </row>
    <row r="64" spans="1:5" ht="13.5" thickBot="1" x14ac:dyDescent="0.25">
      <c r="A64" s="444" t="s">
        <v>61</v>
      </c>
      <c r="B64" s="445" t="s">
        <v>61</v>
      </c>
      <c r="C64" s="445"/>
      <c r="D64" s="180">
        <f>SUM(D57:D63)</f>
        <v>787.18000000000006</v>
      </c>
    </row>
    <row r="65" spans="1:4" x14ac:dyDescent="0.2">
      <c r="A65" s="167" t="s">
        <v>122</v>
      </c>
      <c r="B65" s="181"/>
      <c r="C65" s="181"/>
      <c r="D65" s="182"/>
    </row>
    <row r="66" spans="1:4" ht="13.5" thickBot="1" x14ac:dyDescent="0.25">
      <c r="A66" s="446" t="s">
        <v>123</v>
      </c>
      <c r="B66" s="446"/>
      <c r="C66" s="446"/>
      <c r="D66" s="446"/>
    </row>
    <row r="67" spans="1:4" ht="13.5" thickBot="1" x14ac:dyDescent="0.25">
      <c r="A67" s="422" t="s">
        <v>62</v>
      </c>
      <c r="B67" s="423"/>
      <c r="C67" s="423"/>
      <c r="D67" s="424"/>
    </row>
    <row r="68" spans="1:4" ht="13.5" thickBot="1" x14ac:dyDescent="0.25">
      <c r="A68" s="183">
        <v>2</v>
      </c>
      <c r="B68" s="408" t="s">
        <v>63</v>
      </c>
      <c r="C68" s="409"/>
      <c r="D68" s="185" t="s">
        <v>64</v>
      </c>
    </row>
    <row r="69" spans="1:4" ht="13.5" thickBot="1" x14ac:dyDescent="0.25">
      <c r="A69" s="112" t="s">
        <v>33</v>
      </c>
      <c r="B69" s="398" t="s">
        <v>34</v>
      </c>
      <c r="C69" s="399"/>
      <c r="D69" s="116">
        <f>D37</f>
        <v>1027.56</v>
      </c>
    </row>
    <row r="70" spans="1:4" ht="13.5" thickBot="1" x14ac:dyDescent="0.25">
      <c r="A70" s="112" t="s">
        <v>43</v>
      </c>
      <c r="B70" s="398" t="s">
        <v>44</v>
      </c>
      <c r="C70" s="399"/>
      <c r="D70" s="116">
        <f>D51</f>
        <v>1312.25</v>
      </c>
    </row>
    <row r="71" spans="1:4" ht="13.5" thickBot="1" x14ac:dyDescent="0.25">
      <c r="A71" s="112" t="s">
        <v>56</v>
      </c>
      <c r="B71" s="386" t="s">
        <v>57</v>
      </c>
      <c r="C71" s="387"/>
      <c r="D71" s="116">
        <f>D64</f>
        <v>787.18000000000006</v>
      </c>
    </row>
    <row r="72" spans="1:4" ht="13.5" thickBot="1" x14ac:dyDescent="0.25">
      <c r="A72" s="408" t="s">
        <v>65</v>
      </c>
      <c r="B72" s="412"/>
      <c r="C72" s="409"/>
      <c r="D72" s="186">
        <f>SUM(D69:D71)</f>
        <v>3126.99</v>
      </c>
    </row>
    <row r="73" spans="1:4" ht="13.5" thickBot="1" x14ac:dyDescent="0.25">
      <c r="A73" s="422" t="s">
        <v>66</v>
      </c>
      <c r="B73" s="423"/>
      <c r="C73" s="423"/>
      <c r="D73" s="424"/>
    </row>
    <row r="74" spans="1:4" ht="13.5" thickBot="1" x14ac:dyDescent="0.25">
      <c r="A74" s="183">
        <v>3</v>
      </c>
      <c r="B74" s="163" t="s">
        <v>67</v>
      </c>
      <c r="C74" s="187" t="s">
        <v>68</v>
      </c>
      <c r="D74" s="185" t="s">
        <v>64</v>
      </c>
    </row>
    <row r="75" spans="1:4" ht="13.5" thickBot="1" x14ac:dyDescent="0.25">
      <c r="A75" s="112" t="s">
        <v>69</v>
      </c>
      <c r="B75" s="113" t="s">
        <v>70</v>
      </c>
      <c r="C75" s="73">
        <f>'VIGILÂNCIA DES 44HRS SEG A SEX'!C75</f>
        <v>8.0000000000000004E-4</v>
      </c>
      <c r="D75" s="116">
        <f t="shared" ref="D75:D80" si="4">C75*$D$28</f>
        <v>2.9739599999999999</v>
      </c>
    </row>
    <row r="76" spans="1:4" ht="13.5" thickBot="1" x14ac:dyDescent="0.25">
      <c r="A76" s="112" t="s">
        <v>71</v>
      </c>
      <c r="B76" s="113" t="s">
        <v>72</v>
      </c>
      <c r="C76" s="73">
        <f>8%*C75</f>
        <v>6.4000000000000011E-5</v>
      </c>
      <c r="D76" s="116">
        <f t="shared" si="4"/>
        <v>0.23791680000000004</v>
      </c>
    </row>
    <row r="77" spans="1:4" ht="13.5" thickBot="1" x14ac:dyDescent="0.25">
      <c r="A77" s="112" t="s">
        <v>39</v>
      </c>
      <c r="B77" s="113" t="s">
        <v>73</v>
      </c>
      <c r="C77" s="73">
        <v>3.9800000000000002E-2</v>
      </c>
      <c r="D77" s="116">
        <f t="shared" si="4"/>
        <v>147.95451</v>
      </c>
    </row>
    <row r="78" spans="1:4" ht="13.5" thickBot="1" x14ac:dyDescent="0.25">
      <c r="A78" s="112" t="s">
        <v>9</v>
      </c>
      <c r="B78" s="113" t="s">
        <v>74</v>
      </c>
      <c r="C78" s="73">
        <f>'VIGILÂNCIA DES 44HRS SEG A SEX'!C78</f>
        <v>4.0000000000000002E-4</v>
      </c>
      <c r="D78" s="116">
        <f t="shared" si="4"/>
        <v>1.48698</v>
      </c>
    </row>
    <row r="79" spans="1:4" ht="26.25" thickBot="1" x14ac:dyDescent="0.25">
      <c r="A79" s="112" t="s">
        <v>75</v>
      </c>
      <c r="B79" s="113" t="s">
        <v>124</v>
      </c>
      <c r="C79" s="73">
        <f>1*36.8%*C78</f>
        <v>1.472E-4</v>
      </c>
      <c r="D79" s="116">
        <f t="shared" si="4"/>
        <v>0.54720864000000002</v>
      </c>
    </row>
    <row r="80" spans="1:4" ht="13.5" thickBot="1" x14ac:dyDescent="0.25">
      <c r="A80" s="112" t="s">
        <v>76</v>
      </c>
      <c r="B80" s="113" t="s">
        <v>77</v>
      </c>
      <c r="C80" s="73">
        <v>2.0000000000000001E-4</v>
      </c>
      <c r="D80" s="116">
        <f t="shared" si="4"/>
        <v>0.74348999999999998</v>
      </c>
    </row>
    <row r="81" spans="1:6" ht="13.5" thickBot="1" x14ac:dyDescent="0.25">
      <c r="A81" s="408" t="s">
        <v>65</v>
      </c>
      <c r="B81" s="409"/>
      <c r="C81" s="188">
        <f>SUM(C75:C80)</f>
        <v>4.1411199999999995E-2</v>
      </c>
      <c r="D81" s="189">
        <f>SUM(D75:D80)</f>
        <v>153.94406544</v>
      </c>
    </row>
    <row r="82" spans="1:6" ht="36.75" customHeight="1" thickBot="1" x14ac:dyDescent="0.25">
      <c r="A82" s="425" t="s">
        <v>125</v>
      </c>
      <c r="B82" s="425"/>
      <c r="C82" s="425"/>
      <c r="D82" s="425"/>
      <c r="F82" s="190"/>
    </row>
    <row r="83" spans="1:6" ht="13.5" thickBot="1" x14ac:dyDescent="0.25">
      <c r="A83" s="422" t="s">
        <v>78</v>
      </c>
      <c r="B83" s="423"/>
      <c r="C83" s="423"/>
      <c r="D83" s="424"/>
    </row>
    <row r="84" spans="1:6" ht="13.5" thickBot="1" x14ac:dyDescent="0.25">
      <c r="A84" s="408" t="s">
        <v>79</v>
      </c>
      <c r="B84" s="412"/>
      <c r="C84" s="412"/>
      <c r="D84" s="409"/>
    </row>
    <row r="85" spans="1:6" ht="13.5" thickBot="1" x14ac:dyDescent="0.25">
      <c r="A85" s="183" t="s">
        <v>80</v>
      </c>
      <c r="B85" s="184" t="s">
        <v>126</v>
      </c>
      <c r="C85" s="183" t="s">
        <v>68</v>
      </c>
      <c r="D85" s="185" t="s">
        <v>64</v>
      </c>
    </row>
    <row r="86" spans="1:6" ht="13.5" thickBot="1" x14ac:dyDescent="0.25">
      <c r="A86" s="112" t="s">
        <v>69</v>
      </c>
      <c r="B86" s="113" t="s">
        <v>106</v>
      </c>
      <c r="C86" s="114">
        <f>'VIGILÂNCIA DES 44HRS SEG A SEX'!C86</f>
        <v>9.2999999999999992E-3</v>
      </c>
      <c r="D86" s="115">
        <f>C86*$D$28</f>
        <v>34.572284999999994</v>
      </c>
    </row>
    <row r="87" spans="1:6" ht="13.5" thickBot="1" x14ac:dyDescent="0.25">
      <c r="A87" s="112" t="s">
        <v>71</v>
      </c>
      <c r="B87" s="113" t="s">
        <v>127</v>
      </c>
      <c r="C87" s="191">
        <f>'VIGILÂNCIA DES 44HRS SEG A SEX'!C87</f>
        <v>1E-3</v>
      </c>
      <c r="D87" s="115">
        <f>C87*$D$28</f>
        <v>3.7174499999999999</v>
      </c>
    </row>
    <row r="88" spans="1:6" ht="13.5" thickBot="1" x14ac:dyDescent="0.25">
      <c r="A88" s="112" t="s">
        <v>39</v>
      </c>
      <c r="B88" s="113" t="s">
        <v>107</v>
      </c>
      <c r="C88" s="191">
        <v>2.0000000000000001E-4</v>
      </c>
      <c r="D88" s="115">
        <f>C88*$D$28</f>
        <v>0.74348999999999998</v>
      </c>
    </row>
    <row r="89" spans="1:6" ht="26.25" thickBot="1" x14ac:dyDescent="0.25">
      <c r="A89" s="112" t="s">
        <v>9</v>
      </c>
      <c r="B89" s="113" t="s">
        <v>108</v>
      </c>
      <c r="C89" s="191">
        <f>'VIGILÂNCIA DES 44HRS SEG A SEX'!C89</f>
        <v>1E-3</v>
      </c>
      <c r="D89" s="115">
        <f>C89*$D$28</f>
        <v>3.7174499999999999</v>
      </c>
    </row>
    <row r="90" spans="1:6" ht="13.5" thickBot="1" x14ac:dyDescent="0.25">
      <c r="A90" s="112" t="s">
        <v>75</v>
      </c>
      <c r="B90" s="113" t="s">
        <v>109</v>
      </c>
      <c r="C90" s="191">
        <v>2.0000000000000001E-4</v>
      </c>
      <c r="D90" s="115">
        <f>C90*$D$28</f>
        <v>0.74348999999999998</v>
      </c>
    </row>
    <row r="91" spans="1:6" ht="39" thickBot="1" x14ac:dyDescent="0.25">
      <c r="A91" s="112" t="s">
        <v>76</v>
      </c>
      <c r="B91" s="113" t="s">
        <v>128</v>
      </c>
      <c r="C91" s="114">
        <f>SUM(C86:C90)*C51</f>
        <v>4.1301000000000003E-3</v>
      </c>
      <c r="D91" s="115">
        <f t="shared" ref="D91" si="5">C91*$D$28</f>
        <v>15.353440245</v>
      </c>
      <c r="E91" s="192" t="s">
        <v>129</v>
      </c>
    </row>
    <row r="92" spans="1:6" ht="13.5" thickBot="1" x14ac:dyDescent="0.25">
      <c r="A92" s="408" t="s">
        <v>41</v>
      </c>
      <c r="B92" s="412"/>
      <c r="C92" s="193">
        <f>SUM(C86:C91)</f>
        <v>1.58301E-2</v>
      </c>
      <c r="D92" s="189">
        <f>SUM(D86:D91)</f>
        <v>58.847605244999997</v>
      </c>
    </row>
    <row r="93" spans="1:6" ht="33.75" customHeight="1" thickBot="1" x14ac:dyDescent="0.25">
      <c r="A93" s="410" t="s">
        <v>130</v>
      </c>
      <c r="B93" s="410"/>
      <c r="C93" s="410"/>
      <c r="D93" s="410"/>
    </row>
    <row r="94" spans="1:6" ht="13.5" thickBot="1" x14ac:dyDescent="0.25">
      <c r="A94" s="422" t="s">
        <v>131</v>
      </c>
      <c r="B94" s="423"/>
      <c r="C94" s="423"/>
      <c r="D94" s="424"/>
    </row>
    <row r="95" spans="1:6" ht="13.5" thickBot="1" x14ac:dyDescent="0.25">
      <c r="A95" s="183" t="s">
        <v>81</v>
      </c>
      <c r="B95" s="408" t="s">
        <v>132</v>
      </c>
      <c r="C95" s="409"/>
      <c r="D95" s="185" t="s">
        <v>64</v>
      </c>
    </row>
    <row r="96" spans="1:6" ht="13.5" thickBot="1" x14ac:dyDescent="0.25">
      <c r="A96" s="112" t="s">
        <v>69</v>
      </c>
      <c r="B96" s="386" t="s">
        <v>133</v>
      </c>
      <c r="C96" s="387"/>
      <c r="D96" s="116">
        <v>0</v>
      </c>
    </row>
    <row r="97" spans="1:4" ht="13.5" thickBot="1" x14ac:dyDescent="0.25">
      <c r="A97" s="408" t="s">
        <v>65</v>
      </c>
      <c r="B97" s="412"/>
      <c r="C97" s="409"/>
      <c r="D97" s="116">
        <f>SUM(D96)</f>
        <v>0</v>
      </c>
    </row>
    <row r="98" spans="1:4" ht="13.5" thickBot="1" x14ac:dyDescent="0.25">
      <c r="A98" s="194"/>
      <c r="C98" s="195"/>
      <c r="D98" s="196"/>
    </row>
    <row r="99" spans="1:4" ht="13.5" thickBot="1" x14ac:dyDescent="0.25">
      <c r="A99" s="422" t="s">
        <v>82</v>
      </c>
      <c r="B99" s="423"/>
      <c r="C99" s="423"/>
      <c r="D99" s="424"/>
    </row>
    <row r="100" spans="1:4" ht="13.5" thickBot="1" x14ac:dyDescent="0.25">
      <c r="A100" s="183">
        <v>4</v>
      </c>
      <c r="B100" s="408" t="s">
        <v>83</v>
      </c>
      <c r="C100" s="409"/>
      <c r="D100" s="185" t="s">
        <v>64</v>
      </c>
    </row>
    <row r="101" spans="1:4" ht="13.5" thickBot="1" x14ac:dyDescent="0.25">
      <c r="A101" s="112" t="s">
        <v>80</v>
      </c>
      <c r="B101" s="386" t="s">
        <v>126</v>
      </c>
      <c r="C101" s="387"/>
      <c r="D101" s="116">
        <f>D92</f>
        <v>58.847605244999997</v>
      </c>
    </row>
    <row r="102" spans="1:4" ht="13.5" thickBot="1" x14ac:dyDescent="0.25">
      <c r="A102" s="112" t="s">
        <v>81</v>
      </c>
      <c r="B102" s="386" t="s">
        <v>132</v>
      </c>
      <c r="C102" s="387"/>
      <c r="D102" s="116">
        <f>D97</f>
        <v>0</v>
      </c>
    </row>
    <row r="103" spans="1:4" ht="13.5" thickBot="1" x14ac:dyDescent="0.25">
      <c r="A103" s="408" t="s">
        <v>65</v>
      </c>
      <c r="B103" s="412"/>
      <c r="C103" s="409"/>
      <c r="D103" s="189">
        <f>SUM(D101:D102)</f>
        <v>58.847605244999997</v>
      </c>
    </row>
    <row r="104" spans="1:4" ht="13.5" thickBot="1" x14ac:dyDescent="0.25">
      <c r="A104" s="194"/>
      <c r="C104" s="195"/>
      <c r="D104" s="196"/>
    </row>
    <row r="105" spans="1:4" ht="13.5" thickBot="1" x14ac:dyDescent="0.25">
      <c r="A105" s="422" t="s">
        <v>84</v>
      </c>
      <c r="B105" s="423"/>
      <c r="C105" s="423"/>
      <c r="D105" s="424"/>
    </row>
    <row r="106" spans="1:4" ht="13.5" thickBot="1" x14ac:dyDescent="0.25">
      <c r="A106" s="183">
        <v>5</v>
      </c>
      <c r="B106" s="408" t="s">
        <v>85</v>
      </c>
      <c r="C106" s="409"/>
      <c r="D106" s="185" t="s">
        <v>64</v>
      </c>
    </row>
    <row r="107" spans="1:4" ht="13.5" thickBot="1" x14ac:dyDescent="0.25">
      <c r="A107" s="112" t="s">
        <v>69</v>
      </c>
      <c r="B107" s="386" t="s">
        <v>86</v>
      </c>
      <c r="C107" s="387"/>
      <c r="D107" s="116">
        <f>'VIGILÂNCIA DES 44HRS SEG A SEX'!D107</f>
        <v>46.739999999999995</v>
      </c>
    </row>
    <row r="108" spans="1:4" ht="13.5" thickBot="1" x14ac:dyDescent="0.25">
      <c r="A108" s="112" t="s">
        <v>71</v>
      </c>
      <c r="B108" s="386" t="s">
        <v>87</v>
      </c>
      <c r="C108" s="387"/>
      <c r="D108" s="116">
        <f>'VIGILÂNCIA DES 44HRS SEG A SEX'!D108</f>
        <v>13.708148148148148</v>
      </c>
    </row>
    <row r="109" spans="1:4" ht="13.5" thickBot="1" x14ac:dyDescent="0.25">
      <c r="A109" s="112" t="s">
        <v>39</v>
      </c>
      <c r="B109" s="386" t="s">
        <v>88</v>
      </c>
      <c r="C109" s="387"/>
      <c r="D109" s="116">
        <f>'VIGILÂNCIA DES 44HRS SEG A SEX'!D109</f>
        <v>71.897435897435898</v>
      </c>
    </row>
    <row r="110" spans="1:4" ht="13.5" thickBot="1" x14ac:dyDescent="0.25">
      <c r="A110" s="112" t="s">
        <v>9</v>
      </c>
      <c r="B110" s="386" t="s">
        <v>134</v>
      </c>
      <c r="C110" s="387"/>
      <c r="D110" s="116">
        <v>0</v>
      </c>
    </row>
    <row r="111" spans="1:4" ht="15.75" thickBot="1" x14ac:dyDescent="0.25">
      <c r="A111" s="197" t="s">
        <v>75</v>
      </c>
      <c r="B111" s="386" t="s">
        <v>135</v>
      </c>
      <c r="C111" s="411"/>
      <c r="D111" s="116">
        <v>0</v>
      </c>
    </row>
    <row r="112" spans="1:4" ht="13.5" thickBot="1" x14ac:dyDescent="0.25">
      <c r="A112" s="408" t="s">
        <v>41</v>
      </c>
      <c r="B112" s="412"/>
      <c r="C112" s="409"/>
      <c r="D112" s="186">
        <f>SUM(D107:D111)</f>
        <v>132.34558404558405</v>
      </c>
    </row>
    <row r="113" spans="1:5" ht="13.5" thickBot="1" x14ac:dyDescent="0.25">
      <c r="A113" s="194"/>
      <c r="C113" s="195"/>
      <c r="D113" s="196"/>
    </row>
    <row r="114" spans="1:5" ht="13.5" thickBot="1" x14ac:dyDescent="0.25">
      <c r="A114" s="422" t="s">
        <v>89</v>
      </c>
      <c r="B114" s="423"/>
      <c r="C114" s="423"/>
      <c r="D114" s="424"/>
    </row>
    <row r="115" spans="1:5" ht="13.5" thickBot="1" x14ac:dyDescent="0.25">
      <c r="A115" s="183">
        <v>6</v>
      </c>
      <c r="B115" s="198" t="s">
        <v>90</v>
      </c>
      <c r="C115" s="163" t="s">
        <v>68</v>
      </c>
      <c r="D115" s="185" t="s">
        <v>64</v>
      </c>
    </row>
    <row r="116" spans="1:5" ht="13.5" thickBot="1" x14ac:dyDescent="0.25">
      <c r="A116" s="112" t="s">
        <v>69</v>
      </c>
      <c r="B116" s="199" t="s">
        <v>91</v>
      </c>
      <c r="C116" s="191">
        <v>1E-3</v>
      </c>
      <c r="D116" s="116">
        <f>C116*D134</f>
        <v>7.1895772547305832</v>
      </c>
    </row>
    <row r="117" spans="1:5" ht="13.5" thickBot="1" x14ac:dyDescent="0.25">
      <c r="A117" s="112" t="s">
        <v>71</v>
      </c>
      <c r="B117" s="199" t="s">
        <v>92</v>
      </c>
      <c r="C117" s="191">
        <v>5.0000000000000001E-4</v>
      </c>
      <c r="D117" s="116">
        <f>(D134+D116)*C117</f>
        <v>3.5983834159926569</v>
      </c>
    </row>
    <row r="118" spans="1:5" ht="13.5" thickBot="1" x14ac:dyDescent="0.25">
      <c r="A118" s="112" t="s">
        <v>39</v>
      </c>
      <c r="B118" s="199" t="s">
        <v>93</v>
      </c>
      <c r="C118" s="191">
        <f>C119+C120+C121</f>
        <v>8.6499999999999994E-2</v>
      </c>
      <c r="D118" s="116">
        <f>((D134+D116+D117)/(1-C118))*C118</f>
        <v>681.80798153498961</v>
      </c>
      <c r="E118" s="200"/>
    </row>
    <row r="119" spans="1:5" ht="13.5" thickBot="1" x14ac:dyDescent="0.25">
      <c r="A119" s="112"/>
      <c r="B119" s="199" t="s">
        <v>94</v>
      </c>
      <c r="C119" s="191">
        <f>'VIGILÂNCIA DES 44HRS SEG A SEX'!C119</f>
        <v>3.6499999999999998E-2</v>
      </c>
      <c r="D119" s="116">
        <f>C119*D136</f>
        <v>287.69920500000001</v>
      </c>
    </row>
    <row r="120" spans="1:5" ht="13.5" thickBot="1" x14ac:dyDescent="0.25">
      <c r="A120" s="112"/>
      <c r="B120" s="199" t="s">
        <v>95</v>
      </c>
      <c r="C120" s="201">
        <v>0.05</v>
      </c>
      <c r="D120" s="116">
        <f>C120*D136</f>
        <v>394.10850000000005</v>
      </c>
    </row>
    <row r="121" spans="1:5" ht="13.5" thickBot="1" x14ac:dyDescent="0.25">
      <c r="A121" s="112"/>
      <c r="B121" s="199" t="s">
        <v>96</v>
      </c>
      <c r="C121" s="201">
        <v>0</v>
      </c>
      <c r="D121" s="116">
        <f>C121*D136</f>
        <v>0</v>
      </c>
    </row>
    <row r="122" spans="1:5" ht="13.5" thickBot="1" x14ac:dyDescent="0.25">
      <c r="A122" s="408" t="s">
        <v>41</v>
      </c>
      <c r="B122" s="409"/>
      <c r="C122" s="193">
        <f>C118+C116+C117</f>
        <v>8.7999999999999995E-2</v>
      </c>
      <c r="D122" s="185">
        <f>SUM(D116,D117,D118)</f>
        <v>692.59594220571284</v>
      </c>
    </row>
    <row r="123" spans="1:5" x14ac:dyDescent="0.2">
      <c r="A123" s="167" t="s">
        <v>110</v>
      </c>
      <c r="C123" s="195"/>
      <c r="D123" s="196"/>
    </row>
    <row r="124" spans="1:5" x14ac:dyDescent="0.2">
      <c r="A124" s="446" t="s">
        <v>136</v>
      </c>
      <c r="B124" s="446"/>
      <c r="C124" s="446"/>
      <c r="D124" s="446"/>
    </row>
    <row r="125" spans="1:5" x14ac:dyDescent="0.2">
      <c r="A125" s="167" t="s">
        <v>137</v>
      </c>
      <c r="C125" s="195"/>
      <c r="D125" s="196"/>
    </row>
    <row r="126" spans="1:5" ht="13.5" thickBot="1" x14ac:dyDescent="0.25">
      <c r="A126" s="194"/>
      <c r="C126" s="195"/>
      <c r="D126" s="196"/>
    </row>
    <row r="127" spans="1:5" ht="13.5" thickBot="1" x14ac:dyDescent="0.25">
      <c r="A127" s="422" t="s">
        <v>97</v>
      </c>
      <c r="B127" s="423"/>
      <c r="C127" s="423"/>
      <c r="D127" s="424"/>
    </row>
    <row r="128" spans="1:5" ht="13.5" thickBot="1" x14ac:dyDescent="0.25">
      <c r="A128" s="183"/>
      <c r="B128" s="406" t="s">
        <v>98</v>
      </c>
      <c r="C128" s="407"/>
      <c r="D128" s="185" t="s">
        <v>64</v>
      </c>
    </row>
    <row r="129" spans="1:4" ht="13.5" thickBot="1" x14ac:dyDescent="0.25">
      <c r="A129" s="202" t="s">
        <v>69</v>
      </c>
      <c r="B129" s="398" t="s">
        <v>16</v>
      </c>
      <c r="C129" s="399"/>
      <c r="D129" s="116">
        <f>D28</f>
        <v>3717.45</v>
      </c>
    </row>
    <row r="130" spans="1:4" ht="13.5" thickBot="1" x14ac:dyDescent="0.25">
      <c r="A130" s="202" t="s">
        <v>71</v>
      </c>
      <c r="B130" s="386" t="s">
        <v>31</v>
      </c>
      <c r="C130" s="387"/>
      <c r="D130" s="116">
        <f>D72</f>
        <v>3126.99</v>
      </c>
    </row>
    <row r="131" spans="1:4" ht="13.5" thickBot="1" x14ac:dyDescent="0.25">
      <c r="A131" s="202" t="s">
        <v>39</v>
      </c>
      <c r="B131" s="386" t="s">
        <v>66</v>
      </c>
      <c r="C131" s="387"/>
      <c r="D131" s="116">
        <f>D81</f>
        <v>153.94406544</v>
      </c>
    </row>
    <row r="132" spans="1:4" ht="13.5" thickBot="1" x14ac:dyDescent="0.25">
      <c r="A132" s="202" t="s">
        <v>9</v>
      </c>
      <c r="B132" s="386" t="s">
        <v>78</v>
      </c>
      <c r="C132" s="387"/>
      <c r="D132" s="116">
        <f>D103</f>
        <v>58.847605244999997</v>
      </c>
    </row>
    <row r="133" spans="1:4" ht="13.5" thickBot="1" x14ac:dyDescent="0.25">
      <c r="A133" s="202" t="s">
        <v>75</v>
      </c>
      <c r="B133" s="386" t="s">
        <v>84</v>
      </c>
      <c r="C133" s="387"/>
      <c r="D133" s="116">
        <f>D112</f>
        <v>132.34558404558405</v>
      </c>
    </row>
    <row r="134" spans="1:4" ht="13.5" thickBot="1" x14ac:dyDescent="0.25">
      <c r="A134" s="408" t="s">
        <v>99</v>
      </c>
      <c r="B134" s="412"/>
      <c r="C134" s="409"/>
      <c r="D134" s="116">
        <f>SUM(D129:D133)</f>
        <v>7189.5772547305833</v>
      </c>
    </row>
    <row r="135" spans="1:4" ht="13.5" thickBot="1" x14ac:dyDescent="0.25">
      <c r="A135" s="202" t="s">
        <v>76</v>
      </c>
      <c r="B135" s="398" t="s">
        <v>100</v>
      </c>
      <c r="C135" s="399"/>
      <c r="D135" s="203">
        <f>D122</f>
        <v>692.59594220571284</v>
      </c>
    </row>
    <row r="136" spans="1:4" ht="13.5" thickBot="1" x14ac:dyDescent="0.25">
      <c r="A136" s="408" t="s">
        <v>101</v>
      </c>
      <c r="B136" s="412"/>
      <c r="C136" s="409"/>
      <c r="D136" s="204">
        <f>ROUND((D134+D135),2)</f>
        <v>7882.17</v>
      </c>
    </row>
    <row r="137" spans="1:4" ht="13.5" thickBot="1" x14ac:dyDescent="0.25">
      <c r="A137" s="408" t="s">
        <v>144</v>
      </c>
      <c r="B137" s="412"/>
      <c r="C137" s="409"/>
      <c r="D137" s="204">
        <f>D136*2</f>
        <v>15764.34</v>
      </c>
    </row>
  </sheetData>
  <mergeCells count="84">
    <mergeCell ref="A134:C134"/>
    <mergeCell ref="A114:D114"/>
    <mergeCell ref="B130:C130"/>
    <mergeCell ref="A122:B122"/>
    <mergeCell ref="A124:D124"/>
    <mergeCell ref="A127:D127"/>
    <mergeCell ref="B129:C129"/>
    <mergeCell ref="A103:C103"/>
    <mergeCell ref="A105:D105"/>
    <mergeCell ref="B106:C106"/>
    <mergeCell ref="B107:C107"/>
    <mergeCell ref="A112:C112"/>
    <mergeCell ref="A136:C136"/>
    <mergeCell ref="C14:D14"/>
    <mergeCell ref="B18:C18"/>
    <mergeCell ref="A19:D19"/>
    <mergeCell ref="B23:C23"/>
    <mergeCell ref="B25:C25"/>
    <mergeCell ref="A28:C28"/>
    <mergeCell ref="B131:C131"/>
    <mergeCell ref="B132:C132"/>
    <mergeCell ref="B133:C133"/>
    <mergeCell ref="B135:C135"/>
    <mergeCell ref="B110:C110"/>
    <mergeCell ref="B111:C111"/>
    <mergeCell ref="A84:D84"/>
    <mergeCell ref="A92:B92"/>
    <mergeCell ref="A64:C64"/>
    <mergeCell ref="B61:C61"/>
    <mergeCell ref="A93:D93"/>
    <mergeCell ref="A94:D94"/>
    <mergeCell ref="B70:C70"/>
    <mergeCell ref="B71:C71"/>
    <mergeCell ref="A81:B81"/>
    <mergeCell ref="A82:D82"/>
    <mergeCell ref="A83:D83"/>
    <mergeCell ref="A72:C72"/>
    <mergeCell ref="A66:D66"/>
    <mergeCell ref="A67:D67"/>
    <mergeCell ref="B68:C68"/>
    <mergeCell ref="B69:C69"/>
    <mergeCell ref="B15:C15"/>
    <mergeCell ref="A2:D2"/>
    <mergeCell ref="A3:D3"/>
    <mergeCell ref="A4:D4"/>
    <mergeCell ref="A5:D5"/>
    <mergeCell ref="A6:D6"/>
    <mergeCell ref="B95:C95"/>
    <mergeCell ref="A73:D73"/>
    <mergeCell ref="B56:C56"/>
    <mergeCell ref="B26:C26"/>
    <mergeCell ref="B27:C27"/>
    <mergeCell ref="A31:D31"/>
    <mergeCell ref="A39:D39"/>
    <mergeCell ref="A30:D30"/>
    <mergeCell ref="A35:B35"/>
    <mergeCell ref="A37:B37"/>
    <mergeCell ref="A38:D38"/>
    <mergeCell ref="A40:D40"/>
    <mergeCell ref="A41:D41"/>
    <mergeCell ref="B62:C62"/>
    <mergeCell ref="A51:B51"/>
    <mergeCell ref="A55:D55"/>
    <mergeCell ref="A97:C97"/>
    <mergeCell ref="A99:D99"/>
    <mergeCell ref="B101:C101"/>
    <mergeCell ref="B102:C102"/>
    <mergeCell ref="B100:C100"/>
    <mergeCell ref="A1:D1"/>
    <mergeCell ref="A7:D7"/>
    <mergeCell ref="A137:C137"/>
    <mergeCell ref="B20:C20"/>
    <mergeCell ref="B21:C21"/>
    <mergeCell ref="B16:C16"/>
    <mergeCell ref="B9:C9"/>
    <mergeCell ref="B10:C10"/>
    <mergeCell ref="B11:C11"/>
    <mergeCell ref="A13:D13"/>
    <mergeCell ref="B12:C12"/>
    <mergeCell ref="A8:D8"/>
    <mergeCell ref="B128:C128"/>
    <mergeCell ref="B108:C108"/>
    <mergeCell ref="B109:C109"/>
    <mergeCell ref="B96:C96"/>
  </mergeCells>
  <pageMargins left="0.51181102362204722" right="0.51181102362204722" top="0.78740157480314965" bottom="0.78740157480314965" header="0.31496062992125984" footer="0.31496062992125984"/>
  <pageSetup paperSize="9" scale="75" fitToHeight="2"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37"/>
  <sheetViews>
    <sheetView topLeftCell="A39" zoomScale="130" zoomScaleNormal="130" workbookViewId="0">
      <selection activeCell="A5" sqref="A5:D137"/>
    </sheetView>
  </sheetViews>
  <sheetFormatPr defaultRowHeight="12.75" x14ac:dyDescent="0.2"/>
  <cols>
    <col min="1" max="1" width="5" style="46" customWidth="1"/>
    <col min="2" max="2" width="47.7109375" style="46" customWidth="1"/>
    <col min="3" max="3" width="11.28515625" style="46" customWidth="1"/>
    <col min="4" max="4" width="24.28515625" style="46" customWidth="1"/>
    <col min="5" max="16384" width="9.140625" style="46"/>
  </cols>
  <sheetData>
    <row r="1" spans="1:6" x14ac:dyDescent="0.2">
      <c r="A1" s="395" t="str">
        <f>'VIGILÂNCIA DES 44HRS SEG A SEX'!A1:D1</f>
        <v xml:space="preserve">MINISTERIO DO MEIO AMBIENTE E MUDANÇA DO CLIMA </v>
      </c>
      <c r="B1" s="396"/>
      <c r="C1" s="396"/>
      <c r="D1" s="396"/>
    </row>
    <row r="2" spans="1:6" x14ac:dyDescent="0.2">
      <c r="A2" s="395" t="str">
        <f>'VIGILÂNCIA DES 44HRS SEG A SEX'!A2:D2</f>
        <v xml:space="preserve">SUBSECRETARIA DE PLANEJAMENTO, ORÇAMENTO E ADMINISTRAÇÃO </v>
      </c>
      <c r="B2" s="396"/>
      <c r="C2" s="396"/>
      <c r="D2" s="396"/>
    </row>
    <row r="3" spans="1:6" x14ac:dyDescent="0.2">
      <c r="A3" s="395"/>
      <c r="B3" s="396"/>
      <c r="C3" s="396"/>
      <c r="D3" s="396"/>
    </row>
    <row r="4" spans="1:6" x14ac:dyDescent="0.2">
      <c r="A4" s="395"/>
      <c r="B4" s="396"/>
      <c r="C4" s="396"/>
      <c r="D4" s="396"/>
    </row>
    <row r="5" spans="1:6" ht="13.5" thickBot="1" x14ac:dyDescent="0.25">
      <c r="A5" s="400" t="s">
        <v>0</v>
      </c>
      <c r="B5" s="401"/>
      <c r="C5" s="401"/>
      <c r="D5" s="401"/>
    </row>
    <row r="6" spans="1:6" x14ac:dyDescent="0.2">
      <c r="A6" s="402" t="s">
        <v>111</v>
      </c>
      <c r="B6" s="403"/>
      <c r="C6" s="403"/>
      <c r="D6" s="404"/>
    </row>
    <row r="7" spans="1:6" ht="13.5" thickBot="1" x14ac:dyDescent="0.25">
      <c r="A7" s="400" t="s">
        <v>112</v>
      </c>
      <c r="B7" s="401"/>
      <c r="C7" s="401"/>
      <c r="D7" s="405"/>
    </row>
    <row r="8" spans="1:6" ht="13.5" thickBot="1" x14ac:dyDescent="0.25">
      <c r="A8" s="389" t="s">
        <v>1</v>
      </c>
      <c r="B8" s="390"/>
      <c r="C8" s="390"/>
      <c r="D8" s="390"/>
    </row>
    <row r="9" spans="1:6" x14ac:dyDescent="0.2">
      <c r="A9" s="122" t="s">
        <v>2</v>
      </c>
      <c r="B9" s="426" t="s">
        <v>3</v>
      </c>
      <c r="C9" s="426"/>
      <c r="D9" s="251">
        <f>'VIGILÂNCIA DES 44HRS SEG A SEX'!D9</f>
        <v>45751</v>
      </c>
    </row>
    <row r="10" spans="1:6" x14ac:dyDescent="0.2">
      <c r="A10" s="123" t="s">
        <v>4</v>
      </c>
      <c r="B10" s="391" t="s">
        <v>5</v>
      </c>
      <c r="C10" s="391"/>
      <c r="D10" s="124" t="s">
        <v>6</v>
      </c>
    </row>
    <row r="11" spans="1:6" ht="25.5" x14ac:dyDescent="0.2">
      <c r="A11" s="123" t="s">
        <v>7</v>
      </c>
      <c r="B11" s="392" t="s">
        <v>8</v>
      </c>
      <c r="C11" s="393"/>
      <c r="D11" s="125" t="str">
        <f>'VIGILÂNCIA DES 44HRS SEG A SEX'!D11</f>
        <v>DF000333/2024 - SINDESV/DF</v>
      </c>
    </row>
    <row r="12" spans="1:6" ht="13.5" thickBot="1" x14ac:dyDescent="0.25">
      <c r="A12" s="126" t="s">
        <v>9</v>
      </c>
      <c r="B12" s="394" t="s">
        <v>10</v>
      </c>
      <c r="C12" s="394"/>
      <c r="D12" s="127">
        <v>12</v>
      </c>
    </row>
    <row r="13" spans="1:6" ht="13.5" thickBot="1" x14ac:dyDescent="0.25">
      <c r="A13" s="427" t="s">
        <v>11</v>
      </c>
      <c r="B13" s="428"/>
      <c r="C13" s="428"/>
      <c r="D13" s="428"/>
    </row>
    <row r="14" spans="1:6" ht="25.5" x14ac:dyDescent="0.2">
      <c r="A14" s="128">
        <v>1</v>
      </c>
      <c r="B14" s="129" t="s">
        <v>12</v>
      </c>
      <c r="C14" s="429" t="s">
        <v>269</v>
      </c>
      <c r="D14" s="430"/>
    </row>
    <row r="15" spans="1:6" x14ac:dyDescent="0.2">
      <c r="A15" s="130">
        <v>2</v>
      </c>
      <c r="B15" s="434" t="s">
        <v>102</v>
      </c>
      <c r="C15" s="420"/>
      <c r="D15" s="120">
        <f>'VIGILÂNCIA DES 44HRS SEG A SEX'!D15</f>
        <v>2859.5805</v>
      </c>
      <c r="F15" s="131"/>
    </row>
    <row r="16" spans="1:6" x14ac:dyDescent="0.2">
      <c r="A16" s="130">
        <v>3</v>
      </c>
      <c r="B16" s="434" t="s">
        <v>13</v>
      </c>
      <c r="C16" s="415"/>
      <c r="D16" s="132" t="s">
        <v>14</v>
      </c>
    </row>
    <row r="17" spans="1:4" x14ac:dyDescent="0.2">
      <c r="A17" s="117">
        <v>4</v>
      </c>
      <c r="B17" s="133" t="s">
        <v>113</v>
      </c>
      <c r="C17" s="134"/>
      <c r="D17" s="135" t="s">
        <v>138</v>
      </c>
    </row>
    <row r="18" spans="1:4" ht="13.5" thickBot="1" x14ac:dyDescent="0.25">
      <c r="A18" s="136">
        <v>5</v>
      </c>
      <c r="B18" s="435" t="s">
        <v>15</v>
      </c>
      <c r="C18" s="436"/>
      <c r="D18" s="137">
        <v>45658</v>
      </c>
    </row>
    <row r="19" spans="1:4" ht="13.5" thickBot="1" x14ac:dyDescent="0.25">
      <c r="A19" s="431" t="s">
        <v>16</v>
      </c>
      <c r="B19" s="432"/>
      <c r="C19" s="432"/>
      <c r="D19" s="432"/>
    </row>
    <row r="20" spans="1:4" ht="13.5" thickBot="1" x14ac:dyDescent="0.25">
      <c r="A20" s="121">
        <v>1</v>
      </c>
      <c r="B20" s="437" t="s">
        <v>17</v>
      </c>
      <c r="C20" s="438"/>
      <c r="D20" s="138" t="s">
        <v>18</v>
      </c>
    </row>
    <row r="21" spans="1:4" x14ac:dyDescent="0.2">
      <c r="A21" s="139" t="s">
        <v>2</v>
      </c>
      <c r="B21" s="421" t="s">
        <v>19</v>
      </c>
      <c r="C21" s="421"/>
      <c r="D21" s="140">
        <f>D15</f>
        <v>2859.5805</v>
      </c>
    </row>
    <row r="22" spans="1:4" x14ac:dyDescent="0.2">
      <c r="A22" s="141" t="s">
        <v>4</v>
      </c>
      <c r="B22" s="142" t="s">
        <v>20</v>
      </c>
      <c r="C22" s="143">
        <v>0.3</v>
      </c>
      <c r="D22" s="144">
        <f t="shared" ref="D22" si="0">C22*D21</f>
        <v>857.87414999999999</v>
      </c>
    </row>
    <row r="23" spans="1:4" x14ac:dyDescent="0.2">
      <c r="A23" s="141" t="s">
        <v>7</v>
      </c>
      <c r="B23" s="416" t="s">
        <v>21</v>
      </c>
      <c r="C23" s="416"/>
      <c r="D23" s="144">
        <v>0</v>
      </c>
    </row>
    <row r="24" spans="1:4" x14ac:dyDescent="0.2">
      <c r="A24" s="141" t="s">
        <v>22</v>
      </c>
      <c r="B24" s="142" t="s">
        <v>23</v>
      </c>
      <c r="C24" s="145">
        <v>0</v>
      </c>
      <c r="D24" s="144"/>
    </row>
    <row r="25" spans="1:4" x14ac:dyDescent="0.2">
      <c r="A25" s="141" t="s">
        <v>24</v>
      </c>
      <c r="B25" s="416" t="s">
        <v>25</v>
      </c>
      <c r="C25" s="416"/>
      <c r="D25" s="144">
        <f t="shared" ref="D25" si="1">D21/220*0.2*0*15</f>
        <v>0</v>
      </c>
    </row>
    <row r="26" spans="1:4" x14ac:dyDescent="0.2">
      <c r="A26" s="141" t="s">
        <v>26</v>
      </c>
      <c r="B26" s="416" t="s">
        <v>27</v>
      </c>
      <c r="C26" s="416"/>
      <c r="D26" s="144">
        <v>0</v>
      </c>
    </row>
    <row r="27" spans="1:4" x14ac:dyDescent="0.2">
      <c r="A27" s="146" t="s">
        <v>28</v>
      </c>
      <c r="B27" s="433" t="s">
        <v>29</v>
      </c>
      <c r="C27" s="433"/>
      <c r="D27" s="147">
        <v>0</v>
      </c>
    </row>
    <row r="28" spans="1:4" ht="13.5" thickBot="1" x14ac:dyDescent="0.25">
      <c r="A28" s="417" t="s">
        <v>30</v>
      </c>
      <c r="B28" s="439"/>
      <c r="C28" s="418"/>
      <c r="D28" s="148">
        <f>ROUND(SUM(D21:D27),2)</f>
        <v>3717.45</v>
      </c>
    </row>
    <row r="29" spans="1:4" ht="13.5" thickBot="1" x14ac:dyDescent="0.25">
      <c r="A29" s="149" t="s">
        <v>114</v>
      </c>
      <c r="B29" s="150"/>
      <c r="C29" s="151"/>
      <c r="D29" s="152"/>
    </row>
    <row r="30" spans="1:4" ht="13.5" thickBot="1" x14ac:dyDescent="0.25">
      <c r="A30" s="422" t="s">
        <v>31</v>
      </c>
      <c r="B30" s="423"/>
      <c r="C30" s="423"/>
      <c r="D30" s="424"/>
    </row>
    <row r="31" spans="1:4" ht="13.5" thickBot="1" x14ac:dyDescent="0.25">
      <c r="A31" s="422" t="s">
        <v>32</v>
      </c>
      <c r="B31" s="423"/>
      <c r="C31" s="423"/>
      <c r="D31" s="424"/>
    </row>
    <row r="32" spans="1:4" ht="13.5" thickBot="1" x14ac:dyDescent="0.25">
      <c r="A32" s="153" t="s">
        <v>33</v>
      </c>
      <c r="B32" s="154" t="s">
        <v>34</v>
      </c>
      <c r="C32" s="155" t="s">
        <v>35</v>
      </c>
      <c r="D32" s="156" t="s">
        <v>18</v>
      </c>
    </row>
    <row r="33" spans="1:4" x14ac:dyDescent="0.2">
      <c r="A33" s="157" t="s">
        <v>2</v>
      </c>
      <c r="B33" s="158" t="s">
        <v>36</v>
      </c>
      <c r="C33" s="159">
        <v>8.3299999999999999E-2</v>
      </c>
      <c r="D33" s="120">
        <f>ROUND(D$28*C33,2)</f>
        <v>309.66000000000003</v>
      </c>
    </row>
    <row r="34" spans="1:4" x14ac:dyDescent="0.2">
      <c r="A34" s="130" t="s">
        <v>4</v>
      </c>
      <c r="B34" s="160" t="s">
        <v>37</v>
      </c>
      <c r="C34" s="48">
        <v>0.121</v>
      </c>
      <c r="D34" s="120">
        <f t="shared" ref="D34" si="2">ROUND(D$28*C34,2)</f>
        <v>449.81</v>
      </c>
    </row>
    <row r="35" spans="1:4" ht="13.5" thickBot="1" x14ac:dyDescent="0.25">
      <c r="A35" s="440" t="s">
        <v>38</v>
      </c>
      <c r="B35" s="441"/>
      <c r="C35" s="161">
        <f>SUM(A33:C34)</f>
        <v>0.20429999999999998</v>
      </c>
      <c r="D35" s="120">
        <f>SUM(D33:D34)</f>
        <v>759.47</v>
      </c>
    </row>
    <row r="36" spans="1:4" ht="25.5" x14ac:dyDescent="0.2">
      <c r="A36" s="117" t="s">
        <v>39</v>
      </c>
      <c r="B36" s="118" t="s">
        <v>40</v>
      </c>
      <c r="C36" s="119">
        <f>C35*C51</f>
        <v>7.2117899999999999E-2</v>
      </c>
      <c r="D36" s="120">
        <f>ROUND(D$28*C36,2)</f>
        <v>268.08999999999997</v>
      </c>
    </row>
    <row r="37" spans="1:4" x14ac:dyDescent="0.2">
      <c r="A37" s="442" t="s">
        <v>41</v>
      </c>
      <c r="B37" s="443"/>
      <c r="C37" s="162"/>
      <c r="D37" s="120">
        <f>SUM(D35:D36)</f>
        <v>1027.56</v>
      </c>
    </row>
    <row r="38" spans="1:4" ht="36.75" customHeight="1" x14ac:dyDescent="0.2">
      <c r="A38" s="397" t="s">
        <v>115</v>
      </c>
      <c r="B38" s="397"/>
      <c r="C38" s="397"/>
      <c r="D38" s="397"/>
    </row>
    <row r="39" spans="1:4" ht="27.75" customHeight="1" x14ac:dyDescent="0.2">
      <c r="A39" s="397" t="s">
        <v>116</v>
      </c>
      <c r="B39" s="397"/>
      <c r="C39" s="397"/>
      <c r="D39" s="397"/>
    </row>
    <row r="40" spans="1:4" ht="36" customHeight="1" thickBot="1" x14ac:dyDescent="0.25">
      <c r="A40" s="413" t="s">
        <v>117</v>
      </c>
      <c r="B40" s="413"/>
      <c r="C40" s="413"/>
      <c r="D40" s="413"/>
    </row>
    <row r="41" spans="1:4" ht="13.5" thickBot="1" x14ac:dyDescent="0.25">
      <c r="A41" s="406" t="s">
        <v>42</v>
      </c>
      <c r="B41" s="414"/>
      <c r="C41" s="414"/>
      <c r="D41" s="407"/>
    </row>
    <row r="42" spans="1:4" ht="13.5" thickBot="1" x14ac:dyDescent="0.25">
      <c r="A42" s="153" t="s">
        <v>43</v>
      </c>
      <c r="B42" s="163" t="s">
        <v>44</v>
      </c>
      <c r="C42" s="155" t="s">
        <v>35</v>
      </c>
      <c r="D42" s="156" t="s">
        <v>18</v>
      </c>
    </row>
    <row r="43" spans="1:4" x14ac:dyDescent="0.2">
      <c r="A43" s="157" t="s">
        <v>2</v>
      </c>
      <c r="B43" s="158" t="s">
        <v>45</v>
      </c>
      <c r="C43" s="159">
        <v>0.2</v>
      </c>
      <c r="D43" s="120">
        <f>ROUND(D$28*C43,2)</f>
        <v>743.49</v>
      </c>
    </row>
    <row r="44" spans="1:4" x14ac:dyDescent="0.2">
      <c r="A44" s="130" t="s">
        <v>4</v>
      </c>
      <c r="B44" s="160" t="s">
        <v>46</v>
      </c>
      <c r="C44" s="48">
        <v>2.5000000000000001E-2</v>
      </c>
      <c r="D44" s="120">
        <f t="shared" ref="D44:D50" si="3">ROUND(D$28*C44,2)</f>
        <v>92.94</v>
      </c>
    </row>
    <row r="45" spans="1:4" x14ac:dyDescent="0.2">
      <c r="A45" s="130" t="s">
        <v>7</v>
      </c>
      <c r="B45" s="160" t="s">
        <v>47</v>
      </c>
      <c r="C45" s="48">
        <f>'VIGILÂNCIA DES 44HRS SEG A SEX'!C45</f>
        <v>1.4999999999999999E-2</v>
      </c>
      <c r="D45" s="120">
        <f t="shared" si="3"/>
        <v>55.76</v>
      </c>
    </row>
    <row r="46" spans="1:4" x14ac:dyDescent="0.2">
      <c r="A46" s="130" t="s">
        <v>22</v>
      </c>
      <c r="B46" s="160" t="s">
        <v>48</v>
      </c>
      <c r="C46" s="48">
        <v>1.4999999999999999E-2</v>
      </c>
      <c r="D46" s="120">
        <f t="shared" si="3"/>
        <v>55.76</v>
      </c>
    </row>
    <row r="47" spans="1:4" x14ac:dyDescent="0.2">
      <c r="A47" s="130" t="s">
        <v>24</v>
      </c>
      <c r="B47" s="160" t="s">
        <v>49</v>
      </c>
      <c r="C47" s="48">
        <v>0.01</v>
      </c>
      <c r="D47" s="120">
        <f t="shared" si="3"/>
        <v>37.17</v>
      </c>
    </row>
    <row r="48" spans="1:4" x14ac:dyDescent="0.2">
      <c r="A48" s="130" t="s">
        <v>50</v>
      </c>
      <c r="B48" s="160" t="s">
        <v>51</v>
      </c>
      <c r="C48" s="48">
        <v>6.0000000000000001E-3</v>
      </c>
      <c r="D48" s="120">
        <f t="shared" si="3"/>
        <v>22.3</v>
      </c>
    </row>
    <row r="49" spans="1:5" x14ac:dyDescent="0.2">
      <c r="A49" s="130" t="s">
        <v>26</v>
      </c>
      <c r="B49" s="160" t="s">
        <v>52</v>
      </c>
      <c r="C49" s="48">
        <v>2E-3</v>
      </c>
      <c r="D49" s="120">
        <f t="shared" si="3"/>
        <v>7.43</v>
      </c>
    </row>
    <row r="50" spans="1:5" x14ac:dyDescent="0.2">
      <c r="A50" s="117" t="s">
        <v>28</v>
      </c>
      <c r="B50" s="164" t="s">
        <v>53</v>
      </c>
      <c r="C50" s="48">
        <v>0.08</v>
      </c>
      <c r="D50" s="120">
        <f t="shared" si="3"/>
        <v>297.39999999999998</v>
      </c>
    </row>
    <row r="51" spans="1:5" ht="13.5" thickBot="1" x14ac:dyDescent="0.25">
      <c r="A51" s="417" t="s">
        <v>54</v>
      </c>
      <c r="B51" s="418"/>
      <c r="C51" s="165">
        <f>SUM(C43:C50)</f>
        <v>0.35300000000000004</v>
      </c>
      <c r="D51" s="166">
        <f>SUM(D43:D50)</f>
        <v>1312.25</v>
      </c>
    </row>
    <row r="52" spans="1:5" x14ac:dyDescent="0.2">
      <c r="A52" s="167" t="s">
        <v>118</v>
      </c>
      <c r="B52" s="168"/>
      <c r="C52" s="169"/>
      <c r="D52" s="170"/>
      <c r="E52" s="149"/>
    </row>
    <row r="53" spans="1:5" x14ac:dyDescent="0.2">
      <c r="A53" s="167" t="s">
        <v>119</v>
      </c>
      <c r="B53" s="168"/>
      <c r="C53" s="169"/>
      <c r="D53" s="170"/>
      <c r="E53" s="149"/>
    </row>
    <row r="54" spans="1:5" ht="13.5" thickBot="1" x14ac:dyDescent="0.25">
      <c r="A54" s="149" t="s">
        <v>120</v>
      </c>
      <c r="B54" s="168"/>
      <c r="C54" s="169"/>
      <c r="D54" s="170"/>
      <c r="E54" s="149"/>
    </row>
    <row r="55" spans="1:5" ht="13.5" thickBot="1" x14ac:dyDescent="0.25">
      <c r="A55" s="422" t="s">
        <v>55</v>
      </c>
      <c r="B55" s="423"/>
      <c r="C55" s="423"/>
      <c r="D55" s="424"/>
    </row>
    <row r="56" spans="1:5" ht="13.5" thickBot="1" x14ac:dyDescent="0.25">
      <c r="A56" s="153" t="s">
        <v>56</v>
      </c>
      <c r="B56" s="419" t="s">
        <v>57</v>
      </c>
      <c r="C56" s="409"/>
      <c r="D56" s="171" t="s">
        <v>18</v>
      </c>
    </row>
    <row r="57" spans="1:5" x14ac:dyDescent="0.2">
      <c r="A57" s="122" t="s">
        <v>2</v>
      </c>
      <c r="B57" s="172" t="s">
        <v>58</v>
      </c>
      <c r="C57" s="173">
        <v>15</v>
      </c>
      <c r="D57" s="120">
        <f>-G59</f>
        <v>0</v>
      </c>
    </row>
    <row r="58" spans="1:5" x14ac:dyDescent="0.2">
      <c r="A58" s="123" t="s">
        <v>4</v>
      </c>
      <c r="B58" s="174" t="s">
        <v>59</v>
      </c>
      <c r="C58" s="175">
        <v>15</v>
      </c>
      <c r="D58" s="265">
        <f>C58*49.63</f>
        <v>744.45</v>
      </c>
    </row>
    <row r="59" spans="1:5" x14ac:dyDescent="0.2">
      <c r="A59" s="123" t="s">
        <v>39</v>
      </c>
      <c r="B59" s="177" t="s">
        <v>60</v>
      </c>
      <c r="C59" s="178"/>
      <c r="D59" s="176">
        <v>0</v>
      </c>
    </row>
    <row r="60" spans="1:5" x14ac:dyDescent="0.2">
      <c r="A60" s="123" t="s">
        <v>22</v>
      </c>
      <c r="B60" s="179" t="s">
        <v>121</v>
      </c>
      <c r="C60" s="178"/>
      <c r="D60" s="176">
        <v>0</v>
      </c>
    </row>
    <row r="61" spans="1:5" x14ac:dyDescent="0.2">
      <c r="A61" s="122" t="s">
        <v>75</v>
      </c>
      <c r="B61" s="420" t="s">
        <v>104</v>
      </c>
      <c r="C61" s="421"/>
      <c r="D61" s="264">
        <f>'VIGILÂNCIA DES 44HRS SEG A SEX'!D61</f>
        <v>17.73</v>
      </c>
    </row>
    <row r="62" spans="1:5" x14ac:dyDescent="0.2">
      <c r="A62" s="123" t="s">
        <v>50</v>
      </c>
      <c r="B62" s="415" t="s">
        <v>105</v>
      </c>
      <c r="C62" s="416"/>
      <c r="D62" s="176">
        <v>0</v>
      </c>
    </row>
    <row r="63" spans="1:5" ht="13.5" thickBot="1" x14ac:dyDescent="0.25">
      <c r="A63" s="123" t="s">
        <v>103</v>
      </c>
      <c r="B63" s="177" t="s">
        <v>275</v>
      </c>
      <c r="C63" s="178"/>
      <c r="D63" s="265">
        <v>25</v>
      </c>
    </row>
    <row r="64" spans="1:5" ht="13.5" thickBot="1" x14ac:dyDescent="0.25">
      <c r="A64" s="444" t="s">
        <v>61</v>
      </c>
      <c r="B64" s="445" t="s">
        <v>61</v>
      </c>
      <c r="C64" s="445"/>
      <c r="D64" s="180">
        <f>SUM(D57:D63)</f>
        <v>787.18000000000006</v>
      </c>
    </row>
    <row r="65" spans="1:4" x14ac:dyDescent="0.2">
      <c r="A65" s="167" t="s">
        <v>122</v>
      </c>
      <c r="B65" s="181"/>
      <c r="C65" s="181"/>
      <c r="D65" s="182"/>
    </row>
    <row r="66" spans="1:4" ht="13.5" thickBot="1" x14ac:dyDescent="0.25">
      <c r="A66" s="446" t="s">
        <v>123</v>
      </c>
      <c r="B66" s="446"/>
      <c r="C66" s="446"/>
      <c r="D66" s="446"/>
    </row>
    <row r="67" spans="1:4" ht="13.5" thickBot="1" x14ac:dyDescent="0.25">
      <c r="A67" s="422" t="s">
        <v>62</v>
      </c>
      <c r="B67" s="423"/>
      <c r="C67" s="423"/>
      <c r="D67" s="424"/>
    </row>
    <row r="68" spans="1:4" ht="13.5" thickBot="1" x14ac:dyDescent="0.25">
      <c r="A68" s="183">
        <v>2</v>
      </c>
      <c r="B68" s="408" t="s">
        <v>63</v>
      </c>
      <c r="C68" s="409"/>
      <c r="D68" s="185" t="s">
        <v>64</v>
      </c>
    </row>
    <row r="69" spans="1:4" ht="13.5" thickBot="1" x14ac:dyDescent="0.25">
      <c r="A69" s="112" t="s">
        <v>33</v>
      </c>
      <c r="B69" s="398" t="s">
        <v>34</v>
      </c>
      <c r="C69" s="399"/>
      <c r="D69" s="116">
        <f>D37</f>
        <v>1027.56</v>
      </c>
    </row>
    <row r="70" spans="1:4" ht="13.5" thickBot="1" x14ac:dyDescent="0.25">
      <c r="A70" s="112" t="s">
        <v>43</v>
      </c>
      <c r="B70" s="398" t="s">
        <v>44</v>
      </c>
      <c r="C70" s="399"/>
      <c r="D70" s="116">
        <f>D51</f>
        <v>1312.25</v>
      </c>
    </row>
    <row r="71" spans="1:4" ht="13.5" thickBot="1" x14ac:dyDescent="0.25">
      <c r="A71" s="112" t="s">
        <v>56</v>
      </c>
      <c r="B71" s="386" t="s">
        <v>57</v>
      </c>
      <c r="C71" s="387"/>
      <c r="D71" s="116">
        <f>D64</f>
        <v>787.18000000000006</v>
      </c>
    </row>
    <row r="72" spans="1:4" ht="13.5" thickBot="1" x14ac:dyDescent="0.25">
      <c r="A72" s="408" t="s">
        <v>65</v>
      </c>
      <c r="B72" s="412"/>
      <c r="C72" s="409"/>
      <c r="D72" s="186">
        <f>SUM(D69:D71)</f>
        <v>3126.99</v>
      </c>
    </row>
    <row r="73" spans="1:4" ht="13.5" thickBot="1" x14ac:dyDescent="0.25">
      <c r="A73" s="422" t="s">
        <v>66</v>
      </c>
      <c r="B73" s="423"/>
      <c r="C73" s="423"/>
      <c r="D73" s="424"/>
    </row>
    <row r="74" spans="1:4" ht="13.5" thickBot="1" x14ac:dyDescent="0.25">
      <c r="A74" s="183">
        <v>3</v>
      </c>
      <c r="B74" s="163" t="s">
        <v>67</v>
      </c>
      <c r="C74" s="187" t="s">
        <v>68</v>
      </c>
      <c r="D74" s="185" t="s">
        <v>64</v>
      </c>
    </row>
    <row r="75" spans="1:4" ht="13.5" thickBot="1" x14ac:dyDescent="0.25">
      <c r="A75" s="112" t="s">
        <v>69</v>
      </c>
      <c r="B75" s="113" t="s">
        <v>70</v>
      </c>
      <c r="C75" s="73">
        <f>'VIGILÂNCIA DES 44HRS SEG A SEX'!C75</f>
        <v>8.0000000000000004E-4</v>
      </c>
      <c r="D75" s="116">
        <f t="shared" ref="D75:D80" si="4">C75*$D$28</f>
        <v>2.9739599999999999</v>
      </c>
    </row>
    <row r="76" spans="1:4" ht="13.5" thickBot="1" x14ac:dyDescent="0.25">
      <c r="A76" s="112" t="s">
        <v>71</v>
      </c>
      <c r="B76" s="113" t="s">
        <v>72</v>
      </c>
      <c r="C76" s="73">
        <f>8%*C75</f>
        <v>6.4000000000000011E-5</v>
      </c>
      <c r="D76" s="116">
        <f t="shared" si="4"/>
        <v>0.23791680000000004</v>
      </c>
    </row>
    <row r="77" spans="1:4" ht="13.5" thickBot="1" x14ac:dyDescent="0.25">
      <c r="A77" s="112" t="s">
        <v>39</v>
      </c>
      <c r="B77" s="113" t="s">
        <v>73</v>
      </c>
      <c r="C77" s="73">
        <v>3.9800000000000002E-2</v>
      </c>
      <c r="D77" s="116">
        <f t="shared" si="4"/>
        <v>147.95451</v>
      </c>
    </row>
    <row r="78" spans="1:4" ht="13.5" thickBot="1" x14ac:dyDescent="0.25">
      <c r="A78" s="112" t="s">
        <v>9</v>
      </c>
      <c r="B78" s="113" t="s">
        <v>74</v>
      </c>
      <c r="C78" s="73">
        <f>'VIGILÂNCIA DES 44HRS SEG A SEX'!C78</f>
        <v>4.0000000000000002E-4</v>
      </c>
      <c r="D78" s="116">
        <f t="shared" si="4"/>
        <v>1.48698</v>
      </c>
    </row>
    <row r="79" spans="1:4" ht="26.25" thickBot="1" x14ac:dyDescent="0.25">
      <c r="A79" s="112" t="s">
        <v>75</v>
      </c>
      <c r="B79" s="113" t="s">
        <v>124</v>
      </c>
      <c r="C79" s="73">
        <f>1*36.8%*C78</f>
        <v>1.472E-4</v>
      </c>
      <c r="D79" s="116">
        <f t="shared" si="4"/>
        <v>0.54720864000000002</v>
      </c>
    </row>
    <row r="80" spans="1:4" ht="13.5" thickBot="1" x14ac:dyDescent="0.25">
      <c r="A80" s="112" t="s">
        <v>76</v>
      </c>
      <c r="B80" s="113" t="s">
        <v>77</v>
      </c>
      <c r="C80" s="73">
        <v>2.0000000000000001E-4</v>
      </c>
      <c r="D80" s="116">
        <f t="shared" si="4"/>
        <v>0.74348999999999998</v>
      </c>
    </row>
    <row r="81" spans="1:6" ht="13.5" thickBot="1" x14ac:dyDescent="0.25">
      <c r="A81" s="408" t="s">
        <v>65</v>
      </c>
      <c r="B81" s="409"/>
      <c r="C81" s="188">
        <f>SUM(C75:C80)</f>
        <v>4.1411199999999995E-2</v>
      </c>
      <c r="D81" s="189">
        <f>SUM(D75:D80)</f>
        <v>153.94406544</v>
      </c>
    </row>
    <row r="82" spans="1:6" ht="36.75" customHeight="1" thickBot="1" x14ac:dyDescent="0.25">
      <c r="A82" s="425" t="s">
        <v>125</v>
      </c>
      <c r="B82" s="425"/>
      <c r="C82" s="425"/>
      <c r="D82" s="425"/>
      <c r="F82" s="190"/>
    </row>
    <row r="83" spans="1:6" ht="13.5" thickBot="1" x14ac:dyDescent="0.25">
      <c r="A83" s="422" t="s">
        <v>78</v>
      </c>
      <c r="B83" s="423"/>
      <c r="C83" s="423"/>
      <c r="D83" s="424"/>
    </row>
    <row r="84" spans="1:6" ht="13.5" thickBot="1" x14ac:dyDescent="0.25">
      <c r="A84" s="408" t="s">
        <v>79</v>
      </c>
      <c r="B84" s="412"/>
      <c r="C84" s="412"/>
      <c r="D84" s="409"/>
    </row>
    <row r="85" spans="1:6" ht="13.5" thickBot="1" x14ac:dyDescent="0.25">
      <c r="A85" s="183" t="s">
        <v>80</v>
      </c>
      <c r="B85" s="184" t="s">
        <v>126</v>
      </c>
      <c r="C85" s="183" t="s">
        <v>68</v>
      </c>
      <c r="D85" s="185" t="s">
        <v>64</v>
      </c>
    </row>
    <row r="86" spans="1:6" ht="13.5" thickBot="1" x14ac:dyDescent="0.25">
      <c r="A86" s="112" t="s">
        <v>69</v>
      </c>
      <c r="B86" s="113" t="s">
        <v>106</v>
      </c>
      <c r="C86" s="114">
        <f>'VIGILÂNCIA DES 44HRS SEG A SEX'!C86</f>
        <v>9.2999999999999992E-3</v>
      </c>
      <c r="D86" s="115">
        <f>C86*$D$28</f>
        <v>34.572284999999994</v>
      </c>
    </row>
    <row r="87" spans="1:6" ht="13.5" thickBot="1" x14ac:dyDescent="0.25">
      <c r="A87" s="112" t="s">
        <v>71</v>
      </c>
      <c r="B87" s="113" t="s">
        <v>127</v>
      </c>
      <c r="C87" s="191">
        <f>'VIGILÂNCIA DES 44HRS SEG A SEX'!C87</f>
        <v>1E-3</v>
      </c>
      <c r="D87" s="115">
        <f>C87*$D$28</f>
        <v>3.7174499999999999</v>
      </c>
    </row>
    <row r="88" spans="1:6" ht="13.5" thickBot="1" x14ac:dyDescent="0.25">
      <c r="A88" s="112" t="s">
        <v>39</v>
      </c>
      <c r="B88" s="113" t="s">
        <v>107</v>
      </c>
      <c r="C88" s="191">
        <v>2.0000000000000001E-4</v>
      </c>
      <c r="D88" s="115">
        <f>C88*$D$28</f>
        <v>0.74348999999999998</v>
      </c>
    </row>
    <row r="89" spans="1:6" ht="26.25" thickBot="1" x14ac:dyDescent="0.25">
      <c r="A89" s="112" t="s">
        <v>9</v>
      </c>
      <c r="B89" s="113" t="s">
        <v>108</v>
      </c>
      <c r="C89" s="191">
        <f>'VIGILÂNCIA DES 44HRS SEG A SEX'!C89</f>
        <v>1E-3</v>
      </c>
      <c r="D89" s="115">
        <f>C89*$D$28</f>
        <v>3.7174499999999999</v>
      </c>
    </row>
    <row r="90" spans="1:6" ht="13.5" thickBot="1" x14ac:dyDescent="0.25">
      <c r="A90" s="112" t="s">
        <v>75</v>
      </c>
      <c r="B90" s="113" t="s">
        <v>109</v>
      </c>
      <c r="C90" s="191">
        <v>2.0000000000000001E-4</v>
      </c>
      <c r="D90" s="115">
        <f>C90*$D$28</f>
        <v>0.74348999999999998</v>
      </c>
    </row>
    <row r="91" spans="1:6" ht="39" thickBot="1" x14ac:dyDescent="0.25">
      <c r="A91" s="112" t="s">
        <v>76</v>
      </c>
      <c r="B91" s="113" t="s">
        <v>128</v>
      </c>
      <c r="C91" s="114">
        <f>SUM(C86:C90)*C51</f>
        <v>4.1301000000000003E-3</v>
      </c>
      <c r="D91" s="115">
        <f t="shared" ref="D91" si="5">C91*$D$28</f>
        <v>15.353440245</v>
      </c>
      <c r="E91" s="192" t="s">
        <v>129</v>
      </c>
    </row>
    <row r="92" spans="1:6" ht="13.5" thickBot="1" x14ac:dyDescent="0.25">
      <c r="A92" s="408" t="s">
        <v>41</v>
      </c>
      <c r="B92" s="412"/>
      <c r="C92" s="193">
        <f>SUM(C86:C91)</f>
        <v>1.58301E-2</v>
      </c>
      <c r="D92" s="189">
        <f>SUM(D86:D91)</f>
        <v>58.847605244999997</v>
      </c>
    </row>
    <row r="93" spans="1:6" ht="33.75" customHeight="1" thickBot="1" x14ac:dyDescent="0.25">
      <c r="A93" s="410" t="s">
        <v>130</v>
      </c>
      <c r="B93" s="410"/>
      <c r="C93" s="410"/>
      <c r="D93" s="410"/>
    </row>
    <row r="94" spans="1:6" ht="13.5" thickBot="1" x14ac:dyDescent="0.25">
      <c r="A94" s="422" t="s">
        <v>131</v>
      </c>
      <c r="B94" s="423"/>
      <c r="C94" s="423"/>
      <c r="D94" s="424"/>
    </row>
    <row r="95" spans="1:6" ht="13.5" thickBot="1" x14ac:dyDescent="0.25">
      <c r="A95" s="183" t="s">
        <v>81</v>
      </c>
      <c r="B95" s="408" t="s">
        <v>132</v>
      </c>
      <c r="C95" s="409"/>
      <c r="D95" s="185" t="s">
        <v>64</v>
      </c>
    </row>
    <row r="96" spans="1:6" ht="13.5" thickBot="1" x14ac:dyDescent="0.25">
      <c r="A96" s="112" t="s">
        <v>69</v>
      </c>
      <c r="B96" s="386" t="s">
        <v>133</v>
      </c>
      <c r="C96" s="387"/>
      <c r="D96" s="116">
        <v>0</v>
      </c>
    </row>
    <row r="97" spans="1:4" ht="13.5" thickBot="1" x14ac:dyDescent="0.25">
      <c r="A97" s="408" t="s">
        <v>65</v>
      </c>
      <c r="B97" s="412"/>
      <c r="C97" s="409"/>
      <c r="D97" s="116">
        <f>SUM(D96)</f>
        <v>0</v>
      </c>
    </row>
    <row r="98" spans="1:4" ht="13.5" thickBot="1" x14ac:dyDescent="0.25">
      <c r="A98" s="194"/>
      <c r="C98" s="195"/>
      <c r="D98" s="196"/>
    </row>
    <row r="99" spans="1:4" ht="13.5" thickBot="1" x14ac:dyDescent="0.25">
      <c r="A99" s="422" t="s">
        <v>82</v>
      </c>
      <c r="B99" s="423"/>
      <c r="C99" s="423"/>
      <c r="D99" s="424"/>
    </row>
    <row r="100" spans="1:4" ht="13.5" thickBot="1" x14ac:dyDescent="0.25">
      <c r="A100" s="183">
        <v>4</v>
      </c>
      <c r="B100" s="408" t="s">
        <v>83</v>
      </c>
      <c r="C100" s="409"/>
      <c r="D100" s="185" t="s">
        <v>64</v>
      </c>
    </row>
    <row r="101" spans="1:4" ht="13.5" thickBot="1" x14ac:dyDescent="0.25">
      <c r="A101" s="112" t="s">
        <v>80</v>
      </c>
      <c r="B101" s="386" t="s">
        <v>126</v>
      </c>
      <c r="C101" s="387"/>
      <c r="D101" s="116">
        <f>D92</f>
        <v>58.847605244999997</v>
      </c>
    </row>
    <row r="102" spans="1:4" ht="13.5" thickBot="1" x14ac:dyDescent="0.25">
      <c r="A102" s="112" t="s">
        <v>81</v>
      </c>
      <c r="B102" s="386" t="s">
        <v>132</v>
      </c>
      <c r="C102" s="387"/>
      <c r="D102" s="116">
        <f>D97</f>
        <v>0</v>
      </c>
    </row>
    <row r="103" spans="1:4" ht="13.5" thickBot="1" x14ac:dyDescent="0.25">
      <c r="A103" s="408" t="s">
        <v>65</v>
      </c>
      <c r="B103" s="412"/>
      <c r="C103" s="409"/>
      <c r="D103" s="189">
        <f>SUM(D101:D102)</f>
        <v>58.847605244999997</v>
      </c>
    </row>
    <row r="104" spans="1:4" ht="13.5" thickBot="1" x14ac:dyDescent="0.25">
      <c r="A104" s="194"/>
      <c r="C104" s="195"/>
      <c r="D104" s="196"/>
    </row>
    <row r="105" spans="1:4" ht="13.5" thickBot="1" x14ac:dyDescent="0.25">
      <c r="A105" s="422" t="s">
        <v>84</v>
      </c>
      <c r="B105" s="423"/>
      <c r="C105" s="423"/>
      <c r="D105" s="424"/>
    </row>
    <row r="106" spans="1:4" ht="13.5" thickBot="1" x14ac:dyDescent="0.25">
      <c r="A106" s="183">
        <v>5</v>
      </c>
      <c r="B106" s="408" t="s">
        <v>85</v>
      </c>
      <c r="C106" s="409"/>
      <c r="D106" s="185" t="s">
        <v>64</v>
      </c>
    </row>
    <row r="107" spans="1:4" ht="13.5" thickBot="1" x14ac:dyDescent="0.25">
      <c r="A107" s="112" t="s">
        <v>69</v>
      </c>
      <c r="B107" s="386" t="s">
        <v>86</v>
      </c>
      <c r="C107" s="387"/>
      <c r="D107" s="116">
        <f>'VIGILÂNCIA DES 44HRS SEG A SEX'!D107</f>
        <v>46.739999999999995</v>
      </c>
    </row>
    <row r="108" spans="1:4" ht="13.5" thickBot="1" x14ac:dyDescent="0.25">
      <c r="A108" s="112" t="s">
        <v>71</v>
      </c>
      <c r="B108" s="386" t="s">
        <v>87</v>
      </c>
      <c r="C108" s="387"/>
      <c r="D108" s="116">
        <f>'VIGILÂNCIA DES 44HRS SEG A SEX'!D108</f>
        <v>13.708148148148148</v>
      </c>
    </row>
    <row r="109" spans="1:4" ht="13.5" thickBot="1" x14ac:dyDescent="0.25">
      <c r="A109" s="112" t="s">
        <v>39</v>
      </c>
      <c r="B109" s="386" t="s">
        <v>88</v>
      </c>
      <c r="C109" s="387"/>
      <c r="D109" s="116">
        <f>MATERIAIS!F24</f>
        <v>40.250000000000007</v>
      </c>
    </row>
    <row r="110" spans="1:4" ht="13.5" thickBot="1" x14ac:dyDescent="0.25">
      <c r="A110" s="112" t="s">
        <v>9</v>
      </c>
      <c r="B110" s="386" t="s">
        <v>134</v>
      </c>
      <c r="C110" s="387"/>
      <c r="D110" s="116">
        <v>0</v>
      </c>
    </row>
    <row r="111" spans="1:4" ht="15.75" thickBot="1" x14ac:dyDescent="0.25">
      <c r="A111" s="197" t="s">
        <v>75</v>
      </c>
      <c r="B111" s="386" t="s">
        <v>135</v>
      </c>
      <c r="C111" s="411"/>
      <c r="D111" s="116">
        <v>0</v>
      </c>
    </row>
    <row r="112" spans="1:4" ht="13.5" thickBot="1" x14ac:dyDescent="0.25">
      <c r="A112" s="408" t="s">
        <v>41</v>
      </c>
      <c r="B112" s="412"/>
      <c r="C112" s="409"/>
      <c r="D112" s="186">
        <f>SUM(D107:D111)</f>
        <v>100.69814814814815</v>
      </c>
    </row>
    <row r="113" spans="1:5" ht="13.5" thickBot="1" x14ac:dyDescent="0.25">
      <c r="A113" s="194"/>
      <c r="C113" s="195"/>
      <c r="D113" s="196"/>
    </row>
    <row r="114" spans="1:5" ht="13.5" thickBot="1" x14ac:dyDescent="0.25">
      <c r="A114" s="422" t="s">
        <v>89</v>
      </c>
      <c r="B114" s="423"/>
      <c r="C114" s="423"/>
      <c r="D114" s="424"/>
    </row>
    <row r="115" spans="1:5" ht="13.5" thickBot="1" x14ac:dyDescent="0.25">
      <c r="A115" s="183">
        <v>6</v>
      </c>
      <c r="B115" s="198" t="s">
        <v>90</v>
      </c>
      <c r="C115" s="163" t="s">
        <v>68</v>
      </c>
      <c r="D115" s="185" t="s">
        <v>64</v>
      </c>
    </row>
    <row r="116" spans="1:5" ht="13.5" thickBot="1" x14ac:dyDescent="0.25">
      <c r="A116" s="112" t="s">
        <v>69</v>
      </c>
      <c r="B116" s="199" t="s">
        <v>91</v>
      </c>
      <c r="C116" s="191">
        <v>3.2000000000000002E-3</v>
      </c>
      <c r="D116" s="116">
        <f>C116*D134</f>
        <v>22.905375420266072</v>
      </c>
    </row>
    <row r="117" spans="1:5" ht="13.5" thickBot="1" x14ac:dyDescent="0.25">
      <c r="A117" s="112" t="s">
        <v>71</v>
      </c>
      <c r="B117" s="199" t="s">
        <v>92</v>
      </c>
      <c r="C117" s="191">
        <v>3.0000000000000001E-3</v>
      </c>
      <c r="D117" s="116">
        <f>(D134+D116)*C117</f>
        <v>21.542505582760239</v>
      </c>
    </row>
    <row r="118" spans="1:5" ht="13.5" thickBot="1" x14ac:dyDescent="0.25">
      <c r="A118" s="112" t="s">
        <v>39</v>
      </c>
      <c r="B118" s="199" t="s">
        <v>93</v>
      </c>
      <c r="C118" s="191">
        <f>C119+C120+C121</f>
        <v>8.6499999999999994E-2</v>
      </c>
      <c r="D118" s="116">
        <f>((D134+D116+D117)/(1-C118))*C118</f>
        <v>681.998545195215</v>
      </c>
      <c r="E118" s="200"/>
    </row>
    <row r="119" spans="1:5" ht="13.5" thickBot="1" x14ac:dyDescent="0.25">
      <c r="A119" s="112"/>
      <c r="B119" s="199" t="s">
        <v>94</v>
      </c>
      <c r="C119" s="191">
        <f>'VIGILÂNCIA DES 44HRS SEG A SEX'!C119</f>
        <v>3.6499999999999998E-2</v>
      </c>
      <c r="D119" s="116">
        <f>C119*D136</f>
        <v>287.77986999999996</v>
      </c>
    </row>
    <row r="120" spans="1:5" ht="13.5" thickBot="1" x14ac:dyDescent="0.25">
      <c r="A120" s="112"/>
      <c r="B120" s="199" t="s">
        <v>95</v>
      </c>
      <c r="C120" s="201">
        <v>0.05</v>
      </c>
      <c r="D120" s="116">
        <f>C120*D136</f>
        <v>394.21900000000005</v>
      </c>
    </row>
    <row r="121" spans="1:5" ht="13.5" thickBot="1" x14ac:dyDescent="0.25">
      <c r="A121" s="112"/>
      <c r="B121" s="199" t="s">
        <v>96</v>
      </c>
      <c r="C121" s="201">
        <v>0</v>
      </c>
      <c r="D121" s="116">
        <f>C121*D136</f>
        <v>0</v>
      </c>
    </row>
    <row r="122" spans="1:5" ht="13.5" thickBot="1" x14ac:dyDescent="0.25">
      <c r="A122" s="408" t="s">
        <v>41</v>
      </c>
      <c r="B122" s="409"/>
      <c r="C122" s="193">
        <f>C118+C116+C117</f>
        <v>9.2699999999999991E-2</v>
      </c>
      <c r="D122" s="185">
        <f>SUM(D116,D117,D118)</f>
        <v>726.44642619824128</v>
      </c>
    </row>
    <row r="123" spans="1:5" x14ac:dyDescent="0.2">
      <c r="A123" s="167" t="s">
        <v>110</v>
      </c>
      <c r="C123" s="195"/>
      <c r="D123" s="196"/>
    </row>
    <row r="124" spans="1:5" x14ac:dyDescent="0.2">
      <c r="A124" s="446" t="s">
        <v>136</v>
      </c>
      <c r="B124" s="446"/>
      <c r="C124" s="446"/>
      <c r="D124" s="446"/>
    </row>
    <row r="125" spans="1:5" x14ac:dyDescent="0.2">
      <c r="A125" s="167" t="s">
        <v>137</v>
      </c>
      <c r="C125" s="195"/>
      <c r="D125" s="196"/>
    </row>
    <row r="126" spans="1:5" ht="13.5" thickBot="1" x14ac:dyDescent="0.25">
      <c r="A126" s="194"/>
      <c r="C126" s="195"/>
      <c r="D126" s="196"/>
    </row>
    <row r="127" spans="1:5" ht="13.5" thickBot="1" x14ac:dyDescent="0.25">
      <c r="A127" s="422" t="s">
        <v>97</v>
      </c>
      <c r="B127" s="423"/>
      <c r="C127" s="423"/>
      <c r="D127" s="424"/>
    </row>
    <row r="128" spans="1:5" ht="13.5" thickBot="1" x14ac:dyDescent="0.25">
      <c r="A128" s="183"/>
      <c r="B128" s="406" t="s">
        <v>98</v>
      </c>
      <c r="C128" s="407"/>
      <c r="D128" s="185" t="s">
        <v>64</v>
      </c>
    </row>
    <row r="129" spans="1:4" ht="13.5" thickBot="1" x14ac:dyDescent="0.25">
      <c r="A129" s="202" t="s">
        <v>69</v>
      </c>
      <c r="B129" s="398" t="s">
        <v>16</v>
      </c>
      <c r="C129" s="399"/>
      <c r="D129" s="116">
        <f>D28</f>
        <v>3717.45</v>
      </c>
    </row>
    <row r="130" spans="1:4" ht="13.5" thickBot="1" x14ac:dyDescent="0.25">
      <c r="A130" s="202" t="s">
        <v>71</v>
      </c>
      <c r="B130" s="386" t="s">
        <v>31</v>
      </c>
      <c r="C130" s="387"/>
      <c r="D130" s="116">
        <f>D72</f>
        <v>3126.99</v>
      </c>
    </row>
    <row r="131" spans="1:4" ht="13.5" thickBot="1" x14ac:dyDescent="0.25">
      <c r="A131" s="202" t="s">
        <v>39</v>
      </c>
      <c r="B131" s="386" t="s">
        <v>66</v>
      </c>
      <c r="C131" s="387"/>
      <c r="D131" s="116">
        <f>D81</f>
        <v>153.94406544</v>
      </c>
    </row>
    <row r="132" spans="1:4" ht="13.5" thickBot="1" x14ac:dyDescent="0.25">
      <c r="A132" s="202" t="s">
        <v>9</v>
      </c>
      <c r="B132" s="386" t="s">
        <v>78</v>
      </c>
      <c r="C132" s="387"/>
      <c r="D132" s="116">
        <f>D103</f>
        <v>58.847605244999997</v>
      </c>
    </row>
    <row r="133" spans="1:4" ht="13.5" thickBot="1" x14ac:dyDescent="0.25">
      <c r="A133" s="202" t="s">
        <v>75</v>
      </c>
      <c r="B133" s="386" t="s">
        <v>84</v>
      </c>
      <c r="C133" s="387"/>
      <c r="D133" s="116">
        <f>D112</f>
        <v>100.69814814814815</v>
      </c>
    </row>
    <row r="134" spans="1:4" ht="13.5" thickBot="1" x14ac:dyDescent="0.25">
      <c r="A134" s="408" t="s">
        <v>99</v>
      </c>
      <c r="B134" s="412"/>
      <c r="C134" s="409"/>
      <c r="D134" s="116">
        <f>SUM(D129:D133)</f>
        <v>7157.9298188331468</v>
      </c>
    </row>
    <row r="135" spans="1:4" ht="13.5" thickBot="1" x14ac:dyDescent="0.25">
      <c r="A135" s="202" t="s">
        <v>76</v>
      </c>
      <c r="B135" s="398" t="s">
        <v>100</v>
      </c>
      <c r="C135" s="399"/>
      <c r="D135" s="203">
        <f>D122</f>
        <v>726.44642619824128</v>
      </c>
    </row>
    <row r="136" spans="1:4" ht="13.5" thickBot="1" x14ac:dyDescent="0.25">
      <c r="A136" s="408" t="s">
        <v>101</v>
      </c>
      <c r="B136" s="412"/>
      <c r="C136" s="409"/>
      <c r="D136" s="204">
        <f>ROUND((D134+D135),2)</f>
        <v>7884.38</v>
      </c>
    </row>
    <row r="137" spans="1:4" ht="13.5" thickBot="1" x14ac:dyDescent="0.25">
      <c r="A137" s="408" t="s">
        <v>144</v>
      </c>
      <c r="B137" s="412"/>
      <c r="C137" s="409"/>
      <c r="D137" s="204">
        <f>D136*2</f>
        <v>15768.76</v>
      </c>
    </row>
  </sheetData>
  <mergeCells count="84">
    <mergeCell ref="B135:C135"/>
    <mergeCell ref="A136:C136"/>
    <mergeCell ref="B130:C130"/>
    <mergeCell ref="A134:C134"/>
    <mergeCell ref="B100:C100"/>
    <mergeCell ref="B101:C101"/>
    <mergeCell ref="A103:C103"/>
    <mergeCell ref="A105:D105"/>
    <mergeCell ref="B106:C106"/>
    <mergeCell ref="B107:C107"/>
    <mergeCell ref="B131:C131"/>
    <mergeCell ref="B132:C132"/>
    <mergeCell ref="B133:C133"/>
    <mergeCell ref="B95:C95"/>
    <mergeCell ref="B96:C96"/>
    <mergeCell ref="B128:C128"/>
    <mergeCell ref="B129:C129"/>
    <mergeCell ref="A114:D114"/>
    <mergeCell ref="A122:B122"/>
    <mergeCell ref="A124:D124"/>
    <mergeCell ref="A127:D127"/>
    <mergeCell ref="B108:C108"/>
    <mergeCell ref="B109:C109"/>
    <mergeCell ref="B110:C110"/>
    <mergeCell ref="B111:C111"/>
    <mergeCell ref="A112:C112"/>
    <mergeCell ref="B70:C70"/>
    <mergeCell ref="B71:C71"/>
    <mergeCell ref="A92:B92"/>
    <mergeCell ref="A93:D93"/>
    <mergeCell ref="A94:D94"/>
    <mergeCell ref="A19:D19"/>
    <mergeCell ref="B20:C20"/>
    <mergeCell ref="B62:C62"/>
    <mergeCell ref="A28:C28"/>
    <mergeCell ref="A30:D30"/>
    <mergeCell ref="B21:C21"/>
    <mergeCell ref="B26:C26"/>
    <mergeCell ref="B27:C27"/>
    <mergeCell ref="B23:C23"/>
    <mergeCell ref="B25:C25"/>
    <mergeCell ref="A38:D38"/>
    <mergeCell ref="A51:B51"/>
    <mergeCell ref="A55:D55"/>
    <mergeCell ref="B56:C56"/>
    <mergeCell ref="B61:C61"/>
    <mergeCell ref="A41:D41"/>
    <mergeCell ref="B9:C9"/>
    <mergeCell ref="A13:D13"/>
    <mergeCell ref="C14:D14"/>
    <mergeCell ref="B15:C15"/>
    <mergeCell ref="B18:C18"/>
    <mergeCell ref="A31:D31"/>
    <mergeCell ref="A35:B35"/>
    <mergeCell ref="A37:B37"/>
    <mergeCell ref="B102:C102"/>
    <mergeCell ref="A99:D99"/>
    <mergeCell ref="A84:D84"/>
    <mergeCell ref="A82:D82"/>
    <mergeCell ref="A83:D83"/>
    <mergeCell ref="A64:C64"/>
    <mergeCell ref="A97:C97"/>
    <mergeCell ref="A67:D67"/>
    <mergeCell ref="B68:C68"/>
    <mergeCell ref="B69:C69"/>
    <mergeCell ref="A72:C72"/>
    <mergeCell ref="A73:D73"/>
    <mergeCell ref="A81:B81"/>
    <mergeCell ref="A6:D6"/>
    <mergeCell ref="A137:C137"/>
    <mergeCell ref="A1:D1"/>
    <mergeCell ref="A2:D2"/>
    <mergeCell ref="A3:D3"/>
    <mergeCell ref="A4:D4"/>
    <mergeCell ref="A5:D5"/>
    <mergeCell ref="B16:C16"/>
    <mergeCell ref="A7:D7"/>
    <mergeCell ref="A8:D8"/>
    <mergeCell ref="B10:C10"/>
    <mergeCell ref="B11:C11"/>
    <mergeCell ref="B12:C12"/>
    <mergeCell ref="A66:D66"/>
    <mergeCell ref="A39:D39"/>
    <mergeCell ref="A40:D40"/>
  </mergeCells>
  <pageMargins left="0.51181102362204722" right="0.51181102362204722" top="0.78740157480314965" bottom="0.78740157480314965" header="0.31496062992125984" footer="0.31496062992125984"/>
  <pageSetup paperSize="9" scale="76" fitToHeight="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37"/>
  <sheetViews>
    <sheetView topLeftCell="A49" zoomScale="145" zoomScaleNormal="145" workbookViewId="0">
      <selection activeCell="G65" sqref="G65"/>
    </sheetView>
  </sheetViews>
  <sheetFormatPr defaultRowHeight="12.75" x14ac:dyDescent="0.2"/>
  <cols>
    <col min="1" max="1" width="5" style="1" customWidth="1"/>
    <col min="2" max="2" width="47.7109375" style="1" customWidth="1"/>
    <col min="3" max="3" width="11.28515625" style="1" customWidth="1"/>
    <col min="4" max="4" width="24.28515625" style="1" customWidth="1"/>
    <col min="5" max="16384" width="9.140625" style="1"/>
  </cols>
  <sheetData>
    <row r="1" spans="1:6" x14ac:dyDescent="0.2">
      <c r="A1" s="322" t="str">
        <f>'VIGILÂNCIA DES 44HRS SEG A SEX'!A1:D1</f>
        <v xml:space="preserve">MINISTERIO DO MEIO AMBIENTE E MUDANÇA DO CLIMA </v>
      </c>
      <c r="B1" s="323"/>
      <c r="C1" s="323"/>
      <c r="D1" s="323"/>
    </row>
    <row r="2" spans="1:6" x14ac:dyDescent="0.2">
      <c r="A2" s="322" t="str">
        <f>'VIGILÂNCIA DES 44HRS SEG A SEX'!A2:D2</f>
        <v xml:space="preserve">SUBSECRETARIA DE PLANEJAMENTO, ORÇAMENTO E ADMINISTRAÇÃO </v>
      </c>
      <c r="B2" s="323"/>
      <c r="C2" s="323"/>
      <c r="D2" s="323"/>
    </row>
    <row r="3" spans="1:6" x14ac:dyDescent="0.2">
      <c r="A3" s="322"/>
      <c r="B3" s="323"/>
      <c r="C3" s="323"/>
      <c r="D3" s="323"/>
    </row>
    <row r="4" spans="1:6" x14ac:dyDescent="0.2">
      <c r="A4" s="322"/>
      <c r="B4" s="323"/>
      <c r="C4" s="323"/>
      <c r="D4" s="323"/>
    </row>
    <row r="5" spans="1:6" ht="13.5" thickBot="1" x14ac:dyDescent="0.25">
      <c r="A5" s="334" t="s">
        <v>0</v>
      </c>
      <c r="B5" s="335"/>
      <c r="C5" s="335"/>
      <c r="D5" s="335"/>
    </row>
    <row r="6" spans="1:6" x14ac:dyDescent="0.2">
      <c r="A6" s="355" t="s">
        <v>111</v>
      </c>
      <c r="B6" s="356"/>
      <c r="C6" s="356"/>
      <c r="D6" s="357"/>
    </row>
    <row r="7" spans="1:6" ht="13.5" thickBot="1" x14ac:dyDescent="0.25">
      <c r="A7" s="334" t="s">
        <v>112</v>
      </c>
      <c r="B7" s="335"/>
      <c r="C7" s="335"/>
      <c r="D7" s="374"/>
    </row>
    <row r="8" spans="1:6" ht="13.5" thickBot="1" x14ac:dyDescent="0.25">
      <c r="A8" s="358" t="s">
        <v>1</v>
      </c>
      <c r="B8" s="359"/>
      <c r="C8" s="359"/>
      <c r="D8" s="359"/>
    </row>
    <row r="9" spans="1:6" x14ac:dyDescent="0.2">
      <c r="A9" s="3" t="s">
        <v>2</v>
      </c>
      <c r="B9" s="375" t="s">
        <v>3</v>
      </c>
      <c r="C9" s="375"/>
      <c r="D9" s="250">
        <f>'VIGILÂNCIA DES 44HRS SEG A SEX'!D9</f>
        <v>45751</v>
      </c>
    </row>
    <row r="10" spans="1:6" x14ac:dyDescent="0.2">
      <c r="A10" s="4" t="s">
        <v>4</v>
      </c>
      <c r="B10" s="376" t="s">
        <v>5</v>
      </c>
      <c r="C10" s="376"/>
      <c r="D10" s="5" t="s">
        <v>6</v>
      </c>
    </row>
    <row r="11" spans="1:6" ht="25.5" x14ac:dyDescent="0.2">
      <c r="A11" s="4" t="s">
        <v>7</v>
      </c>
      <c r="B11" s="377" t="s">
        <v>8</v>
      </c>
      <c r="C11" s="378"/>
      <c r="D11" s="6" t="str">
        <f>'VIGILÂNCIA DES 44HRS SEG A SEX'!D11</f>
        <v>DF000333/2024 - SINDESV/DF</v>
      </c>
    </row>
    <row r="12" spans="1:6" ht="13.5" thickBot="1" x14ac:dyDescent="0.25">
      <c r="A12" s="7" t="s">
        <v>9</v>
      </c>
      <c r="B12" s="360" t="s">
        <v>10</v>
      </c>
      <c r="C12" s="360"/>
      <c r="D12" s="8">
        <v>12</v>
      </c>
    </row>
    <row r="13" spans="1:6" ht="13.5" thickBot="1" x14ac:dyDescent="0.25">
      <c r="A13" s="332" t="s">
        <v>11</v>
      </c>
      <c r="B13" s="333"/>
      <c r="C13" s="333"/>
      <c r="D13" s="333"/>
    </row>
    <row r="14" spans="1:6" ht="25.5" x14ac:dyDescent="0.2">
      <c r="A14" s="9">
        <v>1</v>
      </c>
      <c r="B14" s="10" t="s">
        <v>12</v>
      </c>
      <c r="C14" s="361" t="s">
        <v>269</v>
      </c>
      <c r="D14" s="362"/>
    </row>
    <row r="15" spans="1:6" x14ac:dyDescent="0.2">
      <c r="A15" s="11">
        <v>2</v>
      </c>
      <c r="B15" s="363" t="s">
        <v>102</v>
      </c>
      <c r="C15" s="370"/>
      <c r="D15" s="12">
        <f>(F15*5%)+F15</f>
        <v>2859.5805</v>
      </c>
      <c r="F15" s="13">
        <v>2723.41</v>
      </c>
    </row>
    <row r="16" spans="1:6" x14ac:dyDescent="0.2">
      <c r="A16" s="11">
        <v>3</v>
      </c>
      <c r="B16" s="363" t="s">
        <v>13</v>
      </c>
      <c r="C16" s="364"/>
      <c r="D16" s="14" t="s">
        <v>14</v>
      </c>
    </row>
    <row r="17" spans="1:4" x14ac:dyDescent="0.2">
      <c r="A17" s="15">
        <v>4</v>
      </c>
      <c r="B17" s="16" t="s">
        <v>113</v>
      </c>
      <c r="C17" s="17"/>
      <c r="D17" s="18" t="s">
        <v>138</v>
      </c>
    </row>
    <row r="18" spans="1:4" ht="13.5" thickBot="1" x14ac:dyDescent="0.25">
      <c r="A18" s="19">
        <v>5</v>
      </c>
      <c r="B18" s="365" t="s">
        <v>15</v>
      </c>
      <c r="C18" s="366"/>
      <c r="D18" s="20">
        <v>45658</v>
      </c>
    </row>
    <row r="19" spans="1:4" ht="13.5" thickBot="1" x14ac:dyDescent="0.25">
      <c r="A19" s="367" t="s">
        <v>16</v>
      </c>
      <c r="B19" s="368"/>
      <c r="C19" s="368"/>
      <c r="D19" s="368"/>
    </row>
    <row r="20" spans="1:4" ht="13.5" thickBot="1" x14ac:dyDescent="0.25">
      <c r="A20" s="2">
        <v>1</v>
      </c>
      <c r="B20" s="371" t="s">
        <v>17</v>
      </c>
      <c r="C20" s="372"/>
      <c r="D20" s="21" t="s">
        <v>18</v>
      </c>
    </row>
    <row r="21" spans="1:4" x14ac:dyDescent="0.2">
      <c r="A21" s="22" t="s">
        <v>2</v>
      </c>
      <c r="B21" s="373" t="s">
        <v>19</v>
      </c>
      <c r="C21" s="373"/>
      <c r="D21" s="23">
        <f>D15</f>
        <v>2859.5805</v>
      </c>
    </row>
    <row r="22" spans="1:4" x14ac:dyDescent="0.2">
      <c r="A22" s="24" t="s">
        <v>4</v>
      </c>
      <c r="B22" s="25" t="s">
        <v>20</v>
      </c>
      <c r="C22" s="26">
        <v>0.3</v>
      </c>
      <c r="D22" s="27">
        <f t="shared" ref="D22" si="0">C22*D21</f>
        <v>857.87414999999999</v>
      </c>
    </row>
    <row r="23" spans="1:4" x14ac:dyDescent="0.2">
      <c r="A23" s="24" t="s">
        <v>7</v>
      </c>
      <c r="B23" s="369" t="s">
        <v>21</v>
      </c>
      <c r="C23" s="369"/>
      <c r="D23" s="27">
        <v>0</v>
      </c>
    </row>
    <row r="24" spans="1:4" x14ac:dyDescent="0.2">
      <c r="A24" s="24" t="s">
        <v>22</v>
      </c>
      <c r="B24" s="25" t="s">
        <v>23</v>
      </c>
      <c r="C24" s="28">
        <v>0</v>
      </c>
      <c r="D24" s="27">
        <f>'VIGILÂNCIA 12X36 DES NOTURNA'!D24</f>
        <v>405.54050727272733</v>
      </c>
    </row>
    <row r="25" spans="1:4" x14ac:dyDescent="0.2">
      <c r="A25" s="24" t="s">
        <v>24</v>
      </c>
      <c r="B25" s="369" t="s">
        <v>25</v>
      </c>
      <c r="C25" s="369"/>
      <c r="D25" s="27">
        <f t="shared" ref="D25" si="1">D21/220*0.2*0*15</f>
        <v>0</v>
      </c>
    </row>
    <row r="26" spans="1:4" x14ac:dyDescent="0.2">
      <c r="A26" s="24" t="s">
        <v>26</v>
      </c>
      <c r="B26" s="369" t="s">
        <v>27</v>
      </c>
      <c r="C26" s="369"/>
      <c r="D26" s="27">
        <v>0</v>
      </c>
    </row>
    <row r="27" spans="1:4" x14ac:dyDescent="0.2">
      <c r="A27" s="29" t="s">
        <v>28</v>
      </c>
      <c r="B27" s="379" t="s">
        <v>29</v>
      </c>
      <c r="C27" s="379"/>
      <c r="D27" s="30">
        <v>0</v>
      </c>
    </row>
    <row r="28" spans="1:4" ht="13.5" thickBot="1" x14ac:dyDescent="0.25">
      <c r="A28" s="351" t="s">
        <v>30</v>
      </c>
      <c r="B28" s="380"/>
      <c r="C28" s="352"/>
      <c r="D28" s="31">
        <f>ROUND(SUM(D21:D27),2)</f>
        <v>4123</v>
      </c>
    </row>
    <row r="29" spans="1:4" ht="13.5" thickBot="1" x14ac:dyDescent="0.25">
      <c r="A29" s="32" t="s">
        <v>114</v>
      </c>
      <c r="B29" s="33"/>
      <c r="C29" s="34"/>
      <c r="D29" s="35"/>
    </row>
    <row r="30" spans="1:4" ht="13.5" thickBot="1" x14ac:dyDescent="0.25">
      <c r="A30" s="339" t="s">
        <v>31</v>
      </c>
      <c r="B30" s="340"/>
      <c r="C30" s="340"/>
      <c r="D30" s="341"/>
    </row>
    <row r="31" spans="1:4" ht="13.5" thickBot="1" x14ac:dyDescent="0.25">
      <c r="A31" s="339" t="s">
        <v>32</v>
      </c>
      <c r="B31" s="340"/>
      <c r="C31" s="340"/>
      <c r="D31" s="341"/>
    </row>
    <row r="32" spans="1:4" ht="13.5" thickBot="1" x14ac:dyDescent="0.25">
      <c r="A32" s="36" t="s">
        <v>33</v>
      </c>
      <c r="B32" s="37" t="s">
        <v>34</v>
      </c>
      <c r="C32" s="38" t="s">
        <v>35</v>
      </c>
      <c r="D32" s="39" t="s">
        <v>18</v>
      </c>
    </row>
    <row r="33" spans="1:5" x14ac:dyDescent="0.2">
      <c r="A33" s="40" t="s">
        <v>2</v>
      </c>
      <c r="B33" s="41" t="s">
        <v>36</v>
      </c>
      <c r="C33" s="42">
        <v>8.3299999999999999E-2</v>
      </c>
      <c r="D33" s="12">
        <f>ROUND(D$28*C33,2)</f>
        <v>343.45</v>
      </c>
    </row>
    <row r="34" spans="1:5" x14ac:dyDescent="0.2">
      <c r="A34" s="11" t="s">
        <v>4</v>
      </c>
      <c r="B34" s="43" t="s">
        <v>37</v>
      </c>
      <c r="C34" s="44">
        <v>0.121</v>
      </c>
      <c r="D34" s="12">
        <f t="shared" ref="D34" si="2">ROUND(D$28*C34,2)</f>
        <v>498.88</v>
      </c>
    </row>
    <row r="35" spans="1:5" ht="13.5" thickBot="1" x14ac:dyDescent="0.25">
      <c r="A35" s="347" t="s">
        <v>38</v>
      </c>
      <c r="B35" s="348"/>
      <c r="C35" s="45">
        <f>SUM(A33:C34)</f>
        <v>0.20429999999999998</v>
      </c>
      <c r="D35" s="12">
        <f>SUM(D33:D34)</f>
        <v>842.32999999999993</v>
      </c>
    </row>
    <row r="36" spans="1:5" ht="25.5" x14ac:dyDescent="0.2">
      <c r="A36" s="117" t="s">
        <v>39</v>
      </c>
      <c r="B36" s="118" t="s">
        <v>40</v>
      </c>
      <c r="C36" s="119">
        <f>C35*C51</f>
        <v>7.2117899999999999E-2</v>
      </c>
      <c r="D36" s="120">
        <f>ROUND(D$28*C36,2)</f>
        <v>297.33999999999997</v>
      </c>
      <c r="E36" s="46"/>
    </row>
    <row r="37" spans="1:5" x14ac:dyDescent="0.2">
      <c r="A37" s="353" t="s">
        <v>41</v>
      </c>
      <c r="B37" s="354"/>
      <c r="C37" s="96"/>
      <c r="D37" s="12">
        <f>SUM(D35:D36)</f>
        <v>1139.6699999999998</v>
      </c>
    </row>
    <row r="38" spans="1:5" ht="36.75" customHeight="1" x14ac:dyDescent="0.2">
      <c r="A38" s="349" t="s">
        <v>115</v>
      </c>
      <c r="B38" s="349"/>
      <c r="C38" s="349"/>
      <c r="D38" s="349"/>
    </row>
    <row r="39" spans="1:5" ht="27.75" customHeight="1" x14ac:dyDescent="0.2">
      <c r="A39" s="349" t="s">
        <v>116</v>
      </c>
      <c r="B39" s="349"/>
      <c r="C39" s="349"/>
      <c r="D39" s="349"/>
    </row>
    <row r="40" spans="1:5" ht="36" customHeight="1" thickBot="1" x14ac:dyDescent="0.25">
      <c r="A40" s="343" t="s">
        <v>117</v>
      </c>
      <c r="B40" s="343"/>
      <c r="C40" s="343"/>
      <c r="D40" s="343"/>
    </row>
    <row r="41" spans="1:5" ht="13.5" thickBot="1" x14ac:dyDescent="0.25">
      <c r="A41" s="344" t="s">
        <v>42</v>
      </c>
      <c r="B41" s="345"/>
      <c r="C41" s="345"/>
      <c r="D41" s="346"/>
    </row>
    <row r="42" spans="1:5" ht="13.5" thickBot="1" x14ac:dyDescent="0.25">
      <c r="A42" s="36" t="s">
        <v>43</v>
      </c>
      <c r="B42" s="47" t="s">
        <v>44</v>
      </c>
      <c r="C42" s="38" t="s">
        <v>35</v>
      </c>
      <c r="D42" s="39" t="s">
        <v>18</v>
      </c>
    </row>
    <row r="43" spans="1:5" x14ac:dyDescent="0.2">
      <c r="A43" s="40" t="s">
        <v>2</v>
      </c>
      <c r="B43" s="41" t="s">
        <v>45</v>
      </c>
      <c r="C43" s="42">
        <v>0.2</v>
      </c>
      <c r="D43" s="12">
        <f>ROUND(D$28*C43,2)</f>
        <v>824.6</v>
      </c>
    </row>
    <row r="44" spans="1:5" x14ac:dyDescent="0.2">
      <c r="A44" s="11" t="s">
        <v>4</v>
      </c>
      <c r="B44" s="43" t="s">
        <v>46</v>
      </c>
      <c r="C44" s="44">
        <v>2.5000000000000001E-2</v>
      </c>
      <c r="D44" s="12">
        <f t="shared" ref="D44:D50" si="3">ROUND(D$28*C44,2)</f>
        <v>103.08</v>
      </c>
    </row>
    <row r="45" spans="1:5" x14ac:dyDescent="0.2">
      <c r="A45" s="11" t="s">
        <v>7</v>
      </c>
      <c r="B45" s="43" t="s">
        <v>47</v>
      </c>
      <c r="C45" s="48">
        <f>'VIGILÂNCIA DES 44HRS SEG A SEX'!C45</f>
        <v>1.4999999999999999E-2</v>
      </c>
      <c r="D45" s="12">
        <f t="shared" si="3"/>
        <v>61.85</v>
      </c>
    </row>
    <row r="46" spans="1:5" x14ac:dyDescent="0.2">
      <c r="A46" s="11" t="s">
        <v>22</v>
      </c>
      <c r="B46" s="43" t="s">
        <v>48</v>
      </c>
      <c r="C46" s="44">
        <v>1.4999999999999999E-2</v>
      </c>
      <c r="D46" s="12">
        <f t="shared" si="3"/>
        <v>61.85</v>
      </c>
    </row>
    <row r="47" spans="1:5" x14ac:dyDescent="0.2">
      <c r="A47" s="11" t="s">
        <v>24</v>
      </c>
      <c r="B47" s="43" t="s">
        <v>49</v>
      </c>
      <c r="C47" s="44">
        <v>0.01</v>
      </c>
      <c r="D47" s="12">
        <f t="shared" si="3"/>
        <v>41.23</v>
      </c>
    </row>
    <row r="48" spans="1:5" x14ac:dyDescent="0.2">
      <c r="A48" s="11" t="s">
        <v>50</v>
      </c>
      <c r="B48" s="43" t="s">
        <v>51</v>
      </c>
      <c r="C48" s="44">
        <v>6.0000000000000001E-3</v>
      </c>
      <c r="D48" s="12">
        <f t="shared" si="3"/>
        <v>24.74</v>
      </c>
    </row>
    <row r="49" spans="1:5" x14ac:dyDescent="0.2">
      <c r="A49" s="11" t="s">
        <v>26</v>
      </c>
      <c r="B49" s="43" t="s">
        <v>52</v>
      </c>
      <c r="C49" s="44">
        <v>2E-3</v>
      </c>
      <c r="D49" s="12">
        <f t="shared" si="3"/>
        <v>8.25</v>
      </c>
    </row>
    <row r="50" spans="1:5" x14ac:dyDescent="0.2">
      <c r="A50" s="15" t="s">
        <v>28</v>
      </c>
      <c r="B50" s="49" t="s">
        <v>53</v>
      </c>
      <c r="C50" s="44">
        <v>0.08</v>
      </c>
      <c r="D50" s="12">
        <f t="shared" si="3"/>
        <v>329.84</v>
      </c>
    </row>
    <row r="51" spans="1:5" ht="13.5" thickBot="1" x14ac:dyDescent="0.25">
      <c r="A51" s="351" t="s">
        <v>54</v>
      </c>
      <c r="B51" s="352"/>
      <c r="C51" s="50">
        <f>SUM(C43:C50)</f>
        <v>0.35300000000000004</v>
      </c>
      <c r="D51" s="51">
        <f>SUM(D43:D50)</f>
        <v>1455.44</v>
      </c>
    </row>
    <row r="52" spans="1:5" x14ac:dyDescent="0.2">
      <c r="A52" s="52" t="s">
        <v>118</v>
      </c>
      <c r="B52" s="53"/>
      <c r="C52" s="54"/>
      <c r="D52" s="55"/>
      <c r="E52" s="32"/>
    </row>
    <row r="53" spans="1:5" x14ac:dyDescent="0.2">
      <c r="A53" s="52" t="s">
        <v>119</v>
      </c>
      <c r="B53" s="53"/>
      <c r="C53" s="54"/>
      <c r="D53" s="55"/>
      <c r="E53" s="32"/>
    </row>
    <row r="54" spans="1:5" ht="13.5" thickBot="1" x14ac:dyDescent="0.25">
      <c r="A54" s="32" t="s">
        <v>120</v>
      </c>
      <c r="B54" s="53"/>
      <c r="C54" s="54"/>
      <c r="D54" s="55"/>
      <c r="E54" s="32"/>
    </row>
    <row r="55" spans="1:5" ht="13.5" thickBot="1" x14ac:dyDescent="0.25">
      <c r="A55" s="339" t="s">
        <v>55</v>
      </c>
      <c r="B55" s="340"/>
      <c r="C55" s="340"/>
      <c r="D55" s="341"/>
    </row>
    <row r="56" spans="1:5" ht="13.5" thickBot="1" x14ac:dyDescent="0.25">
      <c r="A56" s="36" t="s">
        <v>56</v>
      </c>
      <c r="B56" s="350" t="s">
        <v>57</v>
      </c>
      <c r="C56" s="331"/>
      <c r="D56" s="56" t="s">
        <v>18</v>
      </c>
    </row>
    <row r="57" spans="1:5" x14ac:dyDescent="0.2">
      <c r="A57" s="3" t="s">
        <v>2</v>
      </c>
      <c r="B57" s="93" t="s">
        <v>58</v>
      </c>
      <c r="C57" s="94">
        <v>15</v>
      </c>
      <c r="D57" s="12">
        <v>0</v>
      </c>
    </row>
    <row r="58" spans="1:5" x14ac:dyDescent="0.2">
      <c r="A58" s="4" t="s">
        <v>4</v>
      </c>
      <c r="B58" s="92" t="s">
        <v>59</v>
      </c>
      <c r="C58" s="95">
        <v>15</v>
      </c>
      <c r="D58" s="265">
        <f>C58*49.63</f>
        <v>744.45</v>
      </c>
    </row>
    <row r="59" spans="1:5" x14ac:dyDescent="0.2">
      <c r="A59" s="4" t="s">
        <v>39</v>
      </c>
      <c r="B59" s="58" t="s">
        <v>60</v>
      </c>
      <c r="C59" s="59"/>
      <c r="D59" s="57">
        <v>0</v>
      </c>
    </row>
    <row r="60" spans="1:5" x14ac:dyDescent="0.2">
      <c r="A60" s="4" t="s">
        <v>22</v>
      </c>
      <c r="B60" s="60" t="s">
        <v>121</v>
      </c>
      <c r="C60" s="59"/>
      <c r="D60" s="57">
        <v>0</v>
      </c>
    </row>
    <row r="61" spans="1:5" x14ac:dyDescent="0.2">
      <c r="A61" s="3" t="s">
        <v>75</v>
      </c>
      <c r="B61" s="370" t="s">
        <v>104</v>
      </c>
      <c r="C61" s="373"/>
      <c r="D61" s="264">
        <f>'VIGILÂNCIA DES 44HRS SEG A SEX'!D61</f>
        <v>17.73</v>
      </c>
    </row>
    <row r="62" spans="1:5" x14ac:dyDescent="0.2">
      <c r="A62" s="4" t="s">
        <v>50</v>
      </c>
      <c r="B62" s="364" t="s">
        <v>105</v>
      </c>
      <c r="C62" s="369"/>
      <c r="D62" s="57">
        <v>0</v>
      </c>
    </row>
    <row r="63" spans="1:5" ht="13.5" thickBot="1" x14ac:dyDescent="0.25">
      <c r="A63" s="4" t="s">
        <v>103</v>
      </c>
      <c r="B63" s="58" t="s">
        <v>276</v>
      </c>
      <c r="C63" s="59"/>
      <c r="D63" s="265">
        <v>25</v>
      </c>
    </row>
    <row r="64" spans="1:5" ht="13.5" thickBot="1" x14ac:dyDescent="0.25">
      <c r="A64" s="381" t="s">
        <v>61</v>
      </c>
      <c r="B64" s="382" t="s">
        <v>61</v>
      </c>
      <c r="C64" s="382"/>
      <c r="D64" s="61">
        <f>SUM(D57:D63)</f>
        <v>787.18000000000006</v>
      </c>
    </row>
    <row r="65" spans="1:4" x14ac:dyDescent="0.2">
      <c r="A65" s="52" t="s">
        <v>122</v>
      </c>
      <c r="B65" s="62"/>
      <c r="C65" s="62"/>
      <c r="D65" s="63"/>
    </row>
    <row r="66" spans="1:4" ht="13.5" thickBot="1" x14ac:dyDescent="0.25">
      <c r="A66" s="338" t="s">
        <v>123</v>
      </c>
      <c r="B66" s="338"/>
      <c r="C66" s="338"/>
      <c r="D66" s="338"/>
    </row>
    <row r="67" spans="1:4" ht="13.5" thickBot="1" x14ac:dyDescent="0.25">
      <c r="A67" s="339" t="s">
        <v>62</v>
      </c>
      <c r="B67" s="340"/>
      <c r="C67" s="340"/>
      <c r="D67" s="341"/>
    </row>
    <row r="68" spans="1:4" ht="13.5" thickBot="1" x14ac:dyDescent="0.25">
      <c r="A68" s="64">
        <v>2</v>
      </c>
      <c r="B68" s="329" t="s">
        <v>63</v>
      </c>
      <c r="C68" s="331"/>
      <c r="D68" s="66" t="s">
        <v>64</v>
      </c>
    </row>
    <row r="69" spans="1:4" ht="13.5" thickBot="1" x14ac:dyDescent="0.25">
      <c r="A69" s="67" t="s">
        <v>33</v>
      </c>
      <c r="B69" s="383" t="s">
        <v>34</v>
      </c>
      <c r="C69" s="384"/>
      <c r="D69" s="116">
        <f>D37</f>
        <v>1139.6699999999998</v>
      </c>
    </row>
    <row r="70" spans="1:4" ht="13.5" thickBot="1" x14ac:dyDescent="0.25">
      <c r="A70" s="67" t="s">
        <v>43</v>
      </c>
      <c r="B70" s="383" t="s">
        <v>44</v>
      </c>
      <c r="C70" s="384"/>
      <c r="D70" s="68">
        <f>D51</f>
        <v>1455.44</v>
      </c>
    </row>
    <row r="71" spans="1:4" ht="13.5" thickBot="1" x14ac:dyDescent="0.25">
      <c r="A71" s="67" t="s">
        <v>56</v>
      </c>
      <c r="B71" s="336" t="s">
        <v>57</v>
      </c>
      <c r="C71" s="337"/>
      <c r="D71" s="68">
        <f>D64</f>
        <v>787.18000000000006</v>
      </c>
    </row>
    <row r="72" spans="1:4" ht="13.5" thickBot="1" x14ac:dyDescent="0.25">
      <c r="A72" s="329" t="s">
        <v>65</v>
      </c>
      <c r="B72" s="330"/>
      <c r="C72" s="331"/>
      <c r="D72" s="69">
        <f>SUM(D69:D71)</f>
        <v>3382.29</v>
      </c>
    </row>
    <row r="73" spans="1:4" ht="13.5" thickBot="1" x14ac:dyDescent="0.25">
      <c r="A73" s="339" t="s">
        <v>66</v>
      </c>
      <c r="B73" s="340"/>
      <c r="C73" s="340"/>
      <c r="D73" s="341"/>
    </row>
    <row r="74" spans="1:4" ht="13.5" thickBot="1" x14ac:dyDescent="0.25">
      <c r="A74" s="64">
        <v>3</v>
      </c>
      <c r="B74" s="47" t="s">
        <v>67</v>
      </c>
      <c r="C74" s="70" t="s">
        <v>68</v>
      </c>
      <c r="D74" s="66" t="s">
        <v>64</v>
      </c>
    </row>
    <row r="75" spans="1:4" ht="13.5" thickBot="1" x14ac:dyDescent="0.25">
      <c r="A75" s="67" t="s">
        <v>69</v>
      </c>
      <c r="B75" s="71" t="s">
        <v>70</v>
      </c>
      <c r="C75" s="72">
        <f>'VIGILÂNCIA DES 44HRS SEG A SEX'!C75</f>
        <v>8.0000000000000004E-4</v>
      </c>
      <c r="D75" s="68">
        <f t="shared" ref="D75:D80" si="4">C75*$D$28</f>
        <v>3.2984</v>
      </c>
    </row>
    <row r="76" spans="1:4" ht="13.5" thickBot="1" x14ac:dyDescent="0.25">
      <c r="A76" s="67" t="s">
        <v>71</v>
      </c>
      <c r="B76" s="71" t="s">
        <v>72</v>
      </c>
      <c r="C76" s="72">
        <f>8%*C75</f>
        <v>6.4000000000000011E-5</v>
      </c>
      <c r="D76" s="68">
        <f t="shared" si="4"/>
        <v>0.26387200000000005</v>
      </c>
    </row>
    <row r="77" spans="1:4" ht="13.5" thickBot="1" x14ac:dyDescent="0.25">
      <c r="A77" s="67" t="s">
        <v>39</v>
      </c>
      <c r="B77" s="71" t="s">
        <v>73</v>
      </c>
      <c r="C77" s="73">
        <v>3.9800000000000002E-2</v>
      </c>
      <c r="D77" s="68">
        <f t="shared" si="4"/>
        <v>164.09540000000001</v>
      </c>
    </row>
    <row r="78" spans="1:4" ht="13.5" thickBot="1" x14ac:dyDescent="0.25">
      <c r="A78" s="67" t="s">
        <v>9</v>
      </c>
      <c r="B78" s="71" t="s">
        <v>74</v>
      </c>
      <c r="C78" s="72">
        <f>'VIGILÂNCIA DES 44HRS SEG A SEX'!C78</f>
        <v>4.0000000000000002E-4</v>
      </c>
      <c r="D78" s="68">
        <f t="shared" si="4"/>
        <v>1.6492</v>
      </c>
    </row>
    <row r="79" spans="1:4" ht="26.25" thickBot="1" x14ac:dyDescent="0.25">
      <c r="A79" s="67" t="s">
        <v>75</v>
      </c>
      <c r="B79" s="71" t="s">
        <v>124</v>
      </c>
      <c r="C79" s="72">
        <f>1*36.8%*C78</f>
        <v>1.472E-4</v>
      </c>
      <c r="D79" s="68">
        <f t="shared" si="4"/>
        <v>0.60690560000000005</v>
      </c>
    </row>
    <row r="80" spans="1:4" ht="13.5" thickBot="1" x14ac:dyDescent="0.25">
      <c r="A80" s="67" t="s">
        <v>76</v>
      </c>
      <c r="B80" s="71" t="s">
        <v>77</v>
      </c>
      <c r="C80" s="73">
        <v>2.0000000000000001E-4</v>
      </c>
      <c r="D80" s="68">
        <f t="shared" si="4"/>
        <v>0.8246</v>
      </c>
    </row>
    <row r="81" spans="1:6" ht="13.5" thickBot="1" x14ac:dyDescent="0.25">
      <c r="A81" s="329" t="s">
        <v>65</v>
      </c>
      <c r="B81" s="331"/>
      <c r="C81" s="74">
        <f>SUM(C75:C80)</f>
        <v>4.1411199999999995E-2</v>
      </c>
      <c r="D81" s="75">
        <f>SUM(D75:D80)</f>
        <v>170.73837760000004</v>
      </c>
    </row>
    <row r="82" spans="1:6" ht="36.75" customHeight="1" thickBot="1" x14ac:dyDescent="0.25">
      <c r="A82" s="385" t="s">
        <v>125</v>
      </c>
      <c r="B82" s="385"/>
      <c r="C82" s="385"/>
      <c r="D82" s="385"/>
      <c r="F82" s="97"/>
    </row>
    <row r="83" spans="1:6" ht="13.5" thickBot="1" x14ac:dyDescent="0.25">
      <c r="A83" s="339" t="s">
        <v>78</v>
      </c>
      <c r="B83" s="340"/>
      <c r="C83" s="340"/>
      <c r="D83" s="341"/>
    </row>
    <row r="84" spans="1:6" ht="13.5" thickBot="1" x14ac:dyDescent="0.25">
      <c r="A84" s="329" t="s">
        <v>79</v>
      </c>
      <c r="B84" s="330"/>
      <c r="C84" s="330"/>
      <c r="D84" s="331"/>
    </row>
    <row r="85" spans="1:6" ht="13.5" thickBot="1" x14ac:dyDescent="0.25">
      <c r="A85" s="64" t="s">
        <v>80</v>
      </c>
      <c r="B85" s="65" t="s">
        <v>126</v>
      </c>
      <c r="C85" s="64" t="s">
        <v>68</v>
      </c>
      <c r="D85" s="66" t="s">
        <v>64</v>
      </c>
    </row>
    <row r="86" spans="1:6" ht="13.5" thickBot="1" x14ac:dyDescent="0.25">
      <c r="A86" s="67" t="s">
        <v>69</v>
      </c>
      <c r="B86" s="71" t="s">
        <v>106</v>
      </c>
      <c r="C86" s="76">
        <f>'VIGILÂNCIA DES 44HRS SEG A SEX'!C86</f>
        <v>9.2999999999999992E-3</v>
      </c>
      <c r="D86" s="77">
        <f>C86*$D$28</f>
        <v>38.343899999999998</v>
      </c>
    </row>
    <row r="87" spans="1:6" ht="13.5" thickBot="1" x14ac:dyDescent="0.25">
      <c r="A87" s="67" t="s">
        <v>71</v>
      </c>
      <c r="B87" s="71" t="s">
        <v>127</v>
      </c>
      <c r="C87" s="78">
        <f>'VIGILÂNCIA DES 44HRS SEG A SEX'!C87</f>
        <v>1E-3</v>
      </c>
      <c r="D87" s="77">
        <f>C87*$D$28</f>
        <v>4.1230000000000002</v>
      </c>
    </row>
    <row r="88" spans="1:6" ht="13.5" thickBot="1" x14ac:dyDescent="0.25">
      <c r="A88" s="67" t="s">
        <v>39</v>
      </c>
      <c r="B88" s="71" t="s">
        <v>107</v>
      </c>
      <c r="C88" s="78">
        <v>2.0000000000000001E-4</v>
      </c>
      <c r="D88" s="77">
        <f>C88*$D$28</f>
        <v>0.8246</v>
      </c>
    </row>
    <row r="89" spans="1:6" ht="26.25" thickBot="1" x14ac:dyDescent="0.25">
      <c r="A89" s="67" t="s">
        <v>9</v>
      </c>
      <c r="B89" s="71" t="s">
        <v>108</v>
      </c>
      <c r="C89" s="78">
        <f>'VIGILÂNCIA DES 44HRS SEG A SEX'!C89</f>
        <v>1E-3</v>
      </c>
      <c r="D89" s="77">
        <f>C89*$D$28</f>
        <v>4.1230000000000002</v>
      </c>
    </row>
    <row r="90" spans="1:6" ht="13.5" thickBot="1" x14ac:dyDescent="0.25">
      <c r="A90" s="67" t="s">
        <v>75</v>
      </c>
      <c r="B90" s="71" t="s">
        <v>109</v>
      </c>
      <c r="C90" s="78">
        <v>2.0000000000000001E-4</v>
      </c>
      <c r="D90" s="77">
        <f>C90*$D$28</f>
        <v>0.8246</v>
      </c>
    </row>
    <row r="91" spans="1:6" ht="39" thickBot="1" x14ac:dyDescent="0.25">
      <c r="A91" s="112" t="s">
        <v>76</v>
      </c>
      <c r="B91" s="113" t="s">
        <v>128</v>
      </c>
      <c r="C91" s="114">
        <f>SUM(C86:C90)*C51</f>
        <v>4.1301000000000003E-3</v>
      </c>
      <c r="D91" s="115">
        <f t="shared" ref="D91" si="5">C91*$D$28</f>
        <v>17.0284023</v>
      </c>
      <c r="E91" s="79" t="s">
        <v>129</v>
      </c>
    </row>
    <row r="92" spans="1:6" ht="13.5" thickBot="1" x14ac:dyDescent="0.25">
      <c r="A92" s="329" t="s">
        <v>41</v>
      </c>
      <c r="B92" s="330"/>
      <c r="C92" s="80">
        <f>SUM(C86:C91)</f>
        <v>1.58301E-2</v>
      </c>
      <c r="D92" s="75">
        <f>SUM(D86:D91)</f>
        <v>65.26750229999999</v>
      </c>
    </row>
    <row r="93" spans="1:6" ht="33.75" customHeight="1" thickBot="1" x14ac:dyDescent="0.25">
      <c r="A93" s="342" t="s">
        <v>130</v>
      </c>
      <c r="B93" s="342"/>
      <c r="C93" s="342"/>
      <c r="D93" s="342"/>
    </row>
    <row r="94" spans="1:6" ht="13.5" thickBot="1" x14ac:dyDescent="0.25">
      <c r="A94" s="339" t="s">
        <v>131</v>
      </c>
      <c r="B94" s="340"/>
      <c r="C94" s="340"/>
      <c r="D94" s="341"/>
    </row>
    <row r="95" spans="1:6" ht="13.5" thickBot="1" x14ac:dyDescent="0.25">
      <c r="A95" s="64" t="s">
        <v>81</v>
      </c>
      <c r="B95" s="329" t="s">
        <v>132</v>
      </c>
      <c r="C95" s="331"/>
      <c r="D95" s="66" t="s">
        <v>64</v>
      </c>
    </row>
    <row r="96" spans="1:6" ht="13.5" thickBot="1" x14ac:dyDescent="0.25">
      <c r="A96" s="67" t="s">
        <v>69</v>
      </c>
      <c r="B96" s="336" t="s">
        <v>133</v>
      </c>
      <c r="C96" s="337"/>
      <c r="D96" s="68">
        <v>0</v>
      </c>
    </row>
    <row r="97" spans="1:4" ht="13.5" thickBot="1" x14ac:dyDescent="0.25">
      <c r="A97" s="329" t="s">
        <v>65</v>
      </c>
      <c r="B97" s="330"/>
      <c r="C97" s="331"/>
      <c r="D97" s="68">
        <f>SUM(D96)</f>
        <v>0</v>
      </c>
    </row>
    <row r="98" spans="1:4" ht="13.5" thickBot="1" x14ac:dyDescent="0.25">
      <c r="A98" s="81"/>
      <c r="C98" s="82"/>
      <c r="D98" s="83"/>
    </row>
    <row r="99" spans="1:4" ht="13.5" thickBot="1" x14ac:dyDescent="0.25">
      <c r="A99" s="339" t="s">
        <v>82</v>
      </c>
      <c r="B99" s="340"/>
      <c r="C99" s="340"/>
      <c r="D99" s="341"/>
    </row>
    <row r="100" spans="1:4" ht="13.5" thickBot="1" x14ac:dyDescent="0.25">
      <c r="A100" s="64">
        <v>4</v>
      </c>
      <c r="B100" s="329" t="s">
        <v>83</v>
      </c>
      <c r="C100" s="331"/>
      <c r="D100" s="66" t="s">
        <v>64</v>
      </c>
    </row>
    <row r="101" spans="1:4" ht="13.5" thickBot="1" x14ac:dyDescent="0.25">
      <c r="A101" s="67" t="s">
        <v>80</v>
      </c>
      <c r="B101" s="336" t="s">
        <v>126</v>
      </c>
      <c r="C101" s="337"/>
      <c r="D101" s="68">
        <f>D92</f>
        <v>65.26750229999999</v>
      </c>
    </row>
    <row r="102" spans="1:4" ht="13.5" thickBot="1" x14ac:dyDescent="0.25">
      <c r="A102" s="67" t="s">
        <v>81</v>
      </c>
      <c r="B102" s="336" t="s">
        <v>132</v>
      </c>
      <c r="C102" s="337"/>
      <c r="D102" s="68">
        <f>D97</f>
        <v>0</v>
      </c>
    </row>
    <row r="103" spans="1:4" ht="13.5" thickBot="1" x14ac:dyDescent="0.25">
      <c r="A103" s="329" t="s">
        <v>65</v>
      </c>
      <c r="B103" s="330"/>
      <c r="C103" s="331"/>
      <c r="D103" s="75">
        <f>SUM(D101:D102)</f>
        <v>65.26750229999999</v>
      </c>
    </row>
    <row r="104" spans="1:4" ht="13.5" thickBot="1" x14ac:dyDescent="0.25">
      <c r="A104" s="81"/>
      <c r="C104" s="82"/>
      <c r="D104" s="83"/>
    </row>
    <row r="105" spans="1:4" ht="13.5" thickBot="1" x14ac:dyDescent="0.25">
      <c r="A105" s="339" t="s">
        <v>84</v>
      </c>
      <c r="B105" s="340"/>
      <c r="C105" s="340"/>
      <c r="D105" s="341"/>
    </row>
    <row r="106" spans="1:4" ht="13.5" thickBot="1" x14ac:dyDescent="0.25">
      <c r="A106" s="64">
        <v>5</v>
      </c>
      <c r="B106" s="329" t="s">
        <v>85</v>
      </c>
      <c r="C106" s="331"/>
      <c r="D106" s="66" t="s">
        <v>64</v>
      </c>
    </row>
    <row r="107" spans="1:4" ht="13.5" thickBot="1" x14ac:dyDescent="0.25">
      <c r="A107" s="67" t="s">
        <v>69</v>
      </c>
      <c r="B107" s="336" t="s">
        <v>86</v>
      </c>
      <c r="C107" s="337"/>
      <c r="D107" s="68">
        <f>'VIGILÂNCIA 12X36 ARMADA DIUR'!D107</f>
        <v>46.739999999999995</v>
      </c>
    </row>
    <row r="108" spans="1:4" ht="13.5" thickBot="1" x14ac:dyDescent="0.25">
      <c r="A108" s="67" t="s">
        <v>71</v>
      </c>
      <c r="B108" s="336" t="s">
        <v>87</v>
      </c>
      <c r="C108" s="337"/>
      <c r="D108" s="68">
        <f>'VIGILÂNCIA DES 44HRS SEG A SEX'!D108</f>
        <v>13.708148148148148</v>
      </c>
    </row>
    <row r="109" spans="1:4" ht="13.5" thickBot="1" x14ac:dyDescent="0.25">
      <c r="A109" s="67" t="s">
        <v>39</v>
      </c>
      <c r="B109" s="336" t="s">
        <v>88</v>
      </c>
      <c r="C109" s="337"/>
      <c r="D109" s="68">
        <f>'VIGILÂNCIA 12X36 ARMADA DIUR'!D109</f>
        <v>40.250000000000007</v>
      </c>
    </row>
    <row r="110" spans="1:4" ht="13.5" thickBot="1" x14ac:dyDescent="0.25">
      <c r="A110" s="67" t="s">
        <v>9</v>
      </c>
      <c r="B110" s="336" t="s">
        <v>134</v>
      </c>
      <c r="C110" s="337"/>
      <c r="D110" s="68">
        <v>0</v>
      </c>
    </row>
    <row r="111" spans="1:4" ht="15.75" thickBot="1" x14ac:dyDescent="0.25">
      <c r="A111" s="84" t="s">
        <v>75</v>
      </c>
      <c r="B111" s="336" t="s">
        <v>135</v>
      </c>
      <c r="C111" s="388"/>
      <c r="D111" s="68">
        <v>0</v>
      </c>
    </row>
    <row r="112" spans="1:4" ht="13.5" thickBot="1" x14ac:dyDescent="0.25">
      <c r="A112" s="329" t="s">
        <v>41</v>
      </c>
      <c r="B112" s="330"/>
      <c r="C112" s="331"/>
      <c r="D112" s="69">
        <f>SUM(D107:D111)</f>
        <v>100.69814814814815</v>
      </c>
    </row>
    <row r="113" spans="1:5" ht="13.5" thickBot="1" x14ac:dyDescent="0.25">
      <c r="A113" s="81"/>
      <c r="C113" s="82"/>
      <c r="D113" s="83"/>
    </row>
    <row r="114" spans="1:5" ht="13.5" thickBot="1" x14ac:dyDescent="0.25">
      <c r="A114" s="339" t="s">
        <v>89</v>
      </c>
      <c r="B114" s="340"/>
      <c r="C114" s="340"/>
      <c r="D114" s="341"/>
    </row>
    <row r="115" spans="1:5" ht="13.5" thickBot="1" x14ac:dyDescent="0.25">
      <c r="A115" s="64">
        <v>6</v>
      </c>
      <c r="B115" s="85" t="s">
        <v>90</v>
      </c>
      <c r="C115" s="47" t="s">
        <v>68</v>
      </c>
      <c r="D115" s="66" t="s">
        <v>64</v>
      </c>
    </row>
    <row r="116" spans="1:5" ht="13.5" thickBot="1" x14ac:dyDescent="0.25">
      <c r="A116" s="67" t="s">
        <v>69</v>
      </c>
      <c r="B116" s="86" t="s">
        <v>91</v>
      </c>
      <c r="C116" s="78">
        <v>1.17E-2</v>
      </c>
      <c r="D116" s="68">
        <f>C116*D134</f>
        <v>91.751330128163332</v>
      </c>
    </row>
    <row r="117" spans="1:5" ht="13.5" thickBot="1" x14ac:dyDescent="0.25">
      <c r="A117" s="67" t="s">
        <v>71</v>
      </c>
      <c r="B117" s="86" t="s">
        <v>92</v>
      </c>
      <c r="C117" s="78">
        <v>1.15E-2</v>
      </c>
      <c r="D117" s="68">
        <f>(D134+D116)*C117</f>
        <v>91.238071619027579</v>
      </c>
    </row>
    <row r="118" spans="1:5" ht="13.5" thickBot="1" x14ac:dyDescent="0.25">
      <c r="A118" s="67" t="s">
        <v>39</v>
      </c>
      <c r="B118" s="86" t="s">
        <v>93</v>
      </c>
      <c r="C118" s="78">
        <f>C119+C120+C121</f>
        <v>8.6499999999999994E-2</v>
      </c>
      <c r="D118" s="68">
        <f>((D134+D116+D117)/(1-C118))*C118</f>
        <v>759.89169860678351</v>
      </c>
      <c r="E118" s="87"/>
    </row>
    <row r="119" spans="1:5" ht="13.5" thickBot="1" x14ac:dyDescent="0.25">
      <c r="A119" s="67"/>
      <c r="B119" s="86" t="s">
        <v>94</v>
      </c>
      <c r="C119" s="78">
        <f>'VIGILÂNCIA DES 44HRS SEG A SEX'!C119</f>
        <v>3.6499999999999998E-2</v>
      </c>
      <c r="D119" s="68">
        <f>C119*D136</f>
        <v>320.64811999999995</v>
      </c>
    </row>
    <row r="120" spans="1:5" ht="13.5" thickBot="1" x14ac:dyDescent="0.25">
      <c r="A120" s="67"/>
      <c r="B120" s="86" t="s">
        <v>95</v>
      </c>
      <c r="C120" s="88">
        <v>0.05</v>
      </c>
      <c r="D120" s="68">
        <f>C120*D136</f>
        <v>439.24399999999997</v>
      </c>
    </row>
    <row r="121" spans="1:5" ht="13.5" thickBot="1" x14ac:dyDescent="0.25">
      <c r="A121" s="67"/>
      <c r="B121" s="86" t="s">
        <v>96</v>
      </c>
      <c r="C121" s="88">
        <v>0</v>
      </c>
      <c r="D121" s="68">
        <f>C121*D136</f>
        <v>0</v>
      </c>
    </row>
    <row r="122" spans="1:5" ht="13.5" thickBot="1" x14ac:dyDescent="0.25">
      <c r="A122" s="329" t="s">
        <v>41</v>
      </c>
      <c r="B122" s="331"/>
      <c r="C122" s="80">
        <f>C118+C116+C117</f>
        <v>0.10969999999999999</v>
      </c>
      <c r="D122" s="66">
        <f>SUM(D116,D117,D118)</f>
        <v>942.88110035397449</v>
      </c>
    </row>
    <row r="123" spans="1:5" x14ac:dyDescent="0.2">
      <c r="A123" s="52" t="s">
        <v>110</v>
      </c>
      <c r="C123" s="82"/>
      <c r="D123" s="83"/>
    </row>
    <row r="124" spans="1:5" x14ac:dyDescent="0.2">
      <c r="A124" s="338" t="s">
        <v>136</v>
      </c>
      <c r="B124" s="338"/>
      <c r="C124" s="338"/>
      <c r="D124" s="338"/>
    </row>
    <row r="125" spans="1:5" x14ac:dyDescent="0.2">
      <c r="A125" s="52" t="s">
        <v>137</v>
      </c>
      <c r="C125" s="82"/>
      <c r="D125" s="83"/>
    </row>
    <row r="126" spans="1:5" ht="13.5" thickBot="1" x14ac:dyDescent="0.25">
      <c r="A126" s="81"/>
      <c r="C126" s="82"/>
      <c r="D126" s="83"/>
    </row>
    <row r="127" spans="1:5" ht="13.5" thickBot="1" x14ac:dyDescent="0.25">
      <c r="A127" s="339" t="s">
        <v>97</v>
      </c>
      <c r="B127" s="340"/>
      <c r="C127" s="340"/>
      <c r="D127" s="341"/>
    </row>
    <row r="128" spans="1:5" ht="13.5" thickBot="1" x14ac:dyDescent="0.25">
      <c r="A128" s="64"/>
      <c r="B128" s="344" t="s">
        <v>98</v>
      </c>
      <c r="C128" s="346"/>
      <c r="D128" s="66" t="s">
        <v>64</v>
      </c>
    </row>
    <row r="129" spans="1:4" ht="13.5" thickBot="1" x14ac:dyDescent="0.25">
      <c r="A129" s="89" t="s">
        <v>69</v>
      </c>
      <c r="B129" s="383" t="s">
        <v>16</v>
      </c>
      <c r="C129" s="384"/>
      <c r="D129" s="68">
        <f>D28</f>
        <v>4123</v>
      </c>
    </row>
    <row r="130" spans="1:4" ht="13.5" thickBot="1" x14ac:dyDescent="0.25">
      <c r="A130" s="89" t="s">
        <v>71</v>
      </c>
      <c r="B130" s="336" t="s">
        <v>31</v>
      </c>
      <c r="C130" s="337"/>
      <c r="D130" s="68">
        <f>D72</f>
        <v>3382.29</v>
      </c>
    </row>
    <row r="131" spans="1:4" ht="13.5" thickBot="1" x14ac:dyDescent="0.25">
      <c r="A131" s="89" t="s">
        <v>39</v>
      </c>
      <c r="B131" s="336" t="s">
        <v>66</v>
      </c>
      <c r="C131" s="337"/>
      <c r="D131" s="68">
        <f>D81</f>
        <v>170.73837760000004</v>
      </c>
    </row>
    <row r="132" spans="1:4" ht="13.5" thickBot="1" x14ac:dyDescent="0.25">
      <c r="A132" s="89" t="s">
        <v>9</v>
      </c>
      <c r="B132" s="336" t="s">
        <v>78</v>
      </c>
      <c r="C132" s="337"/>
      <c r="D132" s="68">
        <f>D103</f>
        <v>65.26750229999999</v>
      </c>
    </row>
    <row r="133" spans="1:4" ht="13.5" thickBot="1" x14ac:dyDescent="0.25">
      <c r="A133" s="89" t="s">
        <v>75</v>
      </c>
      <c r="B133" s="336" t="s">
        <v>84</v>
      </c>
      <c r="C133" s="337"/>
      <c r="D133" s="68">
        <f>D112</f>
        <v>100.69814814814815</v>
      </c>
    </row>
    <row r="134" spans="1:4" ht="13.5" thickBot="1" x14ac:dyDescent="0.25">
      <c r="A134" s="329" t="s">
        <v>99</v>
      </c>
      <c r="B134" s="330"/>
      <c r="C134" s="331"/>
      <c r="D134" s="68">
        <f>SUM(D129:D133)</f>
        <v>7841.9940280481478</v>
      </c>
    </row>
    <row r="135" spans="1:4" ht="13.5" thickBot="1" x14ac:dyDescent="0.25">
      <c r="A135" s="89" t="s">
        <v>76</v>
      </c>
      <c r="B135" s="383" t="s">
        <v>100</v>
      </c>
      <c r="C135" s="384"/>
      <c r="D135" s="90">
        <f>D122</f>
        <v>942.88110035397449</v>
      </c>
    </row>
    <row r="136" spans="1:4" ht="13.5" thickBot="1" x14ac:dyDescent="0.25">
      <c r="A136" s="329" t="s">
        <v>101</v>
      </c>
      <c r="B136" s="330"/>
      <c r="C136" s="331"/>
      <c r="D136" s="91">
        <f>ROUND((D134+D135),2)</f>
        <v>8784.8799999999992</v>
      </c>
    </row>
    <row r="137" spans="1:4" ht="13.5" thickBot="1" x14ac:dyDescent="0.25">
      <c r="A137" s="329" t="s">
        <v>144</v>
      </c>
      <c r="B137" s="330"/>
      <c r="C137" s="331"/>
      <c r="D137" s="91">
        <f>D136*2</f>
        <v>17569.759999999998</v>
      </c>
    </row>
  </sheetData>
  <mergeCells count="84">
    <mergeCell ref="B135:C135"/>
    <mergeCell ref="A136:C136"/>
    <mergeCell ref="B130:C130"/>
    <mergeCell ref="A134:C134"/>
    <mergeCell ref="B100:C100"/>
    <mergeCell ref="B101:C101"/>
    <mergeCell ref="A103:C103"/>
    <mergeCell ref="A105:D105"/>
    <mergeCell ref="B106:C106"/>
    <mergeCell ref="B107:C107"/>
    <mergeCell ref="B131:C131"/>
    <mergeCell ref="B132:C132"/>
    <mergeCell ref="B133:C133"/>
    <mergeCell ref="B95:C95"/>
    <mergeCell ref="B96:C96"/>
    <mergeCell ref="B128:C128"/>
    <mergeCell ref="B129:C129"/>
    <mergeCell ref="A114:D114"/>
    <mergeCell ref="A122:B122"/>
    <mergeCell ref="A124:D124"/>
    <mergeCell ref="A127:D127"/>
    <mergeCell ref="B108:C108"/>
    <mergeCell ref="B109:C109"/>
    <mergeCell ref="B110:C110"/>
    <mergeCell ref="B111:C111"/>
    <mergeCell ref="A112:C112"/>
    <mergeCell ref="B70:C70"/>
    <mergeCell ref="B71:C71"/>
    <mergeCell ref="A92:B92"/>
    <mergeCell ref="A93:D93"/>
    <mergeCell ref="A94:D94"/>
    <mergeCell ref="A19:D19"/>
    <mergeCell ref="B20:C20"/>
    <mergeCell ref="B62:C62"/>
    <mergeCell ref="A28:C28"/>
    <mergeCell ref="A30:D30"/>
    <mergeCell ref="B21:C21"/>
    <mergeCell ref="B26:C26"/>
    <mergeCell ref="B27:C27"/>
    <mergeCell ref="B23:C23"/>
    <mergeCell ref="B25:C25"/>
    <mergeCell ref="A38:D38"/>
    <mergeCell ref="A51:B51"/>
    <mergeCell ref="A55:D55"/>
    <mergeCell ref="B56:C56"/>
    <mergeCell ref="B61:C61"/>
    <mergeCell ref="A41:D41"/>
    <mergeCell ref="B9:C9"/>
    <mergeCell ref="A13:D13"/>
    <mergeCell ref="C14:D14"/>
    <mergeCell ref="B15:C15"/>
    <mergeCell ref="B18:C18"/>
    <mergeCell ref="A31:D31"/>
    <mergeCell ref="A35:B35"/>
    <mergeCell ref="A37:B37"/>
    <mergeCell ref="B102:C102"/>
    <mergeCell ref="A99:D99"/>
    <mergeCell ref="A84:D84"/>
    <mergeCell ref="A82:D82"/>
    <mergeCell ref="A83:D83"/>
    <mergeCell ref="A64:C64"/>
    <mergeCell ref="A97:C97"/>
    <mergeCell ref="A67:D67"/>
    <mergeCell ref="B68:C68"/>
    <mergeCell ref="B69:C69"/>
    <mergeCell ref="A72:C72"/>
    <mergeCell ref="A73:D73"/>
    <mergeCell ref="A81:B81"/>
    <mergeCell ref="A6:D6"/>
    <mergeCell ref="A137:C137"/>
    <mergeCell ref="A1:D1"/>
    <mergeCell ref="A2:D2"/>
    <mergeCell ref="A3:D3"/>
    <mergeCell ref="A4:D4"/>
    <mergeCell ref="A5:D5"/>
    <mergeCell ref="B16:C16"/>
    <mergeCell ref="A7:D7"/>
    <mergeCell ref="A8:D8"/>
    <mergeCell ref="B10:C10"/>
    <mergeCell ref="B11:C11"/>
    <mergeCell ref="B12:C12"/>
    <mergeCell ref="A66:D66"/>
    <mergeCell ref="A39:D39"/>
    <mergeCell ref="A40:D40"/>
  </mergeCells>
  <pageMargins left="0.51181102362204722" right="0.51181102362204722" top="0.78740157480314965" bottom="0.78740157480314965" header="0.31496062992125984" footer="0.31496062992125984"/>
  <pageSetup paperSize="9" scale="76" fitToHeight="2"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37"/>
  <sheetViews>
    <sheetView topLeftCell="A43" zoomScale="160" zoomScaleNormal="160" workbookViewId="0">
      <selection activeCell="A5" sqref="A5:D137"/>
    </sheetView>
  </sheetViews>
  <sheetFormatPr defaultRowHeight="12.75" x14ac:dyDescent="0.2"/>
  <cols>
    <col min="1" max="1" width="5" style="46" customWidth="1"/>
    <col min="2" max="2" width="47.7109375" style="46" customWidth="1"/>
    <col min="3" max="3" width="11.28515625" style="46" customWidth="1"/>
    <col min="4" max="4" width="34.28515625" style="46" customWidth="1"/>
    <col min="5" max="16384" width="9.140625" style="46"/>
  </cols>
  <sheetData>
    <row r="1" spans="1:6" x14ac:dyDescent="0.2">
      <c r="A1" s="395" t="str">
        <f>'VIGILÂNCIA DES 44HRS SEG A SEX'!A1:D1</f>
        <v xml:space="preserve">MINISTERIO DO MEIO AMBIENTE E MUDANÇA DO CLIMA </v>
      </c>
      <c r="B1" s="396"/>
      <c r="C1" s="396"/>
      <c r="D1" s="396"/>
    </row>
    <row r="2" spans="1:6" x14ac:dyDescent="0.2">
      <c r="A2" s="395" t="str">
        <f>'VIGILÂNCIA DES 44HRS SEG A SEX'!A2:D2</f>
        <v xml:space="preserve">SUBSECRETARIA DE PLANEJAMENTO, ORÇAMENTO E ADMINISTRAÇÃO </v>
      </c>
      <c r="B2" s="396"/>
      <c r="C2" s="396"/>
      <c r="D2" s="396"/>
    </row>
    <row r="3" spans="1:6" x14ac:dyDescent="0.2">
      <c r="A3" s="395"/>
      <c r="B3" s="396"/>
      <c r="C3" s="396"/>
      <c r="D3" s="396"/>
    </row>
    <row r="4" spans="1:6" x14ac:dyDescent="0.2">
      <c r="A4" s="395"/>
      <c r="B4" s="396"/>
      <c r="C4" s="396"/>
      <c r="D4" s="396"/>
    </row>
    <row r="5" spans="1:6" ht="13.5" thickBot="1" x14ac:dyDescent="0.25">
      <c r="A5" s="400" t="s">
        <v>0</v>
      </c>
      <c r="B5" s="401"/>
      <c r="C5" s="401"/>
      <c r="D5" s="401"/>
    </row>
    <row r="6" spans="1:6" x14ac:dyDescent="0.2">
      <c r="A6" s="402" t="s">
        <v>111</v>
      </c>
      <c r="B6" s="403"/>
      <c r="C6" s="403"/>
      <c r="D6" s="404"/>
    </row>
    <row r="7" spans="1:6" ht="13.5" thickBot="1" x14ac:dyDescent="0.25">
      <c r="A7" s="400" t="s">
        <v>112</v>
      </c>
      <c r="B7" s="401"/>
      <c r="C7" s="401"/>
      <c r="D7" s="405"/>
    </row>
    <row r="8" spans="1:6" ht="13.5" thickBot="1" x14ac:dyDescent="0.25">
      <c r="A8" s="389" t="s">
        <v>1</v>
      </c>
      <c r="B8" s="390"/>
      <c r="C8" s="390"/>
      <c r="D8" s="390"/>
    </row>
    <row r="9" spans="1:6" x14ac:dyDescent="0.2">
      <c r="A9" s="122" t="s">
        <v>2</v>
      </c>
      <c r="B9" s="426" t="s">
        <v>3</v>
      </c>
      <c r="C9" s="426"/>
      <c r="D9" s="251">
        <f>'VIGILÂNCIA DES 44HRS SEG A SEX'!D9</f>
        <v>45751</v>
      </c>
    </row>
    <row r="10" spans="1:6" x14ac:dyDescent="0.2">
      <c r="A10" s="123" t="s">
        <v>4</v>
      </c>
      <c r="B10" s="391" t="s">
        <v>5</v>
      </c>
      <c r="C10" s="391"/>
      <c r="D10" s="124" t="s">
        <v>6</v>
      </c>
    </row>
    <row r="11" spans="1:6" x14ac:dyDescent="0.2">
      <c r="A11" s="123" t="s">
        <v>7</v>
      </c>
      <c r="B11" s="392" t="s">
        <v>8</v>
      </c>
      <c r="C11" s="393"/>
      <c r="D11" s="125" t="str">
        <f>'VIGILÂNCIA DES 44HRS SEG A SEX'!D11</f>
        <v>DF000333/2024 - SINDESV/DF</v>
      </c>
    </row>
    <row r="12" spans="1:6" ht="13.5" thickBot="1" x14ac:dyDescent="0.25">
      <c r="A12" s="126" t="s">
        <v>9</v>
      </c>
      <c r="B12" s="394" t="s">
        <v>10</v>
      </c>
      <c r="C12" s="394"/>
      <c r="D12" s="127">
        <v>12</v>
      </c>
    </row>
    <row r="13" spans="1:6" ht="13.5" thickBot="1" x14ac:dyDescent="0.25">
      <c r="A13" s="427" t="s">
        <v>11</v>
      </c>
      <c r="B13" s="428"/>
      <c r="C13" s="428"/>
      <c r="D13" s="428"/>
    </row>
    <row r="14" spans="1:6" ht="25.5" x14ac:dyDescent="0.2">
      <c r="A14" s="128">
        <v>1</v>
      </c>
      <c r="B14" s="129" t="s">
        <v>12</v>
      </c>
      <c r="C14" s="429" t="s">
        <v>268</v>
      </c>
      <c r="D14" s="430"/>
    </row>
    <row r="15" spans="1:6" x14ac:dyDescent="0.2">
      <c r="A15" s="130">
        <v>2</v>
      </c>
      <c r="B15" s="434" t="s">
        <v>102</v>
      </c>
      <c r="C15" s="420"/>
      <c r="D15" s="120">
        <v>3430</v>
      </c>
      <c r="F15" s="131">
        <v>3266.67</v>
      </c>
    </row>
    <row r="16" spans="1:6" x14ac:dyDescent="0.2">
      <c r="A16" s="130">
        <v>3</v>
      </c>
      <c r="B16" s="434" t="s">
        <v>13</v>
      </c>
      <c r="C16" s="415"/>
      <c r="D16" s="132" t="s">
        <v>257</v>
      </c>
    </row>
    <row r="17" spans="1:4" x14ac:dyDescent="0.2">
      <c r="A17" s="117">
        <v>4</v>
      </c>
      <c r="B17" s="133" t="s">
        <v>113</v>
      </c>
      <c r="C17" s="134"/>
      <c r="D17" s="135" t="s">
        <v>138</v>
      </c>
    </row>
    <row r="18" spans="1:4" ht="13.5" thickBot="1" x14ac:dyDescent="0.25">
      <c r="A18" s="136">
        <v>5</v>
      </c>
      <c r="B18" s="435" t="s">
        <v>15</v>
      </c>
      <c r="C18" s="436"/>
      <c r="D18" s="137">
        <v>45658</v>
      </c>
    </row>
    <row r="19" spans="1:4" ht="13.5" thickBot="1" x14ac:dyDescent="0.25">
      <c r="A19" s="431" t="s">
        <v>16</v>
      </c>
      <c r="B19" s="432"/>
      <c r="C19" s="432"/>
      <c r="D19" s="432"/>
    </row>
    <row r="20" spans="1:4" ht="13.5" thickBot="1" x14ac:dyDescent="0.25">
      <c r="A20" s="121">
        <v>1</v>
      </c>
      <c r="B20" s="437" t="s">
        <v>17</v>
      </c>
      <c r="C20" s="438"/>
      <c r="D20" s="138" t="s">
        <v>18</v>
      </c>
    </row>
    <row r="21" spans="1:4" x14ac:dyDescent="0.2">
      <c r="A21" s="139" t="s">
        <v>2</v>
      </c>
      <c r="B21" s="421" t="s">
        <v>19</v>
      </c>
      <c r="C21" s="421"/>
      <c r="D21" s="140">
        <f>D15</f>
        <v>3430</v>
      </c>
    </row>
    <row r="22" spans="1:4" x14ac:dyDescent="0.2">
      <c r="A22" s="141" t="s">
        <v>4</v>
      </c>
      <c r="B22" s="142" t="s">
        <v>20</v>
      </c>
      <c r="C22" s="143">
        <v>0.3</v>
      </c>
      <c r="D22" s="144">
        <f t="shared" ref="D22" si="0">C22*D21</f>
        <v>1029</v>
      </c>
    </row>
    <row r="23" spans="1:4" x14ac:dyDescent="0.2">
      <c r="A23" s="141" t="s">
        <v>7</v>
      </c>
      <c r="B23" s="416" t="s">
        <v>21</v>
      </c>
      <c r="C23" s="416"/>
      <c r="D23" s="144">
        <v>0</v>
      </c>
    </row>
    <row r="24" spans="1:4" x14ac:dyDescent="0.2">
      <c r="A24" s="141" t="s">
        <v>22</v>
      </c>
      <c r="B24" s="142" t="s">
        <v>23</v>
      </c>
      <c r="C24" s="145">
        <v>0</v>
      </c>
      <c r="D24" s="144">
        <v>0</v>
      </c>
    </row>
    <row r="25" spans="1:4" x14ac:dyDescent="0.2">
      <c r="A25" s="141" t="s">
        <v>24</v>
      </c>
      <c r="B25" s="416" t="s">
        <v>25</v>
      </c>
      <c r="C25" s="416"/>
      <c r="D25" s="144">
        <f t="shared" ref="D25" si="1">D21/220*0.2*0*15</f>
        <v>0</v>
      </c>
    </row>
    <row r="26" spans="1:4" x14ac:dyDescent="0.2">
      <c r="A26" s="141" t="s">
        <v>26</v>
      </c>
      <c r="B26" s="416" t="s">
        <v>27</v>
      </c>
      <c r="C26" s="416"/>
      <c r="D26" s="144">
        <v>0</v>
      </c>
    </row>
    <row r="27" spans="1:4" x14ac:dyDescent="0.2">
      <c r="A27" s="146" t="s">
        <v>28</v>
      </c>
      <c r="B27" s="433" t="s">
        <v>29</v>
      </c>
      <c r="C27" s="433"/>
      <c r="D27" s="147">
        <v>0</v>
      </c>
    </row>
    <row r="28" spans="1:4" ht="13.5" thickBot="1" x14ac:dyDescent="0.25">
      <c r="A28" s="417" t="s">
        <v>30</v>
      </c>
      <c r="B28" s="439"/>
      <c r="C28" s="418"/>
      <c r="D28" s="148">
        <f>ROUND(SUM(D21:D27),2)</f>
        <v>4459</v>
      </c>
    </row>
    <row r="29" spans="1:4" ht="13.5" thickBot="1" x14ac:dyDescent="0.25">
      <c r="A29" s="149" t="s">
        <v>114</v>
      </c>
      <c r="B29" s="150"/>
      <c r="C29" s="151"/>
      <c r="D29" s="152"/>
    </row>
    <row r="30" spans="1:4" ht="13.5" thickBot="1" x14ac:dyDescent="0.25">
      <c r="A30" s="422" t="s">
        <v>31</v>
      </c>
      <c r="B30" s="423"/>
      <c r="C30" s="423"/>
      <c r="D30" s="424"/>
    </row>
    <row r="31" spans="1:4" ht="13.5" thickBot="1" x14ac:dyDescent="0.25">
      <c r="A31" s="422" t="s">
        <v>32</v>
      </c>
      <c r="B31" s="423"/>
      <c r="C31" s="423"/>
      <c r="D31" s="424"/>
    </row>
    <row r="32" spans="1:4" ht="13.5" thickBot="1" x14ac:dyDescent="0.25">
      <c r="A32" s="153" t="s">
        <v>33</v>
      </c>
      <c r="B32" s="154" t="s">
        <v>34</v>
      </c>
      <c r="C32" s="155" t="s">
        <v>35</v>
      </c>
      <c r="D32" s="156" t="s">
        <v>18</v>
      </c>
    </row>
    <row r="33" spans="1:4" x14ac:dyDescent="0.2">
      <c r="A33" s="157" t="s">
        <v>2</v>
      </c>
      <c r="B33" s="158" t="s">
        <v>36</v>
      </c>
      <c r="C33" s="159">
        <v>8.3299999999999999E-2</v>
      </c>
      <c r="D33" s="120">
        <f>ROUND(D$28*C33,2)</f>
        <v>371.43</v>
      </c>
    </row>
    <row r="34" spans="1:4" x14ac:dyDescent="0.2">
      <c r="A34" s="130" t="s">
        <v>4</v>
      </c>
      <c r="B34" s="160" t="s">
        <v>37</v>
      </c>
      <c r="C34" s="48">
        <v>0.121</v>
      </c>
      <c r="D34" s="120">
        <f t="shared" ref="D34" si="2">ROUND(D$28*C34,2)</f>
        <v>539.54</v>
      </c>
    </row>
    <row r="35" spans="1:4" ht="13.5" thickBot="1" x14ac:dyDescent="0.25">
      <c r="A35" s="440" t="s">
        <v>38</v>
      </c>
      <c r="B35" s="441"/>
      <c r="C35" s="161">
        <f>SUM(A33:C34)</f>
        <v>0.20429999999999998</v>
      </c>
      <c r="D35" s="120">
        <f>SUM(D33:D34)</f>
        <v>910.97</v>
      </c>
    </row>
    <row r="36" spans="1:4" ht="25.5" x14ac:dyDescent="0.2">
      <c r="A36" s="117" t="s">
        <v>39</v>
      </c>
      <c r="B36" s="118" t="s">
        <v>40</v>
      </c>
      <c r="C36" s="119">
        <f>C35*C51</f>
        <v>7.2117899999999999E-2</v>
      </c>
      <c r="D36" s="120">
        <f>ROUND(D$28*C36,2)</f>
        <v>321.57</v>
      </c>
    </row>
    <row r="37" spans="1:4" x14ac:dyDescent="0.2">
      <c r="A37" s="442" t="s">
        <v>41</v>
      </c>
      <c r="B37" s="443"/>
      <c r="C37" s="162"/>
      <c r="D37" s="120">
        <f>SUM(D35:D36)</f>
        <v>1232.54</v>
      </c>
    </row>
    <row r="38" spans="1:4" ht="36.75" customHeight="1" x14ac:dyDescent="0.2">
      <c r="A38" s="397" t="s">
        <v>115</v>
      </c>
      <c r="B38" s="397"/>
      <c r="C38" s="397"/>
      <c r="D38" s="397"/>
    </row>
    <row r="39" spans="1:4" ht="27.75" customHeight="1" x14ac:dyDescent="0.2">
      <c r="A39" s="397" t="s">
        <v>116</v>
      </c>
      <c r="B39" s="397"/>
      <c r="C39" s="397"/>
      <c r="D39" s="397"/>
    </row>
    <row r="40" spans="1:4" ht="36" customHeight="1" thickBot="1" x14ac:dyDescent="0.25">
      <c r="A40" s="413" t="s">
        <v>117</v>
      </c>
      <c r="B40" s="413"/>
      <c r="C40" s="413"/>
      <c r="D40" s="413"/>
    </row>
    <row r="41" spans="1:4" ht="13.5" thickBot="1" x14ac:dyDescent="0.25">
      <c r="A41" s="406" t="s">
        <v>42</v>
      </c>
      <c r="B41" s="414"/>
      <c r="C41" s="414"/>
      <c r="D41" s="407"/>
    </row>
    <row r="42" spans="1:4" ht="13.5" thickBot="1" x14ac:dyDescent="0.25">
      <c r="A42" s="153" t="s">
        <v>43</v>
      </c>
      <c r="B42" s="163" t="s">
        <v>44</v>
      </c>
      <c r="C42" s="155" t="s">
        <v>35</v>
      </c>
      <c r="D42" s="156" t="s">
        <v>18</v>
      </c>
    </row>
    <row r="43" spans="1:4" x14ac:dyDescent="0.2">
      <c r="A43" s="157" t="s">
        <v>2</v>
      </c>
      <c r="B43" s="158" t="s">
        <v>45</v>
      </c>
      <c r="C43" s="159">
        <v>0.2</v>
      </c>
      <c r="D43" s="120">
        <f>ROUND(D$28*C43,2)</f>
        <v>891.8</v>
      </c>
    </row>
    <row r="44" spans="1:4" x14ac:dyDescent="0.2">
      <c r="A44" s="130" t="s">
        <v>4</v>
      </c>
      <c r="B44" s="160" t="s">
        <v>46</v>
      </c>
      <c r="C44" s="48">
        <v>2.5000000000000001E-2</v>
      </c>
      <c r="D44" s="120">
        <f t="shared" ref="D44:D50" si="3">ROUND(D$28*C44,2)</f>
        <v>111.48</v>
      </c>
    </row>
    <row r="45" spans="1:4" x14ac:dyDescent="0.2">
      <c r="A45" s="130" t="s">
        <v>7</v>
      </c>
      <c r="B45" s="160" t="s">
        <v>47</v>
      </c>
      <c r="C45" s="48">
        <f>'VIGILÂNCIA DES 44HRS SEG A SEX'!C45</f>
        <v>1.4999999999999999E-2</v>
      </c>
      <c r="D45" s="120">
        <f t="shared" si="3"/>
        <v>66.89</v>
      </c>
    </row>
    <row r="46" spans="1:4" x14ac:dyDescent="0.2">
      <c r="A46" s="130" t="s">
        <v>22</v>
      </c>
      <c r="B46" s="160" t="s">
        <v>48</v>
      </c>
      <c r="C46" s="48">
        <v>1.4999999999999999E-2</v>
      </c>
      <c r="D46" s="120">
        <f t="shared" si="3"/>
        <v>66.89</v>
      </c>
    </row>
    <row r="47" spans="1:4" x14ac:dyDescent="0.2">
      <c r="A47" s="130" t="s">
        <v>24</v>
      </c>
      <c r="B47" s="160" t="s">
        <v>49</v>
      </c>
      <c r="C47" s="48">
        <v>0.01</v>
      </c>
      <c r="D47" s="120">
        <f t="shared" si="3"/>
        <v>44.59</v>
      </c>
    </row>
    <row r="48" spans="1:4" x14ac:dyDescent="0.2">
      <c r="A48" s="130" t="s">
        <v>50</v>
      </c>
      <c r="B48" s="160" t="s">
        <v>51</v>
      </c>
      <c r="C48" s="48">
        <v>6.0000000000000001E-3</v>
      </c>
      <c r="D48" s="120">
        <f t="shared" si="3"/>
        <v>26.75</v>
      </c>
    </row>
    <row r="49" spans="1:5" x14ac:dyDescent="0.2">
      <c r="A49" s="130" t="s">
        <v>26</v>
      </c>
      <c r="B49" s="160" t="s">
        <v>52</v>
      </c>
      <c r="C49" s="48">
        <v>2E-3</v>
      </c>
      <c r="D49" s="120">
        <f t="shared" si="3"/>
        <v>8.92</v>
      </c>
    </row>
    <row r="50" spans="1:5" x14ac:dyDescent="0.2">
      <c r="A50" s="117" t="s">
        <v>28</v>
      </c>
      <c r="B50" s="164" t="s">
        <v>53</v>
      </c>
      <c r="C50" s="48">
        <v>0.08</v>
      </c>
      <c r="D50" s="120">
        <f t="shared" si="3"/>
        <v>356.72</v>
      </c>
    </row>
    <row r="51" spans="1:5" ht="13.5" thickBot="1" x14ac:dyDescent="0.25">
      <c r="A51" s="417" t="s">
        <v>54</v>
      </c>
      <c r="B51" s="418"/>
      <c r="C51" s="165">
        <f>SUM(C43:C50)</f>
        <v>0.35300000000000004</v>
      </c>
      <c r="D51" s="166">
        <f>SUM(D43:D50)</f>
        <v>1574.0400000000002</v>
      </c>
    </row>
    <row r="52" spans="1:5" x14ac:dyDescent="0.2">
      <c r="A52" s="167" t="s">
        <v>118</v>
      </c>
      <c r="B52" s="168"/>
      <c r="C52" s="169"/>
      <c r="D52" s="170"/>
      <c r="E52" s="149"/>
    </row>
    <row r="53" spans="1:5" x14ac:dyDescent="0.2">
      <c r="A53" s="167" t="s">
        <v>119</v>
      </c>
      <c r="B53" s="168"/>
      <c r="C53" s="169"/>
      <c r="D53" s="170"/>
      <c r="E53" s="149"/>
    </row>
    <row r="54" spans="1:5" ht="13.5" thickBot="1" x14ac:dyDescent="0.25">
      <c r="A54" s="149" t="s">
        <v>120</v>
      </c>
      <c r="B54" s="168"/>
      <c r="C54" s="169"/>
      <c r="D54" s="170"/>
      <c r="E54" s="149"/>
    </row>
    <row r="55" spans="1:5" ht="13.5" thickBot="1" x14ac:dyDescent="0.25">
      <c r="A55" s="422" t="s">
        <v>55</v>
      </c>
      <c r="B55" s="423"/>
      <c r="C55" s="423"/>
      <c r="D55" s="424"/>
    </row>
    <row r="56" spans="1:5" ht="13.5" thickBot="1" x14ac:dyDescent="0.25">
      <c r="A56" s="153" t="s">
        <v>56</v>
      </c>
      <c r="B56" s="419" t="s">
        <v>57</v>
      </c>
      <c r="C56" s="409"/>
      <c r="D56" s="171" t="s">
        <v>18</v>
      </c>
    </row>
    <row r="57" spans="1:5" x14ac:dyDescent="0.2">
      <c r="A57" s="122" t="s">
        <v>2</v>
      </c>
      <c r="B57" s="172" t="s">
        <v>58</v>
      </c>
      <c r="C57" s="173">
        <v>15</v>
      </c>
      <c r="D57" s="120">
        <v>0</v>
      </c>
    </row>
    <row r="58" spans="1:5" x14ac:dyDescent="0.2">
      <c r="A58" s="123" t="s">
        <v>4</v>
      </c>
      <c r="B58" s="174" t="s">
        <v>59</v>
      </c>
      <c r="C58" s="175">
        <v>15</v>
      </c>
      <c r="D58" s="265">
        <f>C58*49.63</f>
        <v>744.45</v>
      </c>
    </row>
    <row r="59" spans="1:5" x14ac:dyDescent="0.2">
      <c r="A59" s="123" t="s">
        <v>39</v>
      </c>
      <c r="B59" s="177" t="s">
        <v>60</v>
      </c>
      <c r="C59" s="178"/>
      <c r="D59" s="176">
        <v>0</v>
      </c>
    </row>
    <row r="60" spans="1:5" x14ac:dyDescent="0.2">
      <c r="A60" s="123" t="s">
        <v>22</v>
      </c>
      <c r="B60" s="179" t="s">
        <v>121</v>
      </c>
      <c r="C60" s="178"/>
      <c r="D60" s="176">
        <v>0</v>
      </c>
    </row>
    <row r="61" spans="1:5" x14ac:dyDescent="0.2">
      <c r="A61" s="122" t="s">
        <v>75</v>
      </c>
      <c r="B61" s="420" t="s">
        <v>104</v>
      </c>
      <c r="C61" s="421"/>
      <c r="D61" s="264">
        <v>21.27</v>
      </c>
    </row>
    <row r="62" spans="1:5" x14ac:dyDescent="0.2">
      <c r="A62" s="123" t="s">
        <v>50</v>
      </c>
      <c r="B62" s="415" t="s">
        <v>105</v>
      </c>
      <c r="C62" s="416"/>
      <c r="D62" s="176">
        <v>0</v>
      </c>
    </row>
    <row r="63" spans="1:5" ht="13.5" thickBot="1" x14ac:dyDescent="0.25">
      <c r="A63" s="123" t="s">
        <v>103</v>
      </c>
      <c r="B63" s="177" t="s">
        <v>275</v>
      </c>
      <c r="C63" s="178"/>
      <c r="D63" s="265">
        <v>25</v>
      </c>
    </row>
    <row r="64" spans="1:5" ht="13.5" thickBot="1" x14ac:dyDescent="0.25">
      <c r="A64" s="444" t="s">
        <v>61</v>
      </c>
      <c r="B64" s="445" t="s">
        <v>61</v>
      </c>
      <c r="C64" s="445"/>
      <c r="D64" s="180">
        <f>SUM(D57:D63)</f>
        <v>790.72</v>
      </c>
    </row>
    <row r="65" spans="1:4" x14ac:dyDescent="0.2">
      <c r="A65" s="167" t="s">
        <v>122</v>
      </c>
      <c r="B65" s="181"/>
      <c r="C65" s="181"/>
      <c r="D65" s="182"/>
    </row>
    <row r="66" spans="1:4" ht="13.5" thickBot="1" x14ac:dyDescent="0.25">
      <c r="A66" s="446" t="s">
        <v>123</v>
      </c>
      <c r="B66" s="446"/>
      <c r="C66" s="446"/>
      <c r="D66" s="446"/>
    </row>
    <row r="67" spans="1:4" ht="13.5" thickBot="1" x14ac:dyDescent="0.25">
      <c r="A67" s="422" t="s">
        <v>62</v>
      </c>
      <c r="B67" s="423"/>
      <c r="C67" s="423"/>
      <c r="D67" s="424"/>
    </row>
    <row r="68" spans="1:4" ht="13.5" thickBot="1" x14ac:dyDescent="0.25">
      <c r="A68" s="183">
        <v>2</v>
      </c>
      <c r="B68" s="408" t="s">
        <v>63</v>
      </c>
      <c r="C68" s="409"/>
      <c r="D68" s="185" t="s">
        <v>64</v>
      </c>
    </row>
    <row r="69" spans="1:4" ht="13.5" thickBot="1" x14ac:dyDescent="0.25">
      <c r="A69" s="112" t="s">
        <v>33</v>
      </c>
      <c r="B69" s="398" t="s">
        <v>34</v>
      </c>
      <c r="C69" s="399"/>
      <c r="D69" s="116">
        <f>D37</f>
        <v>1232.54</v>
      </c>
    </row>
    <row r="70" spans="1:4" ht="13.5" thickBot="1" x14ac:dyDescent="0.25">
      <c r="A70" s="112" t="s">
        <v>43</v>
      </c>
      <c r="B70" s="398" t="s">
        <v>44</v>
      </c>
      <c r="C70" s="399"/>
      <c r="D70" s="116">
        <f>D51</f>
        <v>1574.0400000000002</v>
      </c>
    </row>
    <row r="71" spans="1:4" ht="13.5" thickBot="1" x14ac:dyDescent="0.25">
      <c r="A71" s="112" t="s">
        <v>56</v>
      </c>
      <c r="B71" s="386" t="s">
        <v>57</v>
      </c>
      <c r="C71" s="387"/>
      <c r="D71" s="116">
        <f>D64</f>
        <v>790.72</v>
      </c>
    </row>
    <row r="72" spans="1:4" ht="13.5" thickBot="1" x14ac:dyDescent="0.25">
      <c r="A72" s="408" t="s">
        <v>65</v>
      </c>
      <c r="B72" s="412"/>
      <c r="C72" s="409"/>
      <c r="D72" s="186">
        <f>SUM(D69:D71)</f>
        <v>3597.3</v>
      </c>
    </row>
    <row r="73" spans="1:4" ht="13.5" thickBot="1" x14ac:dyDescent="0.25">
      <c r="A73" s="422" t="s">
        <v>66</v>
      </c>
      <c r="B73" s="423"/>
      <c r="C73" s="423"/>
      <c r="D73" s="424"/>
    </row>
    <row r="74" spans="1:4" ht="13.5" thickBot="1" x14ac:dyDescent="0.25">
      <c r="A74" s="183">
        <v>3</v>
      </c>
      <c r="B74" s="163" t="s">
        <v>67</v>
      </c>
      <c r="C74" s="187" t="s">
        <v>68</v>
      </c>
      <c r="D74" s="185" t="s">
        <v>64</v>
      </c>
    </row>
    <row r="75" spans="1:4" ht="13.5" thickBot="1" x14ac:dyDescent="0.25">
      <c r="A75" s="112" t="s">
        <v>69</v>
      </c>
      <c r="B75" s="113" t="s">
        <v>70</v>
      </c>
      <c r="C75" s="73">
        <f>'VIGILÂNCIA DES 44HRS SEG A SEX'!C75</f>
        <v>8.0000000000000004E-4</v>
      </c>
      <c r="D75" s="116">
        <f t="shared" ref="D75:D80" si="4">C75*$D$28</f>
        <v>3.5672000000000001</v>
      </c>
    </row>
    <row r="76" spans="1:4" ht="13.5" thickBot="1" x14ac:dyDescent="0.25">
      <c r="A76" s="112" t="s">
        <v>71</v>
      </c>
      <c r="B76" s="113" t="s">
        <v>72</v>
      </c>
      <c r="C76" s="73">
        <f>8%*C75</f>
        <v>6.4000000000000011E-5</v>
      </c>
      <c r="D76" s="116">
        <f t="shared" si="4"/>
        <v>0.28537600000000007</v>
      </c>
    </row>
    <row r="77" spans="1:4" ht="13.5" thickBot="1" x14ac:dyDescent="0.25">
      <c r="A77" s="112" t="s">
        <v>39</v>
      </c>
      <c r="B77" s="113" t="s">
        <v>73</v>
      </c>
      <c r="C77" s="73">
        <v>3.9800000000000002E-2</v>
      </c>
      <c r="D77" s="116">
        <f t="shared" si="4"/>
        <v>177.4682</v>
      </c>
    </row>
    <row r="78" spans="1:4" ht="13.5" thickBot="1" x14ac:dyDescent="0.25">
      <c r="A78" s="112" t="s">
        <v>9</v>
      </c>
      <c r="B78" s="113" t="s">
        <v>74</v>
      </c>
      <c r="C78" s="73">
        <f>'VIGILÂNCIA DES 44HRS SEG A SEX'!C78</f>
        <v>4.0000000000000002E-4</v>
      </c>
      <c r="D78" s="116">
        <f t="shared" si="4"/>
        <v>1.7836000000000001</v>
      </c>
    </row>
    <row r="79" spans="1:4" ht="26.25" thickBot="1" x14ac:dyDescent="0.25">
      <c r="A79" s="112" t="s">
        <v>75</v>
      </c>
      <c r="B79" s="113" t="s">
        <v>124</v>
      </c>
      <c r="C79" s="73">
        <f>1*36.8%*C78</f>
        <v>1.472E-4</v>
      </c>
      <c r="D79" s="116">
        <f t="shared" si="4"/>
        <v>0.65636479999999997</v>
      </c>
    </row>
    <row r="80" spans="1:4" ht="13.5" thickBot="1" x14ac:dyDescent="0.25">
      <c r="A80" s="112" t="s">
        <v>76</v>
      </c>
      <c r="B80" s="113" t="s">
        <v>77</v>
      </c>
      <c r="C80" s="73">
        <v>2.0000000000000001E-4</v>
      </c>
      <c r="D80" s="116">
        <f t="shared" si="4"/>
        <v>0.89180000000000004</v>
      </c>
    </row>
    <row r="81" spans="1:6" ht="13.5" thickBot="1" x14ac:dyDescent="0.25">
      <c r="A81" s="408" t="s">
        <v>65</v>
      </c>
      <c r="B81" s="409"/>
      <c r="C81" s="188">
        <f t="shared" ref="C81" si="5">SUM(C75:C80)</f>
        <v>4.1411199999999995E-2</v>
      </c>
      <c r="D81" s="189">
        <f>SUM(D75:D80)</f>
        <v>184.6525408</v>
      </c>
    </row>
    <row r="82" spans="1:6" ht="36.75" customHeight="1" thickBot="1" x14ac:dyDescent="0.25">
      <c r="A82" s="425" t="s">
        <v>125</v>
      </c>
      <c r="B82" s="425"/>
      <c r="C82" s="425"/>
      <c r="D82" s="425"/>
      <c r="F82" s="190"/>
    </row>
    <row r="83" spans="1:6" ht="13.5" thickBot="1" x14ac:dyDescent="0.25">
      <c r="A83" s="422" t="s">
        <v>78</v>
      </c>
      <c r="B83" s="423"/>
      <c r="C83" s="423"/>
      <c r="D83" s="424"/>
    </row>
    <row r="84" spans="1:6" ht="13.5" thickBot="1" x14ac:dyDescent="0.25">
      <c r="A84" s="408" t="s">
        <v>79</v>
      </c>
      <c r="B84" s="412"/>
      <c r="C84" s="412"/>
      <c r="D84" s="409"/>
    </row>
    <row r="85" spans="1:6" ht="13.5" thickBot="1" x14ac:dyDescent="0.25">
      <c r="A85" s="183" t="s">
        <v>80</v>
      </c>
      <c r="B85" s="184" t="s">
        <v>126</v>
      </c>
      <c r="C85" s="183" t="s">
        <v>68</v>
      </c>
      <c r="D85" s="185" t="s">
        <v>64</v>
      </c>
    </row>
    <row r="86" spans="1:6" ht="13.5" thickBot="1" x14ac:dyDescent="0.25">
      <c r="A86" s="112" t="s">
        <v>69</v>
      </c>
      <c r="B86" s="113" t="s">
        <v>106</v>
      </c>
      <c r="C86" s="114">
        <f>'VIGILÂNCIA DES 44HRS SEG A SEX'!C86</f>
        <v>9.2999999999999992E-3</v>
      </c>
      <c r="D86" s="115">
        <f>C86*$D$28</f>
        <v>41.468699999999998</v>
      </c>
    </row>
    <row r="87" spans="1:6" ht="13.5" thickBot="1" x14ac:dyDescent="0.25">
      <c r="A87" s="112" t="s">
        <v>71</v>
      </c>
      <c r="B87" s="113" t="s">
        <v>127</v>
      </c>
      <c r="C87" s="191">
        <f>'VIGILÂNCIA DES 44HRS SEG A SEX'!C87</f>
        <v>1E-3</v>
      </c>
      <c r="D87" s="115">
        <f>C87*$D$28</f>
        <v>4.4590000000000005</v>
      </c>
    </row>
    <row r="88" spans="1:6" ht="13.5" thickBot="1" x14ac:dyDescent="0.25">
      <c r="A88" s="112" t="s">
        <v>39</v>
      </c>
      <c r="B88" s="113" t="s">
        <v>107</v>
      </c>
      <c r="C88" s="191">
        <v>2.0000000000000001E-4</v>
      </c>
      <c r="D88" s="115">
        <f>C88*$D$28</f>
        <v>0.89180000000000004</v>
      </c>
    </row>
    <row r="89" spans="1:6" ht="26.25" thickBot="1" x14ac:dyDescent="0.25">
      <c r="A89" s="112" t="s">
        <v>9</v>
      </c>
      <c r="B89" s="113" t="s">
        <v>108</v>
      </c>
      <c r="C89" s="191">
        <f>'VIGILÂNCIA DES 44HRS SEG A SEX'!C89</f>
        <v>1E-3</v>
      </c>
      <c r="D89" s="115">
        <f>C89*$D$28</f>
        <v>4.4590000000000005</v>
      </c>
    </row>
    <row r="90" spans="1:6" ht="13.5" thickBot="1" x14ac:dyDescent="0.25">
      <c r="A90" s="112" t="s">
        <v>75</v>
      </c>
      <c r="B90" s="113" t="s">
        <v>109</v>
      </c>
      <c r="C90" s="191">
        <v>2.0000000000000001E-4</v>
      </c>
      <c r="D90" s="115">
        <f>C90*$D$28</f>
        <v>0.89180000000000004</v>
      </c>
    </row>
    <row r="91" spans="1:6" ht="39" thickBot="1" x14ac:dyDescent="0.25">
      <c r="A91" s="112" t="s">
        <v>76</v>
      </c>
      <c r="B91" s="113" t="s">
        <v>128</v>
      </c>
      <c r="C91" s="114">
        <f>SUM(C86:C90)*C51</f>
        <v>4.1301000000000003E-3</v>
      </c>
      <c r="D91" s="115">
        <f t="shared" ref="D91" si="6">C91*$D$28</f>
        <v>18.416115900000001</v>
      </c>
      <c r="E91" s="192" t="s">
        <v>129</v>
      </c>
    </row>
    <row r="92" spans="1:6" ht="13.5" thickBot="1" x14ac:dyDescent="0.25">
      <c r="A92" s="408" t="s">
        <v>41</v>
      </c>
      <c r="B92" s="412"/>
      <c r="C92" s="193">
        <f>SUM(C86:C91)</f>
        <v>1.58301E-2</v>
      </c>
      <c r="D92" s="189">
        <f>SUM(D86:D91)</f>
        <v>70.58641590000002</v>
      </c>
    </row>
    <row r="93" spans="1:6" ht="33.75" customHeight="1" thickBot="1" x14ac:dyDescent="0.25">
      <c r="A93" s="410" t="s">
        <v>130</v>
      </c>
      <c r="B93" s="410"/>
      <c r="C93" s="410"/>
      <c r="D93" s="410"/>
    </row>
    <row r="94" spans="1:6" ht="13.5" thickBot="1" x14ac:dyDescent="0.25">
      <c r="A94" s="422" t="s">
        <v>131</v>
      </c>
      <c r="B94" s="423"/>
      <c r="C94" s="423"/>
      <c r="D94" s="424"/>
    </row>
    <row r="95" spans="1:6" ht="13.5" thickBot="1" x14ac:dyDescent="0.25">
      <c r="A95" s="183" t="s">
        <v>81</v>
      </c>
      <c r="B95" s="408" t="s">
        <v>132</v>
      </c>
      <c r="C95" s="409"/>
      <c r="D95" s="185" t="s">
        <v>64</v>
      </c>
    </row>
    <row r="96" spans="1:6" ht="13.5" thickBot="1" x14ac:dyDescent="0.25">
      <c r="A96" s="112" t="s">
        <v>69</v>
      </c>
      <c r="B96" s="386" t="s">
        <v>133</v>
      </c>
      <c r="C96" s="387"/>
      <c r="D96" s="116">
        <v>0</v>
      </c>
    </row>
    <row r="97" spans="1:4" ht="13.5" thickBot="1" x14ac:dyDescent="0.25">
      <c r="A97" s="408" t="s">
        <v>65</v>
      </c>
      <c r="B97" s="412"/>
      <c r="C97" s="409"/>
      <c r="D97" s="116">
        <f>SUM(D96)</f>
        <v>0</v>
      </c>
    </row>
    <row r="98" spans="1:4" ht="13.5" thickBot="1" x14ac:dyDescent="0.25">
      <c r="A98" s="194"/>
      <c r="C98" s="195"/>
      <c r="D98" s="196"/>
    </row>
    <row r="99" spans="1:4" ht="13.5" thickBot="1" x14ac:dyDescent="0.25">
      <c r="A99" s="422" t="s">
        <v>82</v>
      </c>
      <c r="B99" s="423"/>
      <c r="C99" s="423"/>
      <c r="D99" s="424"/>
    </row>
    <row r="100" spans="1:4" ht="13.5" thickBot="1" x14ac:dyDescent="0.25">
      <c r="A100" s="183">
        <v>4</v>
      </c>
      <c r="B100" s="408" t="s">
        <v>83</v>
      </c>
      <c r="C100" s="409"/>
      <c r="D100" s="185" t="s">
        <v>64</v>
      </c>
    </row>
    <row r="101" spans="1:4" ht="13.5" thickBot="1" x14ac:dyDescent="0.25">
      <c r="A101" s="112" t="s">
        <v>80</v>
      </c>
      <c r="B101" s="386" t="s">
        <v>126</v>
      </c>
      <c r="C101" s="387"/>
      <c r="D101" s="116">
        <f>D92</f>
        <v>70.58641590000002</v>
      </c>
    </row>
    <row r="102" spans="1:4" ht="13.5" thickBot="1" x14ac:dyDescent="0.25">
      <c r="A102" s="112" t="s">
        <v>81</v>
      </c>
      <c r="B102" s="386" t="s">
        <v>132</v>
      </c>
      <c r="C102" s="387"/>
      <c r="D102" s="116">
        <f>D97</f>
        <v>0</v>
      </c>
    </row>
    <row r="103" spans="1:4" ht="13.5" thickBot="1" x14ac:dyDescent="0.25">
      <c r="A103" s="408" t="s">
        <v>65</v>
      </c>
      <c r="B103" s="412"/>
      <c r="C103" s="409"/>
      <c r="D103" s="189">
        <f>SUM(D101:D102)</f>
        <v>70.58641590000002</v>
      </c>
    </row>
    <row r="104" spans="1:4" ht="13.5" thickBot="1" x14ac:dyDescent="0.25">
      <c r="A104" s="194"/>
      <c r="C104" s="195"/>
      <c r="D104" s="196"/>
    </row>
    <row r="105" spans="1:4" ht="13.5" thickBot="1" x14ac:dyDescent="0.25">
      <c r="A105" s="422" t="s">
        <v>84</v>
      </c>
      <c r="B105" s="423"/>
      <c r="C105" s="423"/>
      <c r="D105" s="424"/>
    </row>
    <row r="106" spans="1:4" ht="13.5" thickBot="1" x14ac:dyDescent="0.25">
      <c r="A106" s="183">
        <v>5</v>
      </c>
      <c r="B106" s="408" t="s">
        <v>85</v>
      </c>
      <c r="C106" s="409"/>
      <c r="D106" s="185" t="s">
        <v>64</v>
      </c>
    </row>
    <row r="107" spans="1:4" ht="13.5" thickBot="1" x14ac:dyDescent="0.25">
      <c r="A107" s="112" t="s">
        <v>69</v>
      </c>
      <c r="B107" s="386" t="s">
        <v>86</v>
      </c>
      <c r="C107" s="387"/>
      <c r="D107" s="116">
        <f>UNIFORMES!G20</f>
        <v>183.95000000000002</v>
      </c>
    </row>
    <row r="108" spans="1:4" ht="13.5" thickBot="1" x14ac:dyDescent="0.25">
      <c r="A108" s="112" t="s">
        <v>71</v>
      </c>
      <c r="B108" s="386" t="s">
        <v>87</v>
      </c>
      <c r="C108" s="387"/>
      <c r="D108" s="116">
        <f>MATERIAIS!F9</f>
        <v>21.375</v>
      </c>
    </row>
    <row r="109" spans="1:4" ht="13.5" thickBot="1" x14ac:dyDescent="0.25">
      <c r="A109" s="112" t="s">
        <v>39</v>
      </c>
      <c r="B109" s="386" t="s">
        <v>88</v>
      </c>
      <c r="C109" s="387"/>
      <c r="D109" s="116">
        <f>MATERIAIS!F44</f>
        <v>13.708148148148148</v>
      </c>
    </row>
    <row r="110" spans="1:4" ht="13.5" thickBot="1" x14ac:dyDescent="0.25">
      <c r="A110" s="112" t="s">
        <v>9</v>
      </c>
      <c r="B110" s="386" t="s">
        <v>134</v>
      </c>
      <c r="C110" s="387"/>
      <c r="D110" s="116">
        <v>0</v>
      </c>
    </row>
    <row r="111" spans="1:4" ht="15.75" thickBot="1" x14ac:dyDescent="0.25">
      <c r="A111" s="197" t="s">
        <v>75</v>
      </c>
      <c r="B111" s="386" t="s">
        <v>135</v>
      </c>
      <c r="C111" s="411"/>
      <c r="D111" s="116">
        <v>0</v>
      </c>
    </row>
    <row r="112" spans="1:4" ht="13.5" thickBot="1" x14ac:dyDescent="0.25">
      <c r="A112" s="408" t="s">
        <v>41</v>
      </c>
      <c r="B112" s="412"/>
      <c r="C112" s="409"/>
      <c r="D112" s="186">
        <f>SUM(D107:D111)</f>
        <v>219.03314814814817</v>
      </c>
    </row>
    <row r="113" spans="1:5" ht="13.5" thickBot="1" x14ac:dyDescent="0.25">
      <c r="A113" s="194"/>
      <c r="C113" s="195"/>
      <c r="D113" s="196"/>
    </row>
    <row r="114" spans="1:5" ht="13.5" thickBot="1" x14ac:dyDescent="0.25">
      <c r="A114" s="422" t="s">
        <v>89</v>
      </c>
      <c r="B114" s="423"/>
      <c r="C114" s="423"/>
      <c r="D114" s="424"/>
    </row>
    <row r="115" spans="1:5" ht="13.5" thickBot="1" x14ac:dyDescent="0.25">
      <c r="A115" s="183">
        <v>6</v>
      </c>
      <c r="B115" s="198" t="s">
        <v>90</v>
      </c>
      <c r="C115" s="163" t="s">
        <v>68</v>
      </c>
      <c r="D115" s="185" t="s">
        <v>64</v>
      </c>
    </row>
    <row r="116" spans="1:5" ht="13.5" thickBot="1" x14ac:dyDescent="0.25">
      <c r="A116" s="112" t="s">
        <v>69</v>
      </c>
      <c r="B116" s="199" t="s">
        <v>91</v>
      </c>
      <c r="C116" s="191">
        <v>1.44E-2</v>
      </c>
      <c r="D116" s="116">
        <f>C116*D134</f>
        <v>122.84023830981333</v>
      </c>
    </row>
    <row r="117" spans="1:5" ht="13.5" thickBot="1" x14ac:dyDescent="0.25">
      <c r="A117" s="112" t="s">
        <v>71</v>
      </c>
      <c r="B117" s="199" t="s">
        <v>92</v>
      </c>
      <c r="C117" s="191">
        <v>0.01</v>
      </c>
      <c r="D117" s="116">
        <f>(D134+D116)*C117</f>
        <v>86.534123431579616</v>
      </c>
    </row>
    <row r="118" spans="1:5" ht="13.5" thickBot="1" x14ac:dyDescent="0.25">
      <c r="A118" s="112" t="s">
        <v>39</v>
      </c>
      <c r="B118" s="199" t="s">
        <v>93</v>
      </c>
      <c r="C118" s="191">
        <f>C119+C120+C121</f>
        <v>8.6499999999999994E-2</v>
      </c>
      <c r="D118" s="116">
        <f>((D134+D116+D117)/(1-C118))*C118</f>
        <v>827.59208468527117</v>
      </c>
      <c r="E118" s="200"/>
    </row>
    <row r="119" spans="1:5" ht="13.5" thickBot="1" x14ac:dyDescent="0.25">
      <c r="A119" s="112"/>
      <c r="B119" s="199" t="s">
        <v>94</v>
      </c>
      <c r="C119" s="191">
        <f>'VIGILÂNCIA DES 44HRS SEG A SEX'!C119</f>
        <v>3.6499999999999998E-2</v>
      </c>
      <c r="D119" s="116">
        <f>C119*D136</f>
        <v>349.21521000000001</v>
      </c>
    </row>
    <row r="120" spans="1:5" ht="13.5" thickBot="1" x14ac:dyDescent="0.25">
      <c r="A120" s="112"/>
      <c r="B120" s="199" t="s">
        <v>95</v>
      </c>
      <c r="C120" s="201">
        <v>0.05</v>
      </c>
      <c r="D120" s="116">
        <f>C120*D136</f>
        <v>478.37700000000007</v>
      </c>
    </row>
    <row r="121" spans="1:5" ht="13.5" thickBot="1" x14ac:dyDescent="0.25">
      <c r="A121" s="112"/>
      <c r="B121" s="199" t="s">
        <v>96</v>
      </c>
      <c r="C121" s="201">
        <v>0</v>
      </c>
      <c r="D121" s="116">
        <f>C121*D136</f>
        <v>0</v>
      </c>
    </row>
    <row r="122" spans="1:5" ht="13.5" thickBot="1" x14ac:dyDescent="0.25">
      <c r="A122" s="408" t="s">
        <v>41</v>
      </c>
      <c r="B122" s="409"/>
      <c r="C122" s="193">
        <f>C118+C116+C117</f>
        <v>0.11089999999999998</v>
      </c>
      <c r="D122" s="185">
        <f>SUM(D116,D117,D118)</f>
        <v>1036.9664464266641</v>
      </c>
    </row>
    <row r="123" spans="1:5" x14ac:dyDescent="0.2">
      <c r="A123" s="167" t="s">
        <v>110</v>
      </c>
      <c r="C123" s="195"/>
      <c r="D123" s="196"/>
    </row>
    <row r="124" spans="1:5" x14ac:dyDescent="0.2">
      <c r="A124" s="446" t="s">
        <v>136</v>
      </c>
      <c r="B124" s="446"/>
      <c r="C124" s="446"/>
      <c r="D124" s="446"/>
    </row>
    <row r="125" spans="1:5" x14ac:dyDescent="0.2">
      <c r="A125" s="167" t="s">
        <v>137</v>
      </c>
      <c r="C125" s="195"/>
      <c r="D125" s="196"/>
    </row>
    <row r="126" spans="1:5" ht="13.5" thickBot="1" x14ac:dyDescent="0.25">
      <c r="A126" s="194"/>
      <c r="C126" s="195"/>
      <c r="D126" s="196"/>
    </row>
    <row r="127" spans="1:5" ht="13.5" thickBot="1" x14ac:dyDescent="0.25">
      <c r="A127" s="422" t="s">
        <v>97</v>
      </c>
      <c r="B127" s="423"/>
      <c r="C127" s="423"/>
      <c r="D127" s="424"/>
    </row>
    <row r="128" spans="1:5" ht="13.5" thickBot="1" x14ac:dyDescent="0.25">
      <c r="A128" s="183"/>
      <c r="B128" s="406" t="s">
        <v>98</v>
      </c>
      <c r="C128" s="407"/>
      <c r="D128" s="185" t="s">
        <v>64</v>
      </c>
    </row>
    <row r="129" spans="1:4" ht="13.5" thickBot="1" x14ac:dyDescent="0.25">
      <c r="A129" s="202" t="s">
        <v>69</v>
      </c>
      <c r="B129" s="398" t="s">
        <v>16</v>
      </c>
      <c r="C129" s="399"/>
      <c r="D129" s="116">
        <f>D28</f>
        <v>4459</v>
      </c>
    </row>
    <row r="130" spans="1:4" ht="13.5" thickBot="1" x14ac:dyDescent="0.25">
      <c r="A130" s="202" t="s">
        <v>71</v>
      </c>
      <c r="B130" s="386" t="s">
        <v>31</v>
      </c>
      <c r="C130" s="387"/>
      <c r="D130" s="116">
        <f>D72</f>
        <v>3597.3</v>
      </c>
    </row>
    <row r="131" spans="1:4" ht="13.5" thickBot="1" x14ac:dyDescent="0.25">
      <c r="A131" s="202" t="s">
        <v>39</v>
      </c>
      <c r="B131" s="386" t="s">
        <v>66</v>
      </c>
      <c r="C131" s="387"/>
      <c r="D131" s="116">
        <f>D81</f>
        <v>184.6525408</v>
      </c>
    </row>
    <row r="132" spans="1:4" ht="13.5" thickBot="1" x14ac:dyDescent="0.25">
      <c r="A132" s="202" t="s">
        <v>9</v>
      </c>
      <c r="B132" s="386" t="s">
        <v>78</v>
      </c>
      <c r="C132" s="387"/>
      <c r="D132" s="116">
        <f>D103</f>
        <v>70.58641590000002</v>
      </c>
    </row>
    <row r="133" spans="1:4" ht="13.5" thickBot="1" x14ac:dyDescent="0.25">
      <c r="A133" s="202" t="s">
        <v>75</v>
      </c>
      <c r="B133" s="386" t="s">
        <v>84</v>
      </c>
      <c r="C133" s="387"/>
      <c r="D133" s="116">
        <f>D112</f>
        <v>219.03314814814817</v>
      </c>
    </row>
    <row r="134" spans="1:4" ht="13.5" thickBot="1" x14ac:dyDescent="0.25">
      <c r="A134" s="408" t="s">
        <v>99</v>
      </c>
      <c r="B134" s="412"/>
      <c r="C134" s="409"/>
      <c r="D134" s="116">
        <f>SUM(D129:D133)</f>
        <v>8530.5721048481482</v>
      </c>
    </row>
    <row r="135" spans="1:4" ht="13.5" thickBot="1" x14ac:dyDescent="0.25">
      <c r="A135" s="202" t="s">
        <v>76</v>
      </c>
      <c r="B135" s="398" t="s">
        <v>100</v>
      </c>
      <c r="C135" s="399"/>
      <c r="D135" s="203">
        <f>D122</f>
        <v>1036.9664464266641</v>
      </c>
    </row>
    <row r="136" spans="1:4" ht="13.5" thickBot="1" x14ac:dyDescent="0.25">
      <c r="A136" s="408" t="s">
        <v>101</v>
      </c>
      <c r="B136" s="412"/>
      <c r="C136" s="409"/>
      <c r="D136" s="204">
        <f>ROUND((D134+D135),2)</f>
        <v>9567.5400000000009</v>
      </c>
    </row>
    <row r="137" spans="1:4" ht="13.5" thickBot="1" x14ac:dyDescent="0.25">
      <c r="A137" s="408" t="s">
        <v>144</v>
      </c>
      <c r="B137" s="412"/>
      <c r="C137" s="409"/>
      <c r="D137" s="204">
        <f>D136*2</f>
        <v>19135.080000000002</v>
      </c>
    </row>
  </sheetData>
  <mergeCells count="84">
    <mergeCell ref="B135:C135"/>
    <mergeCell ref="A136:C136"/>
    <mergeCell ref="B130:C130"/>
    <mergeCell ref="A134:C134"/>
    <mergeCell ref="B100:C100"/>
    <mergeCell ref="B101:C101"/>
    <mergeCell ref="A103:C103"/>
    <mergeCell ref="A105:D105"/>
    <mergeCell ref="B106:C106"/>
    <mergeCell ref="B107:C107"/>
    <mergeCell ref="B131:C131"/>
    <mergeCell ref="B132:C132"/>
    <mergeCell ref="B133:C133"/>
    <mergeCell ref="B95:C95"/>
    <mergeCell ref="B96:C96"/>
    <mergeCell ref="B128:C128"/>
    <mergeCell ref="B129:C129"/>
    <mergeCell ref="A114:D114"/>
    <mergeCell ref="A122:B122"/>
    <mergeCell ref="A124:D124"/>
    <mergeCell ref="A127:D127"/>
    <mergeCell ref="B108:C108"/>
    <mergeCell ref="B109:C109"/>
    <mergeCell ref="B110:C110"/>
    <mergeCell ref="B111:C111"/>
    <mergeCell ref="A112:C112"/>
    <mergeCell ref="B70:C70"/>
    <mergeCell ref="B71:C71"/>
    <mergeCell ref="A92:B92"/>
    <mergeCell ref="A93:D93"/>
    <mergeCell ref="A94:D94"/>
    <mergeCell ref="A19:D19"/>
    <mergeCell ref="B20:C20"/>
    <mergeCell ref="B62:C62"/>
    <mergeCell ref="A28:C28"/>
    <mergeCell ref="A30:D30"/>
    <mergeCell ref="B21:C21"/>
    <mergeCell ref="B26:C26"/>
    <mergeCell ref="B27:C27"/>
    <mergeCell ref="B23:C23"/>
    <mergeCell ref="B25:C25"/>
    <mergeCell ref="A38:D38"/>
    <mergeCell ref="A51:B51"/>
    <mergeCell ref="A55:D55"/>
    <mergeCell ref="B56:C56"/>
    <mergeCell ref="B61:C61"/>
    <mergeCell ref="A41:D41"/>
    <mergeCell ref="B9:C9"/>
    <mergeCell ref="A13:D13"/>
    <mergeCell ref="C14:D14"/>
    <mergeCell ref="B15:C15"/>
    <mergeCell ref="B18:C18"/>
    <mergeCell ref="A31:D31"/>
    <mergeCell ref="A35:B35"/>
    <mergeCell ref="A37:B37"/>
    <mergeCell ref="B102:C102"/>
    <mergeCell ref="A99:D99"/>
    <mergeCell ref="A84:D84"/>
    <mergeCell ref="A82:D82"/>
    <mergeCell ref="A83:D83"/>
    <mergeCell ref="A64:C64"/>
    <mergeCell ref="A97:C97"/>
    <mergeCell ref="A67:D67"/>
    <mergeCell ref="B68:C68"/>
    <mergeCell ref="B69:C69"/>
    <mergeCell ref="A72:C72"/>
    <mergeCell ref="A73:D73"/>
    <mergeCell ref="A81:B81"/>
    <mergeCell ref="A6:D6"/>
    <mergeCell ref="A137:C137"/>
    <mergeCell ref="A1:D1"/>
    <mergeCell ref="A2:D2"/>
    <mergeCell ref="A3:D3"/>
    <mergeCell ref="A4:D4"/>
    <mergeCell ref="A5:D5"/>
    <mergeCell ref="B16:C16"/>
    <mergeCell ref="A7:D7"/>
    <mergeCell ref="A8:D8"/>
    <mergeCell ref="B10:C10"/>
    <mergeCell ref="B11:C11"/>
    <mergeCell ref="B12:C12"/>
    <mergeCell ref="A66:D66"/>
    <mergeCell ref="A39:D39"/>
    <mergeCell ref="A40:D40"/>
  </mergeCells>
  <pageMargins left="0.51181102362204722" right="0.51181102362204722" top="0.78740157480314965" bottom="0.78740157480314965" header="0.31496062992125984" footer="0.31496062992125984"/>
  <pageSetup paperSize="9" scale="77" fitToHeight="2"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B0F9-93E7-4C29-96CE-29ED554FA72D}">
  <sheetPr>
    <pageSetUpPr fitToPage="1"/>
  </sheetPr>
  <dimension ref="A1:D137"/>
  <sheetViews>
    <sheetView topLeftCell="A31" zoomScale="145" zoomScaleNormal="145" workbookViewId="0">
      <selection activeCell="H51" sqref="H51"/>
    </sheetView>
  </sheetViews>
  <sheetFormatPr defaultRowHeight="15" x14ac:dyDescent="0.25"/>
  <cols>
    <col min="1" max="1" width="12.7109375" customWidth="1"/>
    <col min="2" max="2" width="44" customWidth="1"/>
    <col min="3" max="3" width="10" customWidth="1"/>
    <col min="4" max="4" width="26.140625" customWidth="1"/>
  </cols>
  <sheetData>
    <row r="1" spans="1:4" x14ac:dyDescent="0.25">
      <c r="A1" s="395" t="str">
        <f>'VIGILÂNCIA DES 44HRS SEG A SEX'!A1:D1</f>
        <v xml:space="preserve">MINISTERIO DO MEIO AMBIENTE E MUDANÇA DO CLIMA </v>
      </c>
      <c r="B1" s="396"/>
      <c r="C1" s="396"/>
      <c r="D1" s="396"/>
    </row>
    <row r="2" spans="1:4" x14ac:dyDescent="0.25">
      <c r="A2" s="395" t="str">
        <f>'VIGILÂNCIA DES 44HRS SEG A SEX'!A2:D2</f>
        <v xml:space="preserve">SUBSECRETARIA DE PLANEJAMENTO, ORÇAMENTO E ADMINISTRAÇÃO </v>
      </c>
      <c r="B2" s="396"/>
      <c r="C2" s="396"/>
      <c r="D2" s="396"/>
    </row>
    <row r="3" spans="1:4" x14ac:dyDescent="0.25">
      <c r="A3" s="395"/>
      <c r="B3" s="396"/>
      <c r="C3" s="396"/>
      <c r="D3" s="396"/>
    </row>
    <row r="4" spans="1:4" x14ac:dyDescent="0.25">
      <c r="A4" s="395"/>
      <c r="B4" s="396"/>
      <c r="C4" s="396"/>
      <c r="D4" s="396"/>
    </row>
    <row r="5" spans="1:4" ht="15.75" thickBot="1" x14ac:dyDescent="0.3">
      <c r="A5" s="400" t="s">
        <v>0</v>
      </c>
      <c r="B5" s="401"/>
      <c r="C5" s="401"/>
      <c r="D5" s="401"/>
    </row>
    <row r="6" spans="1:4" x14ac:dyDescent="0.25">
      <c r="A6" s="402" t="s">
        <v>111</v>
      </c>
      <c r="B6" s="403"/>
      <c r="C6" s="403"/>
      <c r="D6" s="404"/>
    </row>
    <row r="7" spans="1:4" ht="15.75" thickBot="1" x14ac:dyDescent="0.3">
      <c r="A7" s="400" t="s">
        <v>112</v>
      </c>
      <c r="B7" s="401"/>
      <c r="C7" s="401"/>
      <c r="D7" s="405"/>
    </row>
    <row r="8" spans="1:4" ht="15.75" thickBot="1" x14ac:dyDescent="0.3">
      <c r="A8" s="389" t="s">
        <v>1</v>
      </c>
      <c r="B8" s="390"/>
      <c r="C8" s="390"/>
      <c r="D8" s="390"/>
    </row>
    <row r="9" spans="1:4" x14ac:dyDescent="0.25">
      <c r="A9" s="122" t="s">
        <v>2</v>
      </c>
      <c r="B9" s="426" t="s">
        <v>3</v>
      </c>
      <c r="C9" s="426"/>
      <c r="D9" s="251">
        <f>'VIGILÂNCIA DES 44HRS SEG A SEX'!D9</f>
        <v>45751</v>
      </c>
    </row>
    <row r="10" spans="1:4" x14ac:dyDescent="0.25">
      <c r="A10" s="123" t="s">
        <v>4</v>
      </c>
      <c r="B10" s="391" t="s">
        <v>5</v>
      </c>
      <c r="C10" s="391"/>
      <c r="D10" s="124" t="s">
        <v>6</v>
      </c>
    </row>
    <row r="11" spans="1:4" ht="26.25" customHeight="1" x14ac:dyDescent="0.25">
      <c r="A11" s="123" t="s">
        <v>7</v>
      </c>
      <c r="B11" s="392" t="s">
        <v>8</v>
      </c>
      <c r="C11" s="393"/>
      <c r="D11" s="125" t="str">
        <f>'VIGILÂNCIA DES 44HRS SEG A SEX'!D11</f>
        <v>DF000333/2024 - SINDESV/DF</v>
      </c>
    </row>
    <row r="12" spans="1:4" ht="15.75" thickBot="1" x14ac:dyDescent="0.3">
      <c r="A12" s="126" t="s">
        <v>9</v>
      </c>
      <c r="B12" s="394" t="s">
        <v>10</v>
      </c>
      <c r="C12" s="394"/>
      <c r="D12" s="127">
        <v>12</v>
      </c>
    </row>
    <row r="13" spans="1:4" ht="15.75" thickBot="1" x14ac:dyDescent="0.3">
      <c r="A13" s="427" t="s">
        <v>11</v>
      </c>
      <c r="B13" s="428"/>
      <c r="C13" s="428"/>
      <c r="D13" s="428"/>
    </row>
    <row r="14" spans="1:4" ht="34.5" customHeight="1" x14ac:dyDescent="0.25">
      <c r="A14" s="128">
        <v>1</v>
      </c>
      <c r="B14" s="129" t="s">
        <v>12</v>
      </c>
      <c r="C14" s="429" t="s">
        <v>267</v>
      </c>
      <c r="D14" s="430"/>
    </row>
    <row r="15" spans="1:4" x14ac:dyDescent="0.25">
      <c r="A15" s="130">
        <v>2</v>
      </c>
      <c r="B15" s="434" t="s">
        <v>102</v>
      </c>
      <c r="C15" s="420"/>
      <c r="D15" s="120">
        <v>3430</v>
      </c>
    </row>
    <row r="16" spans="1:4" x14ac:dyDescent="0.25">
      <c r="A16" s="130">
        <v>3</v>
      </c>
      <c r="B16" s="434" t="s">
        <v>13</v>
      </c>
      <c r="C16" s="415"/>
      <c r="D16" s="132" t="s">
        <v>266</v>
      </c>
    </row>
    <row r="17" spans="1:4" x14ac:dyDescent="0.25">
      <c r="A17" s="117">
        <v>4</v>
      </c>
      <c r="B17" s="133" t="s">
        <v>113</v>
      </c>
      <c r="C17" s="134"/>
      <c r="D17" s="135" t="s">
        <v>138</v>
      </c>
    </row>
    <row r="18" spans="1:4" ht="15.75" thickBot="1" x14ac:dyDescent="0.3">
      <c r="A18" s="136">
        <v>5</v>
      </c>
      <c r="B18" s="435" t="s">
        <v>15</v>
      </c>
      <c r="C18" s="436"/>
      <c r="D18" s="137">
        <v>45658</v>
      </c>
    </row>
    <row r="19" spans="1:4" ht="15.75" thickBot="1" x14ac:dyDescent="0.3">
      <c r="A19" s="431" t="s">
        <v>16</v>
      </c>
      <c r="B19" s="432"/>
      <c r="C19" s="432"/>
      <c r="D19" s="432"/>
    </row>
    <row r="20" spans="1:4" ht="15.75" thickBot="1" x14ac:dyDescent="0.3">
      <c r="A20" s="121">
        <v>1</v>
      </c>
      <c r="B20" s="437" t="s">
        <v>17</v>
      </c>
      <c r="C20" s="438"/>
      <c r="D20" s="138" t="s">
        <v>18</v>
      </c>
    </row>
    <row r="21" spans="1:4" x14ac:dyDescent="0.25">
      <c r="A21" s="139" t="s">
        <v>2</v>
      </c>
      <c r="B21" s="421" t="s">
        <v>19</v>
      </c>
      <c r="C21" s="421"/>
      <c r="D21" s="140">
        <f>D15</f>
        <v>3430</v>
      </c>
    </row>
    <row r="22" spans="1:4" ht="16.5" customHeight="1" x14ac:dyDescent="0.25">
      <c r="A22" s="141" t="s">
        <v>4</v>
      </c>
      <c r="B22" s="142" t="s">
        <v>20</v>
      </c>
      <c r="C22" s="143">
        <v>0.3</v>
      </c>
      <c r="D22" s="144">
        <f t="shared" ref="D22" si="0">C22*D21</f>
        <v>1029</v>
      </c>
    </row>
    <row r="23" spans="1:4" x14ac:dyDescent="0.25">
      <c r="A23" s="141" t="s">
        <v>7</v>
      </c>
      <c r="B23" s="416" t="s">
        <v>21</v>
      </c>
      <c r="C23" s="416"/>
      <c r="D23" s="144">
        <v>0</v>
      </c>
    </row>
    <row r="24" spans="1:4" x14ac:dyDescent="0.25">
      <c r="A24" s="141" t="s">
        <v>22</v>
      </c>
      <c r="B24" s="142" t="s">
        <v>23</v>
      </c>
      <c r="C24" s="145">
        <v>0</v>
      </c>
      <c r="D24" s="144">
        <f>(D21+D22)/(220)*(20%)*(120)</f>
        <v>486.43636363636364</v>
      </c>
    </row>
    <row r="25" spans="1:4" x14ac:dyDescent="0.25">
      <c r="A25" s="141" t="s">
        <v>24</v>
      </c>
      <c r="B25" s="416" t="s">
        <v>25</v>
      </c>
      <c r="C25" s="416"/>
      <c r="D25" s="144">
        <f t="shared" ref="D25" si="1">D21/220*0.2*0*15</f>
        <v>0</v>
      </c>
    </row>
    <row r="26" spans="1:4" x14ac:dyDescent="0.25">
      <c r="A26" s="141" t="s">
        <v>26</v>
      </c>
      <c r="B26" s="416" t="s">
        <v>27</v>
      </c>
      <c r="C26" s="416"/>
      <c r="D26" s="144">
        <v>0</v>
      </c>
    </row>
    <row r="27" spans="1:4" x14ac:dyDescent="0.25">
      <c r="A27" s="146" t="s">
        <v>28</v>
      </c>
      <c r="B27" s="433" t="s">
        <v>29</v>
      </c>
      <c r="C27" s="433"/>
      <c r="D27" s="147">
        <v>0</v>
      </c>
    </row>
    <row r="28" spans="1:4" ht="15.75" thickBot="1" x14ac:dyDescent="0.3">
      <c r="A28" s="417" t="s">
        <v>30</v>
      </c>
      <c r="B28" s="439"/>
      <c r="C28" s="418"/>
      <c r="D28" s="148">
        <f>ROUND(SUM(D21:D27),2)</f>
        <v>4945.4399999999996</v>
      </c>
    </row>
    <row r="29" spans="1:4" ht="15.75" thickBot="1" x14ac:dyDescent="0.3">
      <c r="A29" s="149" t="s">
        <v>114</v>
      </c>
      <c r="B29" s="150"/>
      <c r="C29" s="151"/>
      <c r="D29" s="152"/>
    </row>
    <row r="30" spans="1:4" ht="15.75" thickBot="1" x14ac:dyDescent="0.3">
      <c r="A30" s="422" t="s">
        <v>31</v>
      </c>
      <c r="B30" s="423"/>
      <c r="C30" s="423"/>
      <c r="D30" s="424"/>
    </row>
    <row r="31" spans="1:4" ht="15.75" thickBot="1" x14ac:dyDescent="0.3">
      <c r="A31" s="422" t="s">
        <v>32</v>
      </c>
      <c r="B31" s="423"/>
      <c r="C31" s="423"/>
      <c r="D31" s="424"/>
    </row>
    <row r="32" spans="1:4" ht="19.5" customHeight="1" thickBot="1" x14ac:dyDescent="0.3">
      <c r="A32" s="153" t="s">
        <v>33</v>
      </c>
      <c r="B32" s="154" t="s">
        <v>34</v>
      </c>
      <c r="C32" s="155" t="s">
        <v>35</v>
      </c>
      <c r="D32" s="156" t="s">
        <v>18</v>
      </c>
    </row>
    <row r="33" spans="1:4" ht="19.5" customHeight="1" x14ac:dyDescent="0.25">
      <c r="A33" s="157" t="s">
        <v>2</v>
      </c>
      <c r="B33" s="158" t="s">
        <v>36</v>
      </c>
      <c r="C33" s="159">
        <v>8.3299999999999999E-2</v>
      </c>
      <c r="D33" s="120">
        <f>ROUND(D$28*C33,2)</f>
        <v>411.96</v>
      </c>
    </row>
    <row r="34" spans="1:4" x14ac:dyDescent="0.25">
      <c r="A34" s="130" t="s">
        <v>4</v>
      </c>
      <c r="B34" s="160" t="s">
        <v>37</v>
      </c>
      <c r="C34" s="48">
        <v>0.121</v>
      </c>
      <c r="D34" s="120">
        <f t="shared" ref="D34" si="2">ROUND(D$28*C34,2)</f>
        <v>598.4</v>
      </c>
    </row>
    <row r="35" spans="1:4" ht="15.75" thickBot="1" x14ac:dyDescent="0.3">
      <c r="A35" s="440" t="s">
        <v>38</v>
      </c>
      <c r="B35" s="441"/>
      <c r="C35" s="161">
        <f>SUM(A33:C34)</f>
        <v>0.20429999999999998</v>
      </c>
      <c r="D35" s="120">
        <f>SUM(D33:D34)</f>
        <v>1010.3599999999999</v>
      </c>
    </row>
    <row r="36" spans="1:4" ht="37.5" customHeight="1" x14ac:dyDescent="0.25">
      <c r="A36" s="117" t="s">
        <v>39</v>
      </c>
      <c r="B36" s="118" t="s">
        <v>40</v>
      </c>
      <c r="C36" s="119">
        <f>C35*C51</f>
        <v>7.2117899999999999E-2</v>
      </c>
      <c r="D36" s="120">
        <f>ROUND(D$28*C36,2)</f>
        <v>356.65</v>
      </c>
    </row>
    <row r="37" spans="1:4" x14ac:dyDescent="0.25">
      <c r="A37" s="442" t="s">
        <v>41</v>
      </c>
      <c r="B37" s="443"/>
      <c r="C37" s="162"/>
      <c r="D37" s="120">
        <f>SUM(D35:D36)</f>
        <v>1367.0099999999998</v>
      </c>
    </row>
    <row r="38" spans="1:4" ht="23.25" customHeight="1" x14ac:dyDescent="0.25">
      <c r="A38" s="397" t="s">
        <v>115</v>
      </c>
      <c r="B38" s="397"/>
      <c r="C38" s="397"/>
      <c r="D38" s="397"/>
    </row>
    <row r="39" spans="1:4" ht="21.75" customHeight="1" x14ac:dyDescent="0.25">
      <c r="A39" s="397" t="s">
        <v>116</v>
      </c>
      <c r="B39" s="397"/>
      <c r="C39" s="397"/>
      <c r="D39" s="397"/>
    </row>
    <row r="40" spans="1:4" ht="12.75" customHeight="1" thickBot="1" x14ac:dyDescent="0.3">
      <c r="A40" s="413" t="s">
        <v>117</v>
      </c>
      <c r="B40" s="413"/>
      <c r="C40" s="413"/>
      <c r="D40" s="413"/>
    </row>
    <row r="41" spans="1:4" ht="22.5" customHeight="1" thickBot="1" x14ac:dyDescent="0.3">
      <c r="A41" s="406" t="s">
        <v>42</v>
      </c>
      <c r="B41" s="414"/>
      <c r="C41" s="414"/>
      <c r="D41" s="407"/>
    </row>
    <row r="42" spans="1:4" ht="12" customHeight="1" thickBot="1" x14ac:dyDescent="0.3">
      <c r="A42" s="153" t="s">
        <v>43</v>
      </c>
      <c r="B42" s="163" t="s">
        <v>44</v>
      </c>
      <c r="C42" s="155" t="s">
        <v>35</v>
      </c>
      <c r="D42" s="156" t="s">
        <v>18</v>
      </c>
    </row>
    <row r="43" spans="1:4" x14ac:dyDescent="0.25">
      <c r="A43" s="157" t="s">
        <v>2</v>
      </c>
      <c r="B43" s="158" t="s">
        <v>45</v>
      </c>
      <c r="C43" s="159">
        <v>0.2</v>
      </c>
      <c r="D43" s="120">
        <f>ROUND(D$28*C43,2)</f>
        <v>989.09</v>
      </c>
    </row>
    <row r="44" spans="1:4" x14ac:dyDescent="0.25">
      <c r="A44" s="130" t="s">
        <v>4</v>
      </c>
      <c r="B44" s="160" t="s">
        <v>46</v>
      </c>
      <c r="C44" s="48">
        <v>2.5000000000000001E-2</v>
      </c>
      <c r="D44" s="120">
        <f t="shared" ref="D44:D50" si="3">ROUND(D$28*C44,2)</f>
        <v>123.64</v>
      </c>
    </row>
    <row r="45" spans="1:4" x14ac:dyDescent="0.25">
      <c r="A45" s="130" t="s">
        <v>7</v>
      </c>
      <c r="B45" s="160" t="s">
        <v>47</v>
      </c>
      <c r="C45" s="48">
        <f>'VIGILÂNCIA DES 44HRS SEG A SEX'!C45</f>
        <v>1.4999999999999999E-2</v>
      </c>
      <c r="D45" s="120">
        <f t="shared" si="3"/>
        <v>74.180000000000007</v>
      </c>
    </row>
    <row r="46" spans="1:4" x14ac:dyDescent="0.25">
      <c r="A46" s="130" t="s">
        <v>22</v>
      </c>
      <c r="B46" s="160" t="s">
        <v>48</v>
      </c>
      <c r="C46" s="48">
        <v>1.4999999999999999E-2</v>
      </c>
      <c r="D46" s="120">
        <f t="shared" si="3"/>
        <v>74.180000000000007</v>
      </c>
    </row>
    <row r="47" spans="1:4" x14ac:dyDescent="0.25">
      <c r="A47" s="130" t="s">
        <v>24</v>
      </c>
      <c r="B47" s="160" t="s">
        <v>49</v>
      </c>
      <c r="C47" s="48">
        <v>0.01</v>
      </c>
      <c r="D47" s="120">
        <f t="shared" si="3"/>
        <v>49.45</v>
      </c>
    </row>
    <row r="48" spans="1:4" x14ac:dyDescent="0.25">
      <c r="A48" s="130" t="s">
        <v>50</v>
      </c>
      <c r="B48" s="160" t="s">
        <v>51</v>
      </c>
      <c r="C48" s="48">
        <v>6.0000000000000001E-3</v>
      </c>
      <c r="D48" s="120">
        <f t="shared" si="3"/>
        <v>29.67</v>
      </c>
    </row>
    <row r="49" spans="1:4" x14ac:dyDescent="0.25">
      <c r="A49" s="130" t="s">
        <v>26</v>
      </c>
      <c r="B49" s="160" t="s">
        <v>52</v>
      </c>
      <c r="C49" s="48">
        <v>2E-3</v>
      </c>
      <c r="D49" s="120">
        <f t="shared" si="3"/>
        <v>9.89</v>
      </c>
    </row>
    <row r="50" spans="1:4" x14ac:dyDescent="0.25">
      <c r="A50" s="117" t="s">
        <v>28</v>
      </c>
      <c r="B50" s="164" t="s">
        <v>53</v>
      </c>
      <c r="C50" s="48">
        <v>0.08</v>
      </c>
      <c r="D50" s="120">
        <f t="shared" si="3"/>
        <v>395.64</v>
      </c>
    </row>
    <row r="51" spans="1:4" ht="15.75" thickBot="1" x14ac:dyDescent="0.3">
      <c r="A51" s="417" t="s">
        <v>54</v>
      </c>
      <c r="B51" s="418"/>
      <c r="C51" s="165">
        <f>SUM(C43:C50)</f>
        <v>0.35300000000000004</v>
      </c>
      <c r="D51" s="166">
        <f>SUM(D43:D50)</f>
        <v>1745.7400000000002</v>
      </c>
    </row>
    <row r="52" spans="1:4" x14ac:dyDescent="0.25">
      <c r="A52" s="167" t="s">
        <v>118</v>
      </c>
      <c r="B52" s="168"/>
      <c r="C52" s="169"/>
      <c r="D52" s="170"/>
    </row>
    <row r="53" spans="1:4" x14ac:dyDescent="0.25">
      <c r="A53" s="167" t="s">
        <v>119</v>
      </c>
      <c r="B53" s="168"/>
      <c r="C53" s="169"/>
      <c r="D53" s="170"/>
    </row>
    <row r="54" spans="1:4" ht="15.75" thickBot="1" x14ac:dyDescent="0.3">
      <c r="A54" s="149" t="s">
        <v>120</v>
      </c>
      <c r="B54" s="168"/>
      <c r="C54" s="169"/>
      <c r="D54" s="170"/>
    </row>
    <row r="55" spans="1:4" ht="15.75" thickBot="1" x14ac:dyDescent="0.3">
      <c r="A55" s="422" t="s">
        <v>55</v>
      </c>
      <c r="B55" s="423"/>
      <c r="C55" s="423"/>
      <c r="D55" s="424"/>
    </row>
    <row r="56" spans="1:4" ht="15.75" thickBot="1" x14ac:dyDescent="0.3">
      <c r="A56" s="153" t="s">
        <v>56</v>
      </c>
      <c r="B56" s="419" t="s">
        <v>57</v>
      </c>
      <c r="C56" s="409"/>
      <c r="D56" s="171" t="s">
        <v>18</v>
      </c>
    </row>
    <row r="57" spans="1:4" x14ac:dyDescent="0.25">
      <c r="A57" s="122" t="s">
        <v>2</v>
      </c>
      <c r="B57" s="172" t="s">
        <v>58</v>
      </c>
      <c r="C57" s="173">
        <v>15</v>
      </c>
      <c r="D57" s="120">
        <v>0</v>
      </c>
    </row>
    <row r="58" spans="1:4" x14ac:dyDescent="0.25">
      <c r="A58" s="123" t="s">
        <v>4</v>
      </c>
      <c r="B58" s="174" t="s">
        <v>59</v>
      </c>
      <c r="C58" s="175">
        <v>15</v>
      </c>
      <c r="D58" s="265">
        <f>C58*49.63</f>
        <v>744.45</v>
      </c>
    </row>
    <row r="59" spans="1:4" ht="15" customHeight="1" x14ac:dyDescent="0.25">
      <c r="A59" s="123" t="s">
        <v>39</v>
      </c>
      <c r="B59" s="177" t="s">
        <v>60</v>
      </c>
      <c r="C59" s="178"/>
      <c r="D59" s="176">
        <v>0</v>
      </c>
    </row>
    <row r="60" spans="1:4" x14ac:dyDescent="0.25">
      <c r="A60" s="123" t="s">
        <v>22</v>
      </c>
      <c r="B60" s="179" t="s">
        <v>121</v>
      </c>
      <c r="C60" s="178"/>
      <c r="D60" s="176">
        <v>0</v>
      </c>
    </row>
    <row r="61" spans="1:4" x14ac:dyDescent="0.25">
      <c r="A61" s="122" t="s">
        <v>75</v>
      </c>
      <c r="B61" s="420" t="s">
        <v>104</v>
      </c>
      <c r="C61" s="421"/>
      <c r="D61" s="264">
        <v>21.27</v>
      </c>
    </row>
    <row r="62" spans="1:4" x14ac:dyDescent="0.25">
      <c r="A62" s="123" t="s">
        <v>50</v>
      </c>
      <c r="B62" s="415" t="s">
        <v>105</v>
      </c>
      <c r="C62" s="416"/>
      <c r="D62" s="176">
        <v>0</v>
      </c>
    </row>
    <row r="63" spans="1:4" ht="15.75" customHeight="1" thickBot="1" x14ac:dyDescent="0.3">
      <c r="A63" s="123" t="s">
        <v>103</v>
      </c>
      <c r="B63" s="177" t="s">
        <v>275</v>
      </c>
      <c r="C63" s="178"/>
      <c r="D63" s="265">
        <v>25</v>
      </c>
    </row>
    <row r="64" spans="1:4" ht="15.75" thickBot="1" x14ac:dyDescent="0.3">
      <c r="A64" s="444" t="s">
        <v>61</v>
      </c>
      <c r="B64" s="445" t="s">
        <v>61</v>
      </c>
      <c r="C64" s="445"/>
      <c r="D64" s="180">
        <f>SUM(D57:D63)</f>
        <v>790.72</v>
      </c>
    </row>
    <row r="65" spans="1:4" x14ac:dyDescent="0.25">
      <c r="A65" s="167" t="s">
        <v>122</v>
      </c>
      <c r="B65" s="181"/>
      <c r="C65" s="181"/>
      <c r="D65" s="182"/>
    </row>
    <row r="66" spans="1:4" ht="15.75" thickBot="1" x14ac:dyDescent="0.3">
      <c r="A66" s="446" t="s">
        <v>123</v>
      </c>
      <c r="B66" s="446"/>
      <c r="C66" s="446"/>
      <c r="D66" s="446"/>
    </row>
    <row r="67" spans="1:4" ht="15.75" thickBot="1" x14ac:dyDescent="0.3">
      <c r="A67" s="422" t="s">
        <v>62</v>
      </c>
      <c r="B67" s="423"/>
      <c r="C67" s="423"/>
      <c r="D67" s="424"/>
    </row>
    <row r="68" spans="1:4" ht="15.75" thickBot="1" x14ac:dyDescent="0.3">
      <c r="A68" s="183">
        <v>2</v>
      </c>
      <c r="B68" s="408" t="s">
        <v>63</v>
      </c>
      <c r="C68" s="409"/>
      <c r="D68" s="185" t="s">
        <v>64</v>
      </c>
    </row>
    <row r="69" spans="1:4" ht="15.75" thickBot="1" x14ac:dyDescent="0.3">
      <c r="A69" s="112" t="s">
        <v>33</v>
      </c>
      <c r="B69" s="398" t="s">
        <v>34</v>
      </c>
      <c r="C69" s="399"/>
      <c r="D69" s="116">
        <f>D37</f>
        <v>1367.0099999999998</v>
      </c>
    </row>
    <row r="70" spans="1:4" ht="15.75" thickBot="1" x14ac:dyDescent="0.3">
      <c r="A70" s="112" t="s">
        <v>43</v>
      </c>
      <c r="B70" s="398" t="s">
        <v>44</v>
      </c>
      <c r="C70" s="399"/>
      <c r="D70" s="116">
        <f>D51</f>
        <v>1745.7400000000002</v>
      </c>
    </row>
    <row r="71" spans="1:4" ht="15.75" thickBot="1" x14ac:dyDescent="0.3">
      <c r="A71" s="112" t="s">
        <v>56</v>
      </c>
      <c r="B71" s="386" t="s">
        <v>57</v>
      </c>
      <c r="C71" s="387"/>
      <c r="D71" s="116">
        <f>D64</f>
        <v>790.72</v>
      </c>
    </row>
    <row r="72" spans="1:4" ht="15.75" thickBot="1" x14ac:dyDescent="0.3">
      <c r="A72" s="408" t="s">
        <v>65</v>
      </c>
      <c r="B72" s="412"/>
      <c r="C72" s="409"/>
      <c r="D72" s="186">
        <f>SUM(D69:D71)</f>
        <v>3903.4700000000003</v>
      </c>
    </row>
    <row r="73" spans="1:4" ht="15.75" thickBot="1" x14ac:dyDescent="0.3">
      <c r="A73" s="422" t="s">
        <v>66</v>
      </c>
      <c r="B73" s="423"/>
      <c r="C73" s="423"/>
      <c r="D73" s="424"/>
    </row>
    <row r="74" spans="1:4" ht="15.75" thickBot="1" x14ac:dyDescent="0.3">
      <c r="A74" s="183">
        <v>3</v>
      </c>
      <c r="B74" s="163" t="s">
        <v>67</v>
      </c>
      <c r="C74" s="187" t="s">
        <v>68</v>
      </c>
      <c r="D74" s="185" t="s">
        <v>64</v>
      </c>
    </row>
    <row r="75" spans="1:4" ht="15.75" thickBot="1" x14ac:dyDescent="0.3">
      <c r="A75" s="112" t="s">
        <v>69</v>
      </c>
      <c r="B75" s="113" t="s">
        <v>70</v>
      </c>
      <c r="C75" s="73">
        <f>'VIGILÂNCIA DES 44HRS SEG A SEX'!C75</f>
        <v>8.0000000000000004E-4</v>
      </c>
      <c r="D75" s="116">
        <f t="shared" ref="D75:D80" si="4">C75*$D$28</f>
        <v>3.9563519999999999</v>
      </c>
    </row>
    <row r="76" spans="1:4" ht="14.25" customHeight="1" thickBot="1" x14ac:dyDescent="0.3">
      <c r="A76" s="112" t="s">
        <v>71</v>
      </c>
      <c r="B76" s="113" t="s">
        <v>72</v>
      </c>
      <c r="C76" s="73">
        <f>8%*C75</f>
        <v>6.4000000000000011E-5</v>
      </c>
      <c r="D76" s="116">
        <f t="shared" si="4"/>
        <v>0.31650816000000004</v>
      </c>
    </row>
    <row r="77" spans="1:4" ht="13.5" customHeight="1" thickBot="1" x14ac:dyDescent="0.3">
      <c r="A77" s="112" t="s">
        <v>39</v>
      </c>
      <c r="B77" s="113" t="s">
        <v>73</v>
      </c>
      <c r="C77" s="73">
        <v>3.9800000000000002E-2</v>
      </c>
      <c r="D77" s="116">
        <f t="shared" si="4"/>
        <v>196.82851199999999</v>
      </c>
    </row>
    <row r="78" spans="1:4" ht="15.75" thickBot="1" x14ac:dyDescent="0.3">
      <c r="A78" s="112" t="s">
        <v>9</v>
      </c>
      <c r="B78" s="113" t="s">
        <v>74</v>
      </c>
      <c r="C78" s="73">
        <f>'VIGILÂNCIA DES 44HRS SEG A SEX'!C78</f>
        <v>4.0000000000000002E-4</v>
      </c>
      <c r="D78" s="116">
        <f t="shared" si="4"/>
        <v>1.9781759999999999</v>
      </c>
    </row>
    <row r="79" spans="1:4" ht="18.75" customHeight="1" thickBot="1" x14ac:dyDescent="0.3">
      <c r="A79" s="112" t="s">
        <v>75</v>
      </c>
      <c r="B79" s="113" t="s">
        <v>124</v>
      </c>
      <c r="C79" s="73">
        <f>1*36.8%*C78</f>
        <v>1.472E-4</v>
      </c>
      <c r="D79" s="116">
        <f t="shared" si="4"/>
        <v>0.72796876799999999</v>
      </c>
    </row>
    <row r="80" spans="1:4" ht="15.75" customHeight="1" thickBot="1" x14ac:dyDescent="0.3">
      <c r="A80" s="112" t="s">
        <v>76</v>
      </c>
      <c r="B80" s="113" t="s">
        <v>77</v>
      </c>
      <c r="C80" s="73">
        <v>2.0000000000000001E-4</v>
      </c>
      <c r="D80" s="116">
        <f t="shared" si="4"/>
        <v>0.98908799999999997</v>
      </c>
    </row>
    <row r="81" spans="1:4" ht="15.75" thickBot="1" x14ac:dyDescent="0.3">
      <c r="A81" s="408" t="s">
        <v>65</v>
      </c>
      <c r="B81" s="409"/>
      <c r="C81" s="188">
        <f>SUM(C75:C80)</f>
        <v>4.1411199999999995E-2</v>
      </c>
      <c r="D81" s="189">
        <f>SUM(D75:D80)</f>
        <v>204.79660492799999</v>
      </c>
    </row>
    <row r="82" spans="1:4" ht="33" customHeight="1" thickBot="1" x14ac:dyDescent="0.3">
      <c r="A82" s="425" t="s">
        <v>125</v>
      </c>
      <c r="B82" s="425"/>
      <c r="C82" s="425"/>
      <c r="D82" s="425"/>
    </row>
    <row r="83" spans="1:4" ht="15.75" thickBot="1" x14ac:dyDescent="0.3">
      <c r="A83" s="422" t="s">
        <v>78</v>
      </c>
      <c r="B83" s="423"/>
      <c r="C83" s="423"/>
      <c r="D83" s="424"/>
    </row>
    <row r="84" spans="1:4" ht="15.75" thickBot="1" x14ac:dyDescent="0.3">
      <c r="A84" s="408" t="s">
        <v>79</v>
      </c>
      <c r="B84" s="412"/>
      <c r="C84" s="412"/>
      <c r="D84" s="409"/>
    </row>
    <row r="85" spans="1:4" ht="15.75" thickBot="1" x14ac:dyDescent="0.3">
      <c r="A85" s="183" t="s">
        <v>80</v>
      </c>
      <c r="B85" s="184" t="s">
        <v>126</v>
      </c>
      <c r="C85" s="183" t="s">
        <v>68</v>
      </c>
      <c r="D85" s="185" t="s">
        <v>64</v>
      </c>
    </row>
    <row r="86" spans="1:4" ht="17.25" customHeight="1" thickBot="1" x14ac:dyDescent="0.3">
      <c r="A86" s="112" t="s">
        <v>69</v>
      </c>
      <c r="B86" s="113" t="s">
        <v>106</v>
      </c>
      <c r="C86" s="114">
        <f>'VIGILÂNCIA DES 44HRS SEG A SEX'!C86</f>
        <v>9.2999999999999992E-3</v>
      </c>
      <c r="D86" s="115">
        <f>C86*$D$28</f>
        <v>45.992591999999995</v>
      </c>
    </row>
    <row r="87" spans="1:4" ht="24" customHeight="1" thickBot="1" x14ac:dyDescent="0.3">
      <c r="A87" s="112" t="s">
        <v>71</v>
      </c>
      <c r="B87" s="113" t="s">
        <v>127</v>
      </c>
      <c r="C87" s="191">
        <f>'VIGILÂNCIA DES 44HRS SEG A SEX'!C87</f>
        <v>1E-3</v>
      </c>
      <c r="D87" s="115">
        <f>C87*$D$28</f>
        <v>4.9454399999999996</v>
      </c>
    </row>
    <row r="88" spans="1:4" ht="18.75" customHeight="1" thickBot="1" x14ac:dyDescent="0.3">
      <c r="A88" s="112" t="s">
        <v>39</v>
      </c>
      <c r="B88" s="113" t="s">
        <v>107</v>
      </c>
      <c r="C88" s="191">
        <v>2.0000000000000001E-4</v>
      </c>
      <c r="D88" s="115">
        <f>C88*$D$28</f>
        <v>0.98908799999999997</v>
      </c>
    </row>
    <row r="89" spans="1:4" ht="30" customHeight="1" thickBot="1" x14ac:dyDescent="0.3">
      <c r="A89" s="112" t="s">
        <v>9</v>
      </c>
      <c r="B89" s="113" t="s">
        <v>108</v>
      </c>
      <c r="C89" s="191">
        <f>'VIGILÂNCIA DES 44HRS SEG A SEX'!C89</f>
        <v>1E-3</v>
      </c>
      <c r="D89" s="115">
        <f>C89*$D$28</f>
        <v>4.9454399999999996</v>
      </c>
    </row>
    <row r="90" spans="1:4" ht="27" customHeight="1" thickBot="1" x14ac:dyDescent="0.3">
      <c r="A90" s="112" t="s">
        <v>75</v>
      </c>
      <c r="B90" s="113" t="s">
        <v>109</v>
      </c>
      <c r="C90" s="191">
        <v>2.0000000000000001E-4</v>
      </c>
      <c r="D90" s="115">
        <f>C90*$D$28</f>
        <v>0.98908799999999997</v>
      </c>
    </row>
    <row r="91" spans="1:4" ht="41.25" customHeight="1" thickBot="1" x14ac:dyDescent="0.3">
      <c r="A91" s="112" t="s">
        <v>76</v>
      </c>
      <c r="B91" s="113" t="s">
        <v>128</v>
      </c>
      <c r="C91" s="114">
        <f>SUM(C86:C90)*C51</f>
        <v>4.1301000000000003E-3</v>
      </c>
      <c r="D91" s="115">
        <f t="shared" ref="D91" si="5">C91*$D$28</f>
        <v>20.425161744</v>
      </c>
    </row>
    <row r="92" spans="1:4" ht="15.75" thickBot="1" x14ac:dyDescent="0.3">
      <c r="A92" s="408" t="s">
        <v>41</v>
      </c>
      <c r="B92" s="412"/>
      <c r="C92" s="193">
        <f>SUM(C86:C91)</f>
        <v>1.58301E-2</v>
      </c>
      <c r="D92" s="189">
        <f>SUM(D86:D91)</f>
        <v>78.286809743999996</v>
      </c>
    </row>
    <row r="93" spans="1:4" ht="15.75" thickBot="1" x14ac:dyDescent="0.3">
      <c r="A93" s="410" t="s">
        <v>130</v>
      </c>
      <c r="B93" s="410"/>
      <c r="C93" s="410"/>
      <c r="D93" s="410"/>
    </row>
    <row r="94" spans="1:4" ht="15.75" thickBot="1" x14ac:dyDescent="0.3">
      <c r="A94" s="422" t="s">
        <v>131</v>
      </c>
      <c r="B94" s="423"/>
      <c r="C94" s="423"/>
      <c r="D94" s="424"/>
    </row>
    <row r="95" spans="1:4" ht="15.75" thickBot="1" x14ac:dyDescent="0.3">
      <c r="A95" s="183" t="s">
        <v>81</v>
      </c>
      <c r="B95" s="408" t="s">
        <v>132</v>
      </c>
      <c r="C95" s="409"/>
      <c r="D95" s="185" t="s">
        <v>64</v>
      </c>
    </row>
    <row r="96" spans="1:4" ht="15.75" thickBot="1" x14ac:dyDescent="0.3">
      <c r="A96" s="112" t="s">
        <v>69</v>
      </c>
      <c r="B96" s="386" t="s">
        <v>133</v>
      </c>
      <c r="C96" s="387"/>
      <c r="D96" s="116">
        <v>0</v>
      </c>
    </row>
    <row r="97" spans="1:4" ht="15.75" thickBot="1" x14ac:dyDescent="0.3">
      <c r="A97" s="408" t="s">
        <v>65</v>
      </c>
      <c r="B97" s="412"/>
      <c r="C97" s="409"/>
      <c r="D97" s="116">
        <f>SUM(D96)</f>
        <v>0</v>
      </c>
    </row>
    <row r="98" spans="1:4" ht="15.75" thickBot="1" x14ac:dyDescent="0.3">
      <c r="A98" s="194"/>
      <c r="B98" s="46"/>
      <c r="C98" s="195"/>
      <c r="D98" s="196"/>
    </row>
    <row r="99" spans="1:4" ht="15.75" thickBot="1" x14ac:dyDescent="0.3">
      <c r="A99" s="422" t="s">
        <v>82</v>
      </c>
      <c r="B99" s="423"/>
      <c r="C99" s="423"/>
      <c r="D99" s="424"/>
    </row>
    <row r="100" spans="1:4" ht="15.75" thickBot="1" x14ac:dyDescent="0.3">
      <c r="A100" s="183">
        <v>4</v>
      </c>
      <c r="B100" s="408" t="s">
        <v>83</v>
      </c>
      <c r="C100" s="409"/>
      <c r="D100" s="185" t="s">
        <v>64</v>
      </c>
    </row>
    <row r="101" spans="1:4" ht="15.75" thickBot="1" x14ac:dyDescent="0.3">
      <c r="A101" s="112" t="s">
        <v>80</v>
      </c>
      <c r="B101" s="386" t="s">
        <v>126</v>
      </c>
      <c r="C101" s="387"/>
      <c r="D101" s="116">
        <f>D92</f>
        <v>78.286809743999996</v>
      </c>
    </row>
    <row r="102" spans="1:4" ht="15.75" thickBot="1" x14ac:dyDescent="0.3">
      <c r="A102" s="112" t="s">
        <v>81</v>
      </c>
      <c r="B102" s="386" t="s">
        <v>132</v>
      </c>
      <c r="C102" s="387"/>
      <c r="D102" s="116">
        <f>D97</f>
        <v>0</v>
      </c>
    </row>
    <row r="103" spans="1:4" ht="15.75" thickBot="1" x14ac:dyDescent="0.3">
      <c r="A103" s="408" t="s">
        <v>65</v>
      </c>
      <c r="B103" s="412"/>
      <c r="C103" s="409"/>
      <c r="D103" s="189">
        <f>SUM(D101:D102)</f>
        <v>78.286809743999996</v>
      </c>
    </row>
    <row r="104" spans="1:4" ht="15.75" thickBot="1" x14ac:dyDescent="0.3">
      <c r="A104" s="194"/>
      <c r="B104" s="46"/>
      <c r="C104" s="195"/>
      <c r="D104" s="196"/>
    </row>
    <row r="105" spans="1:4" ht="15.75" thickBot="1" x14ac:dyDescent="0.3">
      <c r="A105" s="422" t="s">
        <v>84</v>
      </c>
      <c r="B105" s="423"/>
      <c r="C105" s="423"/>
      <c r="D105" s="424"/>
    </row>
    <row r="106" spans="1:4" ht="15.75" thickBot="1" x14ac:dyDescent="0.3">
      <c r="A106" s="183">
        <v>5</v>
      </c>
      <c r="B106" s="408" t="s">
        <v>85</v>
      </c>
      <c r="C106" s="409"/>
      <c r="D106" s="185" t="s">
        <v>64</v>
      </c>
    </row>
    <row r="107" spans="1:4" ht="15.75" thickBot="1" x14ac:dyDescent="0.3">
      <c r="A107" s="112" t="s">
        <v>69</v>
      </c>
      <c r="B107" s="386" t="s">
        <v>86</v>
      </c>
      <c r="C107" s="387"/>
      <c r="D107" s="116">
        <f>'SUPERVISOR 12X36 DESARMADO DIUR'!D107</f>
        <v>183.95000000000002</v>
      </c>
    </row>
    <row r="108" spans="1:4" ht="15.75" thickBot="1" x14ac:dyDescent="0.3">
      <c r="A108" s="112" t="s">
        <v>71</v>
      </c>
      <c r="B108" s="386" t="s">
        <v>87</v>
      </c>
      <c r="C108" s="387"/>
      <c r="D108" s="116">
        <f>MATERIAIS!F9</f>
        <v>21.375</v>
      </c>
    </row>
    <row r="109" spans="1:4" ht="15.75" thickBot="1" x14ac:dyDescent="0.3">
      <c r="A109" s="112" t="s">
        <v>39</v>
      </c>
      <c r="B109" s="386" t="s">
        <v>88</v>
      </c>
      <c r="C109" s="387"/>
      <c r="D109" s="116">
        <f>MATERIAIS!F44</f>
        <v>13.708148148148148</v>
      </c>
    </row>
    <row r="110" spans="1:4" ht="15.75" thickBot="1" x14ac:dyDescent="0.3">
      <c r="A110" s="112" t="s">
        <v>9</v>
      </c>
      <c r="B110" s="386" t="s">
        <v>134</v>
      </c>
      <c r="C110" s="387"/>
      <c r="D110" s="116">
        <v>0</v>
      </c>
    </row>
    <row r="111" spans="1:4" ht="15.75" thickBot="1" x14ac:dyDescent="0.3">
      <c r="A111" s="197" t="s">
        <v>75</v>
      </c>
      <c r="B111" s="386" t="s">
        <v>135</v>
      </c>
      <c r="C111" s="411"/>
      <c r="D111" s="116">
        <v>0</v>
      </c>
    </row>
    <row r="112" spans="1:4" ht="15.75" thickBot="1" x14ac:dyDescent="0.3">
      <c r="A112" s="408" t="s">
        <v>41</v>
      </c>
      <c r="B112" s="412"/>
      <c r="C112" s="409"/>
      <c r="D112" s="186">
        <f>SUM(D107:D111)</f>
        <v>219.03314814814817</v>
      </c>
    </row>
    <row r="113" spans="1:4" ht="15.75" thickBot="1" x14ac:dyDescent="0.3">
      <c r="A113" s="194"/>
      <c r="B113" s="46"/>
      <c r="C113" s="195"/>
      <c r="D113" s="196"/>
    </row>
    <row r="114" spans="1:4" ht="15.75" thickBot="1" x14ac:dyDescent="0.3">
      <c r="A114" s="422" t="s">
        <v>89</v>
      </c>
      <c r="B114" s="423"/>
      <c r="C114" s="423"/>
      <c r="D114" s="424"/>
    </row>
    <row r="115" spans="1:4" ht="15.75" thickBot="1" x14ac:dyDescent="0.3">
      <c r="A115" s="183">
        <v>6</v>
      </c>
      <c r="B115" s="198" t="s">
        <v>90</v>
      </c>
      <c r="C115" s="163" t="s">
        <v>68</v>
      </c>
      <c r="D115" s="185" t="s">
        <v>64</v>
      </c>
    </row>
    <row r="116" spans="1:4" ht="15.75" thickBot="1" x14ac:dyDescent="0.3">
      <c r="A116" s="112" t="s">
        <v>69</v>
      </c>
      <c r="B116" s="199" t="s">
        <v>91</v>
      </c>
      <c r="C116" s="191">
        <v>1.6400000000000001E-2</v>
      </c>
      <c r="D116" s="116">
        <f>C116*D134</f>
        <v>153.35683563025046</v>
      </c>
    </row>
    <row r="117" spans="1:4" ht="15.75" thickBot="1" x14ac:dyDescent="0.3">
      <c r="A117" s="112" t="s">
        <v>71</v>
      </c>
      <c r="B117" s="199" t="s">
        <v>92</v>
      </c>
      <c r="C117" s="191">
        <v>1.4999999999999999E-2</v>
      </c>
      <c r="D117" s="116">
        <f>(D134+D116)*C117</f>
        <v>142.56575097675599</v>
      </c>
    </row>
    <row r="118" spans="1:4" ht="15.75" thickBot="1" x14ac:dyDescent="0.3">
      <c r="A118" s="112" t="s">
        <v>39</v>
      </c>
      <c r="B118" s="199" t="s">
        <v>93</v>
      </c>
      <c r="C118" s="191">
        <f>C119+C120+C121</f>
        <v>8.6499999999999994E-2</v>
      </c>
      <c r="D118" s="116">
        <f>((D134+D116+D117)/(1-C118))*C118</f>
        <v>913.47684885106617</v>
      </c>
    </row>
    <row r="119" spans="1:4" ht="15.75" thickBot="1" x14ac:dyDescent="0.3">
      <c r="A119" s="112"/>
      <c r="B119" s="199" t="s">
        <v>94</v>
      </c>
      <c r="C119" s="191">
        <f>'VIGILÂNCIA DES 44HRS SEG A SEX'!C119</f>
        <v>3.6499999999999998E-2</v>
      </c>
      <c r="D119" s="116">
        <f>C119*D136</f>
        <v>385.45569499999999</v>
      </c>
    </row>
    <row r="120" spans="1:4" ht="15.75" thickBot="1" x14ac:dyDescent="0.3">
      <c r="A120" s="112"/>
      <c r="B120" s="199" t="s">
        <v>95</v>
      </c>
      <c r="C120" s="201">
        <v>0.05</v>
      </c>
      <c r="D120" s="116">
        <f>C120*D136</f>
        <v>528.02150000000006</v>
      </c>
    </row>
    <row r="121" spans="1:4" ht="15.75" thickBot="1" x14ac:dyDescent="0.3">
      <c r="A121" s="112"/>
      <c r="B121" s="199" t="s">
        <v>96</v>
      </c>
      <c r="C121" s="201">
        <v>0</v>
      </c>
      <c r="D121" s="116">
        <f>C121*D136</f>
        <v>0</v>
      </c>
    </row>
    <row r="122" spans="1:4" ht="15.75" thickBot="1" x14ac:dyDescent="0.3">
      <c r="A122" s="408" t="s">
        <v>41</v>
      </c>
      <c r="B122" s="409"/>
      <c r="C122" s="193">
        <f>C118+C116+C117</f>
        <v>0.11789999999999999</v>
      </c>
      <c r="D122" s="185">
        <f>SUM(D116,D117,D118)</f>
        <v>1209.3994354580727</v>
      </c>
    </row>
    <row r="123" spans="1:4" x14ac:dyDescent="0.25">
      <c r="A123" s="167" t="s">
        <v>110</v>
      </c>
      <c r="B123" s="46"/>
      <c r="C123" s="195"/>
      <c r="D123" s="196"/>
    </row>
    <row r="124" spans="1:4" x14ac:dyDescent="0.25">
      <c r="A124" s="446" t="s">
        <v>136</v>
      </c>
      <c r="B124" s="446"/>
      <c r="C124" s="446"/>
      <c r="D124" s="446"/>
    </row>
    <row r="125" spans="1:4" x14ac:dyDescent="0.25">
      <c r="A125" s="167" t="s">
        <v>137</v>
      </c>
      <c r="B125" s="46"/>
      <c r="C125" s="195"/>
      <c r="D125" s="196"/>
    </row>
    <row r="126" spans="1:4" ht="15.75" thickBot="1" x14ac:dyDescent="0.3">
      <c r="A126" s="194"/>
      <c r="B126" s="46"/>
      <c r="C126" s="195"/>
      <c r="D126" s="196"/>
    </row>
    <row r="127" spans="1:4" ht="15.75" thickBot="1" x14ac:dyDescent="0.3">
      <c r="A127" s="422" t="s">
        <v>97</v>
      </c>
      <c r="B127" s="423"/>
      <c r="C127" s="423"/>
      <c r="D127" s="424"/>
    </row>
    <row r="128" spans="1:4" ht="15.75" thickBot="1" x14ac:dyDescent="0.3">
      <c r="A128" s="183"/>
      <c r="B128" s="406" t="s">
        <v>98</v>
      </c>
      <c r="C128" s="407"/>
      <c r="D128" s="185" t="s">
        <v>64</v>
      </c>
    </row>
    <row r="129" spans="1:4" ht="15.75" thickBot="1" x14ac:dyDescent="0.3">
      <c r="A129" s="202" t="s">
        <v>69</v>
      </c>
      <c r="B129" s="398" t="s">
        <v>16</v>
      </c>
      <c r="C129" s="399"/>
      <c r="D129" s="116">
        <f>D28</f>
        <v>4945.4399999999996</v>
      </c>
    </row>
    <row r="130" spans="1:4" ht="15.75" thickBot="1" x14ac:dyDescent="0.3">
      <c r="A130" s="202" t="s">
        <v>71</v>
      </c>
      <c r="B130" s="386" t="s">
        <v>31</v>
      </c>
      <c r="C130" s="387"/>
      <c r="D130" s="116">
        <f>D72</f>
        <v>3903.4700000000003</v>
      </c>
    </row>
    <row r="131" spans="1:4" ht="15.75" thickBot="1" x14ac:dyDescent="0.3">
      <c r="A131" s="202" t="s">
        <v>39</v>
      </c>
      <c r="B131" s="386" t="s">
        <v>66</v>
      </c>
      <c r="C131" s="387"/>
      <c r="D131" s="116">
        <f>D81</f>
        <v>204.79660492799999</v>
      </c>
    </row>
    <row r="132" spans="1:4" ht="15.75" thickBot="1" x14ac:dyDescent="0.3">
      <c r="A132" s="202" t="s">
        <v>9</v>
      </c>
      <c r="B132" s="386" t="s">
        <v>78</v>
      </c>
      <c r="C132" s="387"/>
      <c r="D132" s="116">
        <f>D103</f>
        <v>78.286809743999996</v>
      </c>
    </row>
    <row r="133" spans="1:4" ht="15.75" thickBot="1" x14ac:dyDescent="0.3">
      <c r="A133" s="202" t="s">
        <v>75</v>
      </c>
      <c r="B133" s="386" t="s">
        <v>84</v>
      </c>
      <c r="C133" s="387"/>
      <c r="D133" s="116">
        <f>D112</f>
        <v>219.03314814814817</v>
      </c>
    </row>
    <row r="134" spans="1:4" ht="15.75" thickBot="1" x14ac:dyDescent="0.3">
      <c r="A134" s="408" t="s">
        <v>99</v>
      </c>
      <c r="B134" s="412"/>
      <c r="C134" s="409"/>
      <c r="D134" s="116">
        <f>SUM(D129:D133)</f>
        <v>9351.0265628201487</v>
      </c>
    </row>
    <row r="135" spans="1:4" ht="15.75" thickBot="1" x14ac:dyDescent="0.3">
      <c r="A135" s="202" t="s">
        <v>76</v>
      </c>
      <c r="B135" s="398" t="s">
        <v>100</v>
      </c>
      <c r="C135" s="399"/>
      <c r="D135" s="203">
        <f>D122</f>
        <v>1209.3994354580727</v>
      </c>
    </row>
    <row r="136" spans="1:4" ht="15.75" thickBot="1" x14ac:dyDescent="0.3">
      <c r="A136" s="408" t="s">
        <v>101</v>
      </c>
      <c r="B136" s="412"/>
      <c r="C136" s="409"/>
      <c r="D136" s="204">
        <f>ROUND((D134+D135),2)</f>
        <v>10560.43</v>
      </c>
    </row>
    <row r="137" spans="1:4" ht="15.75" thickBot="1" x14ac:dyDescent="0.3">
      <c r="A137" s="408" t="s">
        <v>144</v>
      </c>
      <c r="B137" s="412"/>
      <c r="C137" s="409"/>
      <c r="D137" s="204">
        <f>D136*2</f>
        <v>21120.86</v>
      </c>
    </row>
  </sheetData>
  <mergeCells count="84">
    <mergeCell ref="A137:C137"/>
    <mergeCell ref="A124:D124"/>
    <mergeCell ref="A127:D127"/>
    <mergeCell ref="B128:C128"/>
    <mergeCell ref="B129:C129"/>
    <mergeCell ref="B130:C130"/>
    <mergeCell ref="B131:C131"/>
    <mergeCell ref="B132:C132"/>
    <mergeCell ref="B133:C133"/>
    <mergeCell ref="A134:C134"/>
    <mergeCell ref="B135:C135"/>
    <mergeCell ref="A136:C136"/>
    <mergeCell ref="A122:B122"/>
    <mergeCell ref="B102:C102"/>
    <mergeCell ref="A103:C103"/>
    <mergeCell ref="A105:D105"/>
    <mergeCell ref="B106:C106"/>
    <mergeCell ref="B107:C107"/>
    <mergeCell ref="B108:C108"/>
    <mergeCell ref="B109:C109"/>
    <mergeCell ref="B110:C110"/>
    <mergeCell ref="B111:C111"/>
    <mergeCell ref="A112:C112"/>
    <mergeCell ref="A114:D114"/>
    <mergeCell ref="B101:C101"/>
    <mergeCell ref="A82:D82"/>
    <mergeCell ref="A83:D83"/>
    <mergeCell ref="A84:D84"/>
    <mergeCell ref="A92:B92"/>
    <mergeCell ref="A93:D93"/>
    <mergeCell ref="A94:D94"/>
    <mergeCell ref="B95:C95"/>
    <mergeCell ref="B96:C96"/>
    <mergeCell ref="A97:C97"/>
    <mergeCell ref="A99:D99"/>
    <mergeCell ref="B100:C100"/>
    <mergeCell ref="A81:B81"/>
    <mergeCell ref="B61:C61"/>
    <mergeCell ref="B62:C62"/>
    <mergeCell ref="A64:C64"/>
    <mergeCell ref="A66:D66"/>
    <mergeCell ref="A67:D67"/>
    <mergeCell ref="B68:C68"/>
    <mergeCell ref="B69:C69"/>
    <mergeCell ref="B70:C70"/>
    <mergeCell ref="B71:C71"/>
    <mergeCell ref="A72:C72"/>
    <mergeCell ref="A73:D73"/>
    <mergeCell ref="B56:C56"/>
    <mergeCell ref="A28:C28"/>
    <mergeCell ref="A30:D30"/>
    <mergeCell ref="A31:D31"/>
    <mergeCell ref="A35:B35"/>
    <mergeCell ref="A37:B37"/>
    <mergeCell ref="A38:D38"/>
    <mergeCell ref="A39:D39"/>
    <mergeCell ref="A40:D40"/>
    <mergeCell ref="A41:D41"/>
    <mergeCell ref="A51:B51"/>
    <mergeCell ref="A55:D55"/>
    <mergeCell ref="B27:C27"/>
    <mergeCell ref="A13:D13"/>
    <mergeCell ref="C14:D14"/>
    <mergeCell ref="B15:C15"/>
    <mergeCell ref="B16:C16"/>
    <mergeCell ref="B18:C18"/>
    <mergeCell ref="A19:D19"/>
    <mergeCell ref="B20:C20"/>
    <mergeCell ref="B21:C21"/>
    <mergeCell ref="B23:C23"/>
    <mergeCell ref="B25:C25"/>
    <mergeCell ref="B26:C26"/>
    <mergeCell ref="B12:C12"/>
    <mergeCell ref="A1:D1"/>
    <mergeCell ref="A2:D2"/>
    <mergeCell ref="A3:D3"/>
    <mergeCell ref="A4:D4"/>
    <mergeCell ref="A5:D5"/>
    <mergeCell ref="A6:D6"/>
    <mergeCell ref="A7:D7"/>
    <mergeCell ref="A8:D8"/>
    <mergeCell ref="B9:C9"/>
    <mergeCell ref="B10:C10"/>
    <mergeCell ref="B11:C11"/>
  </mergeCells>
  <pageMargins left="0.51181102362204722" right="0.51181102362204722" top="0.78740157480314965" bottom="0.78740157480314965" header="0.31496062992125984" footer="0.31496062992125984"/>
  <pageSetup paperSize="9" scale="67"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PP</vt:lpstr>
      <vt:lpstr>RESUMO</vt:lpstr>
      <vt:lpstr>VIGILÂNCIA DES 44HRS SEG A SEX</vt:lpstr>
      <vt:lpstr>VIGILÂNCIA 12X36 DES NOTURNA</vt:lpstr>
      <vt:lpstr>VIGILÂNCIA 12X36 DESARMADA DIUR</vt:lpstr>
      <vt:lpstr>VIGILÂNCIA 12X36 ARMADA DIUR</vt:lpstr>
      <vt:lpstr>VIGILÂNCIA12 X36 ARM NOT</vt:lpstr>
      <vt:lpstr>SUPERVISOR 12X36 DESARMADO DIUR</vt:lpstr>
      <vt:lpstr>SUPERVISOR 12 X36 ARMADO NOT</vt:lpstr>
      <vt:lpstr>MATERIAIS</vt:lpstr>
      <vt:lpstr>UNIFORMES</vt:lpstr>
      <vt:lpstr>MATERIAIS!Area_de_impressao</vt:lpstr>
      <vt:lpstr>PP!Area_de_impressao</vt:lpstr>
      <vt:lpstr>RESUMO!Area_de_impressao</vt:lpstr>
      <vt:lpstr>'SUPERVISOR 12 X36 ARMADO NOT'!Area_de_impressao</vt:lpstr>
      <vt:lpstr>'SUPERVISOR 12X36 DESARMADO DIUR'!Area_de_impressao</vt:lpstr>
      <vt:lpstr>UNIFORMES!Area_de_impressao</vt:lpstr>
      <vt:lpstr>'VIGILÂNCIA 12X36 ARMADA DIUR'!Area_de_impressao</vt:lpstr>
      <vt:lpstr>'VIGILÂNCIA 12X36 DES NOTURNA'!Area_de_impressao</vt:lpstr>
      <vt:lpstr>'VIGILÂNCIA 12X36 DESARMADA DIUR'!Area_de_impressao</vt:lpstr>
      <vt:lpstr>'VIGILÂNCIA DES 44HRS SEG A SEX'!Area_de_impressao</vt:lpstr>
      <vt:lpstr>'VIGILÂNCIA12 X36 ARM NOT'!Area_de_impressao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Esrom Goncalves Rodrigues</dc:creator>
  <cp:lastModifiedBy>Liana Souto Olivieri Borges</cp:lastModifiedBy>
  <cp:lastPrinted>2025-10-29T17:46:11Z</cp:lastPrinted>
  <dcterms:created xsi:type="dcterms:W3CDTF">2024-04-24T16:31:23Z</dcterms:created>
  <dcterms:modified xsi:type="dcterms:W3CDTF">2025-10-29T18:05:35Z</dcterms:modified>
</cp:coreProperties>
</file>