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\\se\SAA\CGL\COPLI\DILIC\2025\4 - Processos em Andamento\1 - PREGÃO\PE 90001-2025 - Jardinagem\Pedidos de Esclarecimento\"/>
    </mc:Choice>
  </mc:AlternateContent>
  <xr:revisionPtr revIDLastSave="0" documentId="8_{D7B2E7FB-DE35-4CB2-8BE1-85F9DCCE96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pa de Preç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24" i="1" l="1"/>
  <c r="AF24" i="1"/>
  <c r="AQ24" i="1"/>
  <c r="AG24" i="1" l="1"/>
  <c r="AH24" i="1"/>
  <c r="AI24" i="1" s="1"/>
  <c r="AE23" i="1"/>
  <c r="AF23" i="1"/>
  <c r="AQ23" i="1"/>
  <c r="AR24" i="1" l="1"/>
  <c r="AK24" i="1" a="1"/>
  <c r="AK24" i="1" s="1"/>
  <c r="AL24" i="1" s="1"/>
  <c r="AM24" i="1" s="1"/>
  <c r="AN24" i="1" s="1"/>
  <c r="AO24" i="1" s="1"/>
  <c r="AJ24" i="1" a="1"/>
  <c r="AJ24" i="1" s="1"/>
  <c r="AG23" i="1"/>
  <c r="AH23" i="1"/>
  <c r="AI23" i="1" s="1"/>
  <c r="AK23" i="1" l="1" a="1"/>
  <c r="AK23" i="1" s="1"/>
  <c r="AL23" i="1" s="1"/>
  <c r="AM23" i="1" s="1"/>
  <c r="AJ23" i="1" a="1"/>
  <c r="AJ23" i="1" s="1"/>
  <c r="AR23" i="1"/>
  <c r="AN23" i="1" l="1"/>
  <c r="AO23" i="1" s="1"/>
  <c r="AE4" i="1" l="1"/>
  <c r="AQ22" i="1" l="1"/>
  <c r="AF22" i="1"/>
  <c r="AE22" i="1"/>
  <c r="AQ21" i="1"/>
  <c r="AQ20" i="1"/>
  <c r="AF20" i="1"/>
  <c r="AE20" i="1"/>
  <c r="AF19" i="1"/>
  <c r="AF18" i="1"/>
  <c r="AQ17" i="1"/>
  <c r="AQ16" i="1"/>
  <c r="AF16" i="1"/>
  <c r="AE16" i="1"/>
  <c r="AQ15" i="1"/>
  <c r="AE15" i="1"/>
  <c r="AF15" i="1"/>
  <c r="AF14" i="1"/>
  <c r="AQ13" i="1"/>
  <c r="AF13" i="1"/>
  <c r="AE13" i="1"/>
  <c r="AQ11" i="1"/>
  <c r="AF11" i="1"/>
  <c r="AE11" i="1"/>
  <c r="AQ10" i="1"/>
  <c r="AQ9" i="1"/>
  <c r="AQ8" i="1"/>
  <c r="AF8" i="1"/>
  <c r="AE8" i="1"/>
  <c r="AQ7" i="1"/>
  <c r="AF7" i="1"/>
  <c r="AE7" i="1"/>
  <c r="AQ6" i="1"/>
  <c r="AE6" i="1"/>
  <c r="AF6" i="1"/>
  <c r="AQ5" i="1"/>
  <c r="AF5" i="1"/>
  <c r="AE5" i="1"/>
  <c r="AH8" i="1" l="1"/>
  <c r="AH5" i="1"/>
  <c r="AH7" i="1"/>
  <c r="AG5" i="1"/>
  <c r="AR5" i="1" s="1"/>
  <c r="AG8" i="1"/>
  <c r="AJ8" i="1" s="1" a="1"/>
  <c r="AJ8" i="1" s="1"/>
  <c r="AH11" i="1"/>
  <c r="AG11" i="1"/>
  <c r="AG6" i="1"/>
  <c r="AH6" i="1"/>
  <c r="AQ4" i="1"/>
  <c r="AE10" i="1"/>
  <c r="AF4" i="1"/>
  <c r="AJ5" i="1" a="1"/>
  <c r="AJ5" i="1" s="1"/>
  <c r="AE17" i="1"/>
  <c r="AQ18" i="1"/>
  <c r="AF10" i="1"/>
  <c r="AE12" i="1"/>
  <c r="AF12" i="1"/>
  <c r="AF17" i="1"/>
  <c r="AE9" i="1"/>
  <c r="AE21" i="1"/>
  <c r="AH15" i="1"/>
  <c r="AG15" i="1"/>
  <c r="AG7" i="1"/>
  <c r="AE14" i="1"/>
  <c r="AF21" i="1"/>
  <c r="AH16" i="1"/>
  <c r="AG16" i="1"/>
  <c r="AG22" i="1"/>
  <c r="AH22" i="1"/>
  <c r="AK5" i="1" a="1"/>
  <c r="AK5" i="1" s="1"/>
  <c r="AQ19" i="1"/>
  <c r="AF9" i="1"/>
  <c r="AE19" i="1"/>
  <c r="AE18" i="1"/>
  <c r="AG20" i="1"/>
  <c r="AH20" i="1"/>
  <c r="AQ12" i="1"/>
  <c r="AH13" i="1"/>
  <c r="AG13" i="1"/>
  <c r="AQ14" i="1"/>
  <c r="AK8" i="1" l="1" a="1"/>
  <c r="AK8" i="1" s="1"/>
  <c r="AR8" i="1"/>
  <c r="AI8" i="1"/>
  <c r="AI5" i="1"/>
  <c r="AL5" i="1" s="1"/>
  <c r="AM5" i="1" s="1"/>
  <c r="AN5" i="1" s="1"/>
  <c r="AO5" i="1" s="1"/>
  <c r="AG17" i="1"/>
  <c r="AH17" i="1"/>
  <c r="AJ16" i="1" a="1"/>
  <c r="AJ16" i="1" s="1"/>
  <c r="AI16" i="1"/>
  <c r="AK16" i="1" a="1"/>
  <c r="AK16" i="1" s="1"/>
  <c r="AR16" i="1"/>
  <c r="AI15" i="1"/>
  <c r="AK15" i="1" a="1"/>
  <c r="AK15" i="1" s="1"/>
  <c r="AL15" i="1" s="1"/>
  <c r="AM15" i="1" s="1"/>
  <c r="AR15" i="1"/>
  <c r="AJ15" i="1" a="1"/>
  <c r="AJ15" i="1" s="1"/>
  <c r="AH12" i="1"/>
  <c r="AG12" i="1"/>
  <c r="AG4" i="1"/>
  <c r="AH4" i="1"/>
  <c r="AH10" i="1"/>
  <c r="AG10" i="1"/>
  <c r="AK6" i="1" a="1"/>
  <c r="AK6" i="1" s="1"/>
  <c r="AI6" i="1"/>
  <c r="AJ6" i="1" a="1"/>
  <c r="AJ6" i="1" s="1"/>
  <c r="AR6" i="1"/>
  <c r="AG21" i="1"/>
  <c r="AH21" i="1"/>
  <c r="AJ20" i="1" a="1"/>
  <c r="AJ20" i="1" s="1"/>
  <c r="AI20" i="1"/>
  <c r="AK20" i="1" a="1"/>
  <c r="AK20" i="1" s="1"/>
  <c r="AL20" i="1" s="1"/>
  <c r="AM20" i="1" s="1"/>
  <c r="AR20" i="1"/>
  <c r="AH14" i="1"/>
  <c r="AG14" i="1"/>
  <c r="AH18" i="1"/>
  <c r="AG18" i="1"/>
  <c r="AJ22" i="1" a="1"/>
  <c r="AJ22" i="1" s="1"/>
  <c r="AI22" i="1"/>
  <c r="AK22" i="1" a="1"/>
  <c r="AK22" i="1" s="1"/>
  <c r="AR22" i="1"/>
  <c r="AK7" i="1" a="1"/>
  <c r="AK7" i="1" s="1"/>
  <c r="AI7" i="1"/>
  <c r="AJ7" i="1" a="1"/>
  <c r="AJ7" i="1" s="1"/>
  <c r="AR7" i="1"/>
  <c r="AJ11" i="1" a="1"/>
  <c r="AJ11" i="1" s="1"/>
  <c r="AI11" i="1"/>
  <c r="AK11" i="1" a="1"/>
  <c r="AK11" i="1" s="1"/>
  <c r="AR11" i="1"/>
  <c r="AH9" i="1"/>
  <c r="AG9" i="1"/>
  <c r="AH19" i="1"/>
  <c r="AG19" i="1"/>
  <c r="AI13" i="1"/>
  <c r="AK13" i="1" a="1"/>
  <c r="AK13" i="1" s="1"/>
  <c r="AR13" i="1"/>
  <c r="AJ13" i="1" a="1"/>
  <c r="AJ13" i="1" s="1"/>
  <c r="AN20" i="1" l="1"/>
  <c r="AO20" i="1" s="1"/>
  <c r="AL8" i="1"/>
  <c r="AM8" i="1" s="1"/>
  <c r="AN8" i="1" s="1"/>
  <c r="AO8" i="1" s="1"/>
  <c r="AL22" i="1"/>
  <c r="AM22" i="1" s="1"/>
  <c r="AN22" i="1" s="1"/>
  <c r="AO22" i="1" s="1"/>
  <c r="AL13" i="1"/>
  <c r="AM13" i="1" s="1"/>
  <c r="AN13" i="1" s="1"/>
  <c r="AO13" i="1" s="1"/>
  <c r="AL16" i="1"/>
  <c r="AM16" i="1" s="1"/>
  <c r="AN16" i="1" s="1"/>
  <c r="AO16" i="1" s="1"/>
  <c r="AL6" i="1"/>
  <c r="AM6" i="1" s="1"/>
  <c r="AN6" i="1" s="1"/>
  <c r="AO6" i="1" s="1"/>
  <c r="AN15" i="1"/>
  <c r="AO15" i="1" s="1"/>
  <c r="AJ21" i="1" a="1"/>
  <c r="AJ21" i="1" s="1"/>
  <c r="AI21" i="1"/>
  <c r="AK21" i="1" a="1"/>
  <c r="AK21" i="1" s="1"/>
  <c r="AL21" i="1" s="1"/>
  <c r="AM21" i="1" s="1"/>
  <c r="AN21" i="1" s="1"/>
  <c r="AO21" i="1" s="1"/>
  <c r="AR21" i="1"/>
  <c r="AJ9" i="1" a="1"/>
  <c r="AJ9" i="1" s="1"/>
  <c r="AK9" i="1" a="1"/>
  <c r="AK9" i="1" s="1"/>
  <c r="AR9" i="1"/>
  <c r="AI9" i="1"/>
  <c r="AK12" i="1" a="1"/>
  <c r="AK12" i="1" s="1"/>
  <c r="AJ12" i="1" a="1"/>
  <c r="AJ12" i="1" s="1"/>
  <c r="AR12" i="1"/>
  <c r="AI12" i="1"/>
  <c r="AI19" i="1"/>
  <c r="AK19" i="1" a="1"/>
  <c r="AK19" i="1" s="1"/>
  <c r="AL19" i="1" s="1"/>
  <c r="AM19" i="1" s="1"/>
  <c r="AR19" i="1"/>
  <c r="AJ19" i="1" a="1"/>
  <c r="AJ19" i="1" s="1"/>
  <c r="AR4" i="1"/>
  <c r="AI4" i="1"/>
  <c r="AK4" i="1" a="1"/>
  <c r="AK4" i="1" s="1"/>
  <c r="AJ4" i="1" a="1"/>
  <c r="AJ4" i="1" s="1"/>
  <c r="AI18" i="1"/>
  <c r="AK18" i="1" a="1"/>
  <c r="AK18" i="1" s="1"/>
  <c r="AJ18" i="1" a="1"/>
  <c r="AJ18" i="1" s="1"/>
  <c r="AR18" i="1"/>
  <c r="AL11" i="1"/>
  <c r="AM11" i="1" s="1"/>
  <c r="AN11" i="1" s="1"/>
  <c r="AO11" i="1" s="1"/>
  <c r="AK10" i="1" a="1"/>
  <c r="AK10" i="1" s="1"/>
  <c r="AL10" i="1" s="1"/>
  <c r="AM10" i="1" s="1"/>
  <c r="AI10" i="1"/>
  <c r="AJ10" i="1" a="1"/>
  <c r="AJ10" i="1" s="1"/>
  <c r="AR10" i="1"/>
  <c r="AJ17" i="1" a="1"/>
  <c r="AJ17" i="1" s="1"/>
  <c r="AI17" i="1"/>
  <c r="AK17" i="1" a="1"/>
  <c r="AK17" i="1" s="1"/>
  <c r="AL17" i="1" s="1"/>
  <c r="AM17" i="1" s="1"/>
  <c r="AN17" i="1" s="1"/>
  <c r="AO17" i="1" s="1"/>
  <c r="AR17" i="1"/>
  <c r="AL7" i="1"/>
  <c r="AM7" i="1" s="1"/>
  <c r="AN7" i="1" s="1"/>
  <c r="AO7" i="1" s="1"/>
  <c r="AI14" i="1"/>
  <c r="AK14" i="1" a="1"/>
  <c r="AK14" i="1" s="1"/>
  <c r="AL14" i="1" s="1"/>
  <c r="AM14" i="1" s="1"/>
  <c r="AJ14" i="1" a="1"/>
  <c r="AJ14" i="1" s="1"/>
  <c r="AR14" i="1"/>
  <c r="AL9" i="1" l="1"/>
  <c r="AM9" i="1" s="1"/>
  <c r="AN14" i="1"/>
  <c r="AO14" i="1" s="1"/>
  <c r="AL18" i="1"/>
  <c r="AM18" i="1" s="1"/>
  <c r="AL4" i="1"/>
  <c r="AM4" i="1" s="1"/>
  <c r="AN4" i="1" s="1"/>
  <c r="AO4" i="1" s="1"/>
  <c r="AL12" i="1"/>
  <c r="AM12" i="1" s="1"/>
  <c r="AN12" i="1" s="1"/>
  <c r="AO12" i="1" s="1"/>
  <c r="AN9" i="1"/>
  <c r="AO9" i="1" s="1"/>
  <c r="AN18" i="1"/>
  <c r="AO18" i="1" s="1"/>
  <c r="AN10" i="1"/>
  <c r="AO10" i="1" s="1"/>
  <c r="AN19" i="1"/>
  <c r="AO19" i="1" s="1"/>
  <c r="C27" i="1" l="1"/>
  <c r="AO25" i="1"/>
  <c r="C28" i="1" l="1"/>
  <c r="C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<sst xmlns="http://schemas.openxmlformats.org/spreadsheetml/2006/main" count="110" uniqueCount="77">
  <si>
    <t>Descrição</t>
  </si>
  <si>
    <t>Unidade</t>
  </si>
  <si>
    <t>Resultado 1</t>
  </si>
  <si>
    <t>Resultado 2</t>
  </si>
  <si>
    <t>Resultado 3</t>
  </si>
  <si>
    <t>Resultado 4</t>
  </si>
  <si>
    <t>Resultado 5</t>
  </si>
  <si>
    <t>Resultado 6</t>
  </si>
  <si>
    <t>Resultado 7</t>
  </si>
  <si>
    <t>Resultado 8</t>
  </si>
  <si>
    <t>Resultado 9</t>
  </si>
  <si>
    <t>Resultado 10</t>
  </si>
  <si>
    <t>Resultado 11</t>
  </si>
  <si>
    <t>Resultado 12</t>
  </si>
  <si>
    <t>Resultado 13</t>
  </si>
  <si>
    <t>Resultado 14</t>
  </si>
  <si>
    <t>Resultado 15</t>
  </si>
  <si>
    <t>Média (todos os resultados)</t>
  </si>
  <si>
    <t>Desvio Padrão (todos os resultados)</t>
  </si>
  <si>
    <t>Média - Desvio Padrão (limite inferior)</t>
  </si>
  <si>
    <t>Média + Desvio Padrão (limite superior)</t>
  </si>
  <si>
    <t>Média Exequíveis (Valor Unitário)</t>
  </si>
  <si>
    <t>Mediana Exequíveis (Valor Unitário)</t>
  </si>
  <si>
    <t>Desvio Padrão (só resultado exequíveis)</t>
  </si>
  <si>
    <t>Coeficiente de Variação (só resultados exequíveis)</t>
  </si>
  <si>
    <t>Critério a ser adotado</t>
  </si>
  <si>
    <t>Valor Unitário Final</t>
  </si>
  <si>
    <t>Contagem de Resultados</t>
  </si>
  <si>
    <t>Contagem de Resultados Exequíveis</t>
  </si>
  <si>
    <t>Resumo</t>
  </si>
  <si>
    <t>Total anual</t>
  </si>
  <si>
    <t>Total mensal</t>
  </si>
  <si>
    <t>Quantidade de trabalhadores</t>
  </si>
  <si>
    <t>Custo mensal por trabalhador</t>
  </si>
  <si>
    <t>Serviços de Jardinagem</t>
  </si>
  <si>
    <t>m²</t>
  </si>
  <si>
    <t>unidade</t>
  </si>
  <si>
    <t>GEMATEC</t>
  </si>
  <si>
    <t>ENGEMIL</t>
  </si>
  <si>
    <t>AMBIENTAL</t>
  </si>
  <si>
    <t>AGROTEC</t>
  </si>
  <si>
    <t>Quantidade</t>
  </si>
  <si>
    <t>N/A</t>
  </si>
  <si>
    <t>Valor Total Anual</t>
  </si>
  <si>
    <t>WMPAISAGISMO</t>
  </si>
  <si>
    <r>
      <t xml:space="preserve">Serviço mensal de manutenção e conservação de canteiros do </t>
    </r>
    <r>
      <rPr>
        <u/>
        <sz val="9"/>
        <color theme="1"/>
        <rFont val="Arial"/>
        <family val="2"/>
      </rPr>
      <t>Jardim Externo</t>
    </r>
    <r>
      <rPr>
        <sz val="9"/>
        <color theme="1"/>
        <rFont val="Arial"/>
        <family val="2"/>
      </rPr>
      <t xml:space="preserve">, inclusive os alagados do Espelho d´água, projetados por </t>
    </r>
    <r>
      <rPr>
        <u/>
        <sz val="9"/>
        <color theme="1"/>
        <rFont val="Arial"/>
        <family val="2"/>
      </rPr>
      <t>Burle Marx</t>
    </r>
    <r>
      <rPr>
        <sz val="9"/>
        <color theme="1"/>
        <rFont val="Arial"/>
        <family val="2"/>
      </rPr>
      <t>.</t>
    </r>
  </si>
  <si>
    <r>
      <t xml:space="preserve">Serviço mensal de manutenção e conservação dos canteiros do </t>
    </r>
    <r>
      <rPr>
        <u/>
        <sz val="9"/>
        <color theme="1"/>
        <rFont val="Arial"/>
        <family val="2"/>
      </rPr>
      <t>Jardim Interno localizado no 3º pavimento</t>
    </r>
    <r>
      <rPr>
        <sz val="9"/>
        <color theme="1"/>
        <rFont val="Arial"/>
        <family val="2"/>
      </rPr>
      <t xml:space="preserve"> do Edifício Sede, projetados por </t>
    </r>
    <r>
      <rPr>
        <u/>
        <sz val="9"/>
        <color theme="1"/>
        <rFont val="Arial"/>
        <family val="2"/>
      </rPr>
      <t>Burle Marx</t>
    </r>
    <r>
      <rPr>
        <sz val="9"/>
        <color theme="1"/>
        <rFont val="Arial"/>
        <family val="2"/>
      </rPr>
      <t>.</t>
    </r>
  </si>
  <si>
    <r>
      <t xml:space="preserve">Serviço mensal de manutenção, conservação e tratamento da água e reservatório do </t>
    </r>
    <r>
      <rPr>
        <u/>
        <sz val="9"/>
        <color theme="1"/>
        <rFont val="Arial"/>
        <family val="2"/>
      </rPr>
      <t xml:space="preserve"> Espelho D´água</t>
    </r>
    <r>
      <rPr>
        <sz val="9"/>
        <color theme="1"/>
        <rFont val="Arial"/>
        <family val="2"/>
      </rPr>
      <t xml:space="preserve"> do Edifício Sede, volume de aproximadamente 1.500 metros cúbicos.</t>
    </r>
  </si>
  <si>
    <r>
      <t xml:space="preserve">Serviço mensal de manutenção e conservação de áreas de </t>
    </r>
    <r>
      <rPr>
        <u/>
        <sz val="9"/>
        <color theme="1"/>
        <rFont val="Arial"/>
        <family val="2"/>
      </rPr>
      <t xml:space="preserve">gramado dos Edifícios Sede, Anexo I, II </t>
    </r>
    <r>
      <rPr>
        <sz val="9"/>
        <color theme="1"/>
        <rFont val="Arial"/>
        <family val="2"/>
      </rPr>
      <t>e seus estacionamentos.</t>
    </r>
  </si>
  <si>
    <r>
      <t xml:space="preserve">Serviço mensal de manutenção e conservação de </t>
    </r>
    <r>
      <rPr>
        <u/>
        <sz val="9"/>
        <color theme="1"/>
        <rFont val="Arial"/>
        <family val="2"/>
      </rPr>
      <t>canteiros em geral</t>
    </r>
    <r>
      <rPr>
        <sz val="9"/>
        <color theme="1"/>
        <rFont val="Arial"/>
        <family val="2"/>
      </rPr>
      <t xml:space="preserve"> dos Edifícios </t>
    </r>
    <r>
      <rPr>
        <u/>
        <sz val="9"/>
        <color theme="1"/>
        <rFont val="Arial"/>
        <family val="2"/>
      </rPr>
      <t>Sede, Anexo I, II</t>
    </r>
    <r>
      <rPr>
        <sz val="9"/>
        <color theme="1"/>
        <rFont val="Arial"/>
        <family val="2"/>
      </rPr>
      <t xml:space="preserve"> e seus estacionamentos.</t>
    </r>
  </si>
  <si>
    <r>
      <t xml:space="preserve">Serviço mensal de manutenção e conservação de </t>
    </r>
    <r>
      <rPr>
        <u/>
        <sz val="9"/>
        <color theme="1"/>
        <rFont val="Arial"/>
        <family val="2"/>
      </rPr>
      <t>calçadas e áreas pavimentadas de estacionamentos</t>
    </r>
    <r>
      <rPr>
        <sz val="9"/>
        <color theme="1"/>
        <rFont val="Arial"/>
        <family val="2"/>
      </rPr>
      <t xml:space="preserve"> dos Edifícios </t>
    </r>
    <r>
      <rPr>
        <u/>
        <sz val="9"/>
        <color theme="1"/>
        <rFont val="Arial"/>
        <family val="2"/>
      </rPr>
      <t>Sede, Anexo I e II</t>
    </r>
    <r>
      <rPr>
        <sz val="9"/>
        <color theme="1"/>
        <rFont val="Arial"/>
        <family val="2"/>
      </rPr>
      <t>.</t>
    </r>
  </si>
  <si>
    <r>
      <t xml:space="preserve">Serviço mensal de manutenção e conservação de vasos ornamentais dos Edifícios </t>
    </r>
    <r>
      <rPr>
        <u/>
        <sz val="9"/>
        <color theme="1"/>
        <rFont val="Arial"/>
        <family val="2"/>
      </rPr>
      <t>Sede, Anexo I e II</t>
    </r>
    <r>
      <rPr>
        <sz val="9"/>
        <color theme="1"/>
        <rFont val="Arial"/>
        <family val="2"/>
      </rPr>
      <t>.</t>
    </r>
  </si>
  <si>
    <r>
      <t xml:space="preserve">Serviço mensal de manutenção e conservação de áreas de </t>
    </r>
    <r>
      <rPr>
        <u/>
        <sz val="9"/>
        <color theme="1"/>
        <rFont val="Arial"/>
        <family val="2"/>
      </rPr>
      <t>gramado</t>
    </r>
    <r>
      <rPr>
        <sz val="9"/>
        <color theme="1"/>
        <rFont val="Arial"/>
        <family val="2"/>
      </rPr>
      <t xml:space="preserve"> do Batalhão Escola e Pronto Emprego da </t>
    </r>
    <r>
      <rPr>
        <u/>
        <sz val="9"/>
        <color theme="1"/>
        <rFont val="Arial"/>
        <family val="2"/>
      </rPr>
      <t>Força Nacional no Gama/DF</t>
    </r>
    <r>
      <rPr>
        <sz val="9"/>
        <color theme="1"/>
        <rFont val="Arial"/>
        <family val="2"/>
      </rPr>
      <t>.</t>
    </r>
  </si>
  <si>
    <r>
      <t>Serviço mensal de manutenção e</t>
    </r>
    <r>
      <rPr>
        <u/>
        <sz val="9"/>
        <color theme="1"/>
        <rFont val="Arial"/>
        <family val="2"/>
      </rPr>
      <t xml:space="preserve"> conservação de calçadas e áreas pavimentadas de estacionamentos</t>
    </r>
    <r>
      <rPr>
        <sz val="9"/>
        <color theme="1"/>
        <rFont val="Arial"/>
        <family val="2"/>
      </rPr>
      <t xml:space="preserve"> do Batalhão Escola e Pronto Emprego da </t>
    </r>
    <r>
      <rPr>
        <u/>
        <sz val="9"/>
        <color theme="1"/>
        <rFont val="Arial"/>
        <family val="2"/>
      </rPr>
      <t>Força Nacional no Gama/DF</t>
    </r>
    <r>
      <rPr>
        <sz val="9"/>
        <color theme="1"/>
        <rFont val="Arial"/>
        <family val="2"/>
      </rPr>
      <t>.</t>
    </r>
  </si>
  <si>
    <r>
      <t xml:space="preserve">Serviço sob demanda de </t>
    </r>
    <r>
      <rPr>
        <u/>
        <sz val="9"/>
        <color theme="1"/>
        <rFont val="Arial"/>
        <family val="2"/>
      </rPr>
      <t>fornecimento de vaso ornamental 45x35,</t>
    </r>
    <r>
      <rPr>
        <sz val="9"/>
        <color theme="1"/>
        <rFont val="Arial"/>
        <family val="2"/>
      </rPr>
      <t xml:space="preserve"> conforme especificações contidas no Anexo I - Caderno de Especificações Técnicas. </t>
    </r>
  </si>
  <si>
    <r>
      <t xml:space="preserve">Serviço sob demanda de </t>
    </r>
    <r>
      <rPr>
        <u/>
        <sz val="9"/>
        <color theme="1"/>
        <rFont val="Arial"/>
        <family val="2"/>
      </rPr>
      <t>fornecimento de vaso ornamental 65x40,</t>
    </r>
    <r>
      <rPr>
        <sz val="9"/>
        <color theme="1"/>
        <rFont val="Arial"/>
        <family val="2"/>
      </rPr>
      <t xml:space="preserve"> conforme especificações contidas no Anexo I - Caderno de Especificações Técnicas.</t>
    </r>
  </si>
  <si>
    <r>
      <t xml:space="preserve">Serviço sob demanda de </t>
    </r>
    <r>
      <rPr>
        <u/>
        <sz val="9"/>
        <color theme="1"/>
        <rFont val="Arial"/>
        <family val="2"/>
      </rPr>
      <t>fornecimento de vaso ornamental 75x40,</t>
    </r>
    <r>
      <rPr>
        <sz val="9"/>
        <color theme="1"/>
        <rFont val="Arial"/>
        <family val="2"/>
      </rPr>
      <t xml:space="preserve"> conforme especificações contidas no Anexo I - Caderno de Especificações Técnicas.</t>
    </r>
  </si>
  <si>
    <r>
      <t xml:space="preserve">Serviço sob demanda de </t>
    </r>
    <r>
      <rPr>
        <u/>
        <sz val="9"/>
        <color theme="1"/>
        <rFont val="Arial"/>
        <family val="2"/>
      </rPr>
      <t>remoção de jardim</t>
    </r>
    <r>
      <rPr>
        <sz val="9"/>
        <color theme="1"/>
        <rFont val="Arial"/>
        <family val="2"/>
      </rPr>
      <t>.</t>
    </r>
  </si>
  <si>
    <r>
      <t xml:space="preserve">Serviço sob demanda de </t>
    </r>
    <r>
      <rPr>
        <u/>
        <sz val="9"/>
        <color theme="1"/>
        <rFont val="Arial"/>
        <family val="2"/>
      </rPr>
      <t>recomposição de jardim</t>
    </r>
    <r>
      <rPr>
        <sz val="9"/>
        <color theme="1"/>
        <rFont val="Arial"/>
        <family val="2"/>
      </rPr>
      <t>.</t>
    </r>
  </si>
  <si>
    <r>
      <t xml:space="preserve">Serviço sob demanda de </t>
    </r>
    <r>
      <rPr>
        <u/>
        <sz val="9"/>
        <color theme="1"/>
        <rFont val="Arial"/>
        <family val="2"/>
      </rPr>
      <t>criação de jardim</t>
    </r>
    <r>
      <rPr>
        <sz val="9"/>
        <color theme="1"/>
        <rFont val="Arial"/>
        <family val="2"/>
      </rPr>
      <t>.</t>
    </r>
  </si>
  <si>
    <t>Item</t>
  </si>
  <si>
    <r>
      <t>Serviço sob demanda de</t>
    </r>
    <r>
      <rPr>
        <u/>
        <sz val="9"/>
        <color theme="1"/>
        <rFont val="Arial"/>
        <family val="2"/>
      </rPr>
      <t xml:space="preserve"> fornecimento e plantio de grama batatais</t>
    </r>
    <r>
      <rPr>
        <sz val="9"/>
        <color theme="1"/>
        <rFont val="Arial"/>
        <family val="2"/>
      </rPr>
      <t xml:space="preserve"> em placas.</t>
    </r>
  </si>
  <si>
    <r>
      <t>Serviço sob demanda de</t>
    </r>
    <r>
      <rPr>
        <u/>
        <sz val="9"/>
        <color theme="1"/>
        <rFont val="Arial"/>
        <family val="2"/>
      </rPr>
      <t xml:space="preserve"> fornecimento e plantio de grama esmeralda</t>
    </r>
    <r>
      <rPr>
        <sz val="9"/>
        <color theme="1"/>
        <rFont val="Arial"/>
        <family val="2"/>
      </rPr>
      <t xml:space="preserve"> em placas.</t>
    </r>
  </si>
  <si>
    <t>Parâmero IV</t>
  </si>
  <si>
    <t>SINAPI DF</t>
  </si>
  <si>
    <t>SINAPI GO</t>
  </si>
  <si>
    <t>SINAPI MG</t>
  </si>
  <si>
    <t>SINAPI BA</t>
  </si>
  <si>
    <t>SINAPI MT</t>
  </si>
  <si>
    <t>SICRO
4413200</t>
  </si>
  <si>
    <t>Parâmetro III</t>
  </si>
  <si>
    <t>Parâmetro I</t>
  </si>
  <si>
    <t>Total 5 anos</t>
  </si>
  <si>
    <r>
      <t xml:space="preserve">Serviço sob demanda de </t>
    </r>
    <r>
      <rPr>
        <u/>
        <sz val="9"/>
        <color theme="1"/>
        <rFont val="Arial"/>
        <family val="2"/>
      </rPr>
      <t>poda em altura de árvores com diâmetro de tronco menor que 0,20 metros</t>
    </r>
    <r>
      <rPr>
        <sz val="9"/>
        <color theme="1"/>
        <rFont val="Arial"/>
        <family val="2"/>
      </rPr>
      <t xml:space="preserve"> localizadas nas redondezas e estacionamentos dos Edifícios </t>
    </r>
    <r>
      <rPr>
        <u/>
        <sz val="9"/>
        <color theme="1"/>
        <rFont val="Arial"/>
        <family val="2"/>
      </rPr>
      <t>Sede, Anexo I e II, com</t>
    </r>
    <r>
      <rPr>
        <sz val="9"/>
        <color theme="1"/>
        <rFont val="Arial"/>
        <family val="2"/>
      </rPr>
      <t>.</t>
    </r>
  </si>
  <si>
    <r>
      <t xml:space="preserve">Serviço sob demanda  de </t>
    </r>
    <r>
      <rPr>
        <u/>
        <sz val="9"/>
        <color theme="1"/>
        <rFont val="Arial"/>
        <family val="2"/>
      </rPr>
      <t>poda em altura de árvores com diâmetro de tronco maior ou igual a 0,20 metros e menor que 0,40 metros</t>
    </r>
    <r>
      <rPr>
        <sz val="9"/>
        <color theme="1"/>
        <rFont val="Arial"/>
        <family val="2"/>
      </rPr>
      <t xml:space="preserve"> localizadas nas redondezas e estacionamentos dos Edifícios </t>
    </r>
    <r>
      <rPr>
        <u/>
        <sz val="9"/>
        <color theme="1"/>
        <rFont val="Arial"/>
        <family val="2"/>
      </rPr>
      <t>Sede, Anexo I e II, com</t>
    </r>
    <r>
      <rPr>
        <sz val="9"/>
        <color theme="1"/>
        <rFont val="Arial"/>
        <family val="2"/>
      </rPr>
      <t>.</t>
    </r>
  </si>
  <si>
    <r>
      <t xml:space="preserve">Serviço sob demanda  de </t>
    </r>
    <r>
      <rPr>
        <u/>
        <sz val="9"/>
        <color theme="1"/>
        <rFont val="Arial"/>
        <family val="2"/>
      </rPr>
      <t>poda em altura de árvores com diâmetro de tronco maior ou igual a 0,40 metros e menor que 0,60 metros</t>
    </r>
    <r>
      <rPr>
        <sz val="9"/>
        <color theme="1"/>
        <rFont val="Arial"/>
        <family val="2"/>
      </rPr>
      <t xml:space="preserve"> localizadas nas redondezas e estacionamentos dos Edifícios </t>
    </r>
    <r>
      <rPr>
        <u/>
        <sz val="9"/>
        <color theme="1"/>
        <rFont val="Arial"/>
        <family val="2"/>
      </rPr>
      <t>Sede, Anexo I e II, com</t>
    </r>
    <r>
      <rPr>
        <sz val="9"/>
        <color theme="1"/>
        <rFont val="Arial"/>
        <family val="2"/>
      </rPr>
      <t>.</t>
    </r>
  </si>
  <si>
    <r>
      <t xml:space="preserve">Serviço sob demanda  de </t>
    </r>
    <r>
      <rPr>
        <u/>
        <sz val="9"/>
        <color theme="1"/>
        <rFont val="Arial"/>
        <family val="2"/>
      </rPr>
      <t>poda em altura de árvores com diâmetro de tronco maior ou igual a 0,60 metros</t>
    </r>
    <r>
      <rPr>
        <sz val="9"/>
        <color theme="1"/>
        <rFont val="Arial"/>
        <family val="2"/>
      </rPr>
      <t xml:space="preserve"> localizadas nas redondezas e estacionamentos dos Edifícios </t>
    </r>
    <r>
      <rPr>
        <u/>
        <sz val="9"/>
        <color theme="1"/>
        <rFont val="Arial"/>
        <family val="2"/>
      </rPr>
      <t>Sede, Anexo I e II, com</t>
    </r>
    <r>
      <rPr>
        <sz val="9"/>
        <color theme="1"/>
        <rFont val="Arial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</si>
</sst>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&quot;R$&quot;\ #,##0.00"/>
    <numFmt numFmtId="165" formatCode="&quot;R$&quot;\ #,##0.0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8"/>
      <name val="Calibri"/>
      <family val="2"/>
      <scheme val="minor"/>
    </font>
    <font>
      <u/>
      <sz val="9"/>
      <color theme="1"/>
      <name val="Arial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30">
    <xf numFmtId="0" fontId="0" fillId="0" borderId="0" xfId="0"/>
    <xf numFmtId="0" fontId="3" fillId="0" borderId="1" xfId="3" applyFont="1" applyBorder="1" applyAlignment="1" applyProtection="1">
      <alignment horizontal="left" vertical="center" wrapText="1"/>
    </xf>
    <xf numFmtId="0" fontId="3" fillId="0" borderId="1" xfId="3" applyFont="1" applyBorder="1" applyAlignment="1" applyProtection="1">
      <alignment horizontal="center" vertical="center" wrapText="1"/>
    </xf>
    <xf numFmtId="0" fontId="3" fillId="0" borderId="2" xfId="3" applyFont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1" fillId="0" borderId="2" xfId="1" applyNumberFormat="1" applyBorder="1" applyAlignment="1">
      <alignment horizontal="center" vertical="center"/>
    </xf>
    <xf numFmtId="9" fontId="1" fillId="0" borderId="2" xfId="2" applyBorder="1" applyAlignment="1">
      <alignment horizontal="center" vertical="center"/>
    </xf>
    <xf numFmtId="0" fontId="1" fillId="0" borderId="2" xfId="1" applyNumberFormat="1" applyBorder="1" applyAlignment="1">
      <alignment horizontal="center" vertical="center"/>
    </xf>
    <xf numFmtId="0" fontId="3" fillId="0" borderId="3" xfId="3" applyFont="1" applyBorder="1" applyAlignment="1" applyProtection="1">
      <alignment horizontal="centerContinuous" vertical="center" wrapText="1"/>
    </xf>
    <xf numFmtId="0" fontId="3" fillId="0" borderId="4" xfId="3" applyFont="1" applyBorder="1" applyAlignment="1" applyProtection="1">
      <alignment horizontal="centerContinuous" vertical="center" wrapText="1"/>
    </xf>
    <xf numFmtId="0" fontId="3" fillId="0" borderId="5" xfId="3" applyFont="1" applyBorder="1" applyAlignment="1" applyProtection="1">
      <alignment horizontal="centerContinuous" vertical="center" wrapText="1"/>
    </xf>
    <xf numFmtId="164" fontId="4" fillId="0" borderId="3" xfId="0" applyNumberFormat="1" applyFont="1" applyBorder="1" applyAlignment="1">
      <alignment horizontal="centerContinuous" vertical="center" wrapText="1"/>
    </xf>
    <xf numFmtId="3" fontId="0" fillId="0" borderId="5" xfId="0" applyNumberFormat="1" applyBorder="1" applyAlignment="1">
      <alignment horizontal="centerContinuous" vertical="center"/>
    </xf>
    <xf numFmtId="1" fontId="4" fillId="0" borderId="3" xfId="0" applyNumberFormat="1" applyFont="1" applyBorder="1" applyAlignment="1">
      <alignment horizontal="centerContinuous" vertical="center" wrapText="1"/>
    </xf>
    <xf numFmtId="0" fontId="8" fillId="0" borderId="2" xfId="0" applyFont="1" applyBorder="1" applyAlignment="1">
      <alignment horizontal="center" vertical="center" wrapText="1"/>
    </xf>
    <xf numFmtId="164" fontId="1" fillId="0" borderId="7" xfId="1" applyNumberFormat="1" applyBorder="1" applyAlignment="1">
      <alignment horizontal="center" vertical="center"/>
    </xf>
    <xf numFmtId="164" fontId="7" fillId="0" borderId="6" xfId="0" applyNumberFormat="1" applyFont="1" applyBorder="1"/>
    <xf numFmtId="164" fontId="1" fillId="0" borderId="0" xfId="1" applyNumberForma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165" fontId="5" fillId="0" borderId="2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0" fillId="0" borderId="0" xfId="1" applyFont="1"/>
    <xf numFmtId="0" fontId="11" fillId="0" borderId="2" xfId="0" applyFont="1" applyBorder="1" applyAlignment="1">
      <alignment horizontal="center" vertical="center"/>
    </xf>
    <xf numFmtId="0" fontId="3" fillId="2" borderId="1" xfId="3" applyFont="1" applyFill="1" applyBorder="1" applyAlignment="1" applyProtection="1">
      <alignment horizontal="center" vertical="center" wrapText="1"/>
    </xf>
    <xf numFmtId="0" fontId="3" fillId="3" borderId="1" xfId="3" applyFont="1" applyFill="1" applyBorder="1" applyAlignment="1" applyProtection="1">
      <alignment horizontal="center" vertical="center" wrapText="1"/>
    </xf>
    <xf numFmtId="0" fontId="3" fillId="4" borderId="1" xfId="3" applyFont="1" applyFill="1" applyBorder="1" applyAlignment="1" applyProtection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</cellXfs>
  <cellStyles count="4">
    <cellStyle name="Moeda" xfId="1" builtinId="4"/>
    <cellStyle name="Normal" xfId="0" builtinId="0"/>
    <cellStyle name="Porcentagem" xfId="2" builtinId="5"/>
    <cellStyle name="Texto Explicativo" xfId="3" builtinId="53"/>
  </cellStyles>
  <dxfs count="40"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R37"/>
  <sheetViews>
    <sheetView tabSelected="1" zoomScale="85" zoomScaleNormal="85" workbookViewId="0">
      <pane xSplit="4" ySplit="3" topLeftCell="F12" activePane="bottomRight" state="frozen"/>
      <selection pane="topRight" activeCell="E1" sqref="E1"/>
      <selection pane="bottomLeft" activeCell="A4" sqref="A4"/>
      <selection pane="bottomRight" activeCell="C28" sqref="C28"/>
    </sheetView>
  </sheetViews>
  <sheetFormatPr defaultRowHeight="15" x14ac:dyDescent="0.25"/>
  <cols>
    <col min="1" max="1" width="5.42578125" customWidth="1"/>
    <col min="2" max="2" width="63" customWidth="1"/>
    <col min="3" max="4" width="13.7109375" customWidth="1"/>
    <col min="5" max="19" width="14.140625" customWidth="1"/>
    <col min="20" max="30" width="14.140625" hidden="1" customWidth="1"/>
    <col min="31" max="39" width="14.140625" customWidth="1"/>
    <col min="40" max="40" width="18.7109375" customWidth="1"/>
    <col min="41" max="41" width="20.5703125" bestFit="1" customWidth="1"/>
    <col min="42" max="42" width="13.7109375" customWidth="1"/>
    <col min="43" max="44" width="14.140625" customWidth="1"/>
    <col min="45" max="45" width="8.5703125" customWidth="1"/>
    <col min="46" max="46" width="13.7109375" customWidth="1"/>
    <col min="47" max="47" width="17.7109375" customWidth="1"/>
    <col min="48" max="48" width="13.7109375" customWidth="1"/>
    <col min="49" max="49" width="17.7109375" customWidth="1"/>
    <col min="50" max="56" width="8.7109375" customWidth="1"/>
    <col min="58" max="1052" width="8.7109375" customWidth="1"/>
  </cols>
  <sheetData>
    <row r="2" spans="1:44" x14ac:dyDescent="0.25">
      <c r="A2" s="1" t="s">
        <v>60</v>
      </c>
      <c r="B2" s="1" t="s">
        <v>34</v>
      </c>
      <c r="C2" s="1"/>
      <c r="D2" s="2"/>
      <c r="E2" s="25" t="s">
        <v>63</v>
      </c>
      <c r="F2" s="25" t="s">
        <v>63</v>
      </c>
      <c r="G2" s="25" t="s">
        <v>63</v>
      </c>
      <c r="H2" s="25" t="s">
        <v>63</v>
      </c>
      <c r="I2" s="25" t="s">
        <v>63</v>
      </c>
      <c r="J2" s="26" t="s">
        <v>70</v>
      </c>
      <c r="K2" s="26" t="s">
        <v>70</v>
      </c>
      <c r="L2" s="26" t="s">
        <v>70</v>
      </c>
      <c r="M2" s="26" t="s">
        <v>70</v>
      </c>
      <c r="N2" s="26" t="s">
        <v>70</v>
      </c>
      <c r="O2" s="26" t="s">
        <v>70</v>
      </c>
      <c r="P2" s="27" t="s">
        <v>71</v>
      </c>
      <c r="Q2" s="27" t="s">
        <v>71</v>
      </c>
      <c r="R2" s="27" t="s">
        <v>71</v>
      </c>
      <c r="S2" s="27" t="s">
        <v>71</v>
      </c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Q2" s="2"/>
      <c r="AR2" s="2"/>
    </row>
    <row r="3" spans="1:44" ht="60" x14ac:dyDescent="0.25">
      <c r="A3" s="3" t="s">
        <v>60</v>
      </c>
      <c r="B3" s="3" t="s">
        <v>0</v>
      </c>
      <c r="C3" s="3" t="s">
        <v>1</v>
      </c>
      <c r="D3" s="3" t="s">
        <v>41</v>
      </c>
      <c r="E3" s="3" t="s">
        <v>37</v>
      </c>
      <c r="F3" s="3" t="s">
        <v>38</v>
      </c>
      <c r="G3" s="3" t="s">
        <v>39</v>
      </c>
      <c r="H3" s="3" t="s">
        <v>40</v>
      </c>
      <c r="I3" s="3" t="s">
        <v>44</v>
      </c>
      <c r="J3" s="3" t="s">
        <v>69</v>
      </c>
      <c r="K3" s="3" t="s">
        <v>64</v>
      </c>
      <c r="L3" s="3" t="s">
        <v>67</v>
      </c>
      <c r="M3" s="3" t="s">
        <v>66</v>
      </c>
      <c r="N3" s="3" t="s">
        <v>68</v>
      </c>
      <c r="O3" s="3" t="s">
        <v>65</v>
      </c>
      <c r="P3" s="3" t="s">
        <v>2</v>
      </c>
      <c r="Q3" s="3" t="s">
        <v>3</v>
      </c>
      <c r="R3" s="3" t="s">
        <v>4</v>
      </c>
      <c r="S3" s="3" t="s">
        <v>5</v>
      </c>
      <c r="T3" s="3" t="s">
        <v>6</v>
      </c>
      <c r="U3" s="3" t="s">
        <v>7</v>
      </c>
      <c r="V3" s="3" t="s">
        <v>8</v>
      </c>
      <c r="W3" s="3" t="s">
        <v>9</v>
      </c>
      <c r="X3" s="3" t="s">
        <v>10</v>
      </c>
      <c r="Y3" s="3" t="s">
        <v>11</v>
      </c>
      <c r="Z3" s="3" t="s">
        <v>12</v>
      </c>
      <c r="AA3" s="3" t="s">
        <v>13</v>
      </c>
      <c r="AB3" s="3" t="s">
        <v>14</v>
      </c>
      <c r="AC3" s="3" t="s">
        <v>15</v>
      </c>
      <c r="AD3" s="3" t="s">
        <v>16</v>
      </c>
      <c r="AE3" s="3" t="s">
        <v>17</v>
      </c>
      <c r="AF3" s="3" t="s">
        <v>18</v>
      </c>
      <c r="AG3" s="3" t="s">
        <v>19</v>
      </c>
      <c r="AH3" s="3" t="s">
        <v>20</v>
      </c>
      <c r="AI3" s="3" t="s">
        <v>21</v>
      </c>
      <c r="AJ3" s="3" t="s">
        <v>22</v>
      </c>
      <c r="AK3" s="3" t="s">
        <v>23</v>
      </c>
      <c r="AL3" s="3" t="s">
        <v>24</v>
      </c>
      <c r="AM3" s="3" t="s">
        <v>25</v>
      </c>
      <c r="AN3" s="3" t="s">
        <v>26</v>
      </c>
      <c r="AO3" s="3" t="s">
        <v>43</v>
      </c>
      <c r="AQ3" s="3" t="s">
        <v>27</v>
      </c>
      <c r="AR3" s="3" t="s">
        <v>28</v>
      </c>
    </row>
    <row r="4" spans="1:44" ht="36" x14ac:dyDescent="0.25">
      <c r="A4" s="24">
        <v>1</v>
      </c>
      <c r="B4" s="20" t="s">
        <v>45</v>
      </c>
      <c r="C4" s="18" t="s">
        <v>35</v>
      </c>
      <c r="D4" s="14">
        <v>1119.76</v>
      </c>
      <c r="E4" s="5">
        <v>4.96</v>
      </c>
      <c r="F4" s="5">
        <v>6.48</v>
      </c>
      <c r="G4" s="5">
        <v>1.5</v>
      </c>
      <c r="H4" s="5">
        <v>2.2000000000000002</v>
      </c>
      <c r="I4" s="5">
        <v>2.5</v>
      </c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>
        <f>AVERAGE(E4:AD4)</f>
        <v>3.528</v>
      </c>
      <c r="AF4" s="5">
        <f>_xlfn.STDEV.S(E4:AD4)</f>
        <v>2.1034543018568304</v>
      </c>
      <c r="AG4" s="5">
        <f>AE4-AF4</f>
        <v>1.4245456981431697</v>
      </c>
      <c r="AH4" s="5">
        <f>AE4+AF4</f>
        <v>5.6314543018568308</v>
      </c>
      <c r="AI4" s="5">
        <f>AVERAGEIFS(E4:AD4,E4:AD4,"&gt;="&amp;AG4,E4:AD4,"&lt;="&amp;AH4)</f>
        <v>2.79</v>
      </c>
      <c r="AJ4" s="5" cm="1">
        <f t="array" ref="AJ4">MEDIAN(IF(E4:AD4&gt;=AG4,IF(E4:AD4&lt;=AH4,IF(E4:AD4&lt;&gt;0,E4:AD4))))</f>
        <v>2.35</v>
      </c>
      <c r="AK4" s="5" cm="1">
        <f t="array" ref="AK4">_xlfn.STDEV.S(IF(E4:AD4&gt;=AG4,IF(E4:AD4&lt;=AH4,IF(E4:AD4&lt;&gt;0,E4:AD4))))</f>
        <v>1.5061208450851478</v>
      </c>
      <c r="AL4" s="6">
        <f>AK4/AI4</f>
        <v>0.53982825988714978</v>
      </c>
      <c r="AM4" s="5" t="str">
        <f>IF(AL4&gt;=25%,"Mediana","Média")</f>
        <v>Mediana</v>
      </c>
      <c r="AN4" s="21">
        <f>IF(AM4="Mediana",AJ4,AI4)</f>
        <v>2.35</v>
      </c>
      <c r="AO4" s="5">
        <f>D4*AN4*12</f>
        <v>31577.232000000004</v>
      </c>
      <c r="AQ4" s="7">
        <f>COUNTA(E4:AD4)</f>
        <v>5</v>
      </c>
      <c r="AR4" s="7">
        <f>COUNTIFS(E4:AD4,"&gt;="&amp;AG4,E4:AD4,"&lt;="&amp;AH4)</f>
        <v>4</v>
      </c>
    </row>
    <row r="5" spans="1:44" ht="36" x14ac:dyDescent="0.25">
      <c r="A5" s="24">
        <v>2</v>
      </c>
      <c r="B5" s="20" t="s">
        <v>46</v>
      </c>
      <c r="C5" s="18" t="s">
        <v>35</v>
      </c>
      <c r="D5" s="14">
        <v>186.33</v>
      </c>
      <c r="E5" s="5">
        <v>4.67</v>
      </c>
      <c r="F5" s="5">
        <v>6.76</v>
      </c>
      <c r="G5" s="5">
        <v>40</v>
      </c>
      <c r="H5" s="5">
        <v>2.5</v>
      </c>
      <c r="I5" s="5">
        <v>2.5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>
        <f t="shared" ref="AE5:AE17" si="0">AVERAGE(E5:AD5)</f>
        <v>11.286</v>
      </c>
      <c r="AF5" s="5">
        <f t="shared" ref="AF5:AF17" si="1">_xlfn.STDEV.S(E5:AD5)</f>
        <v>16.148819771116401</v>
      </c>
      <c r="AG5" s="5">
        <f t="shared" ref="AG5:AG14" si="2">AE5-AF5</f>
        <v>-4.862819771116401</v>
      </c>
      <c r="AH5" s="5">
        <f t="shared" ref="AH5:AH17" si="3">AE5+AF5</f>
        <v>27.434819771116402</v>
      </c>
      <c r="AI5" s="5">
        <f t="shared" ref="AI5:AI17" si="4">AVERAGEIFS(E5:AD5,E5:AD5,"&gt;="&amp;AG5,E5:AD5,"&lt;="&amp;AH5)</f>
        <v>4.1074999999999999</v>
      </c>
      <c r="AJ5" s="5" cm="1">
        <f t="array" ref="AJ5">MEDIAN(IF(E5:AD5&gt;=AG5,IF(E5:AD5&lt;=AH5,IF(E5:AD5&lt;&gt;0,E5:AD5))))</f>
        <v>3.585</v>
      </c>
      <c r="AK5" s="5" cm="1">
        <f t="array" ref="AK5">_xlfn.STDEV.S(IF(E5:AD5&gt;=AG5,IF(E5:AD5&lt;=AH5,IF(E5:AD5&lt;&gt;0,E5:AD5))))</f>
        <v>2.04289622839732</v>
      </c>
      <c r="AL5" s="6">
        <f t="shared" ref="AL5:AL22" si="5">AK5/AI5</f>
        <v>0.49735757234262201</v>
      </c>
      <c r="AM5" s="5" t="str">
        <f t="shared" ref="AM5:AM17" si="6">IF(AL5&gt;=25%,"Mediana","Média")</f>
        <v>Mediana</v>
      </c>
      <c r="AN5" s="21">
        <f t="shared" ref="AN5:AN17" si="7">IF(AM5="Mediana",AJ5,AI5)</f>
        <v>3.585</v>
      </c>
      <c r="AO5" s="5">
        <f t="shared" ref="AO5:AO8" si="8">D5*AN5*12</f>
        <v>8015.9166000000005</v>
      </c>
      <c r="AQ5" s="7">
        <f t="shared" ref="AQ5:AQ17" si="9">COUNTA(E5:AD5)</f>
        <v>5</v>
      </c>
      <c r="AR5" s="7">
        <f t="shared" ref="AR5:AR17" si="10">COUNTIFS(E5:AD5,"&gt;="&amp;AG5,E5:AD5,"&lt;="&amp;AH5)</f>
        <v>4</v>
      </c>
    </row>
    <row r="6" spans="1:44" ht="36" x14ac:dyDescent="0.25">
      <c r="A6" s="24">
        <v>3</v>
      </c>
      <c r="B6" s="20" t="s">
        <v>47</v>
      </c>
      <c r="C6" s="18" t="s">
        <v>35</v>
      </c>
      <c r="D6" s="14">
        <v>3170</v>
      </c>
      <c r="E6" s="5">
        <v>4.32</v>
      </c>
      <c r="F6" s="5">
        <v>4.1100000000000003</v>
      </c>
      <c r="G6" s="5">
        <v>3.5</v>
      </c>
      <c r="H6" s="5">
        <v>2.9</v>
      </c>
      <c r="I6" s="5">
        <v>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si="0"/>
        <v>3.9659999999999997</v>
      </c>
      <c r="AF6" s="5">
        <f t="shared" si="1"/>
        <v>0.80136134171795637</v>
      </c>
      <c r="AG6" s="5">
        <f t="shared" si="2"/>
        <v>3.1646386582820432</v>
      </c>
      <c r="AH6" s="5">
        <f t="shared" si="3"/>
        <v>4.7673613417179563</v>
      </c>
      <c r="AI6" s="5">
        <f t="shared" si="4"/>
        <v>3.9766666666666666</v>
      </c>
      <c r="AJ6" s="5" cm="1">
        <f t="array" ref="AJ6">MEDIAN(IF(E6:AD6&gt;=AG6,IF(E6:AD6&lt;=AH6,IF(E6:AD6&lt;&gt;0,E6:AD6))))</f>
        <v>4.1100000000000003</v>
      </c>
      <c r="AK6" s="5" cm="1">
        <f t="array" ref="AK6">_xlfn.STDEV.S(IF(E6:AD6&gt;=AG6,IF(E6:AD6&lt;=AH6,IF(E6:AD6&lt;&gt;0,E6:AD6))))</f>
        <v>0.4259499188089293</v>
      </c>
      <c r="AL6" s="6">
        <f t="shared" si="5"/>
        <v>0.10711230146075339</v>
      </c>
      <c r="AM6" s="5" t="str">
        <f t="shared" si="6"/>
        <v>Média</v>
      </c>
      <c r="AN6" s="21">
        <f t="shared" si="7"/>
        <v>3.9766666666666666</v>
      </c>
      <c r="AO6" s="5">
        <f t="shared" si="8"/>
        <v>151272.4</v>
      </c>
      <c r="AQ6" s="7">
        <f t="shared" si="9"/>
        <v>5</v>
      </c>
      <c r="AR6" s="7">
        <f t="shared" si="10"/>
        <v>3</v>
      </c>
    </row>
    <row r="7" spans="1:44" ht="24" x14ac:dyDescent="0.25">
      <c r="A7" s="24">
        <v>4</v>
      </c>
      <c r="B7" s="20" t="s">
        <v>48</v>
      </c>
      <c r="C7" s="18" t="s">
        <v>35</v>
      </c>
      <c r="D7" s="14">
        <v>7829.42</v>
      </c>
      <c r="E7" s="5">
        <v>1.96</v>
      </c>
      <c r="F7" s="5">
        <v>1.0900000000000001</v>
      </c>
      <c r="G7" s="5">
        <v>1.24</v>
      </c>
      <c r="H7" s="5">
        <v>1.5</v>
      </c>
      <c r="I7" s="5">
        <v>1.25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0"/>
        <v>1.4079999999999999</v>
      </c>
      <c r="AF7" s="5">
        <f t="shared" si="1"/>
        <v>0.3418625454769797</v>
      </c>
      <c r="AG7" s="5">
        <f t="shared" si="2"/>
        <v>1.0661374545230202</v>
      </c>
      <c r="AH7" s="5">
        <f t="shared" si="3"/>
        <v>1.7498625454769796</v>
      </c>
      <c r="AI7" s="5">
        <f t="shared" si="4"/>
        <v>1.27</v>
      </c>
      <c r="AJ7" s="5" cm="1">
        <f t="array" ref="AJ7">MEDIAN(IF(E7:AD7&gt;=AG7,IF(E7:AD7&lt;=AH7,IF(E7:AD7&lt;&gt;0,E7:AD7))))</f>
        <v>1.2450000000000001</v>
      </c>
      <c r="AK7" s="5" cm="1">
        <f t="array" ref="AK7">_xlfn.STDEV.S(IF(E7:AD7&gt;=AG7,IF(E7:AD7&lt;=AH7,IF(E7:AD7&lt;&gt;0,E7:AD7))))</f>
        <v>0.16990193249832858</v>
      </c>
      <c r="AL7" s="6">
        <f t="shared" si="5"/>
        <v>0.13378104921128234</v>
      </c>
      <c r="AM7" s="5" t="str">
        <f t="shared" si="6"/>
        <v>Média</v>
      </c>
      <c r="AN7" s="21">
        <f t="shared" si="7"/>
        <v>1.27</v>
      </c>
      <c r="AO7" s="5">
        <f t="shared" si="8"/>
        <v>119320.36079999999</v>
      </c>
      <c r="AQ7" s="7">
        <f t="shared" si="9"/>
        <v>5</v>
      </c>
      <c r="AR7" s="7">
        <f t="shared" si="10"/>
        <v>4</v>
      </c>
    </row>
    <row r="8" spans="1:44" ht="24" x14ac:dyDescent="0.25">
      <c r="A8" s="24">
        <v>5</v>
      </c>
      <c r="B8" s="20" t="s">
        <v>49</v>
      </c>
      <c r="C8" s="18" t="s">
        <v>35</v>
      </c>
      <c r="D8" s="14">
        <v>1496.86</v>
      </c>
      <c r="E8" s="5">
        <v>3.89</v>
      </c>
      <c r="F8" s="5">
        <v>5.83</v>
      </c>
      <c r="G8" s="5">
        <v>1.5</v>
      </c>
      <c r="H8" s="5">
        <v>1.5</v>
      </c>
      <c r="I8" s="5">
        <v>2.5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0"/>
        <v>3.044</v>
      </c>
      <c r="AF8" s="5">
        <f t="shared" si="1"/>
        <v>1.8399266289719272</v>
      </c>
      <c r="AG8" s="5">
        <f t="shared" si="2"/>
        <v>1.2040733710280729</v>
      </c>
      <c r="AH8" s="5">
        <f t="shared" si="3"/>
        <v>4.8839266289719276</v>
      </c>
      <c r="AI8" s="5">
        <f t="shared" si="4"/>
        <v>2.3475000000000001</v>
      </c>
      <c r="AJ8" s="5" cm="1">
        <f t="array" ref="AJ8">MEDIAN(IF(E8:AD8&gt;=AG8,IF(E8:AD8&lt;=AH8,IF(E8:AD8&lt;&gt;0,E8:AD8))))</f>
        <v>2</v>
      </c>
      <c r="AK8" s="5" cm="1">
        <f t="array" ref="AK8">_xlfn.STDEV.S(IF(E8:AD8&gt;=AG8,IF(E8:AD8&lt;=AH8,IF(E8:AD8&lt;&gt;0,E8:AD8))))</f>
        <v>1.131234576322111</v>
      </c>
      <c r="AL8" s="6">
        <f t="shared" si="5"/>
        <v>0.48188906339600041</v>
      </c>
      <c r="AM8" s="5" t="str">
        <f t="shared" si="6"/>
        <v>Mediana</v>
      </c>
      <c r="AN8" s="21">
        <f t="shared" si="7"/>
        <v>2</v>
      </c>
      <c r="AO8" s="5">
        <f t="shared" si="8"/>
        <v>35924.639999999999</v>
      </c>
      <c r="AQ8" s="7">
        <f t="shared" si="9"/>
        <v>5</v>
      </c>
      <c r="AR8" s="7">
        <f t="shared" si="10"/>
        <v>4</v>
      </c>
    </row>
    <row r="9" spans="1:44" ht="24" x14ac:dyDescent="0.25">
      <c r="A9" s="24">
        <v>6</v>
      </c>
      <c r="B9" s="20" t="s">
        <v>50</v>
      </c>
      <c r="C9" s="19" t="s">
        <v>35</v>
      </c>
      <c r="D9" s="14">
        <v>16890.919999999998</v>
      </c>
      <c r="E9" s="5">
        <v>0.93</v>
      </c>
      <c r="F9" s="5">
        <v>0.72</v>
      </c>
      <c r="G9" s="5">
        <v>1.5</v>
      </c>
      <c r="H9" s="5">
        <v>2.35</v>
      </c>
      <c r="I9" s="5">
        <v>1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0"/>
        <v>1.3</v>
      </c>
      <c r="AF9" s="5">
        <f t="shared" si="1"/>
        <v>0.6530313928135465</v>
      </c>
      <c r="AG9" s="5">
        <f t="shared" si="2"/>
        <v>0.64696860718645355</v>
      </c>
      <c r="AH9" s="5">
        <f t="shared" si="3"/>
        <v>1.9530313928135465</v>
      </c>
      <c r="AI9" s="5">
        <f t="shared" si="4"/>
        <v>1.0375000000000001</v>
      </c>
      <c r="AJ9" s="5" cm="1">
        <f t="array" ref="AJ9">MEDIAN(IF(E9:AD9&gt;=AG9,IF(E9:AD9&lt;=AH9,IF(E9:AD9&lt;&gt;0,E9:AD9))))</f>
        <v>0.96500000000000008</v>
      </c>
      <c r="AK9" s="5" cm="1">
        <f t="array" ref="AK9">_xlfn.STDEV.S(IF(E9:AD9&gt;=AG9,IF(E9:AD9&lt;=AH9,IF(E9:AD9&lt;&gt;0,E9:AD9))))</f>
        <v>0.33049205739321447</v>
      </c>
      <c r="AL9" s="6">
        <f t="shared" si="5"/>
        <v>0.3185465613428573</v>
      </c>
      <c r="AM9" s="5" t="str">
        <f t="shared" si="6"/>
        <v>Mediana</v>
      </c>
      <c r="AN9" s="21">
        <f t="shared" si="7"/>
        <v>0.96500000000000008</v>
      </c>
      <c r="AO9" s="5">
        <f>D9*AN9*12</f>
        <v>195596.85359999997</v>
      </c>
      <c r="AQ9" s="7">
        <f t="shared" si="9"/>
        <v>5</v>
      </c>
      <c r="AR9" s="7">
        <f t="shared" si="10"/>
        <v>4</v>
      </c>
    </row>
    <row r="10" spans="1:44" ht="24" x14ac:dyDescent="0.25">
      <c r="A10" s="24">
        <v>7</v>
      </c>
      <c r="B10" s="20" t="s">
        <v>51</v>
      </c>
      <c r="C10" s="19" t="s">
        <v>36</v>
      </c>
      <c r="D10" s="14">
        <v>250</v>
      </c>
      <c r="E10" s="5">
        <v>4.8600000000000003</v>
      </c>
      <c r="F10" s="5">
        <v>3.24</v>
      </c>
      <c r="G10" s="5">
        <v>1.25</v>
      </c>
      <c r="H10" s="5">
        <v>50</v>
      </c>
      <c r="I10" s="5">
        <v>2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0"/>
        <v>12.27</v>
      </c>
      <c r="AF10" s="5">
        <f t="shared" si="1"/>
        <v>21.135959878841557</v>
      </c>
      <c r="AG10" s="5">
        <f t="shared" si="2"/>
        <v>-8.8659598788415579</v>
      </c>
      <c r="AH10" s="5">
        <f t="shared" si="3"/>
        <v>33.405959878841557</v>
      </c>
      <c r="AI10" s="5">
        <f t="shared" si="4"/>
        <v>2.8375000000000004</v>
      </c>
      <c r="AJ10" s="5" cm="1">
        <f t="array" ref="AJ10">MEDIAN(IF(E10:AD10&gt;=AG10,IF(E10:AD10&lt;=AH10,IF(E10:AD10&lt;&gt;0,E10:AD10))))</f>
        <v>2.62</v>
      </c>
      <c r="AK10" s="5" cm="1">
        <f t="array" ref="AK10">_xlfn.STDEV.S(IF(E10:AD10&gt;=AG10,IF(E10:AD10&lt;=AH10,IF(E10:AD10&lt;&gt;0,E10:AD10))))</f>
        <v>1.5784037295107145</v>
      </c>
      <c r="AL10" s="6">
        <f t="shared" si="5"/>
        <v>0.55626563154562614</v>
      </c>
      <c r="AM10" s="5" t="str">
        <f t="shared" si="6"/>
        <v>Mediana</v>
      </c>
      <c r="AN10" s="21">
        <f t="shared" si="7"/>
        <v>2.62</v>
      </c>
      <c r="AO10" s="5">
        <f>D10*AN10*12</f>
        <v>7860</v>
      </c>
      <c r="AQ10" s="7">
        <f t="shared" si="9"/>
        <v>5</v>
      </c>
      <c r="AR10" s="7">
        <f t="shared" si="10"/>
        <v>4</v>
      </c>
    </row>
    <row r="11" spans="1:44" ht="24" x14ac:dyDescent="0.25">
      <c r="A11" s="24">
        <v>8</v>
      </c>
      <c r="B11" s="20" t="s">
        <v>52</v>
      </c>
      <c r="C11" s="19" t="s">
        <v>35</v>
      </c>
      <c r="D11" s="14">
        <v>68270.880000000005</v>
      </c>
      <c r="E11" s="5">
        <v>1.06</v>
      </c>
      <c r="F11" s="5">
        <v>1.0900000000000001</v>
      </c>
      <c r="G11" s="5">
        <v>1.2</v>
      </c>
      <c r="H11" s="5">
        <v>0.75</v>
      </c>
      <c r="I11" s="5">
        <v>1.25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0"/>
        <v>1.07</v>
      </c>
      <c r="AF11" s="5">
        <f t="shared" si="1"/>
        <v>0.19506409203131081</v>
      </c>
      <c r="AG11" s="5">
        <f t="shared" si="2"/>
        <v>0.87493590796868925</v>
      </c>
      <c r="AH11" s="5">
        <f t="shared" si="3"/>
        <v>1.2650640920313108</v>
      </c>
      <c r="AI11" s="5">
        <f t="shared" si="4"/>
        <v>1.1500000000000001</v>
      </c>
      <c r="AJ11" s="5" cm="1">
        <f t="array" ref="AJ11">MEDIAN(IF(E11:AD11&gt;=AG11,IF(E11:AD11&lt;=AH11,IF(E11:AD11&lt;&gt;0,E11:AD11))))</f>
        <v>1.145</v>
      </c>
      <c r="AK11" s="5" cm="1">
        <f t="array" ref="AK11">_xlfn.STDEV.S(IF(E11:AD11&gt;=AG11,IF(E11:AD11&lt;=AH11,IF(E11:AD11&lt;&gt;0,E11:AD11))))</f>
        <v>8.981462390204982E-2</v>
      </c>
      <c r="AL11" s="6">
        <f t="shared" si="5"/>
        <v>7.8099672958304181E-2</v>
      </c>
      <c r="AM11" s="5" t="str">
        <f t="shared" si="6"/>
        <v>Média</v>
      </c>
      <c r="AN11" s="21">
        <f t="shared" si="7"/>
        <v>1.1500000000000001</v>
      </c>
      <c r="AO11" s="5">
        <f t="shared" ref="AO11:AO12" si="11">D11*AN11*12</f>
        <v>942138.1440000002</v>
      </c>
      <c r="AQ11" s="7">
        <f t="shared" si="9"/>
        <v>5</v>
      </c>
      <c r="AR11" s="7">
        <f t="shared" si="10"/>
        <v>4</v>
      </c>
    </row>
    <row r="12" spans="1:44" ht="36" x14ac:dyDescent="0.25">
      <c r="A12" s="24">
        <v>9</v>
      </c>
      <c r="B12" s="20" t="s">
        <v>53</v>
      </c>
      <c r="C12" s="19" t="s">
        <v>35</v>
      </c>
      <c r="D12" s="14">
        <v>13497.48</v>
      </c>
      <c r="E12" s="5">
        <v>0.83</v>
      </c>
      <c r="F12" s="5">
        <v>0.72</v>
      </c>
      <c r="G12" s="5">
        <v>1.24</v>
      </c>
      <c r="H12" s="5">
        <v>0.75</v>
      </c>
      <c r="I12" s="5">
        <v>1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>
        <f t="shared" si="0"/>
        <v>0.90800000000000003</v>
      </c>
      <c r="AF12" s="5">
        <f t="shared" si="1"/>
        <v>0.21510462570572497</v>
      </c>
      <c r="AG12" s="5">
        <f t="shared" si="2"/>
        <v>0.69289537429427506</v>
      </c>
      <c r="AH12" s="5">
        <f t="shared" si="3"/>
        <v>1.1231046257057251</v>
      </c>
      <c r="AI12" s="5">
        <f t="shared" si="4"/>
        <v>0.82499999999999996</v>
      </c>
      <c r="AJ12" s="5" cm="1">
        <f t="array" ref="AJ12">MEDIAN(IF(E12:AD12&gt;=AG12,IF(E12:AD12&lt;=AH12,IF(E12:AD12&lt;&gt;0,E12:AD12))))</f>
        <v>0.79</v>
      </c>
      <c r="AK12" s="5" cm="1">
        <f t="array" ref="AK12">_xlfn.STDEV.S(IF(E12:AD12&gt;=AG12,IF(E12:AD12&lt;=AH12,IF(E12:AD12&lt;&gt;0,E12:AD12))))</f>
        <v>0.12556538801224953</v>
      </c>
      <c r="AL12" s="6">
        <f t="shared" si="5"/>
        <v>0.15220047031787823</v>
      </c>
      <c r="AM12" s="5" t="str">
        <f t="shared" si="6"/>
        <v>Média</v>
      </c>
      <c r="AN12" s="21">
        <f t="shared" si="7"/>
        <v>0.82499999999999996</v>
      </c>
      <c r="AO12" s="5">
        <f t="shared" si="11"/>
        <v>133625.05199999997</v>
      </c>
      <c r="AQ12" s="7">
        <f t="shared" si="9"/>
        <v>5</v>
      </c>
      <c r="AR12" s="7">
        <f t="shared" si="10"/>
        <v>4</v>
      </c>
    </row>
    <row r="13" spans="1:44" ht="36" x14ac:dyDescent="0.25">
      <c r="A13" s="24">
        <v>10</v>
      </c>
      <c r="B13" s="20" t="s">
        <v>73</v>
      </c>
      <c r="C13" s="19" t="s">
        <v>36</v>
      </c>
      <c r="D13" s="14">
        <v>15</v>
      </c>
      <c r="E13" s="5">
        <v>31.8</v>
      </c>
      <c r="F13" s="5">
        <v>350.04</v>
      </c>
      <c r="G13" s="5">
        <v>2500</v>
      </c>
      <c r="H13" s="5">
        <v>135</v>
      </c>
      <c r="I13" s="5">
        <v>1000</v>
      </c>
      <c r="J13" s="5"/>
      <c r="K13" s="5">
        <v>30.41</v>
      </c>
      <c r="L13" s="5">
        <v>30.28</v>
      </c>
      <c r="M13" s="5">
        <v>28.83</v>
      </c>
      <c r="N13" s="5">
        <v>28.83</v>
      </c>
      <c r="O13" s="5">
        <v>30.22</v>
      </c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>
        <f t="shared" si="0"/>
        <v>416.54100000000005</v>
      </c>
      <c r="AF13" s="5">
        <f t="shared" si="1"/>
        <v>793.10342799592593</v>
      </c>
      <c r="AG13" s="5">
        <f t="shared" si="2"/>
        <v>-376.56242799592587</v>
      </c>
      <c r="AH13" s="5">
        <f t="shared" si="3"/>
        <v>1209.644427995926</v>
      </c>
      <c r="AI13" s="5">
        <f t="shared" si="4"/>
        <v>185.04555555555555</v>
      </c>
      <c r="AJ13" s="5" cm="1">
        <f t="array" ref="AJ13">MEDIAN(IF(E13:AD13&gt;=AG13,IF(E13:AD13&lt;=AH13,IF(E13:AD13&lt;&gt;0,E13:AD13))))</f>
        <v>30.41</v>
      </c>
      <c r="AK13" s="5" cm="1">
        <f t="array" ref="AK13">_xlfn.STDEV.S(IF(E13:AD13&gt;=AG13,IF(E13:AD13&lt;=AH13,IF(E13:AD13&lt;&gt;0,E13:AD13))))</f>
        <v>323.65196500682299</v>
      </c>
      <c r="AL13" s="6">
        <f t="shared" si="5"/>
        <v>1.749039386734442</v>
      </c>
      <c r="AM13" s="5" t="str">
        <f t="shared" si="6"/>
        <v>Mediana</v>
      </c>
      <c r="AN13" s="21">
        <f t="shared" si="7"/>
        <v>30.41</v>
      </c>
      <c r="AO13" s="5">
        <f t="shared" ref="AO13:AO17" si="12">D13*AN13</f>
        <v>456.15</v>
      </c>
      <c r="AQ13" s="7">
        <f t="shared" si="9"/>
        <v>10</v>
      </c>
      <c r="AR13" s="7">
        <f t="shared" si="10"/>
        <v>9</v>
      </c>
    </row>
    <row r="14" spans="1:44" ht="36" x14ac:dyDescent="0.25">
      <c r="A14" s="24">
        <v>11</v>
      </c>
      <c r="B14" s="20" t="s">
        <v>74</v>
      </c>
      <c r="C14" s="19" t="s">
        <v>36</v>
      </c>
      <c r="D14" s="14">
        <v>15</v>
      </c>
      <c r="E14" s="5">
        <v>49.8</v>
      </c>
      <c r="F14" s="5">
        <v>612.57000000000005</v>
      </c>
      <c r="G14" s="5">
        <v>2550</v>
      </c>
      <c r="H14" s="5">
        <v>135</v>
      </c>
      <c r="I14" s="5">
        <v>1500</v>
      </c>
      <c r="J14" s="5"/>
      <c r="K14" s="5">
        <v>115.48</v>
      </c>
      <c r="L14" s="5">
        <v>113.64</v>
      </c>
      <c r="M14" s="5">
        <v>107.5</v>
      </c>
      <c r="N14" s="5">
        <v>106.36</v>
      </c>
      <c r="O14" s="5">
        <v>113.82</v>
      </c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>
        <f t="shared" si="0"/>
        <v>540.41699999999992</v>
      </c>
      <c r="AF14" s="5">
        <f t="shared" si="1"/>
        <v>835.99674893107886</v>
      </c>
      <c r="AG14" s="5">
        <f t="shared" si="2"/>
        <v>-295.57974893107894</v>
      </c>
      <c r="AH14" s="5">
        <f t="shared" si="3"/>
        <v>1376.4137489310788</v>
      </c>
      <c r="AI14" s="5">
        <f t="shared" si="4"/>
        <v>169.27124999999998</v>
      </c>
      <c r="AJ14" s="5" cm="1">
        <f t="array" ref="AJ14">MEDIAN(IF(E14:AD14&gt;=AG14,IF(E14:AD14&lt;=AH14,IF(E14:AD14&lt;&gt;0,E14:AD14))))</f>
        <v>113.72999999999999</v>
      </c>
      <c r="AK14" s="5" cm="1">
        <f t="array" ref="AK14">_xlfn.STDEV.S(IF(E14:AD14&gt;=AG14,IF(E14:AD14&lt;=AH14,IF(E14:AD14&lt;&gt;0,E14:AD14))))</f>
        <v>180.79126412503615</v>
      </c>
      <c r="AL14" s="6">
        <f t="shared" si="5"/>
        <v>1.0680565313072135</v>
      </c>
      <c r="AM14" s="5" t="str">
        <f t="shared" si="6"/>
        <v>Mediana</v>
      </c>
      <c r="AN14" s="21">
        <f t="shared" si="7"/>
        <v>113.72999999999999</v>
      </c>
      <c r="AO14" s="5">
        <f t="shared" si="12"/>
        <v>1705.9499999999998</v>
      </c>
      <c r="AQ14" s="7">
        <f t="shared" si="9"/>
        <v>10</v>
      </c>
      <c r="AR14" s="7">
        <f t="shared" si="10"/>
        <v>8</v>
      </c>
    </row>
    <row r="15" spans="1:44" ht="36" x14ac:dyDescent="0.25">
      <c r="A15" s="24">
        <v>12</v>
      </c>
      <c r="B15" s="20" t="s">
        <v>75</v>
      </c>
      <c r="C15" s="19" t="s">
        <v>36</v>
      </c>
      <c r="D15" s="14">
        <v>15</v>
      </c>
      <c r="E15" s="5">
        <v>208.5</v>
      </c>
      <c r="F15" s="5">
        <v>1312.66</v>
      </c>
      <c r="G15" s="5">
        <v>2600</v>
      </c>
      <c r="H15" s="5">
        <v>100</v>
      </c>
      <c r="I15" s="5">
        <v>2000</v>
      </c>
      <c r="J15" s="5"/>
      <c r="K15" s="5">
        <v>319.24</v>
      </c>
      <c r="L15" s="5">
        <v>314.52</v>
      </c>
      <c r="M15" s="5">
        <v>297.74</v>
      </c>
      <c r="N15" s="5">
        <v>294.86</v>
      </c>
      <c r="O15" s="5">
        <v>314.91000000000003</v>
      </c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>
        <f t="shared" si="0"/>
        <v>776.24299999999994</v>
      </c>
      <c r="AF15" s="5">
        <f t="shared" si="1"/>
        <v>881.07342476284771</v>
      </c>
      <c r="AG15" s="5">
        <f>AE15-AF15</f>
        <v>-104.83042476284777</v>
      </c>
      <c r="AH15" s="5">
        <f t="shared" si="3"/>
        <v>1657.3164247628476</v>
      </c>
      <c r="AI15" s="5">
        <f t="shared" si="4"/>
        <v>395.30374999999998</v>
      </c>
      <c r="AJ15" s="5" cm="1">
        <f t="array" ref="AJ15">MEDIAN(IF(E15:AD15&gt;=AG15,IF(E15:AD15&lt;=AH15,IF(E15:AD15&lt;&gt;0,E15:AD15))))</f>
        <v>306.13</v>
      </c>
      <c r="AK15" s="5" cm="1">
        <f t="array" ref="AK15">_xlfn.STDEV.S(IF(E15:AD15&gt;=AG15,IF(E15:AD15&lt;=AH15,IF(E15:AD15&lt;&gt;0,E15:AD15))))</f>
        <v>378.3469554310285</v>
      </c>
      <c r="AL15" s="6">
        <f t="shared" si="5"/>
        <v>0.9571043923338155</v>
      </c>
      <c r="AM15" s="5" t="str">
        <f t="shared" si="6"/>
        <v>Mediana</v>
      </c>
      <c r="AN15" s="21">
        <f t="shared" si="7"/>
        <v>306.13</v>
      </c>
      <c r="AO15" s="5">
        <f t="shared" si="12"/>
        <v>4591.95</v>
      </c>
      <c r="AQ15" s="7">
        <f t="shared" si="9"/>
        <v>10</v>
      </c>
      <c r="AR15" s="7">
        <f t="shared" si="10"/>
        <v>8</v>
      </c>
    </row>
    <row r="16" spans="1:44" ht="36" x14ac:dyDescent="0.25">
      <c r="A16" s="24">
        <v>13</v>
      </c>
      <c r="B16" s="20" t="s">
        <v>76</v>
      </c>
      <c r="C16" s="19" t="s">
        <v>36</v>
      </c>
      <c r="D16" s="14">
        <v>15</v>
      </c>
      <c r="E16" s="5">
        <v>298.7</v>
      </c>
      <c r="F16" s="5">
        <v>1837.72</v>
      </c>
      <c r="G16" s="5">
        <v>2700</v>
      </c>
      <c r="H16" s="5">
        <v>195</v>
      </c>
      <c r="I16" s="5">
        <v>3500</v>
      </c>
      <c r="J16" s="5"/>
      <c r="K16" s="5">
        <v>670.8</v>
      </c>
      <c r="L16" s="5">
        <v>657.52</v>
      </c>
      <c r="M16" s="5">
        <v>620.63</v>
      </c>
      <c r="N16" s="5">
        <v>611.54999999999995</v>
      </c>
      <c r="O16" s="5">
        <v>659.28</v>
      </c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>
        <f t="shared" si="0"/>
        <v>1175.1199999999999</v>
      </c>
      <c r="AF16" s="5">
        <f t="shared" si="1"/>
        <v>1121.0868562148869</v>
      </c>
      <c r="AG16" s="5">
        <f t="shared" ref="AG16:AG17" si="13">AE16-AF16</f>
        <v>54.033143785112998</v>
      </c>
      <c r="AH16" s="5">
        <f t="shared" si="3"/>
        <v>2296.206856214887</v>
      </c>
      <c r="AI16" s="5">
        <f t="shared" si="4"/>
        <v>693.9</v>
      </c>
      <c r="AJ16" s="5" cm="1">
        <f t="array" ref="AJ16">MEDIAN(IF(E16:AD16&gt;=AG16,IF(E16:AD16&lt;=AH16,IF(E16:AD16&lt;&gt;0,E16:AD16))))</f>
        <v>639.07500000000005</v>
      </c>
      <c r="AK16" s="5" cm="1">
        <f t="array" ref="AK16">_xlfn.STDEV.S(IF(E16:AD16&gt;=AG16,IF(E16:AD16&lt;=AH16,IF(E16:AD16&lt;&gt;0,E16:AD16))))</f>
        <v>496.93548253269262</v>
      </c>
      <c r="AL16" s="6">
        <f t="shared" si="5"/>
        <v>0.71614855531444388</v>
      </c>
      <c r="AM16" s="5" t="str">
        <f t="shared" si="6"/>
        <v>Mediana</v>
      </c>
      <c r="AN16" s="21">
        <f t="shared" si="7"/>
        <v>639.07500000000005</v>
      </c>
      <c r="AO16" s="5">
        <f t="shared" si="12"/>
        <v>9586.125</v>
      </c>
      <c r="AQ16" s="7">
        <f t="shared" si="9"/>
        <v>10</v>
      </c>
      <c r="AR16" s="7">
        <f t="shared" si="10"/>
        <v>8</v>
      </c>
    </row>
    <row r="17" spans="1:44" ht="24" x14ac:dyDescent="0.25">
      <c r="A17" s="24">
        <v>14</v>
      </c>
      <c r="B17" s="20" t="s">
        <v>54</v>
      </c>
      <c r="C17" s="19" t="s">
        <v>36</v>
      </c>
      <c r="D17" s="14">
        <v>20</v>
      </c>
      <c r="E17" s="5">
        <v>106.9</v>
      </c>
      <c r="F17" s="5">
        <v>57.13</v>
      </c>
      <c r="G17" s="5">
        <v>151</v>
      </c>
      <c r="H17" s="5">
        <v>155</v>
      </c>
      <c r="I17" s="5">
        <v>250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>
        <f t="shared" si="0"/>
        <v>144.006</v>
      </c>
      <c r="AF17" s="5">
        <f t="shared" si="1"/>
        <v>71.289562209344538</v>
      </c>
      <c r="AG17" s="5">
        <f t="shared" si="13"/>
        <v>72.716437790655462</v>
      </c>
      <c r="AH17" s="5">
        <f t="shared" si="3"/>
        <v>215.29556220934455</v>
      </c>
      <c r="AI17" s="5">
        <f t="shared" si="4"/>
        <v>137.63333333333333</v>
      </c>
      <c r="AJ17" s="5" cm="1">
        <f t="array" ref="AJ17">MEDIAN(IF(E17:AD17&gt;=AG17,IF(E17:AD17&lt;=AH17,IF(E17:AD17&lt;&gt;0,E17:AD17))))</f>
        <v>151</v>
      </c>
      <c r="AK17" s="5" cm="1">
        <f t="array" ref="AK17">_xlfn.STDEV.S(IF(E17:AD17&gt;=AG17,IF(E17:AD17&lt;=AH17,IF(E17:AD17&lt;&gt;0,E17:AD17))))</f>
        <v>26.6908848360885</v>
      </c>
      <c r="AL17" s="6">
        <f t="shared" si="5"/>
        <v>0.19392747519560549</v>
      </c>
      <c r="AM17" s="5" t="str">
        <f t="shared" si="6"/>
        <v>Média</v>
      </c>
      <c r="AN17" s="21">
        <f t="shared" si="7"/>
        <v>137.63333333333333</v>
      </c>
      <c r="AO17" s="5">
        <f t="shared" si="12"/>
        <v>2752.6666666666665</v>
      </c>
      <c r="AQ17" s="7">
        <f t="shared" si="9"/>
        <v>5</v>
      </c>
      <c r="AR17" s="7">
        <f t="shared" si="10"/>
        <v>3</v>
      </c>
    </row>
    <row r="18" spans="1:44" ht="24" x14ac:dyDescent="0.25">
      <c r="A18" s="24">
        <v>15</v>
      </c>
      <c r="B18" s="20" t="s">
        <v>55</v>
      </c>
      <c r="C18" s="18" t="s">
        <v>1</v>
      </c>
      <c r="D18" s="14">
        <v>20</v>
      </c>
      <c r="E18" s="5">
        <v>138.5</v>
      </c>
      <c r="F18" s="5">
        <v>103.3</v>
      </c>
      <c r="G18" s="5">
        <v>149.19999999999999</v>
      </c>
      <c r="H18" s="5">
        <v>165</v>
      </c>
      <c r="I18" s="5">
        <v>350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>
        <f>AVERAGE(E18:AD18)</f>
        <v>181.2</v>
      </c>
      <c r="AF18" s="5">
        <f>_xlfn.STDEV.S(E18:AD18)</f>
        <v>97.045839684141001</v>
      </c>
      <c r="AG18" s="5">
        <f>AE18-AF18</f>
        <v>84.154160315858988</v>
      </c>
      <c r="AH18" s="5">
        <f>AE18+AF18</f>
        <v>278.245839684141</v>
      </c>
      <c r="AI18" s="5">
        <f>AVERAGEIFS(E18:AD18,E18:AD18,"&gt;="&amp;AG18,E18:AD18,"&lt;="&amp;AH18)</f>
        <v>139</v>
      </c>
      <c r="AJ18" s="5" cm="1">
        <f t="array" ref="AJ18">MEDIAN(IF(E18:AD18&gt;=AG18,IF(E18:AD18&lt;=AH18,IF(E18:AD18&lt;&gt;0,E18:AD18))))</f>
        <v>143.85</v>
      </c>
      <c r="AK18" s="5" cm="1">
        <f t="array" ref="AK18">_xlfn.STDEV.S(IF(E18:AD18&gt;=AG18,IF(E18:AD18&lt;=AH18,IF(E18:AD18&lt;&gt;0,E18:AD18))))</f>
        <v>26.171103657787654</v>
      </c>
      <c r="AL18" s="6">
        <f t="shared" si="5"/>
        <v>0.18828132127904787</v>
      </c>
      <c r="AM18" s="5" t="str">
        <f>IF(AL18&gt;=25%,"Mediana","Média")</f>
        <v>Média</v>
      </c>
      <c r="AN18" s="21">
        <f>IF(AM18="Mediana",AJ18,AI18)</f>
        <v>139</v>
      </c>
      <c r="AO18" s="5">
        <f>D18*AN18</f>
        <v>2780</v>
      </c>
      <c r="AQ18" s="7">
        <f>COUNTA(E18:AD18)</f>
        <v>5</v>
      </c>
      <c r="AR18" s="7">
        <f>COUNTIFS(E18:AD18,"&gt;="&amp;AG18,E18:AD18,"&lt;="&amp;AH18)</f>
        <v>4</v>
      </c>
    </row>
    <row r="19" spans="1:44" ht="24" x14ac:dyDescent="0.25">
      <c r="A19" s="24">
        <v>16</v>
      </c>
      <c r="B19" s="20" t="s">
        <v>56</v>
      </c>
      <c r="C19" s="18" t="s">
        <v>1</v>
      </c>
      <c r="D19" s="14">
        <v>20</v>
      </c>
      <c r="E19" s="5">
        <v>186</v>
      </c>
      <c r="F19" s="5">
        <v>144.08000000000001</v>
      </c>
      <c r="G19" s="5">
        <v>249.8</v>
      </c>
      <c r="H19" s="5">
        <v>185</v>
      </c>
      <c r="I19" s="5">
        <v>550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>
        <f t="shared" ref="AE19:AE22" si="14">AVERAGE(E19:AD19)</f>
        <v>262.976</v>
      </c>
      <c r="AF19" s="5">
        <f t="shared" ref="AF19:AF22" si="15">_xlfn.STDEV.S(E19:AD19)</f>
        <v>164.84705299155334</v>
      </c>
      <c r="AG19" s="5">
        <f t="shared" ref="AG19:AG22" si="16">AE19-AF19</f>
        <v>98.128947008446659</v>
      </c>
      <c r="AH19" s="5">
        <f t="shared" ref="AH19:AH22" si="17">AE19+AF19</f>
        <v>427.82305299155337</v>
      </c>
      <c r="AI19" s="5">
        <f t="shared" ref="AI19:AI22" si="18">AVERAGEIFS(E19:AD19,E19:AD19,"&gt;="&amp;AG19,E19:AD19,"&lt;="&amp;AH19)</f>
        <v>191.22000000000003</v>
      </c>
      <c r="AJ19" s="5" cm="1">
        <f t="array" ref="AJ19">MEDIAN(IF(E19:AD19&gt;=AG19,IF(E19:AD19&lt;=AH19,IF(E19:AD19&lt;&gt;0,E19:AD19))))</f>
        <v>185.5</v>
      </c>
      <c r="AK19" s="5" cm="1">
        <f t="array" ref="AK19">_xlfn.STDEV.S(IF(E19:AD19&gt;=AG19,IF(E19:AD19&lt;=AH19,IF(E19:AD19&lt;&gt;0,E19:AD19))))</f>
        <v>43.664374494546458</v>
      </c>
      <c r="AL19" s="6">
        <f t="shared" si="5"/>
        <v>0.22834627389680187</v>
      </c>
      <c r="AM19" s="5" t="str">
        <f t="shared" ref="AM19:AM22" si="19">IF(AL19&gt;=25%,"Mediana","Média")</f>
        <v>Média</v>
      </c>
      <c r="AN19" s="21">
        <f t="shared" ref="AN19:AN22" si="20">IF(AM19="Mediana",AJ19,AI19)</f>
        <v>191.22000000000003</v>
      </c>
      <c r="AO19" s="5">
        <f t="shared" ref="AO19:AO22" si="21">D19*AN19</f>
        <v>3824.4000000000005</v>
      </c>
      <c r="AQ19" s="7">
        <f t="shared" ref="AQ19:AQ22" si="22">COUNTA(E19:AD19)</f>
        <v>5</v>
      </c>
      <c r="AR19" s="7">
        <f t="shared" ref="AR19:AR22" si="23">COUNTIFS(E19:AD19,"&gt;="&amp;AG19,E19:AD19,"&lt;="&amp;AH19)</f>
        <v>4</v>
      </c>
    </row>
    <row r="20" spans="1:44" x14ac:dyDescent="0.25">
      <c r="A20" s="24">
        <v>17</v>
      </c>
      <c r="B20" s="20" t="s">
        <v>57</v>
      </c>
      <c r="C20" s="18" t="s">
        <v>35</v>
      </c>
      <c r="D20" s="14">
        <v>1300</v>
      </c>
      <c r="E20" s="5">
        <v>22.13</v>
      </c>
      <c r="F20" s="5">
        <v>38.729999999999997</v>
      </c>
      <c r="G20" s="5">
        <v>230</v>
      </c>
      <c r="H20" s="5">
        <v>25</v>
      </c>
      <c r="I20" s="5">
        <v>5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>
        <f t="shared" si="14"/>
        <v>64.171999999999997</v>
      </c>
      <c r="AF20" s="5">
        <f t="shared" si="15"/>
        <v>93.473956105430773</v>
      </c>
      <c r="AG20" s="5">
        <f t="shared" si="16"/>
        <v>-29.301956105430776</v>
      </c>
      <c r="AH20" s="5">
        <f t="shared" si="17"/>
        <v>157.64595610543077</v>
      </c>
      <c r="AI20" s="5">
        <f t="shared" si="18"/>
        <v>22.715</v>
      </c>
      <c r="AJ20" s="5" cm="1">
        <f t="array" ref="AJ20">MEDIAN(IF(E20:AD20&gt;=AG20,IF(E20:AD20&lt;=AH20,IF(E20:AD20&lt;&gt;0,E20:AD20))))</f>
        <v>23.564999999999998</v>
      </c>
      <c r="AK20" s="5" cm="1">
        <f t="array" ref="AK20">_xlfn.STDEV.S(IF(E20:AD20&gt;=AG20,IF(E20:AD20&lt;=AH20,IF(E20:AD20&lt;&gt;0,E20:AD20))))</f>
        <v>13.854781364809281</v>
      </c>
      <c r="AL20" s="6">
        <f t="shared" si="5"/>
        <v>0.60993974751526658</v>
      </c>
      <c r="AM20" s="5" t="str">
        <f t="shared" si="19"/>
        <v>Mediana</v>
      </c>
      <c r="AN20" s="21">
        <f t="shared" si="20"/>
        <v>23.564999999999998</v>
      </c>
      <c r="AO20" s="5">
        <f t="shared" si="21"/>
        <v>30634.499999999996</v>
      </c>
      <c r="AQ20" s="7">
        <f t="shared" si="22"/>
        <v>5</v>
      </c>
      <c r="AR20" s="7">
        <f t="shared" si="23"/>
        <v>4</v>
      </c>
    </row>
    <row r="21" spans="1:44" x14ac:dyDescent="0.25">
      <c r="A21" s="24">
        <v>18</v>
      </c>
      <c r="B21" s="20" t="s">
        <v>58</v>
      </c>
      <c r="C21" s="18" t="s">
        <v>35</v>
      </c>
      <c r="D21" s="14">
        <v>1300</v>
      </c>
      <c r="E21" s="5">
        <v>23.58</v>
      </c>
      <c r="F21" s="5">
        <v>41.27</v>
      </c>
      <c r="G21" s="5">
        <v>150</v>
      </c>
      <c r="H21" s="5">
        <v>25</v>
      </c>
      <c r="I21" s="5">
        <v>5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>
        <f t="shared" si="14"/>
        <v>48.97</v>
      </c>
      <c r="AF21" s="5">
        <f t="shared" si="15"/>
        <v>57.920041436449267</v>
      </c>
      <c r="AG21" s="5">
        <f t="shared" si="16"/>
        <v>-8.9500414364492684</v>
      </c>
      <c r="AH21" s="5">
        <f t="shared" si="17"/>
        <v>106.89004143644927</v>
      </c>
      <c r="AI21" s="5">
        <f t="shared" si="18"/>
        <v>23.712499999999999</v>
      </c>
      <c r="AJ21" s="5" cm="1">
        <f t="array" ref="AJ21">MEDIAN(IF(E21:AD21&gt;=AG21,IF(E21:AD21&lt;=AH21,IF(E21:AD21&lt;&gt;0,E21:AD21))))</f>
        <v>24.29</v>
      </c>
      <c r="AK21" s="5" cm="1">
        <f t="array" ref="AK21">_xlfn.STDEV.S(IF(E21:AD21&gt;=AG21,IF(E21:AD21&lt;=AH21,IF(E21:AD21&lt;&gt;0,E21:AD21))))</f>
        <v>14.833505710608897</v>
      </c>
      <c r="AL21" s="6">
        <f t="shared" si="5"/>
        <v>0.62555638210264197</v>
      </c>
      <c r="AM21" s="5" t="str">
        <f t="shared" si="19"/>
        <v>Mediana</v>
      </c>
      <c r="AN21" s="21">
        <f t="shared" si="20"/>
        <v>24.29</v>
      </c>
      <c r="AO21" s="5">
        <f t="shared" si="21"/>
        <v>31577</v>
      </c>
      <c r="AQ21" s="7">
        <f t="shared" si="22"/>
        <v>5</v>
      </c>
      <c r="AR21" s="7">
        <f t="shared" si="23"/>
        <v>4</v>
      </c>
    </row>
    <row r="22" spans="1:44" x14ac:dyDescent="0.25">
      <c r="A22" s="24">
        <v>19</v>
      </c>
      <c r="B22" s="20" t="s">
        <v>59</v>
      </c>
      <c r="C22" s="18" t="s">
        <v>35</v>
      </c>
      <c r="D22" s="14">
        <v>1300</v>
      </c>
      <c r="E22" s="5">
        <v>28.92</v>
      </c>
      <c r="F22" s="5">
        <v>50.62</v>
      </c>
      <c r="G22" s="5">
        <v>230</v>
      </c>
      <c r="H22" s="5">
        <v>25</v>
      </c>
      <c r="I22" s="5">
        <v>5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si="14"/>
        <v>67.907999999999987</v>
      </c>
      <c r="AF22" s="5">
        <f t="shared" si="15"/>
        <v>92.047906657348818</v>
      </c>
      <c r="AG22" s="5">
        <f t="shared" si="16"/>
        <v>-24.139906657348831</v>
      </c>
      <c r="AH22" s="5">
        <f t="shared" si="17"/>
        <v>159.95590665734881</v>
      </c>
      <c r="AI22" s="5">
        <f t="shared" si="18"/>
        <v>27.384999999999998</v>
      </c>
      <c r="AJ22" s="5" cm="1">
        <f t="array" ref="AJ22">MEDIAN(IF(E22:AD22&gt;=AG22,IF(E22:AD22&lt;=AH22,IF(E22:AD22&lt;&gt;0,E22:AD22))))</f>
        <v>26.96</v>
      </c>
      <c r="AK22" s="5" cm="1">
        <f t="array" ref="AK22">_xlfn.STDEV.S(IF(E22:AD22&gt;=AG22,IF(E22:AD22&lt;=AH22,IF(E22:AD22&lt;&gt;0,E22:AD22))))</f>
        <v>18.699357386462957</v>
      </c>
      <c r="AL22" s="6">
        <f t="shared" si="5"/>
        <v>0.68283211197600724</v>
      </c>
      <c r="AM22" s="5" t="str">
        <f t="shared" si="19"/>
        <v>Mediana</v>
      </c>
      <c r="AN22" s="21">
        <f t="shared" si="20"/>
        <v>26.96</v>
      </c>
      <c r="AO22" s="15">
        <f t="shared" si="21"/>
        <v>35048</v>
      </c>
      <c r="AQ22" s="7">
        <f t="shared" si="22"/>
        <v>5</v>
      </c>
      <c r="AR22" s="7">
        <f t="shared" si="23"/>
        <v>4</v>
      </c>
    </row>
    <row r="23" spans="1:44" ht="24" x14ac:dyDescent="0.25">
      <c r="A23" s="24">
        <v>20</v>
      </c>
      <c r="B23" s="20" t="s">
        <v>61</v>
      </c>
      <c r="C23" s="18" t="s">
        <v>35</v>
      </c>
      <c r="D23" s="14">
        <v>3000</v>
      </c>
      <c r="E23" s="5"/>
      <c r="F23" s="5"/>
      <c r="G23" s="5"/>
      <c r="H23" s="5"/>
      <c r="I23" s="5"/>
      <c r="J23" s="5">
        <v>15.68</v>
      </c>
      <c r="K23" s="5">
        <v>16.5</v>
      </c>
      <c r="L23" s="5">
        <v>13.67</v>
      </c>
      <c r="M23" s="5">
        <v>13.86</v>
      </c>
      <c r="N23" s="5">
        <v>14.48</v>
      </c>
      <c r="O23" s="5">
        <v>12.67</v>
      </c>
      <c r="P23" s="5">
        <v>10.5</v>
      </c>
      <c r="Q23" s="5">
        <v>17.920000000000002</v>
      </c>
      <c r="R23" s="5">
        <v>19.62</v>
      </c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ref="AE23" si="24">AVERAGE(E23:AD23)</f>
        <v>14.988888888888889</v>
      </c>
      <c r="AF23" s="5">
        <f t="shared" ref="AF23" si="25">_xlfn.STDEV.S(E23:AD23)</f>
        <v>2.7748848824971257</v>
      </c>
      <c r="AG23" s="5">
        <f t="shared" ref="AG23" si="26">AE23-AF23</f>
        <v>12.214004006391763</v>
      </c>
      <c r="AH23" s="5">
        <f t="shared" ref="AH23" si="27">AE23+AF23</f>
        <v>17.763773771386013</v>
      </c>
      <c r="AI23" s="5">
        <f t="shared" ref="AI23" si="28">AVERAGEIFS(E23:AD23,E23:AD23,"&gt;="&amp;AG23,E23:AD23,"&lt;="&amp;AH23)</f>
        <v>14.476666666666667</v>
      </c>
      <c r="AJ23" s="5" cm="1">
        <f t="array" ref="AJ23">MEDIAN(IF(E23:AD23&gt;=AG23,IF(E23:AD23&lt;=AH23,IF(E23:AD23&lt;&gt;0,E23:AD23))))</f>
        <v>14.17</v>
      </c>
      <c r="AK23" s="5" cm="1">
        <f t="array" ref="AK23">_xlfn.STDEV.S(IF(E23:AD23&gt;=AG23,IF(E23:AD23&lt;=AH23,IF(E23:AD23&lt;&gt;0,E23:AD23))))</f>
        <v>1.402635614358436</v>
      </c>
      <c r="AL23" s="6">
        <f t="shared" ref="AL23" si="29">AK23/AI23</f>
        <v>9.6889404629871237E-2</v>
      </c>
      <c r="AM23" s="5" t="str">
        <f t="shared" ref="AM23" si="30">IF(AL23&gt;=25%,"Mediana","Média")</f>
        <v>Média</v>
      </c>
      <c r="AN23" s="21">
        <f t="shared" ref="AN23" si="31">IF(AM23="Mediana",AJ23,AI23)</f>
        <v>14.476666666666667</v>
      </c>
      <c r="AO23" s="15">
        <f t="shared" ref="AO23" si="32">D23*AN23</f>
        <v>43430</v>
      </c>
      <c r="AQ23" s="7">
        <f t="shared" ref="AQ23" si="33">COUNTA(E23:AD23)</f>
        <v>9</v>
      </c>
      <c r="AR23" s="7">
        <f t="shared" ref="AR23" si="34">COUNTIFS(E23:AD23,"&gt;="&amp;AG23,E23:AD23,"&lt;="&amp;AH23)</f>
        <v>6</v>
      </c>
    </row>
    <row r="24" spans="1:44" ht="24.75" thickBot="1" x14ac:dyDescent="0.3">
      <c r="A24" s="24">
        <v>21</v>
      </c>
      <c r="B24" s="20" t="s">
        <v>62</v>
      </c>
      <c r="C24" s="18" t="s">
        <v>35</v>
      </c>
      <c r="D24" s="14">
        <v>3000</v>
      </c>
      <c r="E24" s="5"/>
      <c r="F24" s="5"/>
      <c r="G24" s="5"/>
      <c r="H24" s="5"/>
      <c r="I24" s="5"/>
      <c r="J24" s="5">
        <v>15.68</v>
      </c>
      <c r="K24" s="5">
        <v>21.65</v>
      </c>
      <c r="L24" s="5">
        <v>17.73</v>
      </c>
      <c r="M24" s="5">
        <v>18.149999999999999</v>
      </c>
      <c r="N24" s="5">
        <v>19.059999999999999</v>
      </c>
      <c r="O24" s="5">
        <v>16.39</v>
      </c>
      <c r="P24" s="5">
        <v>13.24</v>
      </c>
      <c r="Q24" s="5">
        <v>17.350000000000001</v>
      </c>
      <c r="R24" s="5">
        <v>18.149999999999999</v>
      </c>
      <c r="S24" s="5">
        <v>23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ref="AE24" si="35">AVERAGE(E24:AD24)</f>
        <v>18.04</v>
      </c>
      <c r="AF24" s="5">
        <f t="shared" ref="AF24" si="36">_xlfn.STDEV.S(E24:AD24)</f>
        <v>2.8008451105574013</v>
      </c>
      <c r="AG24" s="5">
        <f t="shared" ref="AG24" si="37">AE24-AF24</f>
        <v>15.239154889442599</v>
      </c>
      <c r="AH24" s="5">
        <f t="shared" ref="AH24" si="38">AE24+AF24</f>
        <v>20.8408451105574</v>
      </c>
      <c r="AI24" s="5">
        <f t="shared" ref="AI24" si="39">AVERAGEIFS(E24:AD24,E24:AD24,"&gt;="&amp;AG24,E24:AD24,"&lt;="&amp;AH24)</f>
        <v>17.501428571428569</v>
      </c>
      <c r="AJ24" s="5" cm="1">
        <f t="array" ref="AJ24">MEDIAN(IF(E24:AD24&gt;=AG24,IF(E24:AD24&lt;=AH24,IF(E24:AD24&lt;&gt;0,E24:AD24))))</f>
        <v>17.73</v>
      </c>
      <c r="AK24" s="5" cm="1">
        <f t="array" ref="AK24">_xlfn.STDEV.S(IF(E24:AD24&gt;=AG24,IF(E24:AD24&lt;=AH24,IF(E24:AD24&lt;&gt;0,E24:AD24))))</f>
        <v>1.1473509862785165</v>
      </c>
      <c r="AL24" s="6">
        <f t="shared" ref="AL24" si="40">AK24/AI24</f>
        <v>6.5557561863926347E-2</v>
      </c>
      <c r="AM24" s="5" t="str">
        <f t="shared" ref="AM24" si="41">IF(AL24&gt;=25%,"Mediana","Média")</f>
        <v>Média</v>
      </c>
      <c r="AN24" s="21">
        <f t="shared" ref="AN24" si="42">IF(AM24="Mediana",AJ24,AI24)</f>
        <v>17.501428571428569</v>
      </c>
      <c r="AO24" s="15">
        <f t="shared" ref="AO24" si="43">D24*AN24</f>
        <v>52504.28571428571</v>
      </c>
      <c r="AQ24" s="7">
        <f t="shared" ref="AQ24" si="44">COUNTA(E24:AD24)</f>
        <v>10</v>
      </c>
      <c r="AR24" s="7">
        <f t="shared" ref="AR24" si="45">COUNTIFS(E24:AD24,"&gt;="&amp;AG24,E24:AD24,"&lt;="&amp;AH24)</f>
        <v>7</v>
      </c>
    </row>
    <row r="25" spans="1:44" ht="15.75" thickBot="1" x14ac:dyDescent="0.3">
      <c r="AO25" s="16">
        <f>SUM(AO4:AO24)</f>
        <v>1844221.6263809523</v>
      </c>
    </row>
    <row r="26" spans="1:44" x14ac:dyDescent="0.25">
      <c r="B26" s="8" t="s">
        <v>29</v>
      </c>
      <c r="C26" s="9"/>
      <c r="D26" s="10"/>
      <c r="J26" s="17"/>
      <c r="K26" s="17"/>
      <c r="L26" s="17"/>
      <c r="M26" s="17"/>
      <c r="N26" s="17"/>
    </row>
    <row r="27" spans="1:44" x14ac:dyDescent="0.25">
      <c r="B27" s="4" t="s">
        <v>30</v>
      </c>
      <c r="C27" s="11">
        <f>SUM(AO4:AO24)</f>
        <v>1844221.6263809523</v>
      </c>
      <c r="D27" s="12"/>
    </row>
    <row r="28" spans="1:44" x14ac:dyDescent="0.25">
      <c r="B28" s="4" t="s">
        <v>31</v>
      </c>
      <c r="C28" s="11">
        <f>C27/12</f>
        <v>153685.13553174603</v>
      </c>
      <c r="D28" s="12"/>
    </row>
    <row r="29" spans="1:44" x14ac:dyDescent="0.25">
      <c r="B29" s="4" t="s">
        <v>72</v>
      </c>
      <c r="C29" s="28">
        <f>C27*5</f>
        <v>9221108.1319047622</v>
      </c>
      <c r="D29" s="29"/>
    </row>
    <row r="30" spans="1:44" x14ac:dyDescent="0.25">
      <c r="B30" s="4" t="s">
        <v>32</v>
      </c>
      <c r="C30" s="13" t="s">
        <v>42</v>
      </c>
      <c r="D30" s="12"/>
    </row>
    <row r="31" spans="1:44" x14ac:dyDescent="0.25">
      <c r="B31" s="4" t="s">
        <v>33</v>
      </c>
      <c r="C31" s="11" t="s">
        <v>42</v>
      </c>
      <c r="D31" s="12"/>
    </row>
    <row r="34" spans="2:2" x14ac:dyDescent="0.25">
      <c r="B34" s="22"/>
    </row>
    <row r="35" spans="2:2" x14ac:dyDescent="0.25">
      <c r="B35" s="23"/>
    </row>
    <row r="37" spans="2:2" x14ac:dyDescent="0.25">
      <c r="B37" s="23"/>
    </row>
  </sheetData>
  <mergeCells count="1">
    <mergeCell ref="C29:D29"/>
  </mergeCells>
  <phoneticPr fontId="9" type="noConversion"/>
  <conditionalFormatting sqref="E4:AD4">
    <cfRule type="cellIs" dxfId="39" priority="119" operator="notBetween">
      <formula>$AG$4</formula>
      <formula>$AH$4</formula>
    </cfRule>
    <cfRule type="cellIs" dxfId="38" priority="120" operator="between">
      <formula>$AG$4</formula>
      <formula>$AH$4</formula>
    </cfRule>
  </conditionalFormatting>
  <conditionalFormatting sqref="E5:AD5">
    <cfRule type="cellIs" dxfId="37" priority="117" operator="notBetween">
      <formula>$AG$5</formula>
      <formula>$AH$5</formula>
    </cfRule>
    <cfRule type="cellIs" dxfId="36" priority="118" operator="between">
      <formula>$AG$5</formula>
      <formula>$AH$5</formula>
    </cfRule>
  </conditionalFormatting>
  <conditionalFormatting sqref="E6:AD6">
    <cfRule type="cellIs" dxfId="35" priority="115" operator="notBetween">
      <formula>$AG$6</formula>
      <formula>$AH$6</formula>
    </cfRule>
    <cfRule type="cellIs" dxfId="34" priority="116" operator="between">
      <formula>$AG$6</formula>
      <formula>$AH$6</formula>
    </cfRule>
  </conditionalFormatting>
  <conditionalFormatting sqref="E7:AD7">
    <cfRule type="cellIs" dxfId="33" priority="114" operator="between">
      <formula>$AG$7</formula>
      <formula>$AH$7</formula>
    </cfRule>
    <cfRule type="cellIs" dxfId="32" priority="113" operator="notBetween">
      <formula>$AG$7</formula>
      <formula>$AH$7</formula>
    </cfRule>
  </conditionalFormatting>
  <conditionalFormatting sqref="E8:AD8">
    <cfRule type="cellIs" dxfId="31" priority="112" operator="between">
      <formula>$AG$8</formula>
      <formula>$AH$8</formula>
    </cfRule>
    <cfRule type="cellIs" dxfId="30" priority="111" operator="notBetween">
      <formula>$AG$8</formula>
      <formula>$AH$8</formula>
    </cfRule>
  </conditionalFormatting>
  <conditionalFormatting sqref="E9:AD9">
    <cfRule type="cellIs" dxfId="29" priority="110" operator="between">
      <formula>$AG$9</formula>
      <formula>$AH$9</formula>
    </cfRule>
    <cfRule type="cellIs" dxfId="28" priority="109" operator="notBetween">
      <formula>$AG$9</formula>
      <formula>$AH$9</formula>
    </cfRule>
  </conditionalFormatting>
  <conditionalFormatting sqref="E10:AD10">
    <cfRule type="cellIs" dxfId="27" priority="108" operator="between">
      <formula>$AG$10</formula>
      <formula>$AH$10</formula>
    </cfRule>
    <cfRule type="cellIs" dxfId="26" priority="107" operator="notBetween">
      <formula>$AG$10</formula>
      <formula>$AH$10</formula>
    </cfRule>
  </conditionalFormatting>
  <conditionalFormatting sqref="E11:AD11">
    <cfRule type="cellIs" dxfId="25" priority="106" operator="between">
      <formula>$AG$11</formula>
      <formula>$AH$11</formula>
    </cfRule>
    <cfRule type="cellIs" dxfId="24" priority="105" operator="notBetween">
      <formula>$AG$11</formula>
      <formula>$AH$11</formula>
    </cfRule>
  </conditionalFormatting>
  <conditionalFormatting sqref="E12:AD12">
    <cfRule type="cellIs" dxfId="23" priority="103" operator="notBetween">
      <formula>$AG$12</formula>
      <formula>$AH$12</formula>
    </cfRule>
    <cfRule type="cellIs" dxfId="22" priority="104" operator="between">
      <formula>$AG$12</formula>
      <formula>$AH$12</formula>
    </cfRule>
  </conditionalFormatting>
  <conditionalFormatting sqref="E13:AD13">
    <cfRule type="cellIs" dxfId="21" priority="7" operator="notBetween">
      <formula>$AG$13</formula>
      <formula>$AH$13</formula>
    </cfRule>
    <cfRule type="cellIs" dxfId="20" priority="8" operator="between">
      <formula>$AG$13</formula>
      <formula>$AH$13</formula>
    </cfRule>
  </conditionalFormatting>
  <conditionalFormatting sqref="E14:AD14">
    <cfRule type="cellIs" dxfId="19" priority="5" operator="notBetween">
      <formula>$AG$14</formula>
      <formula>$AH$14</formula>
    </cfRule>
    <cfRule type="cellIs" dxfId="18" priority="6" operator="between">
      <formula>$AG$14</formula>
      <formula>$AH$14</formula>
    </cfRule>
  </conditionalFormatting>
  <conditionalFormatting sqref="E15:AD15">
    <cfRule type="cellIs" dxfId="17" priority="3" operator="notBetween">
      <formula>$AG$15</formula>
      <formula>$AH$15</formula>
    </cfRule>
    <cfRule type="cellIs" dxfId="16" priority="4" operator="between">
      <formula>$AG$15</formula>
      <formula>$AH$15</formula>
    </cfRule>
  </conditionalFormatting>
  <conditionalFormatting sqref="E16:AD16">
    <cfRule type="cellIs" dxfId="15" priority="1" operator="notBetween">
      <formula>$AG$16</formula>
      <formula>$AH$16</formula>
    </cfRule>
    <cfRule type="cellIs" dxfId="14" priority="2" operator="between">
      <formula>$AG$16</formula>
      <formula>$AH$16</formula>
    </cfRule>
  </conditionalFormatting>
  <conditionalFormatting sqref="E17:AD17">
    <cfRule type="cellIs" dxfId="13" priority="94" operator="between">
      <formula>$AG$17</formula>
      <formula>$AH$17</formula>
    </cfRule>
    <cfRule type="cellIs" dxfId="12" priority="93" operator="notBetween">
      <formula>$AG$17</formula>
      <formula>$AH$17</formula>
    </cfRule>
  </conditionalFormatting>
  <conditionalFormatting sqref="E18:AD18">
    <cfRule type="cellIs" dxfId="11" priority="92" operator="between">
      <formula>$AG$18</formula>
      <formula>$AH$18</formula>
    </cfRule>
    <cfRule type="cellIs" dxfId="10" priority="91" operator="notBetween">
      <formula>$AG$18</formula>
      <formula>$AH$18</formula>
    </cfRule>
  </conditionalFormatting>
  <conditionalFormatting sqref="E19:AD19">
    <cfRule type="cellIs" dxfId="9" priority="89" operator="notBetween">
      <formula>$AG$19</formula>
      <formula>$AH$19</formula>
    </cfRule>
    <cfRule type="cellIs" dxfId="8" priority="90" operator="between">
      <formula>$AG$19</formula>
      <formula>$AH$19</formula>
    </cfRule>
  </conditionalFormatting>
  <conditionalFormatting sqref="E20:AD20">
    <cfRule type="cellIs" dxfId="7" priority="88" operator="between">
      <formula>$AG$20</formula>
      <formula>$AH$20</formula>
    </cfRule>
    <cfRule type="cellIs" dxfId="6" priority="87" operator="notBetween">
      <formula>$AG$20</formula>
      <formula>$AH$20</formula>
    </cfRule>
  </conditionalFormatting>
  <conditionalFormatting sqref="E21:AD22">
    <cfRule type="cellIs" dxfId="5" priority="86" operator="between">
      <formula>$AG$21</formula>
      <formula>$AH$21</formula>
    </cfRule>
    <cfRule type="cellIs" dxfId="4" priority="85" operator="notBetween">
      <formula>$AG$21</formula>
      <formula>$AH$21</formula>
    </cfRule>
  </conditionalFormatting>
  <conditionalFormatting sqref="E23:AD24">
    <cfRule type="cellIs" dxfId="3" priority="84" operator="between">
      <formula>$AG$23</formula>
      <formula>$AH$23</formula>
    </cfRule>
    <cfRule type="cellIs" dxfId="2" priority="83" operator="notBetween">
      <formula>$AG$23</formula>
      <formula>$AH$23</formula>
    </cfRule>
  </conditionalFormatting>
  <conditionalFormatting sqref="AR4:AR24">
    <cfRule type="cellIs" dxfId="1" priority="121" operator="lessThan">
      <formula>3</formula>
    </cfRule>
    <cfRule type="cellIs" dxfId="0" priority="122" operator="greaterThanOrEqual">
      <formula>3</formula>
    </cfRule>
  </conditionalFormatting>
  <pageMargins left="0.7" right="0.7" top="0.75" bottom="0.75" header="0.3" footer="0.3"/>
  <pageSetup paperSize="9" scale="22" orientation="landscape" r:id="rId1"/>
  <ignoredErrors>
    <ignoredError sqref="AE4:AO22 AE23:AE24 AF23:AK23 AF24 AI24:AO24 AQ4:AR2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Mapa de Preços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Guilherme Braz Carneiro</dc:creator>
  <cp:lastModifiedBy>Alexandra Lacerda Ferreira Rios</cp:lastModifiedBy>
  <cp:lastPrinted>2024-11-05T15:55:24Z</cp:lastPrinted>
  <dcterms:created xsi:type="dcterms:W3CDTF">2015-06-05T18:19:34Z</dcterms:created>
  <dcterms:modified xsi:type="dcterms:W3CDTF">2025-01-30T19:28:17Z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559fe9b-6987-45ef-b918-e76911e153f0_Enabled">
    <vt:lpwstr>true</vt:lpwstr>
  </property>
  <property fmtid="{D5CDD505-2E9C-101B-9397-08002B2CF9AE}" pid="3" name="MSIP_Label_0559fe9b-6987-45ef-b918-e76911e153f0_SetDate">
    <vt:lpwstr>2024-10-24T18:34:39Z</vt:lpwstr>
  </property>
  <property fmtid="{D5CDD505-2E9C-101B-9397-08002B2CF9AE}" pid="4" name="MSIP_Label_0559fe9b-6987-45ef-b918-e76911e153f0_Method">
    <vt:lpwstr>Privileged</vt:lpwstr>
  </property>
  <property fmtid="{D5CDD505-2E9C-101B-9397-08002B2CF9AE}" pid="5" name="MSIP_Label_0559fe9b-6987-45ef-b918-e76911e153f0_Name">
    <vt:lpwstr>Público</vt:lpwstr>
  </property>
  <property fmtid="{D5CDD505-2E9C-101B-9397-08002B2CF9AE}" pid="6" name="MSIP_Label_0559fe9b-6987-45ef-b918-e76911e153f0_SiteId">
    <vt:lpwstr>eb090420-444c-43f7-91f2-4b8da6bfe8e1</vt:lpwstr>
  </property>
  <property fmtid="{D5CDD505-2E9C-101B-9397-08002B2CF9AE}" pid="7" name="MSIP_Label_0559fe9b-6987-45ef-b918-e76911e153f0_ActionId">
    <vt:lpwstr>43466416-347a-4168-978a-736f2abf4075</vt:lpwstr>
  </property>
  <property fmtid="{D5CDD505-2E9C-101B-9397-08002B2CF9AE}" pid="8" name="MSIP_Label_0559fe9b-6987-45ef-b918-e76911e153f0_ContentBits">
    <vt:lpwstr>0</vt:lpwstr>
  </property>
</Properties>
</file>