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\SAA\CGL\COPLI\COPLI-DILIC\2022\4 - Processos em Andamento\1 - Pregão\PE nº 21 - Jardinagem\PROPOSTA_R2R FACILITY\"/>
    </mc:Choice>
  </mc:AlternateContent>
  <xr:revisionPtr revIDLastSave="0" documentId="13_ncr:1_{EBB45407-DF2C-433C-AC73-72B4EF3D7CC1}" xr6:coauthVersionLast="47" xr6:coauthVersionMax="47" xr10:uidLastSave="{00000000-0000-0000-0000-000000000000}"/>
  <bookViews>
    <workbookView xWindow="28680" yWindow="-120" windowWidth="29040" windowHeight="15840" activeTab="4" xr2:uid="{00000000-000D-0000-FFFF-FFFF00000000}"/>
  </bookViews>
  <sheets>
    <sheet name="QUADRO RESUMO" sheetId="5" r:id="rId1"/>
    <sheet name="JARDINEIRO" sheetId="1" r:id="rId2"/>
    <sheet name="AUX JARDINAGEM" sheetId="6" r:id="rId3"/>
    <sheet name="ENCARREGADO" sheetId="2" r:id="rId4"/>
    <sheet name="PISCINEIRO" sheetId="7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5" l="1"/>
  <c r="E7" i="5" s="1"/>
  <c r="C6" i="5"/>
  <c r="E6" i="5" s="1"/>
  <c r="C5" i="5"/>
  <c r="E5" i="5" s="1"/>
  <c r="C4" i="5"/>
  <c r="E4" i="5" s="1"/>
  <c r="D69" i="7"/>
  <c r="C69" i="7" s="1"/>
  <c r="D69" i="2"/>
  <c r="C69" i="2"/>
  <c r="D69" i="6"/>
  <c r="C69" i="6" s="1"/>
  <c r="C46" i="7"/>
  <c r="C46" i="2"/>
  <c r="C46" i="6"/>
  <c r="C46" i="1"/>
  <c r="E8" i="5" l="1"/>
  <c r="C8" i="5"/>
  <c r="C69" i="1"/>
  <c r="D69" i="1"/>
  <c r="F7" i="5" l="1"/>
  <c r="F6" i="5"/>
  <c r="F5" i="5"/>
  <c r="C47" i="7"/>
  <c r="C51" i="7" s="1"/>
  <c r="C59" i="7" s="1"/>
  <c r="C47" i="2"/>
  <c r="C47" i="1"/>
  <c r="C47" i="6"/>
  <c r="D8" i="5"/>
  <c r="F122" i="7"/>
  <c r="C121" i="7"/>
  <c r="F121" i="7" s="1"/>
  <c r="C113" i="7"/>
  <c r="C136" i="7" s="1"/>
  <c r="C40" i="7"/>
  <c r="C16" i="7"/>
  <c r="C25" i="7" s="1"/>
  <c r="F121" i="6"/>
  <c r="C121" i="6"/>
  <c r="C113" i="6"/>
  <c r="C136" i="6" s="1"/>
  <c r="C40" i="6"/>
  <c r="C16" i="6"/>
  <c r="C86" i="6" s="1"/>
  <c r="F122" i="2"/>
  <c r="C121" i="2"/>
  <c r="F121" i="2" s="1"/>
  <c r="C113" i="2"/>
  <c r="C136" i="2" s="1"/>
  <c r="C40" i="2"/>
  <c r="C16" i="2"/>
  <c r="C51" i="6" l="1"/>
  <c r="C59" i="6" s="1"/>
  <c r="C51" i="2"/>
  <c r="C59" i="2" s="1"/>
  <c r="C24" i="7"/>
  <c r="C26" i="7" s="1"/>
  <c r="C57" i="7" s="1"/>
  <c r="C132" i="7"/>
  <c r="C66" i="7"/>
  <c r="C68" i="7"/>
  <c r="C70" i="7"/>
  <c r="C86" i="7"/>
  <c r="C25" i="6"/>
  <c r="C24" i="6"/>
  <c r="C26" i="6" s="1"/>
  <c r="C57" i="6" s="1"/>
  <c r="C132" i="6"/>
  <c r="C66" i="6"/>
  <c r="C68" i="6"/>
  <c r="C70" i="6"/>
  <c r="C132" i="2"/>
  <c r="C86" i="2"/>
  <c r="C70" i="2"/>
  <c r="C68" i="2"/>
  <c r="C66" i="2"/>
  <c r="C25" i="2"/>
  <c r="C24" i="2"/>
  <c r="C26" i="2" s="1"/>
  <c r="D33" i="7" l="1"/>
  <c r="D35" i="7"/>
  <c r="D34" i="7"/>
  <c r="D36" i="7"/>
  <c r="D32" i="7"/>
  <c r="D37" i="7"/>
  <c r="D39" i="7"/>
  <c r="D38" i="7"/>
  <c r="C67" i="7"/>
  <c r="C71" i="7" s="1"/>
  <c r="C134" i="7" s="1"/>
  <c r="D38" i="6"/>
  <c r="D33" i="6"/>
  <c r="D34" i="6"/>
  <c r="D32" i="6"/>
  <c r="D37" i="6"/>
  <c r="D36" i="6"/>
  <c r="D39" i="6"/>
  <c r="D35" i="6"/>
  <c r="C67" i="6"/>
  <c r="C71" i="6"/>
  <c r="C134" i="6" s="1"/>
  <c r="C57" i="2"/>
  <c r="D39" i="2"/>
  <c r="D38" i="2"/>
  <c r="D37" i="2"/>
  <c r="D36" i="2"/>
  <c r="D35" i="2"/>
  <c r="D34" i="2"/>
  <c r="D33" i="2"/>
  <c r="D32" i="2"/>
  <c r="C67" i="2"/>
  <c r="C71" i="2" s="1"/>
  <c r="C134" i="2" s="1"/>
  <c r="D40" i="7" l="1"/>
  <c r="C58" i="7" s="1"/>
  <c r="C85" i="7" s="1"/>
  <c r="D40" i="6"/>
  <c r="C58" i="6" s="1"/>
  <c r="D40" i="2"/>
  <c r="C58" i="2" s="1"/>
  <c r="C60" i="2" s="1"/>
  <c r="C85" i="2"/>
  <c r="C84" i="2"/>
  <c r="C83" i="2"/>
  <c r="C82" i="2"/>
  <c r="C81" i="2"/>
  <c r="C80" i="2"/>
  <c r="C87" i="2" l="1"/>
  <c r="C100" i="2" s="1"/>
  <c r="C102" i="2" s="1"/>
  <c r="C135" i="2" s="1"/>
  <c r="C60" i="7"/>
  <c r="C133" i="7" s="1"/>
  <c r="C84" i="7"/>
  <c r="C83" i="7"/>
  <c r="C80" i="7"/>
  <c r="C82" i="7"/>
  <c r="C81" i="7"/>
  <c r="C85" i="6"/>
  <c r="C83" i="6"/>
  <c r="C60" i="6"/>
  <c r="C80" i="6"/>
  <c r="C82" i="6"/>
  <c r="C84" i="6"/>
  <c r="C81" i="6"/>
  <c r="C133" i="2"/>
  <c r="C87" i="7" l="1"/>
  <c r="C100" i="7" s="1"/>
  <c r="C102" i="7" s="1"/>
  <c r="C135" i="7" s="1"/>
  <c r="C137" i="7" s="1"/>
  <c r="E119" i="2"/>
  <c r="D119" i="2" s="1"/>
  <c r="C137" i="2"/>
  <c r="C133" i="6"/>
  <c r="C87" i="6"/>
  <c r="C100" i="6" s="1"/>
  <c r="C102" i="6" s="1"/>
  <c r="C135" i="6" s="1"/>
  <c r="E119" i="7" l="1"/>
  <c r="D119" i="7" s="1"/>
  <c r="E120" i="2"/>
  <c r="D120" i="2" s="1"/>
  <c r="E131" i="2" s="1"/>
  <c r="E119" i="6"/>
  <c r="C137" i="6"/>
  <c r="D122" i="2" l="1"/>
  <c r="D123" i="2"/>
  <c r="D124" i="2"/>
  <c r="D125" i="2"/>
  <c r="E120" i="7"/>
  <c r="D120" i="7" s="1"/>
  <c r="D125" i="7" s="1"/>
  <c r="D119" i="6"/>
  <c r="E120" i="6" s="1"/>
  <c r="D120" i="6" s="1"/>
  <c r="E131" i="6" s="1"/>
  <c r="E132" i="2"/>
  <c r="E133" i="2" s="1"/>
  <c r="F124" i="2" l="1"/>
  <c r="D126" i="2"/>
  <c r="C138" i="2" s="1"/>
  <c r="C139" i="2" s="1"/>
  <c r="C142" i="2" s="1"/>
  <c r="B144" i="2" s="1"/>
  <c r="C144" i="2" s="1"/>
  <c r="E121" i="2"/>
  <c r="F123" i="2"/>
  <c r="D124" i="7"/>
  <c r="D123" i="7"/>
  <c r="E131" i="7"/>
  <c r="D122" i="7"/>
  <c r="E132" i="6"/>
  <c r="E133" i="6" s="1"/>
  <c r="D124" i="6"/>
  <c r="D122" i="6"/>
  <c r="D125" i="6"/>
  <c r="D123" i="6"/>
  <c r="C121" i="1"/>
  <c r="D126" i="6" l="1"/>
  <c r="C138" i="6" s="1"/>
  <c r="C139" i="6" s="1"/>
  <c r="C142" i="6" s="1"/>
  <c r="B144" i="6" s="1"/>
  <c r="C144" i="6" s="1"/>
  <c r="F124" i="7"/>
  <c r="E121" i="7"/>
  <c r="F123" i="7"/>
  <c r="D126" i="7"/>
  <c r="C138" i="7" s="1"/>
  <c r="C139" i="7" s="1"/>
  <c r="C142" i="7" s="1"/>
  <c r="B144" i="7" s="1"/>
  <c r="C144" i="7" s="1"/>
  <c r="E132" i="7"/>
  <c r="E133" i="7" s="1"/>
  <c r="F124" i="6"/>
  <c r="F123" i="6"/>
  <c r="E121" i="6"/>
  <c r="F4" i="5" l="1"/>
  <c r="F8" i="5" l="1"/>
  <c r="C40" i="1"/>
  <c r="C113" i="1" l="1"/>
  <c r="C51" i="1" l="1"/>
  <c r="F121" i="1" l="1"/>
  <c r="C136" i="1"/>
  <c r="C16" i="1"/>
  <c r="C24" i="1" l="1"/>
  <c r="C26" i="1" s="1"/>
  <c r="C25" i="1"/>
  <c r="C66" i="1"/>
  <c r="C68" i="1"/>
  <c r="C70" i="1"/>
  <c r="C59" i="1"/>
  <c r="C86" i="1"/>
  <c r="C132" i="1"/>
  <c r="D36" i="1" l="1"/>
  <c r="D32" i="1"/>
  <c r="D37" i="1"/>
  <c r="D33" i="1"/>
  <c r="D38" i="1"/>
  <c r="D34" i="1"/>
  <c r="D39" i="1"/>
  <c r="D35" i="1"/>
  <c r="C57" i="1"/>
  <c r="D40" i="1" l="1"/>
  <c r="C58" i="1" s="1"/>
  <c r="C60" i="1" s="1"/>
  <c r="C85" i="1" l="1"/>
  <c r="C133" i="1"/>
  <c r="C67" i="1" l="1"/>
  <c r="C71" i="1" s="1"/>
  <c r="C84" i="1" l="1"/>
  <c r="C83" i="1"/>
  <c r="C82" i="1"/>
  <c r="C81" i="1"/>
  <c r="C80" i="1"/>
  <c r="C134" i="1"/>
  <c r="C87" i="1" l="1"/>
  <c r="E119" i="1" s="1"/>
  <c r="D119" i="1" s="1"/>
  <c r="C100" i="1" l="1"/>
  <c r="C102" i="1" s="1"/>
  <c r="C135" i="1" s="1"/>
  <c r="C137" i="1" s="1"/>
  <c r="E120" i="1" l="1"/>
  <c r="D120" i="1" s="1"/>
  <c r="D125" i="1" l="1"/>
  <c r="D123" i="1"/>
  <c r="D124" i="1"/>
  <c r="E131" i="1"/>
  <c r="E132" i="1" s="1"/>
  <c r="E133" i="1" s="1"/>
  <c r="D122" i="1"/>
  <c r="F124" i="1" l="1"/>
  <c r="D126" i="1"/>
  <c r="C138" i="1" s="1"/>
  <c r="E121" i="1"/>
  <c r="F123" i="1"/>
  <c r="C139" i="1" l="1"/>
  <c r="C142" i="1" s="1"/>
  <c r="B144" i="1" s="1"/>
  <c r="C144" i="1" s="1"/>
</calcChain>
</file>

<file path=xl/sharedStrings.xml><?xml version="1.0" encoding="utf-8"?>
<sst xmlns="http://schemas.openxmlformats.org/spreadsheetml/2006/main" count="866" uniqueCount="151">
  <si>
    <t>PLANILHA DE CUSTOS E FORMAÇÃO DE PREÇOS</t>
  </si>
  <si>
    <t>Módulo 1 - Composição da Remuneração</t>
  </si>
  <si>
    <t>Composição da Remuneração</t>
  </si>
  <si>
    <t>Valor (R$)</t>
  </si>
  <si>
    <t>A</t>
  </si>
  <si>
    <t>Salário-Base</t>
  </si>
  <si>
    <t>B</t>
  </si>
  <si>
    <t>Adicional de Periculosidade</t>
  </si>
  <si>
    <t>C</t>
  </si>
  <si>
    <t>Adicional de Insalubridade</t>
  </si>
  <si>
    <t>D</t>
  </si>
  <si>
    <t>Adicional Noturno</t>
  </si>
  <si>
    <t>E</t>
  </si>
  <si>
    <t>Adicional de Hora Noturna Reduzida</t>
  </si>
  <si>
    <t>G</t>
  </si>
  <si>
    <t>Outros (especificar)</t>
  </si>
  <si>
    <t>Total</t>
  </si>
  <si>
    <t>Módulo 2 - Encargos e Benefícios Anuais, Mensais e Diários</t>
  </si>
  <si>
    <t>Submódulo 2.1 - 13º (décimo terceiro) Salário, Férias e Adicional de Férias</t>
  </si>
  <si>
    <t>2.1</t>
  </si>
  <si>
    <t>13º (décimo terceiro) Salário, Férias e Adicional de Férias</t>
  </si>
  <si>
    <t>13º (décimo terceiro) Salário</t>
  </si>
  <si>
    <t>Férias e Adicional de Férias</t>
  </si>
  <si>
    <t>Submódulo 2.2 - Encargos Previdenciários (GPS), Fundo de Garantia por Tempo de Serviço (FGTS) e outras contribuições.</t>
  </si>
  <si>
    <t>2.2</t>
  </si>
  <si>
    <t>GPS, FGTS e outras contribuições</t>
  </si>
  <si>
    <t>Percentual (%)</t>
  </si>
  <si>
    <t>INSS</t>
  </si>
  <si>
    <t>Salário Educação</t>
  </si>
  <si>
    <t>SAT</t>
  </si>
  <si>
    <t>SESC ou SESI</t>
  </si>
  <si>
    <t>SENAI - SENAC</t>
  </si>
  <si>
    <t>F</t>
  </si>
  <si>
    <t>SEBRAE</t>
  </si>
  <si>
    <t>INCRA</t>
  </si>
  <si>
    <t>H</t>
  </si>
  <si>
    <t>FGTS</t>
  </si>
  <si>
    <t xml:space="preserve">Total </t>
  </si>
  <si>
    <t>Submódulo 2.3 - Benefícios Mensais e Diários.</t>
  </si>
  <si>
    <t>2.3</t>
  </si>
  <si>
    <t>Benefícios Mensais e Diários</t>
  </si>
  <si>
    <t>Transporte</t>
  </si>
  <si>
    <t>Auxílio-Refeição/Alimentação</t>
  </si>
  <si>
    <t>Assistência médica Familiar</t>
  </si>
  <si>
    <t>Seguro de Vida, Invalidez e Feneral</t>
  </si>
  <si>
    <t>Auxílio Odontológico</t>
  </si>
  <si>
    <t>Quadro-Resumo do Módulo 2 - Encargos e Benefícios anuais, mensais e diários</t>
  </si>
  <si>
    <t>Encargos e Benefícios Anuais, Mensais e Diários</t>
  </si>
  <si>
    <t>Módulo 3 - Provisão para Rescisão</t>
  </si>
  <si>
    <t>Provisão para Rescisão</t>
  </si>
  <si>
    <t>Aviso Prévio Indenizado</t>
  </si>
  <si>
    <t>Incidência do FGTS sobre o Aviso Prévio Indenizado</t>
  </si>
  <si>
    <t>Anexo XII da IN 05/2017</t>
  </si>
  <si>
    <t>Aviso Prévio Trabalhado</t>
  </si>
  <si>
    <t>Módulo 4 - Custo de Reposição do Profissional Ausente</t>
  </si>
  <si>
    <t>Submódulo 4.1 - Ausências Legais</t>
  </si>
  <si>
    <t>4.1</t>
  </si>
  <si>
    <t>Ausências Legais</t>
  </si>
  <si>
    <t>Submódulo 4.2 - Intrajornada</t>
  </si>
  <si>
    <t>4.2</t>
  </si>
  <si>
    <t>Intrajornada</t>
  </si>
  <si>
    <t>Substituto na cobertura de Intervalo para repouso ou alimentação</t>
  </si>
  <si>
    <t>Quadro-Resumo do Módulo 4 - Custo de Reposição do Profissional Ausente</t>
  </si>
  <si>
    <t>Custo de Reposição do Profissional Ausente</t>
  </si>
  <si>
    <t>Substituto Ausências Legais</t>
  </si>
  <si>
    <t>Substituto na Intrajornada</t>
  </si>
  <si>
    <t>Módulo 5 - Insumos Diversos</t>
  </si>
  <si>
    <t>Insumos Diversos</t>
  </si>
  <si>
    <t>Uniformes</t>
  </si>
  <si>
    <t>Materiais</t>
  </si>
  <si>
    <t>Equipamentos</t>
  </si>
  <si>
    <t>Módulo 6 - Custos Indiretos, Tributos e Lucro</t>
  </si>
  <si>
    <t>Custos Indiretos, Tributos e Lucro</t>
  </si>
  <si>
    <t>Custos Indiretos</t>
  </si>
  <si>
    <t>Lucro</t>
  </si>
  <si>
    <t>Tributos</t>
  </si>
  <si>
    <t>Fator Tributos</t>
  </si>
  <si>
    <t>C.1. Tributos Federais (PIS)</t>
  </si>
  <si>
    <t>C.2. Tributos Estaduais (COFINS)</t>
  </si>
  <si>
    <t xml:space="preserve">PIS + COFINS </t>
  </si>
  <si>
    <t>C.3. Tributos Municipais (ISS)</t>
  </si>
  <si>
    <t>Total dos Tributos</t>
  </si>
  <si>
    <t>2. QUADRO-RESUMO DO CUSTO POR EMPREGADO</t>
  </si>
  <si>
    <t>Mão de obra vinculada à execução contratual (valor por empregado)</t>
  </si>
  <si>
    <t>1º</t>
  </si>
  <si>
    <t>Soma Mod 1,2,3,4 e 5 + CI +L</t>
  </si>
  <si>
    <t>2º</t>
  </si>
  <si>
    <t>1º/(1-Tributo)</t>
  </si>
  <si>
    <t>3º</t>
  </si>
  <si>
    <t>1º - 2º</t>
  </si>
  <si>
    <t>Subtotal (A + B +C+ D+E)</t>
  </si>
  <si>
    <t>Módulo 6 – Custos Indiretos, Tributos e Lucro</t>
  </si>
  <si>
    <t xml:space="preserve">Valor Total por Empregado </t>
  </si>
  <si>
    <t>Quantidade de Empregados</t>
  </si>
  <si>
    <t>Utensílios</t>
  </si>
  <si>
    <t>Base de cálculo - Módulos 1 a 5</t>
  </si>
  <si>
    <t>Base de cálculo - Módulos 1 a 5 + CI</t>
  </si>
  <si>
    <t>Contraprova Tributos</t>
  </si>
  <si>
    <t>FGTS 8%</t>
  </si>
  <si>
    <t>Base de cálculo - Módulo 1 - IN 07</t>
  </si>
  <si>
    <t>Outros</t>
  </si>
  <si>
    <t>Caso haja divergência - foi realiazado o calculo por fora do imposto</t>
  </si>
  <si>
    <t>Calculo do imposto por dentro ou por fora</t>
  </si>
  <si>
    <t>utilizar 12,10% - Conta Vinculada  (Anexo XII da IN 05/17)</t>
  </si>
  <si>
    <t>Cláusula Terceira da CCT</t>
  </si>
  <si>
    <t>Cláusula 14 da CCT - 33,62</t>
  </si>
  <si>
    <t>ORD</t>
  </si>
  <si>
    <t>CATEGORIA PROFISSIONAL</t>
  </si>
  <si>
    <t>Custo total unitário (R$)</t>
  </si>
  <si>
    <t>Quantidade</t>
  </si>
  <si>
    <t>Valor mensal (R$)</t>
  </si>
  <si>
    <t>Valor anual (R$)</t>
  </si>
  <si>
    <t>PREÇO GLOBAL</t>
  </si>
  <si>
    <t>Formula = (Dias 21 ou 22 * 11) (6%*salário base)</t>
  </si>
  <si>
    <t>Substituto na cobertura de Férias</t>
  </si>
  <si>
    <t>Substituto na cobertura de Ausências Legais (estatística - uma/ano) = (1/12)/30</t>
  </si>
  <si>
    <t>Substituto na cobertura de Licença-Paternidade (Estatística 0.,24 % trabalhadores/ano)</t>
  </si>
  <si>
    <t>Substituto na cobertura de Ausência por acidente de trabalho  (estatística IBGE - 8% por ano - 15 dias pagos pela empresa) = [(8%)/12]/2</t>
  </si>
  <si>
    <t>Substituto na cobertura de Afastamento Maternidade (Estatística 0,24 % trabalhadoras/ano) = (0,24%)/12</t>
  </si>
  <si>
    <t>Substituto na cobertura de Outras ausências (especificar)</t>
  </si>
  <si>
    <t>CPRB - Desoneração da folha de pagamento</t>
  </si>
  <si>
    <t>Incidência de GPS, FGTS sobre o Aviso Prévio Trabalhado</t>
  </si>
  <si>
    <t>Multa do FGTS sobre o Aviso Prévio Trabalhado e Indenizado</t>
  </si>
  <si>
    <t>11,36% = 13º SALARIO - 8,33% + ADCIONAL - 3,025%</t>
  </si>
  <si>
    <t>Submódulo 2.1 - B - Férias e Adiconal de Férias - 3,025% + Submódulo 4.1 - A - 9,075% = 12,10%</t>
  </si>
  <si>
    <t xml:space="preserve"> - Conforme Art. 7º, inciso XVII da Constituição Federal de 1988. Percentual de provisão mensal conforme Anexo XII da IN 05/17: 1/11 = 9,09% ≅ 9,075%</t>
  </si>
  <si>
    <t xml:space="preserve"> - Conforme metodologia adotada pela SEGES são 5,96 dias/ano. Cálculo: (5,96/30) x (1/12) = 0,0166 = 1,66%</t>
  </si>
  <si>
    <t xml:space="preserve"> - O cálculo do afastamento maternidade é: 50%*(4/12)*1,5%*(8,33%+11,11%)=0,05%. Onde: 50%= percentual de mulheres nos postos; 4=nº de meses da licença e 1,5% é a taxa de fecundidade no DF, conforme Anuário Estatístico da CODEPLAN</t>
  </si>
  <si>
    <t xml:space="preserve"> - De acordo com o Boletim Estatístico da Previdência Social (BEPS de Dez/2019), o percentual de frequência anual estimada de acidentes de trabalho é de aproximadamente 2,16%. Dessa forma o cálculo corresponde a: [(15 / 360) x 2,16%)], onde 15 = nº de dias da licença</t>
  </si>
  <si>
    <t xml:space="preserve"> - Percentual AVT = [(7/30)/12] = 1,944%. Conforme Acórdão TCU 3006/2010–Plenário.</t>
  </si>
  <si>
    <t xml:space="preserve"> - Percentual AVI = ((1 / 12) x 5,55%) = 0,46%. Onde: 5,55% = percentual de empregados demitidos que não trabalham durante o aviso prévio, conforme referência do Acórdão TCU nº 1.904/2007.</t>
  </si>
  <si>
    <t xml:space="preserve"> - 20%, conforme art. 22, inciso I, da Lei 8.212/91.</t>
  </si>
  <si>
    <t xml:space="preserve"> - 2,50%, conforme art. 15, da Lei nº 9.424/96; do art. 2º do Decreto nº 3.142/99; e art. 212, § 5º da CF.</t>
  </si>
  <si>
    <t xml:space="preserve"> - O SAT a depender do grau de risco do serviço irá variar entre 1%, para risco leve, de 2%, para risco médio, e de 3% de risco grave. Além disso, o SAT pode ser multiplicado por um índice (FAP) que varia entre 0,5 e 2, fazendo com que este item da planilha possa varia entre 0,5 e 6,00%. Para fins de elaboração de preço de referência, usou-se o percentual intermediário de 3,00%. </t>
  </si>
  <si>
    <t xml:space="preserve"> - 1,50%, conforme art. 30 da Lei nº 8.036/90.</t>
  </si>
  <si>
    <t xml:space="preserve"> - 1,00%, conforme Decreto-Lei nº 2.318/86.</t>
  </si>
  <si>
    <t xml:space="preserve"> - 0,60%, conforme Lei nº 8.029/90.</t>
  </si>
  <si>
    <t xml:space="preserve"> - 0,20%, conf. art. 1º e 2º do Decreto-Lei nº 1.146/70.</t>
  </si>
  <si>
    <t xml:space="preserve"> - 8,00%. O tributo está previsto no art. 7º, Inciso III, da Constituição Federal, tendo sido regulamentado pela Lei nº 8.030/90, art. 15.</t>
  </si>
  <si>
    <t xml:space="preserve"> A - Conforme Lei nº 4.090/1962 e Art. 7º, inciso VIII da Constituição Federal de 1988. Percentual de provisão mensal: 1/12 = 8,33%</t>
  </si>
  <si>
    <t xml:space="preserve"> B - Conforme Art. 7º, inciso XVII da Constituição Federal de 1988. Percentual de provisão mensal conforme Anexo XII da IN 05/17: (1/3)/11 = 3,03% ≅ 3,025%</t>
  </si>
  <si>
    <t>Cláusula da CCT</t>
  </si>
  <si>
    <t>PREGÃO ELETRÔNICO N.º 21/2022</t>
  </si>
  <si>
    <t>JARDINAGEM</t>
  </si>
  <si>
    <t>AUX JARDINAGEM</t>
  </si>
  <si>
    <t>ENCARREGADO</t>
  </si>
  <si>
    <t xml:space="preserve">PISCINEIRO </t>
  </si>
  <si>
    <t>POSTO - ITEM 4: PISCINEIRO</t>
  </si>
  <si>
    <t>POSTO - ITEM 3: ENCARREGADO</t>
  </si>
  <si>
    <t>POSTO - ITEM 2: AUXILIAR DE JARDINAGEM</t>
  </si>
  <si>
    <t xml:space="preserve">POSTO - ITEM 1: JARDINEIRO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</si>
</sst>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* #,##0.00_-;\-&quot;R$&quot;* #,##0.00_-;_-&quot;R$&quot;* &quot;-&quot;??_-;_-@_-"/>
    <numFmt numFmtId="164" formatCode="0.0000"/>
    <numFmt numFmtId="165" formatCode="_(* #,##0.00_);_(* \(#,##0.00\);_(* \-??_);_(@_)"/>
    <numFmt numFmtId="166" formatCode="_-&quot;R$ &quot;* #,##0.00_-;&quot;-R$ &quot;* #,##0.00_-;_-&quot;R$ &quot;* \-??_-;_-@_-"/>
    <numFmt numFmtId="167" formatCode="&quot;R$&quot;\ #,##0.00"/>
    <numFmt numFmtId="169" formatCode="0.000%"/>
    <numFmt numFmtId="170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0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9" tint="-0.249977111117893"/>
      <name val="Times New Roman"/>
      <family val="1"/>
    </font>
    <font>
      <sz val="12"/>
      <name val="Times New Roman"/>
      <family val="1"/>
    </font>
    <font>
      <b/>
      <sz val="12"/>
      <color theme="9" tint="-0.249977111117893"/>
      <name val="Times New Roman"/>
      <family val="1"/>
    </font>
    <font>
      <b/>
      <sz val="12"/>
      <color rgb="FFFF0000"/>
      <name val="Times New Roman"/>
      <family val="1"/>
    </font>
    <font>
      <sz val="12"/>
      <color theme="9"/>
      <name val="Times New Roman"/>
      <family val="1"/>
    </font>
    <font>
      <b/>
      <sz val="12"/>
      <color theme="9"/>
      <name val="Times New Roman"/>
      <family val="1"/>
    </font>
    <font>
      <b/>
      <sz val="14"/>
      <color theme="1"/>
      <name val="Times New Roman"/>
      <family val="1"/>
    </font>
    <font>
      <b/>
      <sz val="12"/>
      <name val="Times New Roman"/>
      <family val="1"/>
    </font>
    <font>
      <sz val="11"/>
      <color indexed="8"/>
      <name val="Calibri"/>
      <family val="2"/>
      <charset val="1"/>
    </font>
    <font>
      <b/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14" fillId="0" borderId="0"/>
    <xf numFmtId="165" fontId="14" fillId="0" borderId="0" applyBorder="0" applyProtection="0"/>
    <xf numFmtId="166" fontId="14" fillId="0" borderId="0" applyBorder="0" applyProtection="0"/>
    <xf numFmtId="9" fontId="14" fillId="0" borderId="0" applyBorder="0" applyProtection="0"/>
  </cellStyleXfs>
  <cellXfs count="123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44" fontId="3" fillId="0" borderId="4" xfId="1" applyFont="1" applyBorder="1" applyAlignment="1">
      <alignment horizontal="center" vertical="center" wrapText="1"/>
    </xf>
    <xf numFmtId="44" fontId="3" fillId="0" borderId="0" xfId="0" applyNumberFormat="1" applyFont="1"/>
    <xf numFmtId="44" fontId="3" fillId="4" borderId="0" xfId="0" applyNumberFormat="1" applyFont="1" applyFill="1"/>
    <xf numFmtId="44" fontId="5" fillId="0" borderId="4" xfId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44" fontId="3" fillId="0" borderId="4" xfId="0" applyNumberFormat="1" applyFont="1" applyBorder="1" applyAlignment="1">
      <alignment horizontal="center" vertical="center" wrapText="1"/>
    </xf>
    <xf numFmtId="44" fontId="3" fillId="4" borderId="4" xfId="1" applyFont="1" applyFill="1" applyBorder="1" applyAlignment="1">
      <alignment horizontal="center" vertical="center" wrapText="1"/>
    </xf>
    <xf numFmtId="44" fontId="5" fillId="0" borderId="4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0" fontId="3" fillId="0" borderId="4" xfId="0" applyNumberFormat="1" applyFont="1" applyBorder="1" applyAlignment="1">
      <alignment horizontal="center" vertical="center" wrapText="1"/>
    </xf>
    <xf numFmtId="44" fontId="3" fillId="4" borderId="4" xfId="0" applyNumberFormat="1" applyFont="1" applyFill="1" applyBorder="1" applyAlignment="1">
      <alignment horizontal="center" vertical="center" wrapText="1"/>
    </xf>
    <xf numFmtId="10" fontId="5" fillId="0" borderId="4" xfId="0" applyNumberFormat="1" applyFont="1" applyBorder="1" applyAlignment="1">
      <alignment horizontal="center" vertical="center" wrapText="1"/>
    </xf>
    <xf numFmtId="0" fontId="6" fillId="0" borderId="0" xfId="0" applyFont="1"/>
    <xf numFmtId="0" fontId="3" fillId="0" borderId="0" xfId="0" applyFont="1" applyAlignment="1">
      <alignment vertical="top" wrapText="1"/>
    </xf>
    <xf numFmtId="0" fontId="4" fillId="4" borderId="0" xfId="0" applyFont="1" applyFill="1"/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horizontal="justify" vertical="center" wrapText="1"/>
    </xf>
    <xf numFmtId="10" fontId="3" fillId="0" borderId="0" xfId="0" applyNumberFormat="1" applyFont="1"/>
    <xf numFmtId="44" fontId="6" fillId="0" borderId="0" xfId="0" applyNumberFormat="1" applyFont="1"/>
    <xf numFmtId="10" fontId="3" fillId="4" borderId="0" xfId="0" applyNumberFormat="1" applyFont="1" applyFill="1"/>
    <xf numFmtId="44" fontId="5" fillId="4" borderId="4" xfId="0" applyNumberFormat="1" applyFont="1" applyFill="1" applyBorder="1" applyAlignment="1">
      <alignment horizontal="center" vertical="center" wrapText="1"/>
    </xf>
    <xf numFmtId="0" fontId="3" fillId="4" borderId="0" xfId="0" applyFont="1" applyFill="1"/>
    <xf numFmtId="0" fontId="3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44" fontId="3" fillId="0" borderId="6" xfId="0" applyNumberFormat="1" applyFont="1" applyBorder="1" applyAlignment="1">
      <alignment horizontal="center" vertical="center" wrapText="1"/>
    </xf>
    <xf numFmtId="0" fontId="3" fillId="0" borderId="7" xfId="0" applyFont="1" applyBorder="1"/>
    <xf numFmtId="0" fontId="6" fillId="0" borderId="7" xfId="0" applyFont="1" applyBorder="1"/>
    <xf numFmtId="44" fontId="3" fillId="0" borderId="7" xfId="0" applyNumberFormat="1" applyFont="1" applyBorder="1"/>
    <xf numFmtId="0" fontId="5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44" fontId="3" fillId="0" borderId="6" xfId="0" applyNumberFormat="1" applyFont="1" applyBorder="1" applyAlignment="1">
      <alignment vertical="center" wrapText="1"/>
    </xf>
    <xf numFmtId="44" fontId="4" fillId="0" borderId="7" xfId="0" applyNumberFormat="1" applyFont="1" applyBorder="1"/>
    <xf numFmtId="16" fontId="3" fillId="0" borderId="7" xfId="0" applyNumberFormat="1" applyFont="1" applyBorder="1"/>
    <xf numFmtId="44" fontId="3" fillId="0" borderId="4" xfId="0" applyNumberFormat="1" applyFont="1" applyBorder="1" applyAlignment="1">
      <alignment vertical="center" wrapText="1"/>
    </xf>
    <xf numFmtId="0" fontId="5" fillId="6" borderId="7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10" fontId="3" fillId="0" borderId="7" xfId="0" applyNumberFormat="1" applyFont="1" applyBorder="1"/>
    <xf numFmtId="44" fontId="3" fillId="4" borderId="7" xfId="0" applyNumberFormat="1" applyFont="1" applyFill="1" applyBorder="1" applyAlignment="1">
      <alignment horizontal="center" vertical="center" wrapText="1"/>
    </xf>
    <xf numFmtId="44" fontId="8" fillId="4" borderId="0" xfId="0" applyNumberFormat="1" applyFont="1" applyFill="1" applyBorder="1" applyAlignment="1">
      <alignment horizontal="center" vertical="center" wrapText="1"/>
    </xf>
    <xf numFmtId="44" fontId="6" fillId="4" borderId="0" xfId="0" applyNumberFormat="1" applyFont="1" applyFill="1" applyBorder="1" applyAlignment="1">
      <alignment horizontal="left" vertical="center" wrapText="1"/>
    </xf>
    <xf numFmtId="44" fontId="3" fillId="7" borderId="7" xfId="0" applyNumberFormat="1" applyFont="1" applyFill="1" applyBorder="1"/>
    <xf numFmtId="0" fontId="8" fillId="0" borderId="7" xfId="0" applyNumberFormat="1" applyFont="1" applyBorder="1"/>
    <xf numFmtId="44" fontId="3" fillId="0" borderId="7" xfId="1" applyFont="1" applyBorder="1"/>
    <xf numFmtId="0" fontId="7" fillId="4" borderId="7" xfId="1" applyNumberFormat="1" applyFont="1" applyFill="1" applyBorder="1" applyAlignment="1">
      <alignment horizontal="center"/>
    </xf>
    <xf numFmtId="0" fontId="7" fillId="0" borderId="7" xfId="0" applyFont="1" applyBorder="1" applyAlignment="1">
      <alignment vertical="top" wrapText="1"/>
    </xf>
    <xf numFmtId="44" fontId="9" fillId="4" borderId="0" xfId="0" applyNumberFormat="1" applyFont="1" applyFill="1" applyBorder="1" applyAlignment="1">
      <alignment horizontal="center" vertical="center" wrapText="1"/>
    </xf>
    <xf numFmtId="164" fontId="10" fillId="0" borderId="0" xfId="0" applyNumberFormat="1" applyFont="1"/>
    <xf numFmtId="0" fontId="4" fillId="0" borderId="0" xfId="0" applyFont="1" applyAlignment="1">
      <alignment horizontal="center"/>
    </xf>
    <xf numFmtId="44" fontId="5" fillId="8" borderId="7" xfId="0" applyNumberFormat="1" applyFont="1" applyFill="1" applyBorder="1"/>
    <xf numFmtId="0" fontId="3" fillId="4" borderId="4" xfId="0" applyFont="1" applyFill="1" applyBorder="1" applyAlignment="1">
      <alignment vertical="center" wrapText="1"/>
    </xf>
    <xf numFmtId="0" fontId="7" fillId="4" borderId="7" xfId="0" applyFont="1" applyFill="1" applyBorder="1" applyAlignment="1">
      <alignment horizontal="center"/>
    </xf>
    <xf numFmtId="0" fontId="5" fillId="0" borderId="0" xfId="0" applyFont="1"/>
    <xf numFmtId="0" fontId="12" fillId="0" borderId="0" xfId="0" applyFont="1"/>
    <xf numFmtId="0" fontId="5" fillId="9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44" fontId="7" fillId="4" borderId="4" xfId="0" applyNumberFormat="1" applyFont="1" applyFill="1" applyBorder="1" applyAlignment="1">
      <alignment horizontal="center" vertical="center" wrapText="1"/>
    </xf>
    <xf numFmtId="0" fontId="10" fillId="4" borderId="0" xfId="0" applyFont="1" applyFill="1"/>
    <xf numFmtId="44" fontId="7" fillId="4" borderId="4" xfId="1" applyFont="1" applyFill="1" applyBorder="1" applyAlignment="1">
      <alignment horizontal="center" vertical="center" wrapText="1"/>
    </xf>
    <xf numFmtId="44" fontId="7" fillId="4" borderId="6" xfId="0" applyNumberFormat="1" applyFont="1" applyFill="1" applyBorder="1" applyAlignment="1">
      <alignment horizontal="center" vertical="center" wrapText="1"/>
    </xf>
    <xf numFmtId="44" fontId="5" fillId="9" borderId="4" xfId="0" applyNumberFormat="1" applyFont="1" applyFill="1" applyBorder="1" applyAlignment="1">
      <alignment vertical="center" wrapText="1"/>
    </xf>
    <xf numFmtId="44" fontId="13" fillId="10" borderId="0" xfId="0" applyNumberFormat="1" applyFont="1" applyFill="1"/>
    <xf numFmtId="0" fontId="8" fillId="0" borderId="0" xfId="0" applyFont="1" applyAlignment="1">
      <alignment horizontal="left" vertical="center"/>
    </xf>
    <xf numFmtId="44" fontId="11" fillId="0" borderId="0" xfId="0" applyNumberFormat="1" applyFont="1" applyAlignment="1">
      <alignment horizontal="left" vertical="center"/>
    </xf>
    <xf numFmtId="0" fontId="14" fillId="0" borderId="0" xfId="2" applyAlignment="1">
      <alignment horizontal="center"/>
    </xf>
    <xf numFmtId="44" fontId="5" fillId="4" borderId="4" xfId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44" fontId="4" fillId="0" borderId="0" xfId="0" applyNumberFormat="1" applyFont="1" applyBorder="1"/>
    <xf numFmtId="0" fontId="3" fillId="0" borderId="0" xfId="0" applyFont="1" applyBorder="1"/>
    <xf numFmtId="0" fontId="3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44" fontId="5" fillId="4" borderId="0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4" xfId="0" applyNumberFormat="1" applyFont="1" applyBorder="1" applyAlignment="1">
      <alignment vertical="center" wrapText="1"/>
    </xf>
    <xf numFmtId="167" fontId="18" fillId="0" borderId="9" xfId="2" applyNumberFormat="1" applyFont="1" applyBorder="1" applyAlignment="1">
      <alignment horizontal="center"/>
    </xf>
    <xf numFmtId="0" fontId="19" fillId="0" borderId="0" xfId="2" applyFont="1" applyAlignment="1">
      <alignment horizontal="center"/>
    </xf>
    <xf numFmtId="0" fontId="18" fillId="0" borderId="9" xfId="2" applyFont="1" applyBorder="1" applyAlignment="1">
      <alignment horizontal="center" vertical="center"/>
    </xf>
    <xf numFmtId="0" fontId="18" fillId="0" borderId="9" xfId="2" applyFont="1" applyBorder="1" applyAlignment="1">
      <alignment horizontal="center" vertical="center" wrapText="1"/>
    </xf>
    <xf numFmtId="4" fontId="18" fillId="0" borderId="9" xfId="2" applyNumberFormat="1" applyFont="1" applyBorder="1" applyAlignment="1">
      <alignment horizontal="center" vertical="center" wrapText="1"/>
    </xf>
    <xf numFmtId="0" fontId="17" fillId="0" borderId="9" xfId="2" applyFont="1" applyBorder="1" applyAlignment="1">
      <alignment horizontal="center" vertical="center"/>
    </xf>
    <xf numFmtId="0" fontId="18" fillId="0" borderId="9" xfId="2" applyFont="1" applyBorder="1" applyAlignment="1">
      <alignment horizontal="center"/>
    </xf>
    <xf numFmtId="167" fontId="17" fillId="0" borderId="9" xfId="2" applyNumberFormat="1" applyFont="1" applyBorder="1" applyAlignment="1">
      <alignment horizontal="center"/>
    </xf>
    <xf numFmtId="167" fontId="18" fillId="9" borderId="9" xfId="2" applyNumberFormat="1" applyFont="1" applyFill="1" applyBorder="1" applyAlignment="1">
      <alignment horizontal="center"/>
    </xf>
    <xf numFmtId="0" fontId="16" fillId="0" borderId="0" xfId="0" applyFont="1"/>
    <xf numFmtId="10" fontId="5" fillId="0" borderId="1" xfId="0" applyNumberFormat="1" applyFont="1" applyBorder="1" applyAlignment="1">
      <alignment horizontal="center"/>
    </xf>
    <xf numFmtId="10" fontId="13" fillId="4" borderId="4" xfId="0" applyNumberFormat="1" applyFont="1" applyFill="1" applyBorder="1" applyAlignment="1">
      <alignment horizontal="center" vertical="center" wrapText="1"/>
    </xf>
    <xf numFmtId="10" fontId="5" fillId="9" borderId="4" xfId="0" applyNumberFormat="1" applyFont="1" applyFill="1" applyBorder="1" applyAlignment="1">
      <alignment horizontal="center" vertical="center" wrapText="1"/>
    </xf>
    <xf numFmtId="169" fontId="5" fillId="4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170" fontId="5" fillId="0" borderId="4" xfId="0" applyNumberFormat="1" applyFont="1" applyBorder="1" applyAlignment="1">
      <alignment horizontal="center" vertical="center" wrapText="1"/>
    </xf>
    <xf numFmtId="44" fontId="5" fillId="9" borderId="4" xfId="0" applyNumberFormat="1" applyFont="1" applyFill="1" applyBorder="1" applyAlignment="1">
      <alignment horizontal="center" vertical="center" wrapText="1"/>
    </xf>
    <xf numFmtId="44" fontId="3" fillId="0" borderId="4" xfId="1" applyFont="1" applyBorder="1" applyAlignment="1">
      <alignment vertical="center" wrapText="1"/>
    </xf>
    <xf numFmtId="170" fontId="5" fillId="8" borderId="4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44" fontId="3" fillId="9" borderId="4" xfId="1" applyFont="1" applyFill="1" applyBorder="1" applyAlignment="1">
      <alignment horizontal="center" vertical="center" wrapText="1"/>
    </xf>
    <xf numFmtId="0" fontId="18" fillId="0" borderId="9" xfId="2" applyFont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5" fillId="3" borderId="0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0" fontId="18" fillId="11" borderId="10" xfId="2" applyFont="1" applyFill="1" applyBorder="1" applyAlignment="1">
      <alignment horizontal="center" vertical="center"/>
    </xf>
    <xf numFmtId="0" fontId="18" fillId="11" borderId="10" xfId="2" applyFont="1" applyFill="1" applyBorder="1" applyAlignment="1">
      <alignment horizontal="center" vertical="center" wrapText="1"/>
    </xf>
    <xf numFmtId="4" fontId="18" fillId="11" borderId="10" xfId="2" applyNumberFormat="1" applyFont="1" applyFill="1" applyBorder="1" applyAlignment="1">
      <alignment horizontal="center" vertical="center" wrapText="1"/>
    </xf>
    <xf numFmtId="0" fontId="20" fillId="9" borderId="7" xfId="0" applyFont="1" applyFill="1" applyBorder="1" applyAlignment="1">
      <alignment horizontal="center"/>
    </xf>
  </cellXfs>
  <cellStyles count="6">
    <cellStyle name="Excel Built-in Explanatory Text" xfId="3" xr:uid="{00000000-0005-0000-0000-000000000000}"/>
    <cellStyle name="Moeda" xfId="1" builtinId="4"/>
    <cellStyle name="Moeda 2" xfId="4" xr:uid="{00000000-0005-0000-0000-000002000000}"/>
    <cellStyle name="Normal" xfId="0" builtinId="0"/>
    <cellStyle name="Normal 2" xfId="2" xr:uid="{00000000-0005-0000-0000-000004000000}"/>
    <cellStyle name="Porcentagem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ilha%20de%20Custo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RESUMO"/>
      <sheetName val="JARDINEIRO"/>
      <sheetName val="AUX JARDINAGEM"/>
      <sheetName val="ENCARREGADO"/>
      <sheetName val="PISCINEIRO"/>
      <sheetName val="OPERADOR DE MÍDIAS - 44H"/>
    </sheetNames>
    <sheetDataSet>
      <sheetData sheetId="0"/>
      <sheetData sheetId="1">
        <row r="138">
          <cell r="C138">
            <v>522.26852583479126</v>
          </cell>
        </row>
        <row r="139">
          <cell r="C139">
            <v>5218.72</v>
          </cell>
        </row>
      </sheetData>
      <sheetData sheetId="2">
        <row r="138">
          <cell r="C138">
            <v>398.01791750848889</v>
          </cell>
        </row>
        <row r="139">
          <cell r="C139">
            <v>3968.46</v>
          </cell>
        </row>
      </sheetData>
      <sheetData sheetId="3">
        <row r="139">
          <cell r="C139">
            <v>6490.51</v>
          </cell>
        </row>
      </sheetData>
      <sheetData sheetId="4">
        <row r="139">
          <cell r="C139">
            <v>3951.19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0"/>
  <sheetViews>
    <sheetView workbookViewId="0">
      <selection activeCell="H11" sqref="H11"/>
    </sheetView>
  </sheetViews>
  <sheetFormatPr defaultRowHeight="15" x14ac:dyDescent="0.25"/>
  <cols>
    <col min="2" max="2" width="30.28515625" customWidth="1"/>
    <col min="3" max="3" width="21.85546875" customWidth="1"/>
    <col min="4" max="4" width="18" customWidth="1"/>
    <col min="5" max="5" width="16.42578125" customWidth="1"/>
    <col min="6" max="6" width="16.7109375" customWidth="1"/>
    <col min="7" max="7" width="28.140625" customWidth="1"/>
    <col min="8" max="8" width="18.140625" customWidth="1"/>
  </cols>
  <sheetData>
    <row r="1" spans="1:7" x14ac:dyDescent="0.25">
      <c r="A1" s="122" t="s">
        <v>142</v>
      </c>
      <c r="B1" s="122"/>
      <c r="C1" s="122"/>
      <c r="D1" s="122"/>
      <c r="E1" s="122"/>
      <c r="F1" s="122"/>
    </row>
    <row r="2" spans="1:7" ht="28.5" x14ac:dyDescent="0.25">
      <c r="A2" s="119" t="s">
        <v>106</v>
      </c>
      <c r="B2" s="120" t="s">
        <v>107</v>
      </c>
      <c r="C2" s="121" t="s">
        <v>108</v>
      </c>
      <c r="D2" s="120" t="s">
        <v>109</v>
      </c>
      <c r="E2" s="120" t="s">
        <v>110</v>
      </c>
      <c r="F2" s="120" t="s">
        <v>111</v>
      </c>
      <c r="G2" s="73"/>
    </row>
    <row r="3" spans="1:7" x14ac:dyDescent="0.25">
      <c r="A3" s="88"/>
      <c r="B3" s="89"/>
      <c r="C3" s="90"/>
      <c r="D3" s="89"/>
      <c r="E3" s="89"/>
      <c r="F3" s="89"/>
    </row>
    <row r="4" spans="1:7" x14ac:dyDescent="0.25">
      <c r="A4" s="91">
        <v>1</v>
      </c>
      <c r="B4" s="92" t="s">
        <v>143</v>
      </c>
      <c r="C4" s="86">
        <f>[1]JARDINEIRO!C139</f>
        <v>5218.72</v>
      </c>
      <c r="D4" s="92">
        <v>2</v>
      </c>
      <c r="E4" s="93">
        <f>D4*C4</f>
        <v>10437.44</v>
      </c>
      <c r="F4" s="93">
        <f>SUM(E4*12)</f>
        <v>125249.28</v>
      </c>
    </row>
    <row r="5" spans="1:7" x14ac:dyDescent="0.25">
      <c r="A5" s="91">
        <v>2</v>
      </c>
      <c r="B5" s="92" t="s">
        <v>144</v>
      </c>
      <c r="C5" s="86">
        <f>'[1]AUX JARDINAGEM'!C139</f>
        <v>3968.46</v>
      </c>
      <c r="D5" s="92">
        <v>6</v>
      </c>
      <c r="E5" s="93">
        <f>D5*C5</f>
        <v>23810.760000000002</v>
      </c>
      <c r="F5" s="93">
        <f t="shared" ref="F5:F7" si="0">SUM(E5*12)</f>
        <v>285729.12</v>
      </c>
    </row>
    <row r="6" spans="1:7" x14ac:dyDescent="0.25">
      <c r="A6" s="91">
        <v>3</v>
      </c>
      <c r="B6" s="92" t="s">
        <v>145</v>
      </c>
      <c r="C6" s="86">
        <f>[1]ENCARREGADO!C139</f>
        <v>6490.51</v>
      </c>
      <c r="D6" s="92">
        <v>1</v>
      </c>
      <c r="E6" s="93">
        <f>1*C6</f>
        <v>6490.51</v>
      </c>
      <c r="F6" s="93">
        <f t="shared" si="0"/>
        <v>77886.12</v>
      </c>
    </row>
    <row r="7" spans="1:7" x14ac:dyDescent="0.25">
      <c r="A7" s="91">
        <v>4</v>
      </c>
      <c r="B7" s="92" t="s">
        <v>146</v>
      </c>
      <c r="C7" s="86">
        <f>[1]PISCINEIRO!C139</f>
        <v>3951.19</v>
      </c>
      <c r="D7" s="92">
        <v>2</v>
      </c>
      <c r="E7" s="93">
        <f>D7*C7</f>
        <v>7902.38</v>
      </c>
      <c r="F7" s="93">
        <f t="shared" si="0"/>
        <v>94828.56</v>
      </c>
    </row>
    <row r="8" spans="1:7" x14ac:dyDescent="0.25">
      <c r="A8" s="109" t="s">
        <v>112</v>
      </c>
      <c r="B8" s="109"/>
      <c r="C8" s="86">
        <f>SUM(C4:C7)</f>
        <v>19628.88</v>
      </c>
      <c r="D8" s="92">
        <f>SUM(D4:D7)</f>
        <v>11</v>
      </c>
      <c r="E8" s="86">
        <f>SUM(E4:E7)</f>
        <v>48641.090000000004</v>
      </c>
      <c r="F8" s="94">
        <f>SUM(F4:F7)</f>
        <v>583693.08000000007</v>
      </c>
    </row>
    <row r="9" spans="1:7" ht="15.75" x14ac:dyDescent="0.25">
      <c r="A9" s="87"/>
      <c r="B9" s="87"/>
      <c r="C9" s="87"/>
      <c r="D9" s="1"/>
      <c r="E9" s="1"/>
      <c r="F9" s="1"/>
    </row>
    <row r="10" spans="1:7" x14ac:dyDescent="0.25">
      <c r="A10" s="71"/>
      <c r="B10" s="71"/>
      <c r="C10" s="71"/>
    </row>
  </sheetData>
  <mergeCells count="2">
    <mergeCell ref="A8:B8"/>
    <mergeCell ref="A1:F1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44"/>
  <sheetViews>
    <sheetView topLeftCell="A119" workbookViewId="0">
      <selection activeCell="C139" sqref="C139"/>
    </sheetView>
  </sheetViews>
  <sheetFormatPr defaultRowHeight="15.75" x14ac:dyDescent="0.25"/>
  <cols>
    <col min="1" max="1" width="9.140625" style="1"/>
    <col min="2" max="2" width="72.140625" style="1" customWidth="1"/>
    <col min="3" max="3" width="18" style="1" customWidth="1"/>
    <col min="4" max="4" width="17.5703125" style="1" customWidth="1"/>
    <col min="5" max="5" width="14.140625" style="1" customWidth="1"/>
    <col min="6" max="6" width="55.7109375" style="1" bestFit="1" customWidth="1"/>
    <col min="7" max="7" width="36.140625" style="1" customWidth="1"/>
    <col min="8" max="9" width="9.140625" style="1"/>
    <col min="10" max="10" width="11.5703125" style="1" bestFit="1" customWidth="1"/>
    <col min="11" max="16384" width="9.140625" style="1"/>
  </cols>
  <sheetData>
    <row r="1" spans="1:5" ht="23.25" x14ac:dyDescent="0.35">
      <c r="A1" s="115" t="s">
        <v>0</v>
      </c>
      <c r="B1" s="115"/>
      <c r="C1" s="115"/>
      <c r="D1" s="115"/>
      <c r="E1" s="105"/>
    </row>
    <row r="2" spans="1:5" x14ac:dyDescent="0.25">
      <c r="A2" s="62"/>
      <c r="B2" s="55"/>
      <c r="C2" s="62"/>
      <c r="D2" s="62"/>
    </row>
    <row r="3" spans="1:5" x14ac:dyDescent="0.25">
      <c r="A3" s="62"/>
      <c r="B3" s="55"/>
      <c r="C3" s="62"/>
      <c r="D3" s="62"/>
    </row>
    <row r="4" spans="1:5" x14ac:dyDescent="0.25">
      <c r="A4" s="62"/>
      <c r="B4" s="55"/>
      <c r="C4" s="62"/>
      <c r="D4" s="62"/>
    </row>
    <row r="5" spans="1:5" x14ac:dyDescent="0.25">
      <c r="A5" s="62"/>
      <c r="B5" s="61" t="s">
        <v>150</v>
      </c>
      <c r="C5" s="62"/>
      <c r="D5" s="62"/>
    </row>
    <row r="6" spans="1:5" x14ac:dyDescent="0.25">
      <c r="A6" s="116" t="s">
        <v>1</v>
      </c>
      <c r="B6" s="116"/>
      <c r="C6" s="116"/>
    </row>
    <row r="7" spans="1:5" ht="16.5" thickBot="1" x14ac:dyDescent="0.3"/>
    <row r="8" spans="1:5" ht="16.5" thickBot="1" x14ac:dyDescent="0.3">
      <c r="A8" s="2">
        <v>1</v>
      </c>
      <c r="B8" s="84" t="s">
        <v>2</v>
      </c>
      <c r="C8" s="84" t="s">
        <v>3</v>
      </c>
    </row>
    <row r="9" spans="1:5" ht="16.5" thickBot="1" x14ac:dyDescent="0.3">
      <c r="A9" s="3" t="s">
        <v>4</v>
      </c>
      <c r="B9" s="4" t="s">
        <v>5</v>
      </c>
      <c r="C9" s="5">
        <v>2091.6799999999998</v>
      </c>
      <c r="D9" s="17"/>
      <c r="E9" s="1" t="s">
        <v>104</v>
      </c>
    </row>
    <row r="10" spans="1:5" ht="16.5" thickBot="1" x14ac:dyDescent="0.3">
      <c r="A10" s="3" t="s">
        <v>6</v>
      </c>
      <c r="B10" s="4" t="s">
        <v>7</v>
      </c>
      <c r="C10" s="5"/>
    </row>
    <row r="11" spans="1:5" ht="16.5" thickBot="1" x14ac:dyDescent="0.3">
      <c r="A11" s="3" t="s">
        <v>8</v>
      </c>
      <c r="B11" s="4" t="s">
        <v>9</v>
      </c>
      <c r="C11" s="5"/>
    </row>
    <row r="12" spans="1:5" ht="16.5" thickBot="1" x14ac:dyDescent="0.3">
      <c r="A12" s="3" t="s">
        <v>10</v>
      </c>
      <c r="B12" s="4" t="s">
        <v>11</v>
      </c>
      <c r="C12" s="5"/>
    </row>
    <row r="13" spans="1:5" ht="16.5" thickBot="1" x14ac:dyDescent="0.3">
      <c r="A13" s="3" t="s">
        <v>12</v>
      </c>
      <c r="B13" s="4" t="s">
        <v>13</v>
      </c>
      <c r="C13" s="5"/>
    </row>
    <row r="14" spans="1:5" ht="16.5" thickBot="1" x14ac:dyDescent="0.3">
      <c r="A14" s="3"/>
      <c r="B14" s="4"/>
      <c r="C14" s="5"/>
    </row>
    <row r="15" spans="1:5" ht="16.5" thickBot="1" x14ac:dyDescent="0.3">
      <c r="A15" s="3" t="s">
        <v>14</v>
      </c>
      <c r="B15" s="4" t="s">
        <v>15</v>
      </c>
      <c r="C15" s="5"/>
    </row>
    <row r="16" spans="1:5" ht="16.5" thickBot="1" x14ac:dyDescent="0.3">
      <c r="A16" s="111" t="s">
        <v>16</v>
      </c>
      <c r="B16" s="112"/>
      <c r="C16" s="8">
        <f>SUM(C9:C15)</f>
        <v>2091.6799999999998</v>
      </c>
    </row>
    <row r="19" spans="1:15" x14ac:dyDescent="0.25">
      <c r="A19" s="110" t="s">
        <v>17</v>
      </c>
      <c r="B19" s="110"/>
      <c r="C19" s="110"/>
    </row>
    <row r="20" spans="1:15" x14ac:dyDescent="0.25">
      <c r="A20" s="9"/>
    </row>
    <row r="21" spans="1:15" x14ac:dyDescent="0.25">
      <c r="A21" s="113" t="s">
        <v>18</v>
      </c>
      <c r="B21" s="113"/>
      <c r="C21" s="113"/>
      <c r="K21" s="95"/>
      <c r="L21" s="95"/>
    </row>
    <row r="22" spans="1:15" ht="16.5" thickBot="1" x14ac:dyDescent="0.3">
      <c r="E22" s="95" t="s">
        <v>139</v>
      </c>
      <c r="F22" s="95"/>
      <c r="G22" s="95"/>
      <c r="H22" s="95"/>
      <c r="I22" s="95"/>
      <c r="J22" s="95"/>
      <c r="K22" s="95"/>
      <c r="L22" s="95"/>
      <c r="M22" s="95"/>
      <c r="N22" s="95"/>
      <c r="O22" s="95"/>
    </row>
    <row r="23" spans="1:15" ht="16.5" thickBot="1" x14ac:dyDescent="0.3">
      <c r="A23" s="2" t="s">
        <v>19</v>
      </c>
      <c r="B23" s="84" t="s">
        <v>20</v>
      </c>
      <c r="C23" s="84" t="s">
        <v>3</v>
      </c>
      <c r="E23" s="95" t="s">
        <v>140</v>
      </c>
      <c r="F23" s="95"/>
      <c r="G23" s="95"/>
      <c r="H23" s="95"/>
      <c r="I23" s="95"/>
      <c r="J23" s="95"/>
    </row>
    <row r="24" spans="1:15" ht="16.5" thickBot="1" x14ac:dyDescent="0.3">
      <c r="A24" s="3" t="s">
        <v>4</v>
      </c>
      <c r="B24" s="4" t="s">
        <v>21</v>
      </c>
      <c r="C24" s="10">
        <f>C16*8.33%</f>
        <v>174.23694399999999</v>
      </c>
      <c r="E24" s="1" t="s">
        <v>123</v>
      </c>
    </row>
    <row r="25" spans="1:15" ht="16.5" thickBot="1" x14ac:dyDescent="0.3">
      <c r="A25" s="3" t="s">
        <v>6</v>
      </c>
      <c r="B25" s="57" t="s">
        <v>22</v>
      </c>
      <c r="C25" s="11">
        <f>C16*3.025%</f>
        <v>63.273319999999991</v>
      </c>
      <c r="E25" s="30" t="s">
        <v>103</v>
      </c>
    </row>
    <row r="26" spans="1:15" ht="16.5" thickBot="1" x14ac:dyDescent="0.3">
      <c r="A26" s="111" t="s">
        <v>16</v>
      </c>
      <c r="B26" s="112"/>
      <c r="C26" s="12">
        <f>ROUND(SUM(C24:C25),2)</f>
        <v>237.51</v>
      </c>
      <c r="E26" s="59" t="s">
        <v>124</v>
      </c>
      <c r="F26" s="59"/>
    </row>
    <row r="28" spans="1:15" x14ac:dyDescent="0.25">
      <c r="E28" s="17"/>
    </row>
    <row r="29" spans="1:15" ht="32.25" customHeight="1" x14ac:dyDescent="0.25">
      <c r="A29" s="117" t="s">
        <v>23</v>
      </c>
      <c r="B29" s="117"/>
      <c r="C29" s="117"/>
      <c r="D29" s="117"/>
      <c r="E29" s="17"/>
    </row>
    <row r="30" spans="1:15" ht="16.5" thickBot="1" x14ac:dyDescent="0.3">
      <c r="E30" s="17"/>
    </row>
    <row r="31" spans="1:15" ht="16.5" thickBot="1" x14ac:dyDescent="0.3">
      <c r="A31" s="2" t="s">
        <v>24</v>
      </c>
      <c r="B31" s="84" t="s">
        <v>25</v>
      </c>
      <c r="C31" s="84" t="s">
        <v>26</v>
      </c>
      <c r="D31" s="84" t="s">
        <v>3</v>
      </c>
      <c r="E31" s="17"/>
    </row>
    <row r="32" spans="1:15" ht="16.5" thickBot="1" x14ac:dyDescent="0.3">
      <c r="A32" s="3" t="s">
        <v>4</v>
      </c>
      <c r="B32" s="57" t="s">
        <v>27</v>
      </c>
      <c r="C32" s="97">
        <v>0.2</v>
      </c>
      <c r="D32" s="15">
        <f>(C$16+C$26)*C32</f>
        <v>465.83799999999997</v>
      </c>
      <c r="E32" s="17"/>
      <c r="F32" s="95" t="s">
        <v>131</v>
      </c>
      <c r="G32" s="95"/>
      <c r="H32" s="95"/>
    </row>
    <row r="33" spans="1:39" ht="16.5" thickBot="1" x14ac:dyDescent="0.3">
      <c r="A33" s="3" t="s">
        <v>6</v>
      </c>
      <c r="B33" s="4" t="s">
        <v>28</v>
      </c>
      <c r="C33" s="16">
        <v>2.5000000000000001E-2</v>
      </c>
      <c r="D33" s="15">
        <f>(C$16+C$26)*C33</f>
        <v>58.229749999999996</v>
      </c>
      <c r="E33" s="17"/>
      <c r="F33" s="95" t="s">
        <v>132</v>
      </c>
      <c r="G33" s="95"/>
      <c r="H33" s="95"/>
      <c r="I33" s="95"/>
      <c r="J33" s="95"/>
      <c r="K33" s="95"/>
    </row>
    <row r="34" spans="1:39" ht="16.5" thickBot="1" x14ac:dyDescent="0.3">
      <c r="A34" s="3" t="s">
        <v>8</v>
      </c>
      <c r="B34" s="57" t="s">
        <v>29</v>
      </c>
      <c r="C34" s="98">
        <v>1.4999999999999999E-2</v>
      </c>
      <c r="D34" s="15">
        <f t="shared" ref="D34:D39" si="0">(C$16+C$26)*C34</f>
        <v>34.93784999999999</v>
      </c>
      <c r="E34" s="17"/>
      <c r="F34" s="95" t="s">
        <v>133</v>
      </c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</row>
    <row r="35" spans="1:39" ht="16.5" thickBot="1" x14ac:dyDescent="0.3">
      <c r="A35" s="3" t="s">
        <v>10</v>
      </c>
      <c r="B35" s="4" t="s">
        <v>30</v>
      </c>
      <c r="C35" s="16">
        <v>1.4999999999999999E-2</v>
      </c>
      <c r="D35" s="15">
        <f t="shared" si="0"/>
        <v>34.93784999999999</v>
      </c>
      <c r="E35" s="17"/>
      <c r="F35" s="95" t="s">
        <v>134</v>
      </c>
      <c r="G35" s="95"/>
      <c r="H35" s="95"/>
    </row>
    <row r="36" spans="1:39" ht="16.5" thickBot="1" x14ac:dyDescent="0.3">
      <c r="A36" s="3" t="s">
        <v>12</v>
      </c>
      <c r="B36" s="4" t="s">
        <v>31</v>
      </c>
      <c r="C36" s="16">
        <v>0.01</v>
      </c>
      <c r="D36" s="15">
        <f t="shared" si="0"/>
        <v>23.291899999999995</v>
      </c>
      <c r="E36" s="17"/>
      <c r="F36" s="95" t="s">
        <v>135</v>
      </c>
      <c r="G36" s="95"/>
      <c r="H36" s="95"/>
    </row>
    <row r="37" spans="1:39" ht="16.5" thickBot="1" x14ac:dyDescent="0.3">
      <c r="A37" s="3" t="s">
        <v>32</v>
      </c>
      <c r="B37" s="4" t="s">
        <v>33</v>
      </c>
      <c r="C37" s="16">
        <v>6.0000000000000001E-3</v>
      </c>
      <c r="D37" s="15">
        <f t="shared" si="0"/>
        <v>13.975139999999998</v>
      </c>
      <c r="E37" s="17"/>
      <c r="F37" s="95" t="s">
        <v>136</v>
      </c>
      <c r="G37" s="95"/>
      <c r="H37" s="95"/>
    </row>
    <row r="38" spans="1:39" ht="16.5" thickBot="1" x14ac:dyDescent="0.3">
      <c r="A38" s="3" t="s">
        <v>14</v>
      </c>
      <c r="B38" s="4" t="s">
        <v>34</v>
      </c>
      <c r="C38" s="16">
        <v>2E-3</v>
      </c>
      <c r="D38" s="15">
        <f t="shared" si="0"/>
        <v>4.6583799999999993</v>
      </c>
      <c r="E38" s="17"/>
      <c r="F38" s="95" t="s">
        <v>137</v>
      </c>
      <c r="G38" s="95"/>
      <c r="H38" s="95"/>
      <c r="I38" s="95"/>
    </row>
    <row r="39" spans="1:39" ht="16.5" thickBot="1" x14ac:dyDescent="0.3">
      <c r="A39" s="3" t="s">
        <v>35</v>
      </c>
      <c r="B39" s="4" t="s">
        <v>36</v>
      </c>
      <c r="C39" s="16">
        <v>0.08</v>
      </c>
      <c r="D39" s="15">
        <f t="shared" si="0"/>
        <v>186.33519999999996</v>
      </c>
      <c r="E39" s="17"/>
      <c r="F39" s="95" t="s">
        <v>138</v>
      </c>
      <c r="G39" s="95"/>
      <c r="H39" s="95"/>
      <c r="I39" s="95"/>
      <c r="J39" s="95"/>
      <c r="K39" s="95"/>
      <c r="L39" s="95"/>
      <c r="M39" s="95"/>
      <c r="N39" s="95"/>
    </row>
    <row r="40" spans="1:39" ht="16.5" thickBot="1" x14ac:dyDescent="0.3">
      <c r="A40" s="111" t="s">
        <v>37</v>
      </c>
      <c r="B40" s="112"/>
      <c r="C40" s="16">
        <f>SUM(C32:C39)</f>
        <v>0.35300000000000004</v>
      </c>
      <c r="D40" s="12">
        <f>ROUND(SUM(D32:D39),2)</f>
        <v>822.2</v>
      </c>
      <c r="E40" s="17"/>
    </row>
    <row r="43" spans="1:39" x14ac:dyDescent="0.25">
      <c r="A43" s="113" t="s">
        <v>38</v>
      </c>
      <c r="B43" s="113"/>
      <c r="C43" s="113"/>
      <c r="D43" s="6"/>
    </row>
    <row r="44" spans="1:39" ht="16.5" thickBot="1" x14ac:dyDescent="0.3"/>
    <row r="45" spans="1:39" ht="16.5" thickBot="1" x14ac:dyDescent="0.3">
      <c r="A45" s="2" t="s">
        <v>39</v>
      </c>
      <c r="B45" s="84" t="s">
        <v>40</v>
      </c>
      <c r="C45" s="84" t="s">
        <v>3</v>
      </c>
    </row>
    <row r="46" spans="1:39" ht="16.5" thickBot="1" x14ac:dyDescent="0.3">
      <c r="A46" s="3" t="s">
        <v>4</v>
      </c>
      <c r="B46" s="57" t="s">
        <v>41</v>
      </c>
      <c r="C46" s="65">
        <f>ROUND(IF((D46*2*21)-(C9*6%)&gt;0,(D46*2*21)-(C9*6%),0),2)</f>
        <v>105.5</v>
      </c>
      <c r="D46" s="7">
        <v>5.5</v>
      </c>
      <c r="E46" s="64"/>
      <c r="F46" s="58">
        <v>21</v>
      </c>
      <c r="G46" s="1" t="s">
        <v>113</v>
      </c>
    </row>
    <row r="47" spans="1:39" ht="16.5" thickBot="1" x14ac:dyDescent="0.3">
      <c r="A47" s="3" t="s">
        <v>6</v>
      </c>
      <c r="B47" s="4" t="s">
        <v>42</v>
      </c>
      <c r="C47" s="108">
        <f>D47*F47</f>
        <v>798</v>
      </c>
      <c r="D47" s="6">
        <v>38</v>
      </c>
      <c r="E47" s="17"/>
      <c r="F47" s="51">
        <v>21</v>
      </c>
    </row>
    <row r="48" spans="1:39" ht="16.5" thickBot="1" x14ac:dyDescent="0.3">
      <c r="A48" s="3" t="s">
        <v>8</v>
      </c>
      <c r="B48" s="4" t="s">
        <v>43</v>
      </c>
      <c r="C48" s="5"/>
      <c r="E48" s="17"/>
      <c r="F48" s="52"/>
    </row>
    <row r="49" spans="1:6" ht="16.5" thickBot="1" x14ac:dyDescent="0.3">
      <c r="A49" s="3" t="s">
        <v>10</v>
      </c>
      <c r="B49" s="4" t="s">
        <v>44</v>
      </c>
      <c r="C49" s="5"/>
      <c r="E49" s="17"/>
      <c r="F49" s="18"/>
    </row>
    <row r="50" spans="1:6" ht="16.5" thickBot="1" x14ac:dyDescent="0.3">
      <c r="A50" s="3" t="s">
        <v>12</v>
      </c>
      <c r="B50" s="4" t="s">
        <v>45</v>
      </c>
      <c r="C50" s="5"/>
      <c r="E50" s="17"/>
    </row>
    <row r="51" spans="1:6" ht="16.5" thickBot="1" x14ac:dyDescent="0.3">
      <c r="A51" s="111" t="s">
        <v>16</v>
      </c>
      <c r="B51" s="112"/>
      <c r="C51" s="72">
        <f>SUM(C46:C50)</f>
        <v>903.5</v>
      </c>
      <c r="E51" s="69"/>
    </row>
    <row r="54" spans="1:6" x14ac:dyDescent="0.25">
      <c r="A54" s="113" t="s">
        <v>46</v>
      </c>
      <c r="B54" s="113"/>
      <c r="C54" s="113"/>
    </row>
    <row r="55" spans="1:6" ht="16.5" thickBot="1" x14ac:dyDescent="0.3"/>
    <row r="56" spans="1:6" ht="16.5" thickBot="1" x14ac:dyDescent="0.3">
      <c r="A56" s="2">
        <v>2</v>
      </c>
      <c r="B56" s="84" t="s">
        <v>47</v>
      </c>
      <c r="C56" s="84" t="s">
        <v>3</v>
      </c>
    </row>
    <row r="57" spans="1:6" ht="16.5" thickBot="1" x14ac:dyDescent="0.3">
      <c r="A57" s="3" t="s">
        <v>19</v>
      </c>
      <c r="B57" s="4" t="s">
        <v>20</v>
      </c>
      <c r="C57" s="10">
        <f>C26</f>
        <v>237.51</v>
      </c>
      <c r="D57" s="43"/>
    </row>
    <row r="58" spans="1:6" ht="16.5" thickBot="1" x14ac:dyDescent="0.3">
      <c r="A58" s="3" t="s">
        <v>24</v>
      </c>
      <c r="B58" s="4" t="s">
        <v>25</v>
      </c>
      <c r="C58" s="10">
        <f>D40</f>
        <v>822.2</v>
      </c>
      <c r="D58" s="43"/>
    </row>
    <row r="59" spans="1:6" ht="16.5" thickBot="1" x14ac:dyDescent="0.3">
      <c r="A59" s="3" t="s">
        <v>39</v>
      </c>
      <c r="B59" s="4" t="s">
        <v>40</v>
      </c>
      <c r="C59" s="10">
        <f>C51</f>
        <v>903.5</v>
      </c>
      <c r="D59" s="43"/>
    </row>
    <row r="60" spans="1:6" ht="16.5" thickBot="1" x14ac:dyDescent="0.3">
      <c r="A60" s="111" t="s">
        <v>16</v>
      </c>
      <c r="B60" s="112"/>
      <c r="C60" s="25">
        <f>ROUND(SUM(C57:C59),2)</f>
        <v>1963.21</v>
      </c>
      <c r="D60" s="43"/>
    </row>
    <row r="61" spans="1:6" x14ac:dyDescent="0.25">
      <c r="A61" s="20"/>
    </row>
    <row r="63" spans="1:6" x14ac:dyDescent="0.25">
      <c r="A63" s="118" t="s">
        <v>48</v>
      </c>
      <c r="B63" s="118"/>
      <c r="C63" s="118"/>
    </row>
    <row r="64" spans="1:6" ht="16.5" thickBot="1" x14ac:dyDescent="0.3"/>
    <row r="65" spans="1:20" ht="16.5" thickBot="1" x14ac:dyDescent="0.3">
      <c r="A65" s="2">
        <v>3</v>
      </c>
      <c r="B65" s="84" t="s">
        <v>49</v>
      </c>
      <c r="C65" s="84" t="s">
        <v>3</v>
      </c>
      <c r="D65" s="84" t="s">
        <v>26</v>
      </c>
      <c r="F65" s="30" t="s">
        <v>99</v>
      </c>
    </row>
    <row r="66" spans="1:20" ht="16.5" thickBot="1" x14ac:dyDescent="0.3">
      <c r="A66" s="3" t="s">
        <v>4</v>
      </c>
      <c r="B66" s="21" t="s">
        <v>50</v>
      </c>
      <c r="C66" s="10">
        <f>(C16)*D66</f>
        <v>8.7850559999999991</v>
      </c>
      <c r="D66" s="96">
        <v>4.1999999999999997E-3</v>
      </c>
      <c r="E66" s="23"/>
      <c r="F66" s="95" t="s">
        <v>130</v>
      </c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</row>
    <row r="67" spans="1:20" ht="16.5" thickBot="1" x14ac:dyDescent="0.3">
      <c r="A67" s="3" t="s">
        <v>6</v>
      </c>
      <c r="B67" s="21" t="s">
        <v>51</v>
      </c>
      <c r="C67" s="10">
        <f>C39*C66</f>
        <v>0.70280447999999995</v>
      </c>
      <c r="D67" s="96">
        <v>0.08</v>
      </c>
      <c r="E67" s="23"/>
      <c r="F67" s="1" t="s">
        <v>98</v>
      </c>
    </row>
    <row r="68" spans="1:20" ht="16.5" thickBot="1" x14ac:dyDescent="0.3">
      <c r="A68" s="3" t="s">
        <v>8</v>
      </c>
      <c r="B68" s="21" t="s">
        <v>53</v>
      </c>
      <c r="C68" s="10">
        <f>(C16)*D68</f>
        <v>40.578592</v>
      </c>
      <c r="D68" s="96">
        <v>1.9400000000000001E-2</v>
      </c>
      <c r="E68" s="23"/>
      <c r="F68" s="95" t="s">
        <v>129</v>
      </c>
      <c r="G68" s="95"/>
      <c r="H68" s="95"/>
      <c r="I68" s="95"/>
      <c r="J68" s="95"/>
    </row>
    <row r="69" spans="1:20" ht="16.5" thickBot="1" x14ac:dyDescent="0.3">
      <c r="A69" s="3" t="s">
        <v>10</v>
      </c>
      <c r="B69" s="77" t="s">
        <v>121</v>
      </c>
      <c r="C69" s="15">
        <f>D69*C68</f>
        <v>14.324242976000001</v>
      </c>
      <c r="D69" s="96">
        <f>C40</f>
        <v>0.35300000000000004</v>
      </c>
      <c r="E69" s="23"/>
    </row>
    <row r="70" spans="1:20" ht="16.5" thickBot="1" x14ac:dyDescent="0.3">
      <c r="A70" s="3" t="s">
        <v>12</v>
      </c>
      <c r="B70" s="76" t="s">
        <v>122</v>
      </c>
      <c r="C70" s="63">
        <f>C16*D70</f>
        <v>83.667199999999994</v>
      </c>
      <c r="D70" s="96">
        <v>0.04</v>
      </c>
      <c r="E70" s="54"/>
      <c r="F70" s="44" t="s">
        <v>52</v>
      </c>
    </row>
    <row r="71" spans="1:20" ht="16.5" thickBot="1" x14ac:dyDescent="0.3">
      <c r="A71" s="111" t="s">
        <v>16</v>
      </c>
      <c r="B71" s="112"/>
      <c r="C71" s="25">
        <f>ROUND(SUM(C66:C70),2)</f>
        <v>148.06</v>
      </c>
      <c r="D71" s="19"/>
      <c r="E71" s="70"/>
    </row>
    <row r="74" spans="1:20" x14ac:dyDescent="0.25">
      <c r="A74" s="110" t="s">
        <v>54</v>
      </c>
      <c r="B74" s="110"/>
      <c r="C74" s="110"/>
    </row>
    <row r="77" spans="1:20" x14ac:dyDescent="0.25">
      <c r="A77" s="113" t="s">
        <v>55</v>
      </c>
      <c r="B77" s="113"/>
      <c r="C77" s="113"/>
    </row>
    <row r="78" spans="1:20" ht="16.5" thickBot="1" x14ac:dyDescent="0.3">
      <c r="A78" s="9"/>
    </row>
    <row r="79" spans="1:20" ht="16.5" thickBot="1" x14ac:dyDescent="0.3">
      <c r="A79" s="2" t="s">
        <v>56</v>
      </c>
      <c r="B79" s="84" t="s">
        <v>57</v>
      </c>
      <c r="C79" s="84" t="s">
        <v>3</v>
      </c>
      <c r="D79" s="84" t="s">
        <v>26</v>
      </c>
      <c r="F79" s="30" t="s">
        <v>99</v>
      </c>
    </row>
    <row r="80" spans="1:20" ht="16.5" thickBot="1" x14ac:dyDescent="0.3">
      <c r="A80" s="3" t="s">
        <v>4</v>
      </c>
      <c r="B80" s="76" t="s">
        <v>114</v>
      </c>
      <c r="C80" s="10">
        <f>D80*(C16+C57+C58+C71)</f>
        <v>299.42508749999996</v>
      </c>
      <c r="D80" s="99">
        <v>9.0749999999999997E-2</v>
      </c>
      <c r="F80" s="95" t="s">
        <v>125</v>
      </c>
      <c r="G80" s="95"/>
      <c r="H80" s="95"/>
      <c r="I80" s="95"/>
      <c r="J80" s="95"/>
      <c r="K80" s="95"/>
      <c r="L80" s="95"/>
      <c r="M80" s="95"/>
      <c r="N80" s="95"/>
      <c r="O80" s="95"/>
      <c r="P80" s="95"/>
    </row>
    <row r="81" spans="1:28" ht="16.5" thickBot="1" x14ac:dyDescent="0.3">
      <c r="A81" s="3" t="s">
        <v>6</v>
      </c>
      <c r="B81" s="76" t="s">
        <v>115</v>
      </c>
      <c r="C81" s="10">
        <f>D81*(C16+C57+C58+C71)</f>
        <v>9.2384599999999981</v>
      </c>
      <c r="D81" s="96">
        <v>2.8E-3</v>
      </c>
      <c r="F81" s="95" t="s">
        <v>126</v>
      </c>
      <c r="G81" s="95"/>
      <c r="H81" s="95"/>
      <c r="I81" s="95"/>
      <c r="J81" s="95"/>
      <c r="K81" s="95"/>
    </row>
    <row r="82" spans="1:28" ht="16.5" thickBot="1" x14ac:dyDescent="0.3">
      <c r="A82" s="3" t="s">
        <v>8</v>
      </c>
      <c r="B82" s="76" t="s">
        <v>116</v>
      </c>
      <c r="C82" s="10">
        <f>D82*(C16+C57+C58+C71)</f>
        <v>2.3096149999999995</v>
      </c>
      <c r="D82" s="96">
        <v>6.9999999999999999E-4</v>
      </c>
    </row>
    <row r="83" spans="1:28" ht="32.25" thickBot="1" x14ac:dyDescent="0.3">
      <c r="A83" s="3" t="s">
        <v>10</v>
      </c>
      <c r="B83" s="77" t="s">
        <v>117</v>
      </c>
      <c r="C83" s="10">
        <f>D83*(C16+C57+C58+C71)</f>
        <v>1.3197799999999997</v>
      </c>
      <c r="D83" s="96">
        <v>4.0000000000000002E-4</v>
      </c>
      <c r="F83" s="95" t="s">
        <v>128</v>
      </c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5"/>
      <c r="Z83" s="95"/>
      <c r="AA83" s="95"/>
      <c r="AB83" s="95"/>
    </row>
    <row r="84" spans="1:28" ht="32.25" thickBot="1" x14ac:dyDescent="0.3">
      <c r="A84" s="3" t="s">
        <v>12</v>
      </c>
      <c r="B84" s="77" t="s">
        <v>118</v>
      </c>
      <c r="C84" s="10">
        <f>D84*(C16+C57+C58+C71)</f>
        <v>0.65988999999999987</v>
      </c>
      <c r="D84" s="96">
        <v>2.0000000000000001E-4</v>
      </c>
      <c r="F84" s="95" t="s">
        <v>127</v>
      </c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5"/>
    </row>
    <row r="85" spans="1:28" ht="16.5" thickBot="1" x14ac:dyDescent="0.3">
      <c r="A85" s="3" t="s">
        <v>32</v>
      </c>
      <c r="B85" s="76" t="s">
        <v>119</v>
      </c>
      <c r="C85" s="10">
        <f>D85*(C16+C58+C59+C72)</f>
        <v>0</v>
      </c>
      <c r="D85" s="96"/>
    </row>
    <row r="86" spans="1:28" ht="16.5" thickBot="1" x14ac:dyDescent="0.3">
      <c r="A86" s="3" t="s">
        <v>14</v>
      </c>
      <c r="B86" s="78" t="s">
        <v>15</v>
      </c>
      <c r="C86" s="10">
        <f>C16*D86</f>
        <v>0</v>
      </c>
      <c r="D86" s="100"/>
    </row>
    <row r="87" spans="1:28" ht="16.5" thickBot="1" x14ac:dyDescent="0.3">
      <c r="A87" s="111" t="s">
        <v>37</v>
      </c>
      <c r="B87" s="112"/>
      <c r="C87" s="25">
        <f>SUM(C80:C86)</f>
        <v>312.95283249999994</v>
      </c>
      <c r="D87" s="26"/>
    </row>
    <row r="90" spans="1:28" x14ac:dyDescent="0.25">
      <c r="A90" s="113" t="s">
        <v>58</v>
      </c>
      <c r="B90" s="113"/>
      <c r="C90" s="113"/>
    </row>
    <row r="91" spans="1:28" ht="16.5" thickBot="1" x14ac:dyDescent="0.3">
      <c r="A91" s="9"/>
    </row>
    <row r="92" spans="1:28" ht="16.5" thickBot="1" x14ac:dyDescent="0.3">
      <c r="A92" s="2" t="s">
        <v>59</v>
      </c>
      <c r="B92" s="84" t="s">
        <v>60</v>
      </c>
      <c r="C92" s="84" t="s">
        <v>3</v>
      </c>
    </row>
    <row r="93" spans="1:28" ht="16.5" thickBot="1" x14ac:dyDescent="0.3">
      <c r="A93" s="3" t="s">
        <v>4</v>
      </c>
      <c r="B93" s="4" t="s">
        <v>61</v>
      </c>
      <c r="C93" s="27"/>
      <c r="D93" s="26"/>
    </row>
    <row r="94" spans="1:28" ht="16.5" thickBot="1" x14ac:dyDescent="0.3">
      <c r="A94" s="111" t="s">
        <v>16</v>
      </c>
      <c r="B94" s="112"/>
      <c r="C94" s="27"/>
    </row>
    <row r="97" spans="1:5" x14ac:dyDescent="0.25">
      <c r="A97" s="113" t="s">
        <v>62</v>
      </c>
      <c r="B97" s="113"/>
      <c r="C97" s="113"/>
    </row>
    <row r="98" spans="1:5" ht="16.5" thickBot="1" x14ac:dyDescent="0.3">
      <c r="A98" s="9"/>
    </row>
    <row r="99" spans="1:5" ht="16.5" thickBot="1" x14ac:dyDescent="0.3">
      <c r="A99" s="2">
        <v>4</v>
      </c>
      <c r="B99" s="84" t="s">
        <v>63</v>
      </c>
      <c r="C99" s="84" t="s">
        <v>3</v>
      </c>
    </row>
    <row r="100" spans="1:5" ht="16.5" thickBot="1" x14ac:dyDescent="0.3">
      <c r="A100" s="3" t="s">
        <v>56</v>
      </c>
      <c r="B100" s="4" t="s">
        <v>64</v>
      </c>
      <c r="C100" s="5">
        <f>C87</f>
        <v>312.95283249999994</v>
      </c>
      <c r="D100" s="24"/>
      <c r="E100" s="22"/>
    </row>
    <row r="101" spans="1:5" ht="16.5" thickBot="1" x14ac:dyDescent="0.3">
      <c r="A101" s="3" t="s">
        <v>59</v>
      </c>
      <c r="B101" s="4" t="s">
        <v>65</v>
      </c>
      <c r="C101" s="5"/>
    </row>
    <row r="102" spans="1:5" ht="16.5" thickBot="1" x14ac:dyDescent="0.3">
      <c r="A102" s="111" t="s">
        <v>16</v>
      </c>
      <c r="B102" s="112"/>
      <c r="C102" s="12">
        <f>SUM(C100:C101)</f>
        <v>312.95283249999994</v>
      </c>
      <c r="D102" s="42"/>
      <c r="E102" s="55"/>
    </row>
    <row r="105" spans="1:5" x14ac:dyDescent="0.25">
      <c r="A105" s="110" t="s">
        <v>66</v>
      </c>
      <c r="B105" s="110"/>
      <c r="C105" s="110"/>
    </row>
    <row r="106" spans="1:5" ht="16.5" thickBot="1" x14ac:dyDescent="0.3"/>
    <row r="107" spans="1:5" ht="16.5" thickBot="1" x14ac:dyDescent="0.3">
      <c r="A107" s="2">
        <v>5</v>
      </c>
      <c r="B107" s="28" t="s">
        <v>67</v>
      </c>
      <c r="C107" s="84" t="s">
        <v>3</v>
      </c>
    </row>
    <row r="108" spans="1:5" ht="16.5" thickBot="1" x14ac:dyDescent="0.3">
      <c r="A108" s="3" t="s">
        <v>4</v>
      </c>
      <c r="B108" s="4" t="s">
        <v>68</v>
      </c>
      <c r="C108" s="5">
        <v>44.5</v>
      </c>
    </row>
    <row r="109" spans="1:5" ht="16.5" thickBot="1" x14ac:dyDescent="0.3">
      <c r="A109" s="3" t="s">
        <v>6</v>
      </c>
      <c r="B109" s="4" t="s">
        <v>69</v>
      </c>
      <c r="C109" s="5">
        <v>131.61000000000001</v>
      </c>
    </row>
    <row r="110" spans="1:5" ht="16.5" thickBot="1" x14ac:dyDescent="0.3">
      <c r="A110" s="3" t="s">
        <v>8</v>
      </c>
      <c r="B110" s="4" t="s">
        <v>70</v>
      </c>
      <c r="C110" s="5">
        <v>4.43</v>
      </c>
    </row>
    <row r="111" spans="1:5" ht="16.5" thickBot="1" x14ac:dyDescent="0.3">
      <c r="A111" s="3" t="s">
        <v>10</v>
      </c>
      <c r="B111" s="4" t="s">
        <v>94</v>
      </c>
      <c r="C111" s="5"/>
    </row>
    <row r="112" spans="1:5" ht="16.5" thickBot="1" x14ac:dyDescent="0.3">
      <c r="A112" s="3" t="s">
        <v>12</v>
      </c>
      <c r="B112" s="4" t="s">
        <v>100</v>
      </c>
      <c r="C112" s="5"/>
    </row>
    <row r="113" spans="1:10" ht="16.5" thickBot="1" x14ac:dyDescent="0.3">
      <c r="A113" s="111" t="s">
        <v>37</v>
      </c>
      <c r="B113" s="112"/>
      <c r="C113" s="12">
        <f>SUM(C108:C112)</f>
        <v>180.54000000000002</v>
      </c>
      <c r="D113" s="42"/>
    </row>
    <row r="116" spans="1:10" x14ac:dyDescent="0.25">
      <c r="A116" s="110" t="s">
        <v>71</v>
      </c>
      <c r="B116" s="110"/>
      <c r="C116" s="110"/>
    </row>
    <row r="117" spans="1:10" ht="19.5" thickBot="1" x14ac:dyDescent="0.35">
      <c r="F117" s="60" t="s">
        <v>102</v>
      </c>
    </row>
    <row r="118" spans="1:10" ht="16.5" thickBot="1" x14ac:dyDescent="0.3">
      <c r="A118" s="2">
        <v>6</v>
      </c>
      <c r="B118" s="28" t="s">
        <v>72</v>
      </c>
      <c r="C118" s="84" t="s">
        <v>26</v>
      </c>
      <c r="D118" s="84" t="s">
        <v>3</v>
      </c>
      <c r="E118" s="13"/>
    </row>
    <row r="119" spans="1:10" ht="16.5" thickBot="1" x14ac:dyDescent="0.3">
      <c r="A119" s="3" t="s">
        <v>4</v>
      </c>
      <c r="B119" s="4" t="s">
        <v>73</v>
      </c>
      <c r="C119" s="16">
        <v>0.01</v>
      </c>
      <c r="D119" s="29">
        <f>ROUND((E119*C119),2)</f>
        <v>46.96</v>
      </c>
      <c r="E119" s="45">
        <f>C16+C60+C71+C87+C113</f>
        <v>4696.4428324999999</v>
      </c>
      <c r="F119" s="30" t="s">
        <v>95</v>
      </c>
      <c r="G119" s="31"/>
    </row>
    <row r="120" spans="1:10" ht="16.5" thickBot="1" x14ac:dyDescent="0.3">
      <c r="A120" s="3" t="s">
        <v>6</v>
      </c>
      <c r="B120" s="4" t="s">
        <v>74</v>
      </c>
      <c r="C120" s="16">
        <v>0.02</v>
      </c>
      <c r="D120" s="66">
        <f>ROUND((E120*C120),2)</f>
        <v>94.87</v>
      </c>
      <c r="E120" s="45">
        <f>E119+D119</f>
        <v>4743.4028324999999</v>
      </c>
      <c r="F120" s="30" t="s">
        <v>96</v>
      </c>
      <c r="G120" s="31"/>
    </row>
    <row r="121" spans="1:10" ht="16.5" thickBot="1" x14ac:dyDescent="0.3">
      <c r="A121" s="3" t="s">
        <v>8</v>
      </c>
      <c r="B121" s="4" t="s">
        <v>75</v>
      </c>
      <c r="C121" s="16">
        <f>C122+C123+C124+C125</f>
        <v>7.2900000000000006E-2</v>
      </c>
      <c r="D121" s="10"/>
      <c r="E121" s="83">
        <f>SUM(D122:D125)</f>
        <v>380.44449303122644</v>
      </c>
      <c r="F121" s="30">
        <f>1-((1.65%+8%+5%)/1)</f>
        <v>0.85349999999999993</v>
      </c>
      <c r="G121" s="30" t="s">
        <v>76</v>
      </c>
    </row>
    <row r="122" spans="1:10" ht="16.5" thickBot="1" x14ac:dyDescent="0.3">
      <c r="A122" s="3"/>
      <c r="B122" s="57" t="s">
        <v>77</v>
      </c>
      <c r="C122" s="97">
        <v>4.1000000000000003E-3</v>
      </c>
      <c r="D122" s="10">
        <f>(E119+D119+D120)/(1-C121)*C122</f>
        <v>21.39674103467803</v>
      </c>
      <c r="E122" s="47"/>
      <c r="J122" s="6"/>
    </row>
    <row r="123" spans="1:10" ht="16.5" thickBot="1" x14ac:dyDescent="0.3">
      <c r="A123" s="3"/>
      <c r="B123" s="57" t="s">
        <v>78</v>
      </c>
      <c r="C123" s="97">
        <v>1.8800000000000001E-2</v>
      </c>
      <c r="D123" s="10">
        <f>(E119+D119+D120)/(1-C121)*C123</f>
        <v>98.111885719987058</v>
      </c>
      <c r="E123" s="47"/>
      <c r="F123" s="32">
        <f>D122+D123</f>
        <v>119.50862675466509</v>
      </c>
      <c r="G123" s="30" t="s">
        <v>79</v>
      </c>
    </row>
    <row r="124" spans="1:10" ht="16.5" thickBot="1" x14ac:dyDescent="0.3">
      <c r="A124" s="3"/>
      <c r="B124" s="4" t="s">
        <v>80</v>
      </c>
      <c r="C124" s="16">
        <v>0.05</v>
      </c>
      <c r="D124" s="10">
        <f>(E119+D119+D120)/(1-C121)*C124</f>
        <v>260.93586627656134</v>
      </c>
      <c r="E124" s="47"/>
      <c r="F124" s="37">
        <f>D122+D123+D124+D125</f>
        <v>380.44449303122644</v>
      </c>
      <c r="G124" s="30" t="s">
        <v>81</v>
      </c>
    </row>
    <row r="125" spans="1:10" ht="16.5" thickBot="1" x14ac:dyDescent="0.3">
      <c r="A125" s="81"/>
      <c r="B125" s="82" t="s">
        <v>120</v>
      </c>
      <c r="C125" s="104">
        <v>0</v>
      </c>
      <c r="D125" s="10">
        <f>(E119+D119+D120)/(1-C121)*C125</f>
        <v>0</v>
      </c>
      <c r="E125" s="47"/>
      <c r="F125" s="79"/>
      <c r="G125" s="80"/>
    </row>
    <row r="126" spans="1:10" ht="16.5" thickBot="1" x14ac:dyDescent="0.3">
      <c r="A126" s="111" t="s">
        <v>37</v>
      </c>
      <c r="B126" s="112"/>
      <c r="C126" s="14"/>
      <c r="D126" s="25">
        <f>SUM(D119:D125)</f>
        <v>522.27449303122648</v>
      </c>
      <c r="E126" s="53"/>
    </row>
    <row r="129" spans="1:6" x14ac:dyDescent="0.25">
      <c r="A129" s="110" t="s">
        <v>82</v>
      </c>
      <c r="B129" s="110"/>
      <c r="C129" s="110"/>
    </row>
    <row r="130" spans="1:6" ht="16.5" thickBot="1" x14ac:dyDescent="0.3">
      <c r="D130" s="114" t="s">
        <v>97</v>
      </c>
      <c r="E130" s="114"/>
      <c r="F130" s="114"/>
    </row>
    <row r="131" spans="1:6" ht="16.5" thickBot="1" x14ac:dyDescent="0.3">
      <c r="A131" s="2"/>
      <c r="B131" s="84" t="s">
        <v>83</v>
      </c>
      <c r="C131" s="33" t="s">
        <v>3</v>
      </c>
      <c r="D131" s="34" t="s">
        <v>84</v>
      </c>
      <c r="E131" s="32">
        <f>E119+D119+D120</f>
        <v>4838.2728324999998</v>
      </c>
      <c r="F131" s="30" t="s">
        <v>85</v>
      </c>
    </row>
    <row r="132" spans="1:6" ht="16.5" thickBot="1" x14ac:dyDescent="0.3">
      <c r="A132" s="35" t="s">
        <v>4</v>
      </c>
      <c r="B132" s="4" t="s">
        <v>1</v>
      </c>
      <c r="C132" s="36">
        <f>C16</f>
        <v>2091.6799999999998</v>
      </c>
      <c r="D132" s="34" t="s">
        <v>86</v>
      </c>
      <c r="E132" s="48">
        <f>E131/(1-C121)</f>
        <v>5218.7173255312264</v>
      </c>
      <c r="F132" s="30" t="s">
        <v>87</v>
      </c>
    </row>
    <row r="133" spans="1:6" ht="16.5" thickBot="1" x14ac:dyDescent="0.3">
      <c r="A133" s="35" t="s">
        <v>6</v>
      </c>
      <c r="B133" s="4" t="s">
        <v>17</v>
      </c>
      <c r="C133" s="36">
        <f>C60</f>
        <v>1963.21</v>
      </c>
      <c r="D133" s="34" t="s">
        <v>88</v>
      </c>
      <c r="E133" s="37">
        <f>E131-E132</f>
        <v>-380.44449303122656</v>
      </c>
      <c r="F133" s="38" t="s">
        <v>89</v>
      </c>
    </row>
    <row r="134" spans="1:6" ht="16.5" thickBot="1" x14ac:dyDescent="0.3">
      <c r="A134" s="35" t="s">
        <v>8</v>
      </c>
      <c r="B134" s="4" t="s">
        <v>48</v>
      </c>
      <c r="C134" s="36">
        <f>C71</f>
        <v>148.06</v>
      </c>
      <c r="D134" s="30"/>
      <c r="E134" s="30"/>
      <c r="F134" s="49"/>
    </row>
    <row r="135" spans="1:6" ht="16.5" thickBot="1" x14ac:dyDescent="0.3">
      <c r="A135" s="35" t="s">
        <v>10</v>
      </c>
      <c r="B135" s="4" t="s">
        <v>54</v>
      </c>
      <c r="C135" s="39">
        <f>C102</f>
        <v>312.95283249999994</v>
      </c>
      <c r="E135" s="59" t="s">
        <v>101</v>
      </c>
      <c r="F135" s="59"/>
    </row>
    <row r="136" spans="1:6" ht="16.5" thickBot="1" x14ac:dyDescent="0.3">
      <c r="A136" s="35" t="s">
        <v>12</v>
      </c>
      <c r="B136" s="4" t="s">
        <v>66</v>
      </c>
      <c r="C136" s="39">
        <f>C113</f>
        <v>180.54000000000002</v>
      </c>
    </row>
    <row r="137" spans="1:6" ht="16.5" thickBot="1" x14ac:dyDescent="0.3">
      <c r="A137" s="111" t="s">
        <v>90</v>
      </c>
      <c r="B137" s="112"/>
      <c r="C137" s="85">
        <f>SUM(C132:C136)</f>
        <v>4696.4428324999999</v>
      </c>
    </row>
    <row r="138" spans="1:6" ht="16.5" thickBot="1" x14ac:dyDescent="0.3">
      <c r="A138" s="35" t="s">
        <v>32</v>
      </c>
      <c r="B138" s="4" t="s">
        <v>91</v>
      </c>
      <c r="C138" s="39">
        <f>D126</f>
        <v>522.27449303122648</v>
      </c>
    </row>
    <row r="139" spans="1:6" ht="16.5" thickBot="1" x14ac:dyDescent="0.3">
      <c r="A139" s="111" t="s">
        <v>92</v>
      </c>
      <c r="B139" s="112"/>
      <c r="C139" s="67">
        <f>ROUND(SUM(C138,C137),2)</f>
        <v>5218.72</v>
      </c>
    </row>
    <row r="141" spans="1:6" x14ac:dyDescent="0.25">
      <c r="B141" s="40" t="s">
        <v>93</v>
      </c>
      <c r="C141" s="41" t="s">
        <v>16</v>
      </c>
    </row>
    <row r="142" spans="1:6" x14ac:dyDescent="0.25">
      <c r="B142" s="41">
        <v>2</v>
      </c>
      <c r="C142" s="56">
        <f>(C139*B142)</f>
        <v>10437.44</v>
      </c>
      <c r="D142" s="46"/>
      <c r="E142" s="50"/>
      <c r="F142" s="30"/>
    </row>
    <row r="144" spans="1:6" x14ac:dyDescent="0.25">
      <c r="B144" s="6">
        <f>C142</f>
        <v>10437.44</v>
      </c>
      <c r="C144" s="68">
        <f>SUM(B144*12)</f>
        <v>125249.28</v>
      </c>
    </row>
  </sheetData>
  <mergeCells count="29">
    <mergeCell ref="A19:C19"/>
    <mergeCell ref="D130:F130"/>
    <mergeCell ref="A1:D1"/>
    <mergeCell ref="A6:C6"/>
    <mergeCell ref="A16:B16"/>
    <mergeCell ref="A77:C77"/>
    <mergeCell ref="A21:C21"/>
    <mergeCell ref="A26:B26"/>
    <mergeCell ref="A29:D29"/>
    <mergeCell ref="A40:B40"/>
    <mergeCell ref="A43:C43"/>
    <mergeCell ref="A51:B51"/>
    <mergeCell ref="A54:C54"/>
    <mergeCell ref="A60:B60"/>
    <mergeCell ref="A63:C63"/>
    <mergeCell ref="A71:B71"/>
    <mergeCell ref="A74:C74"/>
    <mergeCell ref="A139:B139"/>
    <mergeCell ref="A87:B87"/>
    <mergeCell ref="A90:C90"/>
    <mergeCell ref="A94:B94"/>
    <mergeCell ref="A97:C97"/>
    <mergeCell ref="A102:B102"/>
    <mergeCell ref="A105:C105"/>
    <mergeCell ref="A113:B113"/>
    <mergeCell ref="A116:C116"/>
    <mergeCell ref="A126:B126"/>
    <mergeCell ref="A129:C129"/>
    <mergeCell ref="A137:B137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BB1C7-43B1-4609-A6E0-F02BA89BA2EB}">
  <dimension ref="A1:AM144"/>
  <sheetViews>
    <sheetView topLeftCell="A121" workbookViewId="0">
      <selection activeCell="D82" sqref="D82"/>
    </sheetView>
  </sheetViews>
  <sheetFormatPr defaultRowHeight="15.75" x14ac:dyDescent="0.25"/>
  <cols>
    <col min="1" max="1" width="9.140625" style="1"/>
    <col min="2" max="2" width="72.140625" style="1" customWidth="1"/>
    <col min="3" max="3" width="18" style="1" customWidth="1"/>
    <col min="4" max="4" width="17.5703125" style="1" customWidth="1"/>
    <col min="5" max="5" width="14.140625" style="1" customWidth="1"/>
    <col min="6" max="6" width="55.7109375" style="1" bestFit="1" customWidth="1"/>
    <col min="7" max="7" width="36.140625" style="1" customWidth="1"/>
    <col min="8" max="9" width="9.140625" style="1"/>
    <col min="10" max="10" width="11.5703125" style="1" bestFit="1" customWidth="1"/>
    <col min="11" max="16384" width="9.140625" style="1"/>
  </cols>
  <sheetData>
    <row r="1" spans="1:5" ht="23.25" x14ac:dyDescent="0.35">
      <c r="A1" s="115" t="s">
        <v>0</v>
      </c>
      <c r="B1" s="115"/>
      <c r="C1" s="115"/>
      <c r="D1" s="115"/>
      <c r="E1" s="106"/>
    </row>
    <row r="2" spans="1:5" x14ac:dyDescent="0.25">
      <c r="A2" s="62"/>
      <c r="B2" s="55"/>
      <c r="C2" s="62"/>
      <c r="D2" s="62"/>
    </row>
    <row r="3" spans="1:5" x14ac:dyDescent="0.25">
      <c r="A3" s="62"/>
      <c r="B3" s="55"/>
      <c r="C3" s="62"/>
      <c r="D3" s="62"/>
    </row>
    <row r="4" spans="1:5" x14ac:dyDescent="0.25">
      <c r="A4" s="62"/>
      <c r="B4" s="61" t="s">
        <v>149</v>
      </c>
      <c r="C4" s="62"/>
      <c r="D4" s="62"/>
    </row>
    <row r="5" spans="1:5" x14ac:dyDescent="0.25">
      <c r="A5" s="62"/>
      <c r="C5" s="62"/>
      <c r="D5" s="62"/>
    </row>
    <row r="6" spans="1:5" x14ac:dyDescent="0.25">
      <c r="A6" s="116" t="s">
        <v>1</v>
      </c>
      <c r="B6" s="116"/>
      <c r="C6" s="116"/>
    </row>
    <row r="7" spans="1:5" ht="16.5" thickBot="1" x14ac:dyDescent="0.3"/>
    <row r="8" spans="1:5" ht="16.5" thickBot="1" x14ac:dyDescent="0.3">
      <c r="A8" s="2">
        <v>1</v>
      </c>
      <c r="B8" s="107" t="s">
        <v>2</v>
      </c>
      <c r="C8" s="107" t="s">
        <v>3</v>
      </c>
    </row>
    <row r="9" spans="1:5" ht="16.5" thickBot="1" x14ac:dyDescent="0.3">
      <c r="A9" s="3" t="s">
        <v>4</v>
      </c>
      <c r="B9" s="4" t="s">
        <v>5</v>
      </c>
      <c r="C9" s="5">
        <v>1416.75</v>
      </c>
      <c r="D9" s="17"/>
      <c r="E9" s="1" t="s">
        <v>104</v>
      </c>
    </row>
    <row r="10" spans="1:5" ht="16.5" thickBot="1" x14ac:dyDescent="0.3">
      <c r="A10" s="3" t="s">
        <v>6</v>
      </c>
      <c r="B10" s="4" t="s">
        <v>7</v>
      </c>
      <c r="C10" s="5"/>
    </row>
    <row r="11" spans="1:5" ht="16.5" thickBot="1" x14ac:dyDescent="0.3">
      <c r="A11" s="3" t="s">
        <v>8</v>
      </c>
      <c r="B11" s="4" t="s">
        <v>9</v>
      </c>
      <c r="C11" s="5"/>
    </row>
    <row r="12" spans="1:5" ht="16.5" thickBot="1" x14ac:dyDescent="0.3">
      <c r="A12" s="3" t="s">
        <v>10</v>
      </c>
      <c r="B12" s="4" t="s">
        <v>11</v>
      </c>
      <c r="C12" s="5"/>
    </row>
    <row r="13" spans="1:5" ht="16.5" thickBot="1" x14ac:dyDescent="0.3">
      <c r="A13" s="3" t="s">
        <v>12</v>
      </c>
      <c r="B13" s="4" t="s">
        <v>13</v>
      </c>
      <c r="C13" s="5"/>
    </row>
    <row r="14" spans="1:5" ht="16.5" thickBot="1" x14ac:dyDescent="0.3">
      <c r="A14" s="3"/>
      <c r="B14" s="4"/>
      <c r="C14" s="5"/>
    </row>
    <row r="15" spans="1:5" ht="16.5" thickBot="1" x14ac:dyDescent="0.3">
      <c r="A15" s="3" t="s">
        <v>14</v>
      </c>
      <c r="B15" s="4" t="s">
        <v>15</v>
      </c>
      <c r="C15" s="5"/>
    </row>
    <row r="16" spans="1:5" ht="16.5" thickBot="1" x14ac:dyDescent="0.3">
      <c r="A16" s="111" t="s">
        <v>16</v>
      </c>
      <c r="B16" s="112"/>
      <c r="C16" s="8">
        <f>SUM(C9:C15)</f>
        <v>1416.75</v>
      </c>
    </row>
    <row r="19" spans="1:15" x14ac:dyDescent="0.25">
      <c r="A19" s="110" t="s">
        <v>17</v>
      </c>
      <c r="B19" s="110"/>
      <c r="C19" s="110"/>
    </row>
    <row r="20" spans="1:15" x14ac:dyDescent="0.25">
      <c r="A20" s="9"/>
    </row>
    <row r="21" spans="1:15" x14ac:dyDescent="0.25">
      <c r="A21" s="113" t="s">
        <v>18</v>
      </c>
      <c r="B21" s="113"/>
      <c r="C21" s="113"/>
      <c r="K21" s="95"/>
      <c r="L21" s="95"/>
    </row>
    <row r="22" spans="1:15" ht="16.5" thickBot="1" x14ac:dyDescent="0.3">
      <c r="E22" s="95" t="s">
        <v>139</v>
      </c>
      <c r="F22" s="95"/>
      <c r="G22" s="95"/>
      <c r="H22" s="95"/>
      <c r="I22" s="95"/>
      <c r="J22" s="95"/>
      <c r="K22" s="95"/>
      <c r="L22" s="95"/>
      <c r="M22" s="95"/>
      <c r="N22" s="95"/>
      <c r="O22" s="95"/>
    </row>
    <row r="23" spans="1:15" ht="16.5" thickBot="1" x14ac:dyDescent="0.3">
      <c r="A23" s="2" t="s">
        <v>19</v>
      </c>
      <c r="B23" s="107" t="s">
        <v>20</v>
      </c>
      <c r="C23" s="107" t="s">
        <v>3</v>
      </c>
      <c r="E23" s="95" t="s">
        <v>140</v>
      </c>
      <c r="F23" s="95"/>
      <c r="G23" s="95"/>
      <c r="H23" s="95"/>
      <c r="I23" s="95"/>
      <c r="J23" s="95"/>
    </row>
    <row r="24" spans="1:15" ht="16.5" thickBot="1" x14ac:dyDescent="0.3">
      <c r="A24" s="3" t="s">
        <v>4</v>
      </c>
      <c r="B24" s="4" t="s">
        <v>21</v>
      </c>
      <c r="C24" s="10">
        <f>C16*8.33%</f>
        <v>118.015275</v>
      </c>
      <c r="E24" s="1" t="s">
        <v>123</v>
      </c>
    </row>
    <row r="25" spans="1:15" ht="16.5" thickBot="1" x14ac:dyDescent="0.3">
      <c r="A25" s="3" t="s">
        <v>6</v>
      </c>
      <c r="B25" s="57" t="s">
        <v>22</v>
      </c>
      <c r="C25" s="11">
        <f>C16*3.025%</f>
        <v>42.8566875</v>
      </c>
      <c r="E25" s="30" t="s">
        <v>103</v>
      </c>
    </row>
    <row r="26" spans="1:15" ht="16.5" thickBot="1" x14ac:dyDescent="0.3">
      <c r="A26" s="111" t="s">
        <v>16</v>
      </c>
      <c r="B26" s="112"/>
      <c r="C26" s="12">
        <f>ROUND(SUM(C24:C25),2)</f>
        <v>160.87</v>
      </c>
      <c r="E26" s="59" t="s">
        <v>124</v>
      </c>
      <c r="F26" s="59"/>
    </row>
    <row r="28" spans="1:15" x14ac:dyDescent="0.25">
      <c r="E28" s="17"/>
    </row>
    <row r="29" spans="1:15" ht="32.25" customHeight="1" x14ac:dyDescent="0.25">
      <c r="A29" s="117" t="s">
        <v>23</v>
      </c>
      <c r="B29" s="117"/>
      <c r="C29" s="117"/>
      <c r="D29" s="117"/>
      <c r="E29" s="17"/>
    </row>
    <row r="30" spans="1:15" ht="16.5" thickBot="1" x14ac:dyDescent="0.3">
      <c r="E30" s="17"/>
    </row>
    <row r="31" spans="1:15" ht="16.5" thickBot="1" x14ac:dyDescent="0.3">
      <c r="A31" s="2" t="s">
        <v>24</v>
      </c>
      <c r="B31" s="107" t="s">
        <v>25</v>
      </c>
      <c r="C31" s="107" t="s">
        <v>26</v>
      </c>
      <c r="D31" s="107" t="s">
        <v>3</v>
      </c>
      <c r="E31" s="17"/>
    </row>
    <row r="32" spans="1:15" ht="16.5" thickBot="1" x14ac:dyDescent="0.3">
      <c r="A32" s="3" t="s">
        <v>4</v>
      </c>
      <c r="B32" s="57" t="s">
        <v>27</v>
      </c>
      <c r="C32" s="97">
        <v>0.2</v>
      </c>
      <c r="D32" s="15">
        <f>(C$16+C$26)*C32</f>
        <v>315.524</v>
      </c>
      <c r="E32" s="17"/>
      <c r="F32" s="95" t="s">
        <v>131</v>
      </c>
      <c r="G32" s="95"/>
      <c r="H32" s="95"/>
    </row>
    <row r="33" spans="1:39" ht="16.5" thickBot="1" x14ac:dyDescent="0.3">
      <c r="A33" s="3" t="s">
        <v>6</v>
      </c>
      <c r="B33" s="4" t="s">
        <v>28</v>
      </c>
      <c r="C33" s="16">
        <v>2.5000000000000001E-2</v>
      </c>
      <c r="D33" s="15">
        <f>(C$16+C$26)*C33</f>
        <v>39.4405</v>
      </c>
      <c r="E33" s="17"/>
      <c r="F33" s="95" t="s">
        <v>132</v>
      </c>
      <c r="G33" s="95"/>
      <c r="H33" s="95"/>
      <c r="I33" s="95"/>
      <c r="J33" s="95"/>
      <c r="K33" s="95"/>
    </row>
    <row r="34" spans="1:39" ht="16.5" thickBot="1" x14ac:dyDescent="0.3">
      <c r="A34" s="3" t="s">
        <v>8</v>
      </c>
      <c r="B34" s="57" t="s">
        <v>29</v>
      </c>
      <c r="C34" s="98">
        <v>1.4999999999999999E-2</v>
      </c>
      <c r="D34" s="15">
        <f t="shared" ref="D34:D39" si="0">(C$16+C$26)*C34</f>
        <v>23.664299999999997</v>
      </c>
      <c r="E34" s="17"/>
      <c r="F34" s="95" t="s">
        <v>133</v>
      </c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</row>
    <row r="35" spans="1:39" ht="16.5" thickBot="1" x14ac:dyDescent="0.3">
      <c r="A35" s="3" t="s">
        <v>10</v>
      </c>
      <c r="B35" s="4" t="s">
        <v>30</v>
      </c>
      <c r="C35" s="16">
        <v>1.4999999999999999E-2</v>
      </c>
      <c r="D35" s="15">
        <f t="shared" si="0"/>
        <v>23.664299999999997</v>
      </c>
      <c r="E35" s="17"/>
      <c r="F35" s="95" t="s">
        <v>134</v>
      </c>
      <c r="G35" s="95"/>
      <c r="H35" s="95"/>
    </row>
    <row r="36" spans="1:39" ht="16.5" thickBot="1" x14ac:dyDescent="0.3">
      <c r="A36" s="3" t="s">
        <v>12</v>
      </c>
      <c r="B36" s="4" t="s">
        <v>31</v>
      </c>
      <c r="C36" s="16">
        <v>0.01</v>
      </c>
      <c r="D36" s="15">
        <f t="shared" si="0"/>
        <v>15.776199999999999</v>
      </c>
      <c r="E36" s="17"/>
      <c r="F36" s="95" t="s">
        <v>135</v>
      </c>
      <c r="G36" s="95"/>
      <c r="H36" s="95"/>
    </row>
    <row r="37" spans="1:39" ht="16.5" thickBot="1" x14ac:dyDescent="0.3">
      <c r="A37" s="3" t="s">
        <v>32</v>
      </c>
      <c r="B37" s="4" t="s">
        <v>33</v>
      </c>
      <c r="C37" s="16">
        <v>6.0000000000000001E-3</v>
      </c>
      <c r="D37" s="15">
        <f t="shared" si="0"/>
        <v>9.4657199999999992</v>
      </c>
      <c r="E37" s="17"/>
      <c r="F37" s="95" t="s">
        <v>136</v>
      </c>
      <c r="G37" s="95"/>
      <c r="H37" s="95"/>
    </row>
    <row r="38" spans="1:39" ht="16.5" thickBot="1" x14ac:dyDescent="0.3">
      <c r="A38" s="3" t="s">
        <v>14</v>
      </c>
      <c r="B38" s="4" t="s">
        <v>34</v>
      </c>
      <c r="C38" s="16">
        <v>2E-3</v>
      </c>
      <c r="D38" s="15">
        <f t="shared" si="0"/>
        <v>3.15524</v>
      </c>
      <c r="E38" s="17"/>
      <c r="F38" s="95" t="s">
        <v>137</v>
      </c>
      <c r="G38" s="95"/>
      <c r="H38" s="95"/>
      <c r="I38" s="95"/>
    </row>
    <row r="39" spans="1:39" ht="16.5" thickBot="1" x14ac:dyDescent="0.3">
      <c r="A39" s="3" t="s">
        <v>35</v>
      </c>
      <c r="B39" s="4" t="s">
        <v>36</v>
      </c>
      <c r="C39" s="16">
        <v>0.08</v>
      </c>
      <c r="D39" s="15">
        <f t="shared" si="0"/>
        <v>126.20959999999999</v>
      </c>
      <c r="E39" s="17"/>
      <c r="F39" s="95" t="s">
        <v>138</v>
      </c>
      <c r="G39" s="95"/>
      <c r="H39" s="95"/>
      <c r="I39" s="95"/>
      <c r="J39" s="95"/>
      <c r="K39" s="95"/>
      <c r="L39" s="95"/>
      <c r="M39" s="95"/>
      <c r="N39" s="95"/>
    </row>
    <row r="40" spans="1:39" ht="16.5" thickBot="1" x14ac:dyDescent="0.3">
      <c r="A40" s="111" t="s">
        <v>37</v>
      </c>
      <c r="B40" s="112"/>
      <c r="C40" s="16">
        <f>SUM(C32:C39)</f>
        <v>0.35300000000000004</v>
      </c>
      <c r="D40" s="12">
        <f>ROUND(SUM(D32:D39),2)</f>
        <v>556.9</v>
      </c>
      <c r="E40" s="17"/>
    </row>
    <row r="43" spans="1:39" x14ac:dyDescent="0.25">
      <c r="A43" s="113" t="s">
        <v>38</v>
      </c>
      <c r="B43" s="113"/>
      <c r="C43" s="113"/>
      <c r="D43" s="6"/>
    </row>
    <row r="44" spans="1:39" ht="16.5" thickBot="1" x14ac:dyDescent="0.3"/>
    <row r="45" spans="1:39" ht="16.5" thickBot="1" x14ac:dyDescent="0.3">
      <c r="A45" s="2" t="s">
        <v>39</v>
      </c>
      <c r="B45" s="107" t="s">
        <v>40</v>
      </c>
      <c r="C45" s="107" t="s">
        <v>3</v>
      </c>
    </row>
    <row r="46" spans="1:39" ht="16.5" thickBot="1" x14ac:dyDescent="0.3">
      <c r="A46" s="3" t="s">
        <v>4</v>
      </c>
      <c r="B46" s="57" t="s">
        <v>41</v>
      </c>
      <c r="C46" s="65">
        <f>ROUND(IF((D46*2*21)-(C9*6%)&gt;0,(D46*2*21)-(C9*6%),0),2)</f>
        <v>146</v>
      </c>
      <c r="D46" s="7">
        <v>5.5</v>
      </c>
      <c r="E46" s="64"/>
      <c r="F46" s="58">
        <v>21</v>
      </c>
      <c r="G46" s="1" t="s">
        <v>113</v>
      </c>
    </row>
    <row r="47" spans="1:39" ht="16.5" thickBot="1" x14ac:dyDescent="0.3">
      <c r="A47" s="3" t="s">
        <v>6</v>
      </c>
      <c r="B47" s="4" t="s">
        <v>42</v>
      </c>
      <c r="C47" s="11">
        <f>D47*F47</f>
        <v>798</v>
      </c>
      <c r="D47" s="6">
        <v>38</v>
      </c>
      <c r="E47" s="17"/>
      <c r="F47" s="51">
        <v>21</v>
      </c>
    </row>
    <row r="48" spans="1:39" ht="16.5" thickBot="1" x14ac:dyDescent="0.3">
      <c r="A48" s="3" t="s">
        <v>8</v>
      </c>
      <c r="B48" s="4" t="s">
        <v>43</v>
      </c>
      <c r="C48" s="5"/>
      <c r="E48" s="17"/>
      <c r="F48" s="52"/>
    </row>
    <row r="49" spans="1:6" ht="16.5" thickBot="1" x14ac:dyDescent="0.3">
      <c r="A49" s="3" t="s">
        <v>10</v>
      </c>
      <c r="B49" s="4" t="s">
        <v>44</v>
      </c>
      <c r="C49" s="5"/>
      <c r="E49" s="17"/>
      <c r="F49" s="18"/>
    </row>
    <row r="50" spans="1:6" ht="16.5" thickBot="1" x14ac:dyDescent="0.3">
      <c r="A50" s="3" t="s">
        <v>12</v>
      </c>
      <c r="B50" s="4" t="s">
        <v>45</v>
      </c>
      <c r="C50" s="5"/>
      <c r="E50" s="17"/>
    </row>
    <row r="51" spans="1:6" ht="16.5" thickBot="1" x14ac:dyDescent="0.3">
      <c r="A51" s="111" t="s">
        <v>16</v>
      </c>
      <c r="B51" s="112"/>
      <c r="C51" s="72">
        <f>SUM(C46:C50)</f>
        <v>944</v>
      </c>
      <c r="E51" s="69"/>
    </row>
    <row r="54" spans="1:6" x14ac:dyDescent="0.25">
      <c r="A54" s="113" t="s">
        <v>46</v>
      </c>
      <c r="B54" s="113"/>
      <c r="C54" s="113"/>
    </row>
    <row r="55" spans="1:6" ht="16.5" thickBot="1" x14ac:dyDescent="0.3"/>
    <row r="56" spans="1:6" ht="16.5" thickBot="1" x14ac:dyDescent="0.3">
      <c r="A56" s="2">
        <v>2</v>
      </c>
      <c r="B56" s="107" t="s">
        <v>47</v>
      </c>
      <c r="C56" s="107" t="s">
        <v>3</v>
      </c>
    </row>
    <row r="57" spans="1:6" ht="16.5" thickBot="1" x14ac:dyDescent="0.3">
      <c r="A57" s="3" t="s">
        <v>19</v>
      </c>
      <c r="B57" s="4" t="s">
        <v>20</v>
      </c>
      <c r="C57" s="10">
        <f>C26</f>
        <v>160.87</v>
      </c>
      <c r="D57" s="43"/>
    </row>
    <row r="58" spans="1:6" ht="16.5" thickBot="1" x14ac:dyDescent="0.3">
      <c r="A58" s="3" t="s">
        <v>24</v>
      </c>
      <c r="B58" s="4" t="s">
        <v>25</v>
      </c>
      <c r="C58" s="10">
        <f>D40</f>
        <v>556.9</v>
      </c>
      <c r="D58" s="43"/>
    </row>
    <row r="59" spans="1:6" ht="16.5" thickBot="1" x14ac:dyDescent="0.3">
      <c r="A59" s="3" t="s">
        <v>39</v>
      </c>
      <c r="B59" s="4" t="s">
        <v>40</v>
      </c>
      <c r="C59" s="10">
        <f>C51</f>
        <v>944</v>
      </c>
      <c r="D59" s="43"/>
    </row>
    <row r="60" spans="1:6" ht="16.5" thickBot="1" x14ac:dyDescent="0.3">
      <c r="A60" s="111" t="s">
        <v>16</v>
      </c>
      <c r="B60" s="112"/>
      <c r="C60" s="25">
        <f>ROUND(SUM(C57:C59),2)</f>
        <v>1661.77</v>
      </c>
      <c r="D60" s="43"/>
    </row>
    <row r="61" spans="1:6" x14ac:dyDescent="0.25">
      <c r="A61" s="20"/>
    </row>
    <row r="63" spans="1:6" x14ac:dyDescent="0.25">
      <c r="A63" s="118" t="s">
        <v>48</v>
      </c>
      <c r="B63" s="118"/>
      <c r="C63" s="118"/>
    </row>
    <row r="64" spans="1:6" ht="16.5" thickBot="1" x14ac:dyDescent="0.3"/>
    <row r="65" spans="1:20" ht="16.5" thickBot="1" x14ac:dyDescent="0.3">
      <c r="A65" s="2">
        <v>3</v>
      </c>
      <c r="B65" s="107" t="s">
        <v>49</v>
      </c>
      <c r="C65" s="107" t="s">
        <v>3</v>
      </c>
      <c r="D65" s="107" t="s">
        <v>26</v>
      </c>
      <c r="F65" s="30" t="s">
        <v>99</v>
      </c>
    </row>
    <row r="66" spans="1:20" ht="16.5" thickBot="1" x14ac:dyDescent="0.3">
      <c r="A66" s="3" t="s">
        <v>4</v>
      </c>
      <c r="B66" s="21" t="s">
        <v>50</v>
      </c>
      <c r="C66" s="10">
        <f>(C16)*D66</f>
        <v>5.9503499999999994</v>
      </c>
      <c r="D66" s="96">
        <v>4.1999999999999997E-3</v>
      </c>
      <c r="E66" s="23"/>
      <c r="F66" s="95" t="s">
        <v>130</v>
      </c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</row>
    <row r="67" spans="1:20" ht="16.5" thickBot="1" x14ac:dyDescent="0.3">
      <c r="A67" s="3" t="s">
        <v>6</v>
      </c>
      <c r="B67" s="21" t="s">
        <v>51</v>
      </c>
      <c r="C67" s="10">
        <f>C39*C66</f>
        <v>0.47602799999999995</v>
      </c>
      <c r="D67" s="96">
        <v>0.08</v>
      </c>
      <c r="E67" s="23"/>
      <c r="F67" s="1" t="s">
        <v>98</v>
      </c>
    </row>
    <row r="68" spans="1:20" ht="16.5" thickBot="1" x14ac:dyDescent="0.3">
      <c r="A68" s="3" t="s">
        <v>8</v>
      </c>
      <c r="B68" s="21" t="s">
        <v>53</v>
      </c>
      <c r="C68" s="10">
        <f>(C16)*D68</f>
        <v>27.484950000000001</v>
      </c>
      <c r="D68" s="96">
        <v>1.9400000000000001E-2</v>
      </c>
      <c r="E68" s="23"/>
      <c r="F68" s="95" t="s">
        <v>129</v>
      </c>
      <c r="G68" s="95"/>
      <c r="H68" s="95"/>
      <c r="I68" s="95"/>
      <c r="J68" s="95"/>
    </row>
    <row r="69" spans="1:20" ht="16.5" thickBot="1" x14ac:dyDescent="0.3">
      <c r="A69" s="3" t="s">
        <v>10</v>
      </c>
      <c r="B69" s="77" t="s">
        <v>121</v>
      </c>
      <c r="C69" s="15">
        <f>D69*C68</f>
        <v>9.7021873500000009</v>
      </c>
      <c r="D69" s="96">
        <f>C40</f>
        <v>0.35300000000000004</v>
      </c>
      <c r="E69" s="23"/>
    </row>
    <row r="70" spans="1:20" ht="16.5" thickBot="1" x14ac:dyDescent="0.3">
      <c r="A70" s="3" t="s">
        <v>12</v>
      </c>
      <c r="B70" s="76" t="s">
        <v>122</v>
      </c>
      <c r="C70" s="63">
        <f>C16*D70</f>
        <v>56.67</v>
      </c>
      <c r="D70" s="96">
        <v>0.04</v>
      </c>
      <c r="E70" s="54"/>
      <c r="F70" s="44" t="s">
        <v>52</v>
      </c>
    </row>
    <row r="71" spans="1:20" ht="16.5" thickBot="1" x14ac:dyDescent="0.3">
      <c r="A71" s="111" t="s">
        <v>16</v>
      </c>
      <c r="B71" s="112"/>
      <c r="C71" s="25">
        <f>ROUND(SUM(C66:C70),2)</f>
        <v>100.28</v>
      </c>
      <c r="D71" s="19"/>
      <c r="E71" s="70"/>
    </row>
    <row r="74" spans="1:20" x14ac:dyDescent="0.25">
      <c r="A74" s="110" t="s">
        <v>54</v>
      </c>
      <c r="B74" s="110"/>
      <c r="C74" s="110"/>
    </row>
    <row r="77" spans="1:20" x14ac:dyDescent="0.25">
      <c r="A77" s="113" t="s">
        <v>55</v>
      </c>
      <c r="B77" s="113"/>
      <c r="C77" s="113"/>
    </row>
    <row r="78" spans="1:20" ht="16.5" thickBot="1" x14ac:dyDescent="0.3">
      <c r="A78" s="9"/>
    </row>
    <row r="79" spans="1:20" ht="16.5" thickBot="1" x14ac:dyDescent="0.3">
      <c r="A79" s="2" t="s">
        <v>56</v>
      </c>
      <c r="B79" s="107" t="s">
        <v>57</v>
      </c>
      <c r="C79" s="107" t="s">
        <v>3</v>
      </c>
      <c r="D79" s="107" t="s">
        <v>26</v>
      </c>
      <c r="F79" s="30" t="s">
        <v>99</v>
      </c>
    </row>
    <row r="80" spans="1:20" ht="16.5" thickBot="1" x14ac:dyDescent="0.3">
      <c r="A80" s="3" t="s">
        <v>4</v>
      </c>
      <c r="B80" s="76" t="s">
        <v>114</v>
      </c>
      <c r="C80" s="10">
        <f>D80*(C16+C57+C58+C71)</f>
        <v>202.80810000000002</v>
      </c>
      <c r="D80" s="99">
        <v>9.0749999999999997E-2</v>
      </c>
      <c r="F80" s="95" t="s">
        <v>125</v>
      </c>
      <c r="G80" s="95"/>
      <c r="H80" s="95"/>
      <c r="I80" s="95"/>
      <c r="J80" s="95"/>
      <c r="K80" s="95"/>
      <c r="L80" s="95"/>
      <c r="M80" s="95"/>
      <c r="N80" s="95"/>
      <c r="O80" s="95"/>
      <c r="P80" s="95"/>
    </row>
    <row r="81" spans="1:28" ht="16.5" thickBot="1" x14ac:dyDescent="0.3">
      <c r="A81" s="3" t="s">
        <v>6</v>
      </c>
      <c r="B81" s="76" t="s">
        <v>115</v>
      </c>
      <c r="C81" s="10">
        <f>D81*(C16+C57+C58+C71)</f>
        <v>6.2574400000000008</v>
      </c>
      <c r="D81" s="96">
        <v>2.8E-3</v>
      </c>
      <c r="F81" s="95" t="s">
        <v>126</v>
      </c>
      <c r="G81" s="95"/>
      <c r="H81" s="95"/>
      <c r="I81" s="95"/>
      <c r="J81" s="95"/>
      <c r="K81" s="95"/>
    </row>
    <row r="82" spans="1:28" ht="16.5" thickBot="1" x14ac:dyDescent="0.3">
      <c r="A82" s="3" t="s">
        <v>8</v>
      </c>
      <c r="B82" s="76" t="s">
        <v>116</v>
      </c>
      <c r="C82" s="10">
        <f>D82*(C16+C57+C58+C71)</f>
        <v>1.5643600000000002</v>
      </c>
      <c r="D82" s="96">
        <v>6.9999999999999999E-4</v>
      </c>
    </row>
    <row r="83" spans="1:28" ht="32.25" thickBot="1" x14ac:dyDescent="0.3">
      <c r="A83" s="3" t="s">
        <v>10</v>
      </c>
      <c r="B83" s="77" t="s">
        <v>117</v>
      </c>
      <c r="C83" s="10">
        <f>D83*(C16+C57+C58+C71)</f>
        <v>0.89392000000000016</v>
      </c>
      <c r="D83" s="96">
        <v>4.0000000000000002E-4</v>
      </c>
      <c r="F83" s="95" t="s">
        <v>128</v>
      </c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5"/>
      <c r="Z83" s="95"/>
      <c r="AA83" s="95"/>
      <c r="AB83" s="95"/>
    </row>
    <row r="84" spans="1:28" ht="32.25" thickBot="1" x14ac:dyDescent="0.3">
      <c r="A84" s="3" t="s">
        <v>12</v>
      </c>
      <c r="B84" s="77" t="s">
        <v>118</v>
      </c>
      <c r="C84" s="10">
        <f>D84*(C16+C57+C58+C71)</f>
        <v>0.44696000000000008</v>
      </c>
      <c r="D84" s="96">
        <v>2.0000000000000001E-4</v>
      </c>
      <c r="F84" s="95" t="s">
        <v>127</v>
      </c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5"/>
    </row>
    <row r="85" spans="1:28" ht="16.5" thickBot="1" x14ac:dyDescent="0.3">
      <c r="A85" s="3" t="s">
        <v>32</v>
      </c>
      <c r="B85" s="76" t="s">
        <v>119</v>
      </c>
      <c r="C85" s="10">
        <f>D85*(C16+C58+C59+C72)</f>
        <v>0</v>
      </c>
      <c r="D85" s="96"/>
    </row>
    <row r="86" spans="1:28" ht="16.5" thickBot="1" x14ac:dyDescent="0.3">
      <c r="A86" s="3" t="s">
        <v>14</v>
      </c>
      <c r="B86" s="78" t="s">
        <v>15</v>
      </c>
      <c r="C86" s="10">
        <f>C16*D86</f>
        <v>0</v>
      </c>
      <c r="D86" s="100"/>
    </row>
    <row r="87" spans="1:28" ht="16.5" thickBot="1" x14ac:dyDescent="0.3">
      <c r="A87" s="111" t="s">
        <v>37</v>
      </c>
      <c r="B87" s="112"/>
      <c r="C87" s="25">
        <f>SUM(C80:C86)</f>
        <v>211.97078000000002</v>
      </c>
      <c r="D87" s="26"/>
    </row>
    <row r="90" spans="1:28" x14ac:dyDescent="0.25">
      <c r="A90" s="113" t="s">
        <v>58</v>
      </c>
      <c r="B90" s="113"/>
      <c r="C90" s="113"/>
    </row>
    <row r="91" spans="1:28" ht="16.5" thickBot="1" x14ac:dyDescent="0.3">
      <c r="A91" s="9"/>
    </row>
    <row r="92" spans="1:28" ht="16.5" thickBot="1" x14ac:dyDescent="0.3">
      <c r="A92" s="2" t="s">
        <v>59</v>
      </c>
      <c r="B92" s="107" t="s">
        <v>60</v>
      </c>
      <c r="C92" s="107" t="s">
        <v>3</v>
      </c>
    </row>
    <row r="93" spans="1:28" ht="16.5" thickBot="1" x14ac:dyDescent="0.3">
      <c r="A93" s="3" t="s">
        <v>4</v>
      </c>
      <c r="B93" s="4" t="s">
        <v>61</v>
      </c>
      <c r="C93" s="27"/>
      <c r="D93" s="26"/>
    </row>
    <row r="94" spans="1:28" ht="16.5" thickBot="1" x14ac:dyDescent="0.3">
      <c r="A94" s="111" t="s">
        <v>16</v>
      </c>
      <c r="B94" s="112"/>
      <c r="C94" s="27"/>
    </row>
    <row r="97" spans="1:5" x14ac:dyDescent="0.25">
      <c r="A97" s="113" t="s">
        <v>62</v>
      </c>
      <c r="B97" s="113"/>
      <c r="C97" s="113"/>
    </row>
    <row r="98" spans="1:5" ht="16.5" thickBot="1" x14ac:dyDescent="0.3">
      <c r="A98" s="9"/>
    </row>
    <row r="99" spans="1:5" ht="16.5" thickBot="1" x14ac:dyDescent="0.3">
      <c r="A99" s="2">
        <v>4</v>
      </c>
      <c r="B99" s="107" t="s">
        <v>63</v>
      </c>
      <c r="C99" s="107" t="s">
        <v>3</v>
      </c>
    </row>
    <row r="100" spans="1:5" ht="16.5" thickBot="1" x14ac:dyDescent="0.3">
      <c r="A100" s="3" t="s">
        <v>56</v>
      </c>
      <c r="B100" s="4" t="s">
        <v>64</v>
      </c>
      <c r="C100" s="5">
        <f>C87</f>
        <v>211.97078000000002</v>
      </c>
      <c r="D100" s="24"/>
      <c r="E100" s="22"/>
    </row>
    <row r="101" spans="1:5" ht="16.5" thickBot="1" x14ac:dyDescent="0.3">
      <c r="A101" s="3" t="s">
        <v>59</v>
      </c>
      <c r="B101" s="4" t="s">
        <v>65</v>
      </c>
      <c r="C101" s="5"/>
    </row>
    <row r="102" spans="1:5" ht="16.5" thickBot="1" x14ac:dyDescent="0.3">
      <c r="A102" s="111" t="s">
        <v>16</v>
      </c>
      <c r="B102" s="112"/>
      <c r="C102" s="12">
        <f>SUM(C100:C101)</f>
        <v>211.97078000000002</v>
      </c>
      <c r="D102" s="42"/>
      <c r="E102" s="55"/>
    </row>
    <row r="105" spans="1:5" x14ac:dyDescent="0.25">
      <c r="A105" s="110" t="s">
        <v>66</v>
      </c>
      <c r="B105" s="110"/>
      <c r="C105" s="110"/>
    </row>
    <row r="106" spans="1:5" ht="16.5" thickBot="1" x14ac:dyDescent="0.3"/>
    <row r="107" spans="1:5" ht="16.5" thickBot="1" x14ac:dyDescent="0.3">
      <c r="A107" s="2">
        <v>5</v>
      </c>
      <c r="B107" s="28" t="s">
        <v>67</v>
      </c>
      <c r="C107" s="107" t="s">
        <v>3</v>
      </c>
    </row>
    <row r="108" spans="1:5" ht="16.5" thickBot="1" x14ac:dyDescent="0.3">
      <c r="A108" s="3" t="s">
        <v>4</v>
      </c>
      <c r="B108" s="4" t="s">
        <v>68</v>
      </c>
      <c r="C108" s="5">
        <v>44.5</v>
      </c>
    </row>
    <row r="109" spans="1:5" ht="16.5" thickBot="1" x14ac:dyDescent="0.3">
      <c r="A109" s="3" t="s">
        <v>6</v>
      </c>
      <c r="B109" s="4" t="s">
        <v>69</v>
      </c>
      <c r="C109" s="5">
        <v>131.61000000000001</v>
      </c>
    </row>
    <row r="110" spans="1:5" ht="16.5" thickBot="1" x14ac:dyDescent="0.3">
      <c r="A110" s="3" t="s">
        <v>8</v>
      </c>
      <c r="B110" s="4" t="s">
        <v>70</v>
      </c>
      <c r="C110" s="5">
        <v>4.43</v>
      </c>
    </row>
    <row r="111" spans="1:5" ht="16.5" thickBot="1" x14ac:dyDescent="0.3">
      <c r="A111" s="3" t="s">
        <v>10</v>
      </c>
      <c r="B111" s="4" t="s">
        <v>94</v>
      </c>
      <c r="C111" s="5"/>
    </row>
    <row r="112" spans="1:5" ht="16.5" thickBot="1" x14ac:dyDescent="0.3">
      <c r="A112" s="3" t="s">
        <v>12</v>
      </c>
      <c r="B112" s="4" t="s">
        <v>100</v>
      </c>
      <c r="C112" s="5"/>
    </row>
    <row r="113" spans="1:10" ht="16.5" thickBot="1" x14ac:dyDescent="0.3">
      <c r="A113" s="111" t="s">
        <v>37</v>
      </c>
      <c r="B113" s="112"/>
      <c r="C113" s="12">
        <f>SUM(C108:C112)</f>
        <v>180.54000000000002</v>
      </c>
      <c r="D113" s="42"/>
    </row>
    <row r="116" spans="1:10" x14ac:dyDescent="0.25">
      <c r="A116" s="110" t="s">
        <v>71</v>
      </c>
      <c r="B116" s="110"/>
      <c r="C116" s="110"/>
    </row>
    <row r="117" spans="1:10" ht="19.5" thickBot="1" x14ac:dyDescent="0.35">
      <c r="F117" s="60" t="s">
        <v>102</v>
      </c>
    </row>
    <row r="118" spans="1:10" ht="16.5" thickBot="1" x14ac:dyDescent="0.3">
      <c r="A118" s="2">
        <v>6</v>
      </c>
      <c r="B118" s="28" t="s">
        <v>72</v>
      </c>
      <c r="C118" s="107" t="s">
        <v>26</v>
      </c>
      <c r="D118" s="107" t="s">
        <v>3</v>
      </c>
      <c r="E118" s="13"/>
    </row>
    <row r="119" spans="1:10" ht="16.5" thickBot="1" x14ac:dyDescent="0.3">
      <c r="A119" s="3" t="s">
        <v>4</v>
      </c>
      <c r="B119" s="4" t="s">
        <v>73</v>
      </c>
      <c r="C119" s="16">
        <v>0.01</v>
      </c>
      <c r="D119" s="29">
        <f>ROUND((E119*C119),2)</f>
        <v>35.71</v>
      </c>
      <c r="E119" s="45">
        <f>C16+C60+C71+C87+C113</f>
        <v>3571.3107800000002</v>
      </c>
      <c r="F119" s="30" t="s">
        <v>95</v>
      </c>
      <c r="G119" s="31"/>
    </row>
    <row r="120" spans="1:10" ht="16.5" thickBot="1" x14ac:dyDescent="0.3">
      <c r="A120" s="3" t="s">
        <v>6</v>
      </c>
      <c r="B120" s="4" t="s">
        <v>74</v>
      </c>
      <c r="C120" s="16">
        <v>0.02</v>
      </c>
      <c r="D120" s="66">
        <f>ROUND((E120*C120),2)</f>
        <v>72.14</v>
      </c>
      <c r="E120" s="45">
        <f>E119+D119</f>
        <v>3607.0207800000003</v>
      </c>
      <c r="F120" s="30" t="s">
        <v>96</v>
      </c>
      <c r="G120" s="31"/>
    </row>
    <row r="121" spans="1:10" ht="16.5" thickBot="1" x14ac:dyDescent="0.3">
      <c r="A121" s="3" t="s">
        <v>8</v>
      </c>
      <c r="B121" s="4" t="s">
        <v>75</v>
      </c>
      <c r="C121" s="16">
        <f>C122+C123+C124+C125</f>
        <v>7.2900000000000006E-2</v>
      </c>
      <c r="D121" s="10"/>
      <c r="E121" s="83">
        <f>SUM(D122:D125)</f>
        <v>289.30085304929355</v>
      </c>
      <c r="F121" s="30">
        <f>1-((1.65%+8%+5%)/1)</f>
        <v>0.85349999999999993</v>
      </c>
      <c r="G121" s="30" t="s">
        <v>76</v>
      </c>
    </row>
    <row r="122" spans="1:10" ht="16.5" thickBot="1" x14ac:dyDescent="0.3">
      <c r="A122" s="3"/>
      <c r="B122" s="57" t="s">
        <v>77</v>
      </c>
      <c r="C122" s="97">
        <v>4.1000000000000003E-3</v>
      </c>
      <c r="D122" s="10">
        <f>(E119+D119+D120)/(1-C121)*C122</f>
        <v>16.270692695502106</v>
      </c>
      <c r="E122" s="47"/>
      <c r="J122" s="6"/>
    </row>
    <row r="123" spans="1:10" ht="16.5" thickBot="1" x14ac:dyDescent="0.3">
      <c r="A123" s="3"/>
      <c r="B123" s="57" t="s">
        <v>78</v>
      </c>
      <c r="C123" s="97">
        <v>1.8800000000000001E-2</v>
      </c>
      <c r="D123" s="10">
        <f>(E119+D119+D120)/(1-C121)*C123</f>
        <v>74.607078701326728</v>
      </c>
      <c r="E123" s="47"/>
      <c r="F123" s="32">
        <f>D122+D123</f>
        <v>90.877771396828834</v>
      </c>
      <c r="G123" s="30" t="s">
        <v>79</v>
      </c>
    </row>
    <row r="124" spans="1:10" ht="16.5" thickBot="1" x14ac:dyDescent="0.3">
      <c r="A124" s="3"/>
      <c r="B124" s="4" t="s">
        <v>80</v>
      </c>
      <c r="C124" s="16">
        <v>0.05</v>
      </c>
      <c r="D124" s="10">
        <f>(E119+D119+D120)/(1-C121)*C124</f>
        <v>198.4230816524647</v>
      </c>
      <c r="E124" s="47"/>
      <c r="F124" s="37">
        <f>D122+D123+D124+D125</f>
        <v>289.30085304929355</v>
      </c>
      <c r="G124" s="30" t="s">
        <v>81</v>
      </c>
    </row>
    <row r="125" spans="1:10" ht="16.5" thickBot="1" x14ac:dyDescent="0.3">
      <c r="A125" s="81"/>
      <c r="B125" s="82" t="s">
        <v>120</v>
      </c>
      <c r="C125" s="104">
        <v>0</v>
      </c>
      <c r="D125" s="10">
        <f>(E119+D119+D120)/(1-C121)*C125</f>
        <v>0</v>
      </c>
      <c r="E125" s="47"/>
      <c r="F125" s="79"/>
      <c r="G125" s="80"/>
    </row>
    <row r="126" spans="1:10" ht="16.5" thickBot="1" x14ac:dyDescent="0.3">
      <c r="A126" s="111" t="s">
        <v>37</v>
      </c>
      <c r="B126" s="112"/>
      <c r="C126" s="14"/>
      <c r="D126" s="25">
        <f>SUM(D119:D125)</f>
        <v>397.15085304929352</v>
      </c>
      <c r="E126" s="53"/>
    </row>
    <row r="129" spans="1:6" x14ac:dyDescent="0.25">
      <c r="A129" s="110" t="s">
        <v>82</v>
      </c>
      <c r="B129" s="110"/>
      <c r="C129" s="110"/>
    </row>
    <row r="130" spans="1:6" ht="16.5" thickBot="1" x14ac:dyDescent="0.3">
      <c r="D130" s="114" t="s">
        <v>97</v>
      </c>
      <c r="E130" s="114"/>
      <c r="F130" s="114"/>
    </row>
    <row r="131" spans="1:6" ht="16.5" thickBot="1" x14ac:dyDescent="0.3">
      <c r="A131" s="2"/>
      <c r="B131" s="107" t="s">
        <v>83</v>
      </c>
      <c r="C131" s="33" t="s">
        <v>3</v>
      </c>
      <c r="D131" s="34" t="s">
        <v>84</v>
      </c>
      <c r="E131" s="32">
        <f>E119+D119+D120</f>
        <v>3679.1607800000002</v>
      </c>
      <c r="F131" s="30" t="s">
        <v>85</v>
      </c>
    </row>
    <row r="132" spans="1:6" ht="16.5" thickBot="1" x14ac:dyDescent="0.3">
      <c r="A132" s="35" t="s">
        <v>4</v>
      </c>
      <c r="B132" s="4" t="s">
        <v>1</v>
      </c>
      <c r="C132" s="36">
        <f>C16</f>
        <v>1416.75</v>
      </c>
      <c r="D132" s="34" t="s">
        <v>86</v>
      </c>
      <c r="E132" s="48">
        <f>E131/(1-C121)</f>
        <v>3968.4616330492936</v>
      </c>
      <c r="F132" s="30" t="s">
        <v>87</v>
      </c>
    </row>
    <row r="133" spans="1:6" ht="16.5" thickBot="1" x14ac:dyDescent="0.3">
      <c r="A133" s="35" t="s">
        <v>6</v>
      </c>
      <c r="B133" s="4" t="s">
        <v>17</v>
      </c>
      <c r="C133" s="36">
        <f>C60</f>
        <v>1661.77</v>
      </c>
      <c r="D133" s="34" t="s">
        <v>88</v>
      </c>
      <c r="E133" s="37">
        <f>E131-E132</f>
        <v>-289.30085304929344</v>
      </c>
      <c r="F133" s="38" t="s">
        <v>89</v>
      </c>
    </row>
    <row r="134" spans="1:6" ht="16.5" thickBot="1" x14ac:dyDescent="0.3">
      <c r="A134" s="35" t="s">
        <v>8</v>
      </c>
      <c r="B134" s="4" t="s">
        <v>48</v>
      </c>
      <c r="C134" s="36">
        <f>C71</f>
        <v>100.28</v>
      </c>
      <c r="D134" s="30"/>
      <c r="E134" s="30"/>
      <c r="F134" s="49"/>
    </row>
    <row r="135" spans="1:6" ht="16.5" thickBot="1" x14ac:dyDescent="0.3">
      <c r="A135" s="35" t="s">
        <v>10</v>
      </c>
      <c r="B135" s="4" t="s">
        <v>54</v>
      </c>
      <c r="C135" s="39">
        <f>C102</f>
        <v>211.97078000000002</v>
      </c>
      <c r="E135" s="59" t="s">
        <v>101</v>
      </c>
      <c r="F135" s="59"/>
    </row>
    <row r="136" spans="1:6" ht="16.5" thickBot="1" x14ac:dyDescent="0.3">
      <c r="A136" s="35" t="s">
        <v>12</v>
      </c>
      <c r="B136" s="4" t="s">
        <v>66</v>
      </c>
      <c r="C136" s="39">
        <f>C113</f>
        <v>180.54000000000002</v>
      </c>
    </row>
    <row r="137" spans="1:6" ht="16.5" thickBot="1" x14ac:dyDescent="0.3">
      <c r="A137" s="111" t="s">
        <v>90</v>
      </c>
      <c r="B137" s="112"/>
      <c r="C137" s="85">
        <f>SUM(C132:C136)</f>
        <v>3571.3107800000002</v>
      </c>
    </row>
    <row r="138" spans="1:6" ht="16.5" thickBot="1" x14ac:dyDescent="0.3">
      <c r="A138" s="35" t="s">
        <v>32</v>
      </c>
      <c r="B138" s="4" t="s">
        <v>91</v>
      </c>
      <c r="C138" s="39">
        <f>D126</f>
        <v>397.15085304929352</v>
      </c>
    </row>
    <row r="139" spans="1:6" ht="16.5" thickBot="1" x14ac:dyDescent="0.3">
      <c r="A139" s="111" t="s">
        <v>92</v>
      </c>
      <c r="B139" s="112"/>
      <c r="C139" s="67">
        <f>ROUND(SUM(C138,C137),2)</f>
        <v>3968.46</v>
      </c>
    </row>
    <row r="141" spans="1:6" x14ac:dyDescent="0.25">
      <c r="B141" s="40" t="s">
        <v>93</v>
      </c>
      <c r="C141" s="41" t="s">
        <v>16</v>
      </c>
    </row>
    <row r="142" spans="1:6" x14ac:dyDescent="0.25">
      <c r="B142" s="41">
        <v>6</v>
      </c>
      <c r="C142" s="56">
        <f>(C139*B142)</f>
        <v>23810.760000000002</v>
      </c>
      <c r="D142" s="46"/>
      <c r="E142" s="50"/>
      <c r="F142" s="30"/>
    </row>
    <row r="144" spans="1:6" x14ac:dyDescent="0.25">
      <c r="B144" s="6">
        <f>C142</f>
        <v>23810.760000000002</v>
      </c>
      <c r="C144" s="68">
        <f>SUM(B144*12)</f>
        <v>285729.12</v>
      </c>
    </row>
  </sheetData>
  <mergeCells count="29">
    <mergeCell ref="A126:B126"/>
    <mergeCell ref="A129:C129"/>
    <mergeCell ref="D130:F130"/>
    <mergeCell ref="A137:B137"/>
    <mergeCell ref="A139:B139"/>
    <mergeCell ref="A116:C116"/>
    <mergeCell ref="A63:C63"/>
    <mergeCell ref="A71:B71"/>
    <mergeCell ref="A74:C74"/>
    <mergeCell ref="A77:C77"/>
    <mergeCell ref="A87:B87"/>
    <mergeCell ref="A90:C90"/>
    <mergeCell ref="A94:B94"/>
    <mergeCell ref="A97:C97"/>
    <mergeCell ref="A102:B102"/>
    <mergeCell ref="A105:C105"/>
    <mergeCell ref="A113:B113"/>
    <mergeCell ref="A60:B60"/>
    <mergeCell ref="A1:D1"/>
    <mergeCell ref="A6:C6"/>
    <mergeCell ref="A16:B16"/>
    <mergeCell ref="A19:C19"/>
    <mergeCell ref="A21:C21"/>
    <mergeCell ref="A26:B26"/>
    <mergeCell ref="A29:D29"/>
    <mergeCell ref="A40:B40"/>
    <mergeCell ref="A43:C43"/>
    <mergeCell ref="A51:B51"/>
    <mergeCell ref="A54:C5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44"/>
  <sheetViews>
    <sheetView topLeftCell="A112" workbookViewId="0">
      <selection activeCell="C144" sqref="C144"/>
    </sheetView>
  </sheetViews>
  <sheetFormatPr defaultRowHeight="15.75" x14ac:dyDescent="0.25"/>
  <cols>
    <col min="1" max="1" width="9.140625" style="1"/>
    <col min="2" max="2" width="72.140625" style="1" customWidth="1"/>
    <col min="3" max="3" width="18" style="1" customWidth="1"/>
    <col min="4" max="4" width="16.5703125" style="1" customWidth="1"/>
    <col min="5" max="5" width="14.140625" style="1" customWidth="1"/>
    <col min="6" max="6" width="55.7109375" style="1" bestFit="1" customWidth="1"/>
    <col min="7" max="7" width="36.140625" style="1" customWidth="1"/>
    <col min="8" max="9" width="9.140625" style="1"/>
    <col min="10" max="10" width="11.5703125" style="1" bestFit="1" customWidth="1"/>
    <col min="11" max="16384" width="9.140625" style="1"/>
  </cols>
  <sheetData>
    <row r="1" spans="1:5" ht="23.25" x14ac:dyDescent="0.35">
      <c r="A1" s="115" t="s">
        <v>0</v>
      </c>
      <c r="B1" s="115"/>
      <c r="C1" s="115"/>
      <c r="D1" s="115"/>
      <c r="E1" s="75"/>
    </row>
    <row r="2" spans="1:5" x14ac:dyDescent="0.25">
      <c r="A2" s="62"/>
      <c r="B2" s="55"/>
      <c r="C2" s="62"/>
      <c r="D2" s="62"/>
    </row>
    <row r="3" spans="1:5" x14ac:dyDescent="0.25">
      <c r="A3" s="62"/>
      <c r="B3" s="55"/>
      <c r="C3" s="62"/>
      <c r="D3" s="62"/>
    </row>
    <row r="4" spans="1:5" x14ac:dyDescent="0.25">
      <c r="A4" s="62"/>
      <c r="B4" s="55"/>
      <c r="C4" s="62"/>
      <c r="D4" s="62"/>
    </row>
    <row r="5" spans="1:5" x14ac:dyDescent="0.25">
      <c r="A5" s="62"/>
      <c r="B5" s="61" t="s">
        <v>148</v>
      </c>
      <c r="C5" s="62"/>
      <c r="D5" s="62"/>
    </row>
    <row r="6" spans="1:5" x14ac:dyDescent="0.25">
      <c r="A6" s="116" t="s">
        <v>1</v>
      </c>
      <c r="B6" s="116"/>
      <c r="C6" s="116"/>
    </row>
    <row r="7" spans="1:5" ht="16.5" thickBot="1" x14ac:dyDescent="0.3"/>
    <row r="8" spans="1:5" ht="16.5" thickBot="1" x14ac:dyDescent="0.3">
      <c r="A8" s="2">
        <v>1</v>
      </c>
      <c r="B8" s="74" t="s">
        <v>2</v>
      </c>
      <c r="C8" s="74" t="s">
        <v>3</v>
      </c>
    </row>
    <row r="9" spans="1:5" ht="16.5" thickBot="1" x14ac:dyDescent="0.3">
      <c r="A9" s="3" t="s">
        <v>4</v>
      </c>
      <c r="B9" s="4" t="s">
        <v>5</v>
      </c>
      <c r="C9" s="5">
        <v>2833.5</v>
      </c>
      <c r="D9" s="17"/>
      <c r="E9" s="1" t="s">
        <v>141</v>
      </c>
    </row>
    <row r="10" spans="1:5" ht="16.5" thickBot="1" x14ac:dyDescent="0.3">
      <c r="A10" s="3" t="s">
        <v>6</v>
      </c>
      <c r="B10" s="4" t="s">
        <v>7</v>
      </c>
      <c r="C10" s="5"/>
    </row>
    <row r="11" spans="1:5" ht="16.5" thickBot="1" x14ac:dyDescent="0.3">
      <c r="A11" s="3" t="s">
        <v>8</v>
      </c>
      <c r="B11" s="4" t="s">
        <v>9</v>
      </c>
      <c r="C11" s="5"/>
    </row>
    <row r="12" spans="1:5" ht="16.5" thickBot="1" x14ac:dyDescent="0.3">
      <c r="A12" s="3" t="s">
        <v>10</v>
      </c>
      <c r="B12" s="4" t="s">
        <v>11</v>
      </c>
      <c r="C12" s="5"/>
      <c r="D12" s="6"/>
      <c r="E12" s="6"/>
    </row>
    <row r="13" spans="1:5" ht="16.5" thickBot="1" x14ac:dyDescent="0.3">
      <c r="A13" s="3" t="s">
        <v>12</v>
      </c>
      <c r="B13" s="4" t="s">
        <v>13</v>
      </c>
      <c r="C13" s="5"/>
    </row>
    <row r="14" spans="1:5" ht="16.5" thickBot="1" x14ac:dyDescent="0.3">
      <c r="A14" s="3"/>
      <c r="B14" s="4"/>
      <c r="C14" s="5"/>
      <c r="D14" s="7"/>
      <c r="E14" s="7"/>
    </row>
    <row r="15" spans="1:5" ht="16.5" thickBot="1" x14ac:dyDescent="0.3">
      <c r="A15" s="3" t="s">
        <v>14</v>
      </c>
      <c r="B15" s="4" t="s">
        <v>15</v>
      </c>
      <c r="C15" s="5"/>
    </row>
    <row r="16" spans="1:5" ht="16.5" thickBot="1" x14ac:dyDescent="0.3">
      <c r="A16" s="111" t="s">
        <v>16</v>
      </c>
      <c r="B16" s="112"/>
      <c r="C16" s="8">
        <f>SUM(C9:C15)</f>
        <v>2833.5</v>
      </c>
      <c r="D16" s="42"/>
    </row>
    <row r="19" spans="1:11" x14ac:dyDescent="0.25">
      <c r="A19" s="110" t="s">
        <v>17</v>
      </c>
      <c r="B19" s="110"/>
      <c r="C19" s="110"/>
    </row>
    <row r="20" spans="1:11" x14ac:dyDescent="0.25">
      <c r="A20" s="9"/>
    </row>
    <row r="21" spans="1:11" x14ac:dyDescent="0.25">
      <c r="A21" s="113" t="s">
        <v>18</v>
      </c>
      <c r="B21" s="113"/>
      <c r="C21" s="113"/>
    </row>
    <row r="22" spans="1:11" ht="16.5" thickBot="1" x14ac:dyDescent="0.3"/>
    <row r="23" spans="1:11" ht="16.5" thickBot="1" x14ac:dyDescent="0.3">
      <c r="A23" s="2" t="s">
        <v>19</v>
      </c>
      <c r="B23" s="74" t="s">
        <v>20</v>
      </c>
      <c r="C23" s="74" t="s">
        <v>3</v>
      </c>
      <c r="F23" s="95" t="s">
        <v>139</v>
      </c>
      <c r="G23" s="95"/>
      <c r="H23" s="95"/>
      <c r="I23" s="95"/>
      <c r="J23" s="95"/>
      <c r="K23" s="95"/>
    </row>
    <row r="24" spans="1:11" ht="16.5" thickBot="1" x14ac:dyDescent="0.3">
      <c r="A24" s="3" t="s">
        <v>4</v>
      </c>
      <c r="B24" s="4" t="s">
        <v>21</v>
      </c>
      <c r="C24" s="10">
        <f>C16*8.33%</f>
        <v>236.03055000000001</v>
      </c>
      <c r="F24" s="95" t="s">
        <v>140</v>
      </c>
      <c r="G24" s="95"/>
      <c r="H24" s="95"/>
      <c r="I24" s="95"/>
      <c r="J24" s="95"/>
      <c r="K24" s="95"/>
    </row>
    <row r="25" spans="1:11" ht="16.5" thickBot="1" x14ac:dyDescent="0.3">
      <c r="A25" s="3" t="s">
        <v>6</v>
      </c>
      <c r="B25" s="57" t="s">
        <v>22</v>
      </c>
      <c r="C25" s="11">
        <f>C16*3.025%</f>
        <v>85.713374999999999</v>
      </c>
      <c r="F25" s="1" t="s">
        <v>123</v>
      </c>
    </row>
    <row r="26" spans="1:11" ht="16.5" thickBot="1" x14ac:dyDescent="0.3">
      <c r="A26" s="111" t="s">
        <v>16</v>
      </c>
      <c r="B26" s="112"/>
      <c r="C26" s="12">
        <f>ROUND(SUM(C24:C25),2)</f>
        <v>321.74</v>
      </c>
      <c r="F26" s="30" t="s">
        <v>103</v>
      </c>
    </row>
    <row r="27" spans="1:11" x14ac:dyDescent="0.25">
      <c r="E27" s="13"/>
      <c r="F27" s="59" t="s">
        <v>124</v>
      </c>
      <c r="G27" s="59"/>
    </row>
    <row r="28" spans="1:11" x14ac:dyDescent="0.25">
      <c r="E28" s="13"/>
    </row>
    <row r="29" spans="1:11" ht="32.25" customHeight="1" x14ac:dyDescent="0.25">
      <c r="A29" s="117" t="s">
        <v>23</v>
      </c>
      <c r="B29" s="117"/>
      <c r="C29" s="117"/>
      <c r="D29" s="117"/>
      <c r="E29" s="17"/>
    </row>
    <row r="30" spans="1:11" ht="16.5" thickBot="1" x14ac:dyDescent="0.3">
      <c r="E30" s="17"/>
    </row>
    <row r="31" spans="1:11" ht="16.5" thickBot="1" x14ac:dyDescent="0.3">
      <c r="A31" s="2" t="s">
        <v>24</v>
      </c>
      <c r="B31" s="74" t="s">
        <v>25</v>
      </c>
      <c r="C31" s="74" t="s">
        <v>26</v>
      </c>
      <c r="D31" s="74" t="s">
        <v>3</v>
      </c>
      <c r="E31" s="17"/>
    </row>
    <row r="32" spans="1:11" ht="16.5" thickBot="1" x14ac:dyDescent="0.3">
      <c r="A32" s="3" t="s">
        <v>4</v>
      </c>
      <c r="B32" s="57" t="s">
        <v>27</v>
      </c>
      <c r="C32" s="97">
        <v>0.2</v>
      </c>
      <c r="D32" s="15">
        <f>(C$16+C$26)*C32</f>
        <v>631.048</v>
      </c>
      <c r="E32" s="17"/>
      <c r="F32" s="95" t="s">
        <v>131</v>
      </c>
      <c r="G32" s="95"/>
      <c r="H32" s="95"/>
    </row>
    <row r="33" spans="1:12" ht="16.5" thickBot="1" x14ac:dyDescent="0.3">
      <c r="A33" s="3" t="s">
        <v>6</v>
      </c>
      <c r="B33" s="4" t="s">
        <v>28</v>
      </c>
      <c r="C33" s="16">
        <v>2.5000000000000001E-2</v>
      </c>
      <c r="D33" s="15">
        <f>(C$16+C$26)*C33</f>
        <v>78.881</v>
      </c>
      <c r="E33" s="17"/>
      <c r="F33" s="95" t="s">
        <v>132</v>
      </c>
      <c r="G33" s="95"/>
      <c r="H33" s="95"/>
      <c r="I33" s="95"/>
      <c r="J33" s="95"/>
      <c r="K33" s="95"/>
    </row>
    <row r="34" spans="1:12" ht="16.5" thickBot="1" x14ac:dyDescent="0.3">
      <c r="A34" s="3" t="s">
        <v>8</v>
      </c>
      <c r="B34" s="57" t="s">
        <v>29</v>
      </c>
      <c r="C34" s="98">
        <v>1.4999999999999999E-2</v>
      </c>
      <c r="D34" s="15">
        <f t="shared" ref="D34:D39" si="0">(C$16+C$26)*C34</f>
        <v>47.328599999999994</v>
      </c>
      <c r="E34" s="17"/>
      <c r="F34" s="95" t="s">
        <v>133</v>
      </c>
      <c r="G34" s="95"/>
      <c r="H34" s="95"/>
      <c r="I34" s="95"/>
      <c r="J34" s="95"/>
      <c r="K34" s="95"/>
      <c r="L34" s="95"/>
    </row>
    <row r="35" spans="1:12" ht="16.5" thickBot="1" x14ac:dyDescent="0.3">
      <c r="A35" s="3" t="s">
        <v>10</v>
      </c>
      <c r="B35" s="4" t="s">
        <v>30</v>
      </c>
      <c r="C35" s="16">
        <v>1.4999999999999999E-2</v>
      </c>
      <c r="D35" s="15">
        <f t="shared" si="0"/>
        <v>47.328599999999994</v>
      </c>
      <c r="E35" s="17"/>
      <c r="F35" s="95" t="s">
        <v>134</v>
      </c>
      <c r="G35" s="95"/>
      <c r="H35" s="95"/>
    </row>
    <row r="36" spans="1:12" ht="16.5" thickBot="1" x14ac:dyDescent="0.3">
      <c r="A36" s="3" t="s">
        <v>12</v>
      </c>
      <c r="B36" s="4" t="s">
        <v>31</v>
      </c>
      <c r="C36" s="16">
        <v>0.01</v>
      </c>
      <c r="D36" s="15">
        <f t="shared" si="0"/>
        <v>31.552399999999999</v>
      </c>
      <c r="E36" s="17"/>
      <c r="F36" s="95" t="s">
        <v>135</v>
      </c>
      <c r="G36" s="95"/>
      <c r="H36" s="95"/>
    </row>
    <row r="37" spans="1:12" ht="16.5" thickBot="1" x14ac:dyDescent="0.3">
      <c r="A37" s="3" t="s">
        <v>32</v>
      </c>
      <c r="B37" s="4" t="s">
        <v>33</v>
      </c>
      <c r="C37" s="16">
        <v>6.0000000000000001E-3</v>
      </c>
      <c r="D37" s="15">
        <f t="shared" si="0"/>
        <v>18.931439999999998</v>
      </c>
      <c r="E37" s="17"/>
      <c r="F37" s="95" t="s">
        <v>136</v>
      </c>
      <c r="G37" s="95"/>
      <c r="H37" s="95"/>
    </row>
    <row r="38" spans="1:12" ht="16.5" thickBot="1" x14ac:dyDescent="0.3">
      <c r="A38" s="3" t="s">
        <v>14</v>
      </c>
      <c r="B38" s="4" t="s">
        <v>34</v>
      </c>
      <c r="C38" s="16">
        <v>2E-3</v>
      </c>
      <c r="D38" s="15">
        <f t="shared" si="0"/>
        <v>6.3104800000000001</v>
      </c>
      <c r="E38" s="17"/>
      <c r="F38" s="95" t="s">
        <v>137</v>
      </c>
      <c r="G38" s="95"/>
      <c r="H38" s="95"/>
      <c r="I38" s="95"/>
    </row>
    <row r="39" spans="1:12" ht="16.5" thickBot="1" x14ac:dyDescent="0.3">
      <c r="A39" s="3" t="s">
        <v>35</v>
      </c>
      <c r="B39" s="4" t="s">
        <v>36</v>
      </c>
      <c r="C39" s="16">
        <v>0.08</v>
      </c>
      <c r="D39" s="15">
        <f t="shared" si="0"/>
        <v>252.41919999999999</v>
      </c>
      <c r="E39" s="17"/>
      <c r="F39" s="95" t="s">
        <v>138</v>
      </c>
      <c r="G39" s="95"/>
      <c r="H39" s="95"/>
      <c r="I39" s="95"/>
      <c r="J39" s="95"/>
      <c r="K39" s="95"/>
      <c r="L39" s="95"/>
    </row>
    <row r="40" spans="1:12" ht="16.5" thickBot="1" x14ac:dyDescent="0.3">
      <c r="A40" s="111" t="s">
        <v>37</v>
      </c>
      <c r="B40" s="112"/>
      <c r="C40" s="16">
        <f>SUM(C32:C39)</f>
        <v>0.35300000000000004</v>
      </c>
      <c r="D40" s="12">
        <f>ROUND(SUM(D32:D39),2)</f>
        <v>1113.8</v>
      </c>
      <c r="E40" s="17"/>
    </row>
    <row r="43" spans="1:12" x14ac:dyDescent="0.25">
      <c r="A43" s="113" t="s">
        <v>38</v>
      </c>
      <c r="B43" s="113"/>
      <c r="C43" s="113"/>
      <c r="D43" s="6"/>
    </row>
    <row r="44" spans="1:12" ht="16.5" thickBot="1" x14ac:dyDescent="0.3"/>
    <row r="45" spans="1:12" ht="16.5" thickBot="1" x14ac:dyDescent="0.3">
      <c r="A45" s="2" t="s">
        <v>39</v>
      </c>
      <c r="B45" s="74" t="s">
        <v>40</v>
      </c>
      <c r="C45" s="74" t="s">
        <v>3</v>
      </c>
    </row>
    <row r="46" spans="1:12" ht="16.5" thickBot="1" x14ac:dyDescent="0.3">
      <c r="A46" s="3" t="s">
        <v>4</v>
      </c>
      <c r="B46" s="57" t="s">
        <v>41</v>
      </c>
      <c r="C46" s="65">
        <f>ROUND(IF((D46*2*21)-(C9*6%)&gt;0,(D46*2*21)-(C9*6%),0),2)</f>
        <v>60.99</v>
      </c>
      <c r="D46" s="7">
        <v>5.5</v>
      </c>
      <c r="E46" s="64"/>
      <c r="F46" s="58">
        <v>21</v>
      </c>
      <c r="G46" s="1" t="s">
        <v>113</v>
      </c>
    </row>
    <row r="47" spans="1:12" ht="16.5" thickBot="1" x14ac:dyDescent="0.3">
      <c r="A47" s="3" t="s">
        <v>6</v>
      </c>
      <c r="B47" s="4" t="s">
        <v>42</v>
      </c>
      <c r="C47" s="11">
        <f>D47*F47</f>
        <v>798</v>
      </c>
      <c r="D47" s="6">
        <v>38</v>
      </c>
      <c r="E47" s="17"/>
      <c r="F47" s="51">
        <v>21</v>
      </c>
      <c r="G47" s="1" t="s">
        <v>105</v>
      </c>
    </row>
    <row r="48" spans="1:12" ht="16.5" thickBot="1" x14ac:dyDescent="0.3">
      <c r="A48" s="3" t="s">
        <v>8</v>
      </c>
      <c r="B48" s="4" t="s">
        <v>43</v>
      </c>
      <c r="C48" s="5"/>
      <c r="E48" s="17"/>
      <c r="F48" s="52"/>
    </row>
    <row r="49" spans="1:6" ht="16.5" thickBot="1" x14ac:dyDescent="0.3">
      <c r="A49" s="3" t="s">
        <v>10</v>
      </c>
      <c r="B49" s="4" t="s">
        <v>44</v>
      </c>
      <c r="C49" s="5"/>
      <c r="E49" s="17"/>
      <c r="F49" s="18"/>
    </row>
    <row r="50" spans="1:6" ht="16.5" thickBot="1" x14ac:dyDescent="0.3">
      <c r="A50" s="3" t="s">
        <v>12</v>
      </c>
      <c r="B50" s="4" t="s">
        <v>45</v>
      </c>
      <c r="C50" s="5"/>
      <c r="E50" s="17"/>
    </row>
    <row r="51" spans="1:6" ht="16.5" thickBot="1" x14ac:dyDescent="0.3">
      <c r="A51" s="111" t="s">
        <v>16</v>
      </c>
      <c r="B51" s="112"/>
      <c r="C51" s="72">
        <f>SUM(C46:C50)</f>
        <v>858.99</v>
      </c>
      <c r="E51" s="69"/>
    </row>
    <row r="54" spans="1:6" x14ac:dyDescent="0.25">
      <c r="A54" s="113" t="s">
        <v>46</v>
      </c>
      <c r="B54" s="113"/>
      <c r="C54" s="113"/>
    </row>
    <row r="55" spans="1:6" ht="16.5" thickBot="1" x14ac:dyDescent="0.3"/>
    <row r="56" spans="1:6" ht="16.5" thickBot="1" x14ac:dyDescent="0.3">
      <c r="A56" s="2">
        <v>2</v>
      </c>
      <c r="B56" s="74" t="s">
        <v>47</v>
      </c>
      <c r="C56" s="74" t="s">
        <v>3</v>
      </c>
    </row>
    <row r="57" spans="1:6" ht="16.5" thickBot="1" x14ac:dyDescent="0.3">
      <c r="A57" s="3" t="s">
        <v>19</v>
      </c>
      <c r="B57" s="4" t="s">
        <v>20</v>
      </c>
      <c r="C57" s="10">
        <f>C26</f>
        <v>321.74</v>
      </c>
      <c r="D57" s="43"/>
    </row>
    <row r="58" spans="1:6" ht="16.5" thickBot="1" x14ac:dyDescent="0.3">
      <c r="A58" s="3" t="s">
        <v>24</v>
      </c>
      <c r="B58" s="4" t="s">
        <v>25</v>
      </c>
      <c r="C58" s="10">
        <f>D40</f>
        <v>1113.8</v>
      </c>
      <c r="D58" s="43"/>
    </row>
    <row r="59" spans="1:6" ht="16.5" thickBot="1" x14ac:dyDescent="0.3">
      <c r="A59" s="3" t="s">
        <v>39</v>
      </c>
      <c r="B59" s="4" t="s">
        <v>40</v>
      </c>
      <c r="C59" s="10">
        <f>C51</f>
        <v>858.99</v>
      </c>
      <c r="D59" s="43"/>
    </row>
    <row r="60" spans="1:6" ht="16.5" thickBot="1" x14ac:dyDescent="0.3">
      <c r="A60" s="111" t="s">
        <v>16</v>
      </c>
      <c r="B60" s="112"/>
      <c r="C60" s="25">
        <f>ROUND(SUM(C57:C59),2)</f>
        <v>2294.5300000000002</v>
      </c>
      <c r="D60" s="43"/>
    </row>
    <row r="61" spans="1:6" x14ac:dyDescent="0.25">
      <c r="A61" s="20"/>
    </row>
    <row r="63" spans="1:6" x14ac:dyDescent="0.25">
      <c r="A63" s="118" t="s">
        <v>48</v>
      </c>
      <c r="B63" s="118"/>
      <c r="C63" s="118"/>
    </row>
    <row r="64" spans="1:6" ht="16.5" thickBot="1" x14ac:dyDescent="0.3"/>
    <row r="65" spans="1:16" ht="16.5" thickBot="1" x14ac:dyDescent="0.3">
      <c r="A65" s="2">
        <v>3</v>
      </c>
      <c r="B65" s="74" t="s">
        <v>49</v>
      </c>
      <c r="C65" s="74" t="s">
        <v>3</v>
      </c>
      <c r="D65" s="84" t="s">
        <v>26</v>
      </c>
      <c r="F65" s="30" t="s">
        <v>99</v>
      </c>
    </row>
    <row r="66" spans="1:16" ht="16.5" thickBot="1" x14ac:dyDescent="0.3">
      <c r="A66" s="3" t="s">
        <v>4</v>
      </c>
      <c r="B66" s="21" t="s">
        <v>50</v>
      </c>
      <c r="C66" s="10">
        <f>(C16)*D66</f>
        <v>11.900699999999999</v>
      </c>
      <c r="D66" s="96">
        <v>4.1999999999999997E-3</v>
      </c>
      <c r="E66" s="23"/>
      <c r="F66" s="95" t="s">
        <v>130</v>
      </c>
      <c r="G66" s="95"/>
    </row>
    <row r="67" spans="1:16" ht="16.5" thickBot="1" x14ac:dyDescent="0.3">
      <c r="A67" s="3" t="s">
        <v>6</v>
      </c>
      <c r="B67" s="21" t="s">
        <v>51</v>
      </c>
      <c r="C67" s="10">
        <f>C39*C66</f>
        <v>0.9520559999999999</v>
      </c>
      <c r="D67" s="96">
        <v>0.08</v>
      </c>
      <c r="E67" s="23"/>
      <c r="F67" s="1" t="s">
        <v>98</v>
      </c>
    </row>
    <row r="68" spans="1:16" ht="16.5" thickBot="1" x14ac:dyDescent="0.3">
      <c r="A68" s="3" t="s">
        <v>8</v>
      </c>
      <c r="B68" s="21" t="s">
        <v>53</v>
      </c>
      <c r="C68" s="10">
        <f>(C16)*D68</f>
        <v>54.969900000000003</v>
      </c>
      <c r="D68" s="96">
        <v>1.9400000000000001E-2</v>
      </c>
      <c r="E68" s="23"/>
      <c r="F68" s="95" t="s">
        <v>129</v>
      </c>
      <c r="G68" s="95"/>
    </row>
    <row r="69" spans="1:16" ht="16.5" thickBot="1" x14ac:dyDescent="0.3">
      <c r="A69" s="3" t="s">
        <v>10</v>
      </c>
      <c r="B69" s="77" t="s">
        <v>121</v>
      </c>
      <c r="C69" s="15">
        <f>D69*C68</f>
        <v>19.404374700000002</v>
      </c>
      <c r="D69" s="96">
        <f>C40</f>
        <v>0.35300000000000004</v>
      </c>
      <c r="E69" s="23"/>
    </row>
    <row r="70" spans="1:16" ht="16.5" thickBot="1" x14ac:dyDescent="0.3">
      <c r="A70" s="3" t="s">
        <v>12</v>
      </c>
      <c r="B70" s="76" t="s">
        <v>122</v>
      </c>
      <c r="C70" s="63">
        <f>C16*D70</f>
        <v>113.34</v>
      </c>
      <c r="D70" s="96">
        <v>0.04</v>
      </c>
      <c r="E70" s="54"/>
      <c r="F70" s="44" t="s">
        <v>52</v>
      </c>
    </row>
    <row r="71" spans="1:16" ht="16.5" thickBot="1" x14ac:dyDescent="0.3">
      <c r="A71" s="111" t="s">
        <v>16</v>
      </c>
      <c r="B71" s="112"/>
      <c r="C71" s="25">
        <f>SUM(C66:C70)</f>
        <v>200.5670307</v>
      </c>
      <c r="D71" s="19"/>
      <c r="E71" s="70"/>
    </row>
    <row r="74" spans="1:16" x14ac:dyDescent="0.25">
      <c r="A74" s="110" t="s">
        <v>54</v>
      </c>
      <c r="B74" s="110"/>
      <c r="C74" s="110"/>
    </row>
    <row r="77" spans="1:16" x14ac:dyDescent="0.25">
      <c r="A77" s="113" t="s">
        <v>55</v>
      </c>
      <c r="B77" s="113"/>
      <c r="C77" s="113"/>
    </row>
    <row r="78" spans="1:16" ht="16.5" thickBot="1" x14ac:dyDescent="0.3">
      <c r="A78" s="9"/>
    </row>
    <row r="79" spans="1:16" ht="16.5" thickBot="1" x14ac:dyDescent="0.3">
      <c r="A79" s="2" t="s">
        <v>56</v>
      </c>
      <c r="B79" s="74" t="s">
        <v>57</v>
      </c>
      <c r="C79" s="74" t="s">
        <v>3</v>
      </c>
      <c r="D79" s="84" t="s">
        <v>26</v>
      </c>
      <c r="F79" s="30" t="s">
        <v>99</v>
      </c>
    </row>
    <row r="80" spans="1:16" ht="16.5" thickBot="1" x14ac:dyDescent="0.3">
      <c r="A80" s="3" t="s">
        <v>4</v>
      </c>
      <c r="B80" s="76" t="s">
        <v>114</v>
      </c>
      <c r="C80" s="10">
        <f>D80*(C16+C57+C58+C71)</f>
        <v>405.616838036025</v>
      </c>
      <c r="D80" s="99">
        <v>9.0749999999999997E-2</v>
      </c>
      <c r="F80" s="95" t="s">
        <v>125</v>
      </c>
      <c r="G80" s="95"/>
      <c r="H80" s="95"/>
      <c r="I80" s="95"/>
      <c r="J80" s="95"/>
      <c r="K80" s="95"/>
      <c r="L80" s="95"/>
      <c r="M80" s="95"/>
      <c r="N80" s="95"/>
      <c r="O80" s="95"/>
      <c r="P80" s="95"/>
    </row>
    <row r="81" spans="1:22" ht="16.5" thickBot="1" x14ac:dyDescent="0.3">
      <c r="A81" s="3" t="s">
        <v>6</v>
      </c>
      <c r="B81" s="76" t="s">
        <v>115</v>
      </c>
      <c r="C81" s="10">
        <f>D81*(C16+C57+C58+C71)</f>
        <v>12.51489968596</v>
      </c>
      <c r="D81" s="96">
        <v>2.8E-3</v>
      </c>
      <c r="F81" s="95" t="s">
        <v>126</v>
      </c>
      <c r="G81" s="95"/>
      <c r="H81" s="95"/>
      <c r="I81" s="95"/>
      <c r="J81" s="95"/>
      <c r="K81" s="95"/>
    </row>
    <row r="82" spans="1:22" ht="16.5" thickBot="1" x14ac:dyDescent="0.3">
      <c r="A82" s="3" t="s">
        <v>8</v>
      </c>
      <c r="B82" s="76" t="s">
        <v>116</v>
      </c>
      <c r="C82" s="10">
        <f>D82*(C16+C57+C58+C71)</f>
        <v>3.1287249214899999</v>
      </c>
      <c r="D82" s="96">
        <v>6.9999999999999999E-4</v>
      </c>
    </row>
    <row r="83" spans="1:22" ht="32.25" thickBot="1" x14ac:dyDescent="0.3">
      <c r="A83" s="3" t="s">
        <v>10</v>
      </c>
      <c r="B83" s="77" t="s">
        <v>117</v>
      </c>
      <c r="C83" s="10">
        <f>D83*(C16+C57+C58+C71)</f>
        <v>1.7878428122800001</v>
      </c>
      <c r="D83" s="96">
        <v>4.0000000000000002E-4</v>
      </c>
      <c r="F83" s="95" t="s">
        <v>128</v>
      </c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95"/>
      <c r="U83" s="95"/>
      <c r="V83" s="95"/>
    </row>
    <row r="84" spans="1:22" ht="32.25" thickBot="1" x14ac:dyDescent="0.3">
      <c r="A84" s="3" t="s">
        <v>12</v>
      </c>
      <c r="B84" s="77" t="s">
        <v>118</v>
      </c>
      <c r="C84" s="10">
        <f>D84*(C16+C57+C58+C71)</f>
        <v>0.89392140614000004</v>
      </c>
      <c r="D84" s="96">
        <v>2.0000000000000001E-4</v>
      </c>
      <c r="F84" s="95" t="s">
        <v>127</v>
      </c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</row>
    <row r="85" spans="1:22" ht="16.5" thickBot="1" x14ac:dyDescent="0.3">
      <c r="A85" s="3" t="s">
        <v>32</v>
      </c>
      <c r="B85" s="76" t="s">
        <v>119</v>
      </c>
      <c r="C85" s="10">
        <f>D85*(C16+C58+C59+C72)</f>
        <v>0</v>
      </c>
      <c r="D85" s="96"/>
    </row>
    <row r="86" spans="1:22" ht="16.5" thickBot="1" x14ac:dyDescent="0.3">
      <c r="A86" s="3" t="s">
        <v>14</v>
      </c>
      <c r="B86" s="78" t="s">
        <v>15</v>
      </c>
      <c r="C86" s="10">
        <f>C16*D86</f>
        <v>0</v>
      </c>
      <c r="D86" s="100"/>
    </row>
    <row r="87" spans="1:22" ht="16.5" thickBot="1" x14ac:dyDescent="0.3">
      <c r="A87" s="111" t="s">
        <v>37</v>
      </c>
      <c r="B87" s="112"/>
      <c r="C87" s="25">
        <f>SUM(C80:C86)</f>
        <v>423.94222686189505</v>
      </c>
      <c r="D87" s="26"/>
    </row>
    <row r="90" spans="1:22" x14ac:dyDescent="0.25">
      <c r="A90" s="113" t="s">
        <v>58</v>
      </c>
      <c r="B90" s="113"/>
      <c r="C90" s="113"/>
    </row>
    <row r="91" spans="1:22" ht="16.5" thickBot="1" x14ac:dyDescent="0.3">
      <c r="A91" s="9"/>
    </row>
    <row r="92" spans="1:22" ht="16.5" thickBot="1" x14ac:dyDescent="0.3">
      <c r="A92" s="2" t="s">
        <v>59</v>
      </c>
      <c r="B92" s="74" t="s">
        <v>60</v>
      </c>
      <c r="C92" s="74" t="s">
        <v>3</v>
      </c>
    </row>
    <row r="93" spans="1:22" ht="16.5" thickBot="1" x14ac:dyDescent="0.3">
      <c r="A93" s="3" t="s">
        <v>4</v>
      </c>
      <c r="B93" s="4" t="s">
        <v>61</v>
      </c>
      <c r="C93" s="27"/>
      <c r="D93" s="26"/>
    </row>
    <row r="94" spans="1:22" ht="16.5" thickBot="1" x14ac:dyDescent="0.3">
      <c r="A94" s="111" t="s">
        <v>16</v>
      </c>
      <c r="B94" s="112"/>
      <c r="C94" s="27"/>
    </row>
    <row r="97" spans="1:5" x14ac:dyDescent="0.25">
      <c r="A97" s="113" t="s">
        <v>62</v>
      </c>
      <c r="B97" s="113"/>
      <c r="C97" s="113"/>
    </row>
    <row r="98" spans="1:5" ht="16.5" thickBot="1" x14ac:dyDescent="0.3">
      <c r="A98" s="9"/>
    </row>
    <row r="99" spans="1:5" ht="16.5" thickBot="1" x14ac:dyDescent="0.3">
      <c r="A99" s="2">
        <v>4</v>
      </c>
      <c r="B99" s="74" t="s">
        <v>63</v>
      </c>
      <c r="C99" s="74" t="s">
        <v>3</v>
      </c>
    </row>
    <row r="100" spans="1:5" ht="16.5" thickBot="1" x14ac:dyDescent="0.3">
      <c r="A100" s="3" t="s">
        <v>56</v>
      </c>
      <c r="B100" s="4" t="s">
        <v>64</v>
      </c>
      <c r="C100" s="103">
        <f>C87</f>
        <v>423.94222686189505</v>
      </c>
      <c r="D100" s="24"/>
      <c r="E100" s="22"/>
    </row>
    <row r="101" spans="1:5" ht="16.5" thickBot="1" x14ac:dyDescent="0.3">
      <c r="A101" s="3" t="s">
        <v>59</v>
      </c>
      <c r="B101" s="4" t="s">
        <v>65</v>
      </c>
      <c r="C101" s="103"/>
    </row>
    <row r="102" spans="1:5" ht="16.5" thickBot="1" x14ac:dyDescent="0.3">
      <c r="A102" s="111" t="s">
        <v>16</v>
      </c>
      <c r="B102" s="112"/>
      <c r="C102" s="85">
        <f>SUM(C100:C101)</f>
        <v>423.94222686189505</v>
      </c>
      <c r="D102" s="42"/>
      <c r="E102" s="55"/>
    </row>
    <row r="105" spans="1:5" x14ac:dyDescent="0.25">
      <c r="A105" s="110" t="s">
        <v>66</v>
      </c>
      <c r="B105" s="110"/>
      <c r="C105" s="110"/>
    </row>
    <row r="106" spans="1:5" ht="16.5" thickBot="1" x14ac:dyDescent="0.3"/>
    <row r="107" spans="1:5" ht="16.5" thickBot="1" x14ac:dyDescent="0.3">
      <c r="A107" s="2">
        <v>5</v>
      </c>
      <c r="B107" s="28" t="s">
        <v>67</v>
      </c>
      <c r="C107" s="74" t="s">
        <v>3</v>
      </c>
    </row>
    <row r="108" spans="1:5" ht="16.5" thickBot="1" x14ac:dyDescent="0.3">
      <c r="A108" s="3" t="s">
        <v>4</v>
      </c>
      <c r="B108" s="4" t="s">
        <v>68</v>
      </c>
      <c r="C108" s="5">
        <v>36.25</v>
      </c>
    </row>
    <row r="109" spans="1:5" ht="16.5" thickBot="1" x14ac:dyDescent="0.3">
      <c r="A109" s="3" t="s">
        <v>6</v>
      </c>
      <c r="B109" s="4" t="s">
        <v>69</v>
      </c>
      <c r="C109" s="5"/>
    </row>
    <row r="110" spans="1:5" ht="16.5" thickBot="1" x14ac:dyDescent="0.3">
      <c r="A110" s="3" t="s">
        <v>8</v>
      </c>
      <c r="B110" s="4" t="s">
        <v>70</v>
      </c>
      <c r="C110" s="5"/>
    </row>
    <row r="111" spans="1:5" ht="16.5" thickBot="1" x14ac:dyDescent="0.3">
      <c r="A111" s="3" t="s">
        <v>10</v>
      </c>
      <c r="B111" s="4" t="s">
        <v>94</v>
      </c>
      <c r="C111" s="5"/>
    </row>
    <row r="112" spans="1:5" ht="16.5" thickBot="1" x14ac:dyDescent="0.3">
      <c r="A112" s="3" t="s">
        <v>12</v>
      </c>
      <c r="B112" s="4" t="s">
        <v>100</v>
      </c>
      <c r="C112" s="5"/>
    </row>
    <row r="113" spans="1:10" ht="16.5" thickBot="1" x14ac:dyDescent="0.3">
      <c r="A113" s="111" t="s">
        <v>37</v>
      </c>
      <c r="B113" s="112"/>
      <c r="C113" s="12">
        <f>SUM(C108:C112)</f>
        <v>36.25</v>
      </c>
      <c r="D113" s="42"/>
    </row>
    <row r="116" spans="1:10" x14ac:dyDescent="0.25">
      <c r="A116" s="110" t="s">
        <v>71</v>
      </c>
      <c r="B116" s="110"/>
      <c r="C116" s="110"/>
    </row>
    <row r="117" spans="1:10" ht="19.5" thickBot="1" x14ac:dyDescent="0.35">
      <c r="F117" s="60" t="s">
        <v>102</v>
      </c>
    </row>
    <row r="118" spans="1:10" ht="16.5" thickBot="1" x14ac:dyDescent="0.3">
      <c r="A118" s="2">
        <v>6</v>
      </c>
      <c r="B118" s="28" t="s">
        <v>72</v>
      </c>
      <c r="C118" s="74" t="s">
        <v>26</v>
      </c>
      <c r="D118" s="74" t="s">
        <v>3</v>
      </c>
      <c r="E118" s="13"/>
    </row>
    <row r="119" spans="1:10" ht="16.5" thickBot="1" x14ac:dyDescent="0.3">
      <c r="A119" s="3" t="s">
        <v>4</v>
      </c>
      <c r="B119" s="4" t="s">
        <v>73</v>
      </c>
      <c r="C119" s="16">
        <v>1.9099999999999999E-2</v>
      </c>
      <c r="D119" s="29">
        <f>ROUND((E119*C119),2)</f>
        <v>110.57</v>
      </c>
      <c r="E119" s="45">
        <f>C16+C60+C71+C87+C113</f>
        <v>5788.7892575618953</v>
      </c>
      <c r="F119" s="30" t="s">
        <v>95</v>
      </c>
      <c r="G119" s="31"/>
    </row>
    <row r="120" spans="1:10" ht="16.5" thickBot="1" x14ac:dyDescent="0.3">
      <c r="A120" s="3" t="s">
        <v>6</v>
      </c>
      <c r="B120" s="4" t="s">
        <v>74</v>
      </c>
      <c r="C120" s="16">
        <v>0.02</v>
      </c>
      <c r="D120" s="66">
        <f>ROUND((E120*C120),2)</f>
        <v>117.99</v>
      </c>
      <c r="E120" s="45">
        <f>E119+D119</f>
        <v>5899.359257561895</v>
      </c>
      <c r="F120" s="30" t="s">
        <v>96</v>
      </c>
      <c r="G120" s="31"/>
    </row>
    <row r="121" spans="1:10" ht="16.5" thickBot="1" x14ac:dyDescent="0.3">
      <c r="A121" s="3" t="s">
        <v>8</v>
      </c>
      <c r="B121" s="4" t="s">
        <v>75</v>
      </c>
      <c r="C121" s="16">
        <f>C122+C123+C124+C125</f>
        <v>7.2900000000000006E-2</v>
      </c>
      <c r="D121" s="10"/>
      <c r="E121" s="83">
        <f>SUM(D122:D125)</f>
        <v>473.15797743098062</v>
      </c>
      <c r="F121" s="30">
        <f>1-((C121)/1)</f>
        <v>0.92710000000000004</v>
      </c>
      <c r="G121" s="30" t="s">
        <v>76</v>
      </c>
    </row>
    <row r="122" spans="1:10" ht="16.5" thickBot="1" x14ac:dyDescent="0.3">
      <c r="A122" s="3"/>
      <c r="B122" s="57" t="s">
        <v>77</v>
      </c>
      <c r="C122" s="97">
        <v>4.1000000000000003E-3</v>
      </c>
      <c r="D122" s="10">
        <f>(E119+D119+D120)/(1-C121)*C122</f>
        <v>26.61107966347079</v>
      </c>
      <c r="E122" s="47"/>
      <c r="F122" s="1">
        <f>1-((1.65%+8%+5%)/1)</f>
        <v>0.85349999999999993</v>
      </c>
      <c r="J122" s="6"/>
    </row>
    <row r="123" spans="1:10" ht="16.5" thickBot="1" x14ac:dyDescent="0.3">
      <c r="A123" s="3"/>
      <c r="B123" s="57" t="s">
        <v>78</v>
      </c>
      <c r="C123" s="97">
        <v>1.8800000000000001E-2</v>
      </c>
      <c r="D123" s="10">
        <f>(E119+D119+D120)/(1-C121)*C123</f>
        <v>122.02153601786605</v>
      </c>
      <c r="E123" s="47"/>
      <c r="F123" s="32">
        <f>D122+D123</f>
        <v>148.63261568133686</v>
      </c>
      <c r="G123" s="30" t="s">
        <v>79</v>
      </c>
    </row>
    <row r="124" spans="1:10" ht="16.5" thickBot="1" x14ac:dyDescent="0.3">
      <c r="A124" s="3"/>
      <c r="B124" s="4" t="s">
        <v>80</v>
      </c>
      <c r="C124" s="16">
        <v>0.05</v>
      </c>
      <c r="D124" s="10">
        <f>(E119+D119+D120)/(1-C121)*C124</f>
        <v>324.52536174964376</v>
      </c>
      <c r="E124" s="47"/>
      <c r="F124" s="37">
        <f>D122+D123+D124+D125</f>
        <v>473.15797743098062</v>
      </c>
      <c r="G124" s="30" t="s">
        <v>81</v>
      </c>
    </row>
    <row r="125" spans="1:10" ht="16.5" thickBot="1" x14ac:dyDescent="0.3">
      <c r="A125" s="81"/>
      <c r="B125" s="82" t="s">
        <v>120</v>
      </c>
      <c r="C125" s="101">
        <v>0</v>
      </c>
      <c r="D125" s="10">
        <f>(E119+D119+D120)/(1-C121)*C125</f>
        <v>0</v>
      </c>
      <c r="E125" s="47"/>
      <c r="F125" s="79"/>
      <c r="G125" s="80"/>
    </row>
    <row r="126" spans="1:10" ht="16.5" thickBot="1" x14ac:dyDescent="0.3">
      <c r="A126" s="111" t="s">
        <v>37</v>
      </c>
      <c r="B126" s="112"/>
      <c r="C126" s="14"/>
      <c r="D126" s="25">
        <f>SUM(D119:D125)</f>
        <v>701.71797743098068</v>
      </c>
      <c r="E126" s="53"/>
    </row>
    <row r="129" spans="1:6" x14ac:dyDescent="0.25">
      <c r="A129" s="110" t="s">
        <v>82</v>
      </c>
      <c r="B129" s="110"/>
      <c r="C129" s="110"/>
    </row>
    <row r="130" spans="1:6" ht="16.5" thickBot="1" x14ac:dyDescent="0.3">
      <c r="D130" s="114" t="s">
        <v>97</v>
      </c>
      <c r="E130" s="114"/>
      <c r="F130" s="114"/>
    </row>
    <row r="131" spans="1:6" ht="16.5" thickBot="1" x14ac:dyDescent="0.3">
      <c r="A131" s="2"/>
      <c r="B131" s="74" t="s">
        <v>83</v>
      </c>
      <c r="C131" s="33" t="s">
        <v>3</v>
      </c>
      <c r="D131" s="34" t="s">
        <v>84</v>
      </c>
      <c r="E131" s="32">
        <f>E119+D119+D120</f>
        <v>6017.3492575618948</v>
      </c>
      <c r="F131" s="30" t="s">
        <v>85</v>
      </c>
    </row>
    <row r="132" spans="1:6" ht="16.5" thickBot="1" x14ac:dyDescent="0.3">
      <c r="A132" s="35" t="s">
        <v>4</v>
      </c>
      <c r="B132" s="4" t="s">
        <v>1</v>
      </c>
      <c r="C132" s="29">
        <f>C16</f>
        <v>2833.5</v>
      </c>
      <c r="D132" s="34" t="s">
        <v>86</v>
      </c>
      <c r="E132" s="48">
        <f>E131/(1-C121)</f>
        <v>6490.5072349928751</v>
      </c>
      <c r="F132" s="30" t="s">
        <v>87</v>
      </c>
    </row>
    <row r="133" spans="1:6" ht="16.5" thickBot="1" x14ac:dyDescent="0.3">
      <c r="A133" s="35" t="s">
        <v>6</v>
      </c>
      <c r="B133" s="4" t="s">
        <v>17</v>
      </c>
      <c r="C133" s="29">
        <f>C60</f>
        <v>2294.5300000000002</v>
      </c>
      <c r="D133" s="34" t="s">
        <v>88</v>
      </c>
      <c r="E133" s="37">
        <f>E131-E132</f>
        <v>-473.15797743098028</v>
      </c>
      <c r="F133" s="38" t="s">
        <v>89</v>
      </c>
    </row>
    <row r="134" spans="1:6" ht="16.5" thickBot="1" x14ac:dyDescent="0.3">
      <c r="A134" s="35" t="s">
        <v>8</v>
      </c>
      <c r="B134" s="4" t="s">
        <v>48</v>
      </c>
      <c r="C134" s="29">
        <f>C71</f>
        <v>200.5670307</v>
      </c>
      <c r="D134" s="30"/>
      <c r="E134" s="30"/>
      <c r="F134" s="49"/>
    </row>
    <row r="135" spans="1:6" ht="16.5" thickBot="1" x14ac:dyDescent="0.3">
      <c r="A135" s="35" t="s">
        <v>10</v>
      </c>
      <c r="B135" s="4" t="s">
        <v>54</v>
      </c>
      <c r="C135" s="10">
        <f>C102</f>
        <v>423.94222686189505</v>
      </c>
      <c r="E135" s="59" t="s">
        <v>101</v>
      </c>
      <c r="F135" s="59"/>
    </row>
    <row r="136" spans="1:6" ht="16.5" thickBot="1" x14ac:dyDescent="0.3">
      <c r="A136" s="35" t="s">
        <v>12</v>
      </c>
      <c r="B136" s="4" t="s">
        <v>66</v>
      </c>
      <c r="C136" s="10">
        <f>C113</f>
        <v>36.25</v>
      </c>
    </row>
    <row r="137" spans="1:6" ht="16.5" thickBot="1" x14ac:dyDescent="0.3">
      <c r="A137" s="111" t="s">
        <v>90</v>
      </c>
      <c r="B137" s="112"/>
      <c r="C137" s="10">
        <f>SUM(C132:C136)</f>
        <v>5788.7892575618953</v>
      </c>
    </row>
    <row r="138" spans="1:6" ht="16.5" thickBot="1" x14ac:dyDescent="0.3">
      <c r="A138" s="35" t="s">
        <v>32</v>
      </c>
      <c r="B138" s="4" t="s">
        <v>91</v>
      </c>
      <c r="C138" s="10">
        <f>D126</f>
        <v>701.71797743098068</v>
      </c>
    </row>
    <row r="139" spans="1:6" ht="16.5" thickBot="1" x14ac:dyDescent="0.3">
      <c r="A139" s="111" t="s">
        <v>92</v>
      </c>
      <c r="B139" s="112"/>
      <c r="C139" s="102">
        <f>ROUND(SUM(C138,C137),2)</f>
        <v>6490.51</v>
      </c>
    </row>
    <row r="141" spans="1:6" x14ac:dyDescent="0.25">
      <c r="B141" s="40" t="s">
        <v>93</v>
      </c>
      <c r="C141" s="41" t="s">
        <v>16</v>
      </c>
    </row>
    <row r="142" spans="1:6" x14ac:dyDescent="0.25">
      <c r="B142" s="41">
        <v>1</v>
      </c>
      <c r="C142" s="56">
        <f>C139*B142</f>
        <v>6490.51</v>
      </c>
      <c r="D142" s="46"/>
      <c r="E142" s="50"/>
      <c r="F142" s="30"/>
    </row>
    <row r="144" spans="1:6" x14ac:dyDescent="0.25">
      <c r="B144" s="6">
        <f>C142</f>
        <v>6490.51</v>
      </c>
      <c r="C144" s="68">
        <f>SUM(B144*12)</f>
        <v>77886.12</v>
      </c>
    </row>
  </sheetData>
  <mergeCells count="29">
    <mergeCell ref="A19:C19"/>
    <mergeCell ref="A1:D1"/>
    <mergeCell ref="A6:C6"/>
    <mergeCell ref="A16:B16"/>
    <mergeCell ref="D130:F130"/>
    <mergeCell ref="A77:C77"/>
    <mergeCell ref="A21:C21"/>
    <mergeCell ref="A26:B26"/>
    <mergeCell ref="A29:D29"/>
    <mergeCell ref="A40:B40"/>
    <mergeCell ref="A43:C43"/>
    <mergeCell ref="A51:B51"/>
    <mergeCell ref="A54:C54"/>
    <mergeCell ref="A60:B60"/>
    <mergeCell ref="A63:C63"/>
    <mergeCell ref="A71:B71"/>
    <mergeCell ref="A74:C74"/>
    <mergeCell ref="A87:B87"/>
    <mergeCell ref="A90:C90"/>
    <mergeCell ref="A94:B94"/>
    <mergeCell ref="A97:C97"/>
    <mergeCell ref="A102:B102"/>
    <mergeCell ref="A139:B139"/>
    <mergeCell ref="A113:B113"/>
    <mergeCell ref="A116:C116"/>
    <mergeCell ref="A126:B126"/>
    <mergeCell ref="A129:C129"/>
    <mergeCell ref="A137:B137"/>
    <mergeCell ref="A105:C105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048B1-1188-4053-A094-AAC83896689B}">
  <dimension ref="A1:V144"/>
  <sheetViews>
    <sheetView tabSelected="1" topLeftCell="A118" workbookViewId="0">
      <selection activeCell="C139" sqref="C139"/>
    </sheetView>
  </sheetViews>
  <sheetFormatPr defaultRowHeight="15.75" x14ac:dyDescent="0.25"/>
  <cols>
    <col min="1" max="1" width="9.140625" style="1"/>
    <col min="2" max="2" width="72.140625" style="1" customWidth="1"/>
    <col min="3" max="3" width="18" style="1" customWidth="1"/>
    <col min="4" max="4" width="16.5703125" style="1" customWidth="1"/>
    <col min="5" max="5" width="14.140625" style="1" customWidth="1"/>
    <col min="6" max="6" width="55.7109375" style="1" bestFit="1" customWidth="1"/>
    <col min="7" max="7" width="36.140625" style="1" customWidth="1"/>
    <col min="8" max="9" width="9.140625" style="1"/>
    <col min="10" max="10" width="11.5703125" style="1" bestFit="1" customWidth="1"/>
    <col min="11" max="16384" width="9.140625" style="1"/>
  </cols>
  <sheetData>
    <row r="1" spans="1:5" ht="23.25" x14ac:dyDescent="0.35">
      <c r="A1" s="115" t="s">
        <v>0</v>
      </c>
      <c r="B1" s="115"/>
      <c r="C1" s="115"/>
      <c r="D1" s="115"/>
      <c r="E1" s="106"/>
    </row>
    <row r="2" spans="1:5" x14ac:dyDescent="0.25">
      <c r="A2" s="62"/>
      <c r="B2" s="55"/>
      <c r="C2" s="62"/>
      <c r="D2" s="62"/>
    </row>
    <row r="3" spans="1:5" x14ac:dyDescent="0.25">
      <c r="A3" s="62"/>
      <c r="B3" s="55"/>
      <c r="C3" s="62"/>
      <c r="D3" s="62"/>
    </row>
    <row r="4" spans="1:5" x14ac:dyDescent="0.25">
      <c r="A4" s="62"/>
      <c r="B4" s="55"/>
      <c r="C4" s="62"/>
      <c r="D4" s="62"/>
    </row>
    <row r="5" spans="1:5" x14ac:dyDescent="0.25">
      <c r="A5" s="62"/>
      <c r="B5" s="61" t="s">
        <v>147</v>
      </c>
      <c r="C5" s="62"/>
      <c r="D5" s="62"/>
    </row>
    <row r="6" spans="1:5" x14ac:dyDescent="0.25">
      <c r="A6" s="116" t="s">
        <v>1</v>
      </c>
      <c r="B6" s="116"/>
      <c r="C6" s="116"/>
    </row>
    <row r="7" spans="1:5" ht="16.5" thickBot="1" x14ac:dyDescent="0.3"/>
    <row r="8" spans="1:5" ht="16.5" thickBot="1" x14ac:dyDescent="0.3">
      <c r="A8" s="2">
        <v>1</v>
      </c>
      <c r="B8" s="107" t="s">
        <v>2</v>
      </c>
      <c r="C8" s="107" t="s">
        <v>3</v>
      </c>
    </row>
    <row r="9" spans="1:5" ht="16.5" thickBot="1" x14ac:dyDescent="0.3">
      <c r="A9" s="3" t="s">
        <v>4</v>
      </c>
      <c r="B9" s="4" t="s">
        <v>5</v>
      </c>
      <c r="C9" s="5">
        <v>1416.75</v>
      </c>
      <c r="D9" s="17"/>
      <c r="E9" s="1" t="s">
        <v>141</v>
      </c>
    </row>
    <row r="10" spans="1:5" ht="16.5" thickBot="1" x14ac:dyDescent="0.3">
      <c r="A10" s="3" t="s">
        <v>6</v>
      </c>
      <c r="B10" s="4" t="s">
        <v>7</v>
      </c>
      <c r="C10" s="5"/>
    </row>
    <row r="11" spans="1:5" ht="16.5" thickBot="1" x14ac:dyDescent="0.3">
      <c r="A11" s="3" t="s">
        <v>8</v>
      </c>
      <c r="B11" s="4" t="s">
        <v>9</v>
      </c>
      <c r="C11" s="5"/>
    </row>
    <row r="12" spans="1:5" ht="16.5" thickBot="1" x14ac:dyDescent="0.3">
      <c r="A12" s="3" t="s">
        <v>10</v>
      </c>
      <c r="B12" s="4" t="s">
        <v>11</v>
      </c>
      <c r="C12" s="5"/>
      <c r="D12" s="6"/>
      <c r="E12" s="6"/>
    </row>
    <row r="13" spans="1:5" ht="16.5" thickBot="1" x14ac:dyDescent="0.3">
      <c r="A13" s="3" t="s">
        <v>12</v>
      </c>
      <c r="B13" s="4" t="s">
        <v>13</v>
      </c>
      <c r="C13" s="5"/>
    </row>
    <row r="14" spans="1:5" ht="16.5" thickBot="1" x14ac:dyDescent="0.3">
      <c r="A14" s="3"/>
      <c r="B14" s="4"/>
      <c r="C14" s="5"/>
      <c r="D14" s="7"/>
      <c r="E14" s="7"/>
    </row>
    <row r="15" spans="1:5" ht="16.5" thickBot="1" x14ac:dyDescent="0.3">
      <c r="A15" s="3" t="s">
        <v>14</v>
      </c>
      <c r="B15" s="4" t="s">
        <v>15</v>
      </c>
      <c r="C15" s="5"/>
    </row>
    <row r="16" spans="1:5" ht="16.5" thickBot="1" x14ac:dyDescent="0.3">
      <c r="A16" s="111" t="s">
        <v>16</v>
      </c>
      <c r="B16" s="112"/>
      <c r="C16" s="8">
        <f>SUM(C9:C15)</f>
        <v>1416.75</v>
      </c>
      <c r="D16" s="42"/>
    </row>
    <row r="19" spans="1:11" x14ac:dyDescent="0.25">
      <c r="A19" s="110" t="s">
        <v>17</v>
      </c>
      <c r="B19" s="110"/>
      <c r="C19" s="110"/>
    </row>
    <row r="20" spans="1:11" x14ac:dyDescent="0.25">
      <c r="A20" s="9"/>
    </row>
    <row r="21" spans="1:11" x14ac:dyDescent="0.25">
      <c r="A21" s="113" t="s">
        <v>18</v>
      </c>
      <c r="B21" s="113"/>
      <c r="C21" s="113"/>
    </row>
    <row r="22" spans="1:11" ht="16.5" thickBot="1" x14ac:dyDescent="0.3"/>
    <row r="23" spans="1:11" ht="16.5" thickBot="1" x14ac:dyDescent="0.3">
      <c r="A23" s="2" t="s">
        <v>19</v>
      </c>
      <c r="B23" s="107" t="s">
        <v>20</v>
      </c>
      <c r="C23" s="107" t="s">
        <v>3</v>
      </c>
      <c r="F23" s="95" t="s">
        <v>139</v>
      </c>
      <c r="G23" s="95"/>
      <c r="H23" s="95"/>
      <c r="I23" s="95"/>
      <c r="J23" s="95"/>
      <c r="K23" s="95"/>
    </row>
    <row r="24" spans="1:11" ht="16.5" thickBot="1" x14ac:dyDescent="0.3">
      <c r="A24" s="3" t="s">
        <v>4</v>
      </c>
      <c r="B24" s="4" t="s">
        <v>21</v>
      </c>
      <c r="C24" s="10">
        <f>C16*8.33%</f>
        <v>118.015275</v>
      </c>
      <c r="F24" s="95" t="s">
        <v>140</v>
      </c>
      <c r="G24" s="95"/>
      <c r="H24" s="95"/>
      <c r="I24" s="95"/>
      <c r="J24" s="95"/>
      <c r="K24" s="95"/>
    </row>
    <row r="25" spans="1:11" ht="16.5" thickBot="1" x14ac:dyDescent="0.3">
      <c r="A25" s="3" t="s">
        <v>6</v>
      </c>
      <c r="B25" s="57" t="s">
        <v>22</v>
      </c>
      <c r="C25" s="11">
        <f>C16*3.025%</f>
        <v>42.8566875</v>
      </c>
      <c r="F25" s="1" t="s">
        <v>123</v>
      </c>
    </row>
    <row r="26" spans="1:11" ht="16.5" thickBot="1" x14ac:dyDescent="0.3">
      <c r="A26" s="111" t="s">
        <v>16</v>
      </c>
      <c r="B26" s="112"/>
      <c r="C26" s="12">
        <f>ROUND(SUM(C24:C25),2)</f>
        <v>160.87</v>
      </c>
      <c r="F26" s="30" t="s">
        <v>103</v>
      </c>
    </row>
    <row r="27" spans="1:11" x14ac:dyDescent="0.25">
      <c r="E27" s="13"/>
      <c r="F27" s="59" t="s">
        <v>124</v>
      </c>
      <c r="G27" s="59"/>
    </row>
    <row r="28" spans="1:11" x14ac:dyDescent="0.25">
      <c r="E28" s="13"/>
    </row>
    <row r="29" spans="1:11" ht="32.25" customHeight="1" x14ac:dyDescent="0.25">
      <c r="A29" s="117" t="s">
        <v>23</v>
      </c>
      <c r="B29" s="117"/>
      <c r="C29" s="117"/>
      <c r="D29" s="117"/>
      <c r="E29" s="17"/>
    </row>
    <row r="30" spans="1:11" ht="16.5" thickBot="1" x14ac:dyDescent="0.3">
      <c r="E30" s="17"/>
    </row>
    <row r="31" spans="1:11" ht="16.5" thickBot="1" x14ac:dyDescent="0.3">
      <c r="A31" s="2" t="s">
        <v>24</v>
      </c>
      <c r="B31" s="107" t="s">
        <v>25</v>
      </c>
      <c r="C31" s="107" t="s">
        <v>26</v>
      </c>
      <c r="D31" s="107" t="s">
        <v>3</v>
      </c>
      <c r="E31" s="17"/>
    </row>
    <row r="32" spans="1:11" ht="16.5" thickBot="1" x14ac:dyDescent="0.3">
      <c r="A32" s="3" t="s">
        <v>4</v>
      </c>
      <c r="B32" s="57" t="s">
        <v>27</v>
      </c>
      <c r="C32" s="97">
        <v>0.2</v>
      </c>
      <c r="D32" s="15">
        <f>(C$16+C$26)*C32</f>
        <v>315.524</v>
      </c>
      <c r="E32" s="17"/>
      <c r="F32" s="95" t="s">
        <v>131</v>
      </c>
      <c r="G32" s="95"/>
      <c r="H32" s="95"/>
    </row>
    <row r="33" spans="1:12" ht="16.5" thickBot="1" x14ac:dyDescent="0.3">
      <c r="A33" s="3" t="s">
        <v>6</v>
      </c>
      <c r="B33" s="4" t="s">
        <v>28</v>
      </c>
      <c r="C33" s="16">
        <v>2.5000000000000001E-2</v>
      </c>
      <c r="D33" s="15">
        <f>(C$16+C$26)*C33</f>
        <v>39.4405</v>
      </c>
      <c r="E33" s="17"/>
      <c r="F33" s="95" t="s">
        <v>132</v>
      </c>
      <c r="G33" s="95"/>
      <c r="H33" s="95"/>
      <c r="I33" s="95"/>
      <c r="J33" s="95"/>
      <c r="K33" s="95"/>
    </row>
    <row r="34" spans="1:12" ht="16.5" thickBot="1" x14ac:dyDescent="0.3">
      <c r="A34" s="3" t="s">
        <v>8</v>
      </c>
      <c r="B34" s="57" t="s">
        <v>29</v>
      </c>
      <c r="C34" s="98">
        <v>1.4999999999999999E-2</v>
      </c>
      <c r="D34" s="15">
        <f t="shared" ref="D34:D39" si="0">(C$16+C$26)*C34</f>
        <v>23.664299999999997</v>
      </c>
      <c r="E34" s="17"/>
      <c r="F34" s="95" t="s">
        <v>133</v>
      </c>
      <c r="G34" s="95"/>
      <c r="H34" s="95"/>
      <c r="I34" s="95"/>
      <c r="J34" s="95"/>
      <c r="K34" s="95"/>
      <c r="L34" s="95"/>
    </row>
    <row r="35" spans="1:12" ht="16.5" thickBot="1" x14ac:dyDescent="0.3">
      <c r="A35" s="3" t="s">
        <v>10</v>
      </c>
      <c r="B35" s="4" t="s">
        <v>30</v>
      </c>
      <c r="C35" s="16">
        <v>1.4999999999999999E-2</v>
      </c>
      <c r="D35" s="15">
        <f t="shared" si="0"/>
        <v>23.664299999999997</v>
      </c>
      <c r="E35" s="17"/>
      <c r="F35" s="95" t="s">
        <v>134</v>
      </c>
      <c r="G35" s="95"/>
      <c r="H35" s="95"/>
    </row>
    <row r="36" spans="1:12" ht="16.5" thickBot="1" x14ac:dyDescent="0.3">
      <c r="A36" s="3" t="s">
        <v>12</v>
      </c>
      <c r="B36" s="4" t="s">
        <v>31</v>
      </c>
      <c r="C36" s="16">
        <v>0.01</v>
      </c>
      <c r="D36" s="15">
        <f t="shared" si="0"/>
        <v>15.776199999999999</v>
      </c>
      <c r="E36" s="17"/>
      <c r="F36" s="95" t="s">
        <v>135</v>
      </c>
      <c r="G36" s="95"/>
      <c r="H36" s="95"/>
    </row>
    <row r="37" spans="1:12" ht="16.5" thickBot="1" x14ac:dyDescent="0.3">
      <c r="A37" s="3" t="s">
        <v>32</v>
      </c>
      <c r="B37" s="4" t="s">
        <v>33</v>
      </c>
      <c r="C37" s="16">
        <v>6.0000000000000001E-3</v>
      </c>
      <c r="D37" s="15">
        <f t="shared" si="0"/>
        <v>9.4657199999999992</v>
      </c>
      <c r="E37" s="17"/>
      <c r="F37" s="95" t="s">
        <v>136</v>
      </c>
      <c r="G37" s="95"/>
      <c r="H37" s="95"/>
    </row>
    <row r="38" spans="1:12" ht="16.5" thickBot="1" x14ac:dyDescent="0.3">
      <c r="A38" s="3" t="s">
        <v>14</v>
      </c>
      <c r="B38" s="4" t="s">
        <v>34</v>
      </c>
      <c r="C38" s="16">
        <v>2E-3</v>
      </c>
      <c r="D38" s="15">
        <f t="shared" si="0"/>
        <v>3.15524</v>
      </c>
      <c r="E38" s="17"/>
      <c r="F38" s="95" t="s">
        <v>137</v>
      </c>
      <c r="G38" s="95"/>
      <c r="H38" s="95"/>
      <c r="I38" s="95"/>
    </row>
    <row r="39" spans="1:12" ht="16.5" thickBot="1" x14ac:dyDescent="0.3">
      <c r="A39" s="3" t="s">
        <v>35</v>
      </c>
      <c r="B39" s="4" t="s">
        <v>36</v>
      </c>
      <c r="C39" s="16">
        <v>0.08</v>
      </c>
      <c r="D39" s="15">
        <f t="shared" si="0"/>
        <v>126.20959999999999</v>
      </c>
      <c r="E39" s="17"/>
      <c r="F39" s="95" t="s">
        <v>138</v>
      </c>
      <c r="G39" s="95"/>
      <c r="H39" s="95"/>
      <c r="I39" s="95"/>
      <c r="J39" s="95"/>
      <c r="K39" s="95"/>
      <c r="L39" s="95"/>
    </row>
    <row r="40" spans="1:12" ht="16.5" thickBot="1" x14ac:dyDescent="0.3">
      <c r="A40" s="111" t="s">
        <v>37</v>
      </c>
      <c r="B40" s="112"/>
      <c r="C40" s="16">
        <f>SUM(C32:C39)</f>
        <v>0.35300000000000004</v>
      </c>
      <c r="D40" s="12">
        <f>ROUND(SUM(D32:D39),2)</f>
        <v>556.9</v>
      </c>
      <c r="E40" s="17"/>
    </row>
    <row r="43" spans="1:12" x14ac:dyDescent="0.25">
      <c r="A43" s="113" t="s">
        <v>38</v>
      </c>
      <c r="B43" s="113"/>
      <c r="C43" s="113"/>
      <c r="D43" s="6"/>
    </row>
    <row r="44" spans="1:12" ht="16.5" thickBot="1" x14ac:dyDescent="0.3"/>
    <row r="45" spans="1:12" ht="16.5" thickBot="1" x14ac:dyDescent="0.3">
      <c r="A45" s="2" t="s">
        <v>39</v>
      </c>
      <c r="B45" s="107" t="s">
        <v>40</v>
      </c>
      <c r="C45" s="107" t="s">
        <v>3</v>
      </c>
    </row>
    <row r="46" spans="1:12" ht="16.5" thickBot="1" x14ac:dyDescent="0.3">
      <c r="A46" s="3" t="s">
        <v>4</v>
      </c>
      <c r="B46" s="57" t="s">
        <v>41</v>
      </c>
      <c r="C46" s="65">
        <f>ROUND(IF((D46*2*21)-(C9*6%)&gt;0,(D46*2*21)-(C9*6%),0),2)</f>
        <v>146</v>
      </c>
      <c r="D46" s="7">
        <v>5.5</v>
      </c>
      <c r="E46" s="64"/>
      <c r="F46" s="58">
        <v>21</v>
      </c>
      <c r="G46" s="1" t="s">
        <v>113</v>
      </c>
    </row>
    <row r="47" spans="1:12" ht="16.5" thickBot="1" x14ac:dyDescent="0.3">
      <c r="A47" s="3" t="s">
        <v>6</v>
      </c>
      <c r="B47" s="4" t="s">
        <v>42</v>
      </c>
      <c r="C47" s="11">
        <f>D47*F47</f>
        <v>798</v>
      </c>
      <c r="D47" s="6">
        <v>38</v>
      </c>
      <c r="E47" s="17"/>
      <c r="F47" s="51">
        <v>21</v>
      </c>
      <c r="G47" s="1" t="s">
        <v>105</v>
      </c>
    </row>
    <row r="48" spans="1:12" ht="16.5" thickBot="1" x14ac:dyDescent="0.3">
      <c r="A48" s="3" t="s">
        <v>8</v>
      </c>
      <c r="B48" s="4" t="s">
        <v>43</v>
      </c>
      <c r="C48" s="5"/>
      <c r="E48" s="17"/>
      <c r="F48" s="52"/>
    </row>
    <row r="49" spans="1:6" ht="16.5" thickBot="1" x14ac:dyDescent="0.3">
      <c r="A49" s="3" t="s">
        <v>10</v>
      </c>
      <c r="B49" s="4" t="s">
        <v>44</v>
      </c>
      <c r="C49" s="5"/>
      <c r="E49" s="17"/>
      <c r="F49" s="18"/>
    </row>
    <row r="50" spans="1:6" ht="16.5" thickBot="1" x14ac:dyDescent="0.3">
      <c r="A50" s="3" t="s">
        <v>12</v>
      </c>
      <c r="B50" s="4" t="s">
        <v>45</v>
      </c>
      <c r="C50" s="5"/>
      <c r="E50" s="17"/>
    </row>
    <row r="51" spans="1:6" ht="16.5" thickBot="1" x14ac:dyDescent="0.3">
      <c r="A51" s="111" t="s">
        <v>16</v>
      </c>
      <c r="B51" s="112"/>
      <c r="C51" s="72">
        <f>SUM(C46:C50)</f>
        <v>944</v>
      </c>
      <c r="E51" s="69"/>
    </row>
    <row r="54" spans="1:6" x14ac:dyDescent="0.25">
      <c r="A54" s="113" t="s">
        <v>46</v>
      </c>
      <c r="B54" s="113"/>
      <c r="C54" s="113"/>
    </row>
    <row r="55" spans="1:6" ht="16.5" thickBot="1" x14ac:dyDescent="0.3"/>
    <row r="56" spans="1:6" ht="16.5" thickBot="1" x14ac:dyDescent="0.3">
      <c r="A56" s="2">
        <v>2</v>
      </c>
      <c r="B56" s="107" t="s">
        <v>47</v>
      </c>
      <c r="C56" s="107" t="s">
        <v>3</v>
      </c>
    </row>
    <row r="57" spans="1:6" ht="16.5" thickBot="1" x14ac:dyDescent="0.3">
      <c r="A57" s="3" t="s">
        <v>19</v>
      </c>
      <c r="B57" s="4" t="s">
        <v>20</v>
      </c>
      <c r="C57" s="10">
        <f>C26</f>
        <v>160.87</v>
      </c>
      <c r="D57" s="43"/>
    </row>
    <row r="58" spans="1:6" ht="16.5" thickBot="1" x14ac:dyDescent="0.3">
      <c r="A58" s="3" t="s">
        <v>24</v>
      </c>
      <c r="B58" s="4" t="s">
        <v>25</v>
      </c>
      <c r="C58" s="10">
        <f>D40</f>
        <v>556.9</v>
      </c>
      <c r="D58" s="43"/>
    </row>
    <row r="59" spans="1:6" ht="16.5" thickBot="1" x14ac:dyDescent="0.3">
      <c r="A59" s="3" t="s">
        <v>39</v>
      </c>
      <c r="B59" s="4" t="s">
        <v>40</v>
      </c>
      <c r="C59" s="10">
        <f>C51</f>
        <v>944</v>
      </c>
      <c r="D59" s="43"/>
    </row>
    <row r="60" spans="1:6" ht="16.5" thickBot="1" x14ac:dyDescent="0.3">
      <c r="A60" s="111" t="s">
        <v>16</v>
      </c>
      <c r="B60" s="112"/>
      <c r="C60" s="25">
        <f>ROUND(SUM(C57:C59),2)</f>
        <v>1661.77</v>
      </c>
      <c r="D60" s="43"/>
    </row>
    <row r="61" spans="1:6" x14ac:dyDescent="0.25">
      <c r="A61" s="20"/>
    </row>
    <row r="63" spans="1:6" x14ac:dyDescent="0.25">
      <c r="A63" s="118" t="s">
        <v>48</v>
      </c>
      <c r="B63" s="118"/>
      <c r="C63" s="118"/>
    </row>
    <row r="64" spans="1:6" ht="16.5" thickBot="1" x14ac:dyDescent="0.3"/>
    <row r="65" spans="1:16" ht="16.5" thickBot="1" x14ac:dyDescent="0.3">
      <c r="A65" s="2">
        <v>3</v>
      </c>
      <c r="B65" s="107" t="s">
        <v>49</v>
      </c>
      <c r="C65" s="107" t="s">
        <v>3</v>
      </c>
      <c r="D65" s="107" t="s">
        <v>26</v>
      </c>
      <c r="F65" s="30" t="s">
        <v>99</v>
      </c>
    </row>
    <row r="66" spans="1:16" ht="16.5" thickBot="1" x14ac:dyDescent="0.3">
      <c r="A66" s="3" t="s">
        <v>4</v>
      </c>
      <c r="B66" s="21" t="s">
        <v>50</v>
      </c>
      <c r="C66" s="10">
        <f>(C16)*D66</f>
        <v>5.9503499999999994</v>
      </c>
      <c r="D66" s="96">
        <v>4.1999999999999997E-3</v>
      </c>
      <c r="E66" s="23"/>
      <c r="F66" s="95" t="s">
        <v>130</v>
      </c>
      <c r="G66" s="95"/>
    </row>
    <row r="67" spans="1:16" ht="16.5" thickBot="1" x14ac:dyDescent="0.3">
      <c r="A67" s="3" t="s">
        <v>6</v>
      </c>
      <c r="B67" s="21" t="s">
        <v>51</v>
      </c>
      <c r="C67" s="10">
        <f>C39*C66</f>
        <v>0.47602799999999995</v>
      </c>
      <c r="D67" s="96">
        <v>0.08</v>
      </c>
      <c r="E67" s="23"/>
      <c r="F67" s="1" t="s">
        <v>98</v>
      </c>
    </row>
    <row r="68" spans="1:16" ht="16.5" thickBot="1" x14ac:dyDescent="0.3">
      <c r="A68" s="3" t="s">
        <v>8</v>
      </c>
      <c r="B68" s="21" t="s">
        <v>53</v>
      </c>
      <c r="C68" s="10">
        <f>(C16)*D68</f>
        <v>27.484950000000001</v>
      </c>
      <c r="D68" s="96">
        <v>1.9400000000000001E-2</v>
      </c>
      <c r="E68" s="23"/>
      <c r="F68" s="95" t="s">
        <v>129</v>
      </c>
      <c r="G68" s="95"/>
    </row>
    <row r="69" spans="1:16" ht="16.5" thickBot="1" x14ac:dyDescent="0.3">
      <c r="A69" s="3" t="s">
        <v>10</v>
      </c>
      <c r="B69" s="77" t="s">
        <v>121</v>
      </c>
      <c r="C69" s="15">
        <f>D69*C68</f>
        <v>9.7021873500000009</v>
      </c>
      <c r="D69" s="96">
        <f>C40</f>
        <v>0.35300000000000004</v>
      </c>
      <c r="E69" s="23"/>
    </row>
    <row r="70" spans="1:16" ht="16.5" thickBot="1" x14ac:dyDescent="0.3">
      <c r="A70" s="3" t="s">
        <v>12</v>
      </c>
      <c r="B70" s="76" t="s">
        <v>122</v>
      </c>
      <c r="C70" s="63">
        <f>C16*D70</f>
        <v>56.67</v>
      </c>
      <c r="D70" s="96">
        <v>0.04</v>
      </c>
      <c r="E70" s="54"/>
      <c r="F70" s="44" t="s">
        <v>52</v>
      </c>
    </row>
    <row r="71" spans="1:16" ht="16.5" thickBot="1" x14ac:dyDescent="0.3">
      <c r="A71" s="111" t="s">
        <v>16</v>
      </c>
      <c r="B71" s="112"/>
      <c r="C71" s="25">
        <f>SUM(C66:C70)</f>
        <v>100.28351535</v>
      </c>
      <c r="D71" s="19"/>
      <c r="E71" s="70"/>
    </row>
    <row r="74" spans="1:16" x14ac:dyDescent="0.25">
      <c r="A74" s="110" t="s">
        <v>54</v>
      </c>
      <c r="B74" s="110"/>
      <c r="C74" s="110"/>
    </row>
    <row r="77" spans="1:16" x14ac:dyDescent="0.25">
      <c r="A77" s="113" t="s">
        <v>55</v>
      </c>
      <c r="B77" s="113"/>
      <c r="C77" s="113"/>
    </row>
    <row r="78" spans="1:16" ht="16.5" thickBot="1" x14ac:dyDescent="0.3">
      <c r="A78" s="9"/>
    </row>
    <row r="79" spans="1:16" ht="16.5" thickBot="1" x14ac:dyDescent="0.3">
      <c r="A79" s="2" t="s">
        <v>56</v>
      </c>
      <c r="B79" s="107" t="s">
        <v>57</v>
      </c>
      <c r="C79" s="107" t="s">
        <v>3</v>
      </c>
      <c r="D79" s="107" t="s">
        <v>26</v>
      </c>
      <c r="F79" s="30" t="s">
        <v>99</v>
      </c>
    </row>
    <row r="80" spans="1:16" ht="16.5" thickBot="1" x14ac:dyDescent="0.3">
      <c r="A80" s="3" t="s">
        <v>4</v>
      </c>
      <c r="B80" s="76" t="s">
        <v>114</v>
      </c>
      <c r="C80" s="10">
        <f>D80*(C16+C57+C58+C71)</f>
        <v>202.8084190180125</v>
      </c>
      <c r="D80" s="99">
        <v>9.0749999999999997E-2</v>
      </c>
      <c r="F80" s="95" t="s">
        <v>125</v>
      </c>
      <c r="G80" s="95"/>
      <c r="H80" s="95"/>
      <c r="I80" s="95"/>
      <c r="J80" s="95"/>
      <c r="K80" s="95"/>
      <c r="L80" s="95"/>
      <c r="M80" s="95"/>
      <c r="N80" s="95"/>
      <c r="O80" s="95"/>
      <c r="P80" s="95"/>
    </row>
    <row r="81" spans="1:22" ht="16.5" thickBot="1" x14ac:dyDescent="0.3">
      <c r="A81" s="3" t="s">
        <v>6</v>
      </c>
      <c r="B81" s="76" t="s">
        <v>115</v>
      </c>
      <c r="C81" s="10">
        <f>D81*(C16+C57+C58+C71)</f>
        <v>6.2574498429799998</v>
      </c>
      <c r="D81" s="96">
        <v>2.8E-3</v>
      </c>
      <c r="F81" s="95" t="s">
        <v>126</v>
      </c>
      <c r="G81" s="95"/>
      <c r="H81" s="95"/>
      <c r="I81" s="95"/>
      <c r="J81" s="95"/>
      <c r="K81" s="95"/>
    </row>
    <row r="82" spans="1:22" ht="16.5" thickBot="1" x14ac:dyDescent="0.3">
      <c r="A82" s="3" t="s">
        <v>8</v>
      </c>
      <c r="B82" s="76" t="s">
        <v>116</v>
      </c>
      <c r="C82" s="10">
        <f>D82*(C16+C57+C58+C71)</f>
        <v>1.564362460745</v>
      </c>
      <c r="D82" s="96">
        <v>6.9999999999999999E-4</v>
      </c>
    </row>
    <row r="83" spans="1:22" ht="32.25" thickBot="1" x14ac:dyDescent="0.3">
      <c r="A83" s="3" t="s">
        <v>10</v>
      </c>
      <c r="B83" s="77" t="s">
        <v>117</v>
      </c>
      <c r="C83" s="10">
        <f>D83*(C16+C57+C58+C71)</f>
        <v>0.89392140614000004</v>
      </c>
      <c r="D83" s="96">
        <v>4.0000000000000002E-4</v>
      </c>
      <c r="F83" s="95" t="s">
        <v>128</v>
      </c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95"/>
      <c r="U83" s="95"/>
      <c r="V83" s="95"/>
    </row>
    <row r="84" spans="1:22" ht="32.25" thickBot="1" x14ac:dyDescent="0.3">
      <c r="A84" s="3" t="s">
        <v>12</v>
      </c>
      <c r="B84" s="77" t="s">
        <v>118</v>
      </c>
      <c r="C84" s="10">
        <f>D84*(C16+C57+C58+C71)</f>
        <v>0.44696070307000002</v>
      </c>
      <c r="D84" s="96">
        <v>2.0000000000000001E-4</v>
      </c>
      <c r="F84" s="95" t="s">
        <v>127</v>
      </c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</row>
    <row r="85" spans="1:22" ht="16.5" thickBot="1" x14ac:dyDescent="0.3">
      <c r="A85" s="3" t="s">
        <v>32</v>
      </c>
      <c r="B85" s="76" t="s">
        <v>119</v>
      </c>
      <c r="C85" s="10">
        <f>D85*(C16+C58+C59+C72)</f>
        <v>0</v>
      </c>
      <c r="D85" s="96"/>
    </row>
    <row r="86" spans="1:22" ht="16.5" thickBot="1" x14ac:dyDescent="0.3">
      <c r="A86" s="3" t="s">
        <v>14</v>
      </c>
      <c r="B86" s="78" t="s">
        <v>15</v>
      </c>
      <c r="C86" s="10">
        <f>C16*D86</f>
        <v>0</v>
      </c>
      <c r="D86" s="100"/>
    </row>
    <row r="87" spans="1:22" ht="16.5" thickBot="1" x14ac:dyDescent="0.3">
      <c r="A87" s="111" t="s">
        <v>37</v>
      </c>
      <c r="B87" s="112"/>
      <c r="C87" s="25">
        <f>SUM(C80:C86)</f>
        <v>211.97111343094753</v>
      </c>
      <c r="D87" s="26"/>
    </row>
    <row r="90" spans="1:22" x14ac:dyDescent="0.25">
      <c r="A90" s="113" t="s">
        <v>58</v>
      </c>
      <c r="B90" s="113"/>
      <c r="C90" s="113"/>
    </row>
    <row r="91" spans="1:22" ht="16.5" thickBot="1" x14ac:dyDescent="0.3">
      <c r="A91" s="9"/>
    </row>
    <row r="92" spans="1:22" ht="16.5" thickBot="1" x14ac:dyDescent="0.3">
      <c r="A92" s="2" t="s">
        <v>59</v>
      </c>
      <c r="B92" s="107" t="s">
        <v>60</v>
      </c>
      <c r="C92" s="107" t="s">
        <v>3</v>
      </c>
    </row>
    <row r="93" spans="1:22" ht="16.5" thickBot="1" x14ac:dyDescent="0.3">
      <c r="A93" s="3" t="s">
        <v>4</v>
      </c>
      <c r="B93" s="4" t="s">
        <v>61</v>
      </c>
      <c r="C93" s="27"/>
      <c r="D93" s="26"/>
    </row>
    <row r="94" spans="1:22" ht="16.5" thickBot="1" x14ac:dyDescent="0.3">
      <c r="A94" s="111" t="s">
        <v>16</v>
      </c>
      <c r="B94" s="112"/>
      <c r="C94" s="27"/>
    </row>
    <row r="97" spans="1:5" x14ac:dyDescent="0.25">
      <c r="A97" s="113" t="s">
        <v>62</v>
      </c>
      <c r="B97" s="113"/>
      <c r="C97" s="113"/>
    </row>
    <row r="98" spans="1:5" ht="16.5" thickBot="1" x14ac:dyDescent="0.3">
      <c r="A98" s="9"/>
    </row>
    <row r="99" spans="1:5" ht="16.5" thickBot="1" x14ac:dyDescent="0.3">
      <c r="A99" s="2">
        <v>4</v>
      </c>
      <c r="B99" s="107" t="s">
        <v>63</v>
      </c>
      <c r="C99" s="107" t="s">
        <v>3</v>
      </c>
    </row>
    <row r="100" spans="1:5" ht="16.5" thickBot="1" x14ac:dyDescent="0.3">
      <c r="A100" s="3" t="s">
        <v>56</v>
      </c>
      <c r="B100" s="4" t="s">
        <v>64</v>
      </c>
      <c r="C100" s="103">
        <f>C87</f>
        <v>211.97111343094753</v>
      </c>
      <c r="D100" s="24"/>
      <c r="E100" s="22"/>
    </row>
    <row r="101" spans="1:5" ht="16.5" thickBot="1" x14ac:dyDescent="0.3">
      <c r="A101" s="3" t="s">
        <v>59</v>
      </c>
      <c r="B101" s="4" t="s">
        <v>65</v>
      </c>
      <c r="C101" s="103"/>
    </row>
    <row r="102" spans="1:5" ht="16.5" thickBot="1" x14ac:dyDescent="0.3">
      <c r="A102" s="111" t="s">
        <v>16</v>
      </c>
      <c r="B102" s="112"/>
      <c r="C102" s="85">
        <f>SUM(C100:C101)</f>
        <v>211.97111343094753</v>
      </c>
      <c r="D102" s="42"/>
      <c r="E102" s="55"/>
    </row>
    <row r="105" spans="1:5" x14ac:dyDescent="0.25">
      <c r="A105" s="110" t="s">
        <v>66</v>
      </c>
      <c r="B105" s="110"/>
      <c r="C105" s="110"/>
    </row>
    <row r="106" spans="1:5" ht="16.5" thickBot="1" x14ac:dyDescent="0.3"/>
    <row r="107" spans="1:5" ht="16.5" thickBot="1" x14ac:dyDescent="0.3">
      <c r="A107" s="2">
        <v>5</v>
      </c>
      <c r="B107" s="28" t="s">
        <v>67</v>
      </c>
      <c r="C107" s="107" t="s">
        <v>3</v>
      </c>
    </row>
    <row r="108" spans="1:5" ht="16.5" thickBot="1" x14ac:dyDescent="0.3">
      <c r="A108" s="3" t="s">
        <v>4</v>
      </c>
      <c r="B108" s="4" t="s">
        <v>68</v>
      </c>
      <c r="C108" s="5">
        <v>51.25</v>
      </c>
    </row>
    <row r="109" spans="1:5" ht="16.5" thickBot="1" x14ac:dyDescent="0.3">
      <c r="A109" s="3" t="s">
        <v>6</v>
      </c>
      <c r="B109" s="4" t="s">
        <v>69</v>
      </c>
      <c r="C109" s="5">
        <v>59.52</v>
      </c>
    </row>
    <row r="110" spans="1:5" ht="16.5" thickBot="1" x14ac:dyDescent="0.3">
      <c r="A110" s="3" t="s">
        <v>8</v>
      </c>
      <c r="B110" s="4" t="s">
        <v>70</v>
      </c>
      <c r="C110" s="5">
        <v>25.58</v>
      </c>
    </row>
    <row r="111" spans="1:5" ht="16.5" thickBot="1" x14ac:dyDescent="0.3">
      <c r="A111" s="3" t="s">
        <v>10</v>
      </c>
      <c r="B111" s="4" t="s">
        <v>94</v>
      </c>
      <c r="C111" s="5"/>
    </row>
    <row r="112" spans="1:5" ht="16.5" thickBot="1" x14ac:dyDescent="0.3">
      <c r="A112" s="3" t="s">
        <v>12</v>
      </c>
      <c r="B112" s="4" t="s">
        <v>100</v>
      </c>
      <c r="C112" s="5"/>
    </row>
    <row r="113" spans="1:10" ht="16.5" thickBot="1" x14ac:dyDescent="0.3">
      <c r="A113" s="111" t="s">
        <v>37</v>
      </c>
      <c r="B113" s="112"/>
      <c r="C113" s="12">
        <f>SUM(C108:C112)</f>
        <v>136.35000000000002</v>
      </c>
      <c r="D113" s="42"/>
    </row>
    <row r="116" spans="1:10" x14ac:dyDescent="0.25">
      <c r="A116" s="110" t="s">
        <v>71</v>
      </c>
      <c r="B116" s="110"/>
      <c r="C116" s="110"/>
    </row>
    <row r="117" spans="1:10" ht="19.5" thickBot="1" x14ac:dyDescent="0.35">
      <c r="F117" s="60" t="s">
        <v>102</v>
      </c>
    </row>
    <row r="118" spans="1:10" ht="16.5" thickBot="1" x14ac:dyDescent="0.3">
      <c r="A118" s="2">
        <v>6</v>
      </c>
      <c r="B118" s="28" t="s">
        <v>72</v>
      </c>
      <c r="C118" s="107" t="s">
        <v>26</v>
      </c>
      <c r="D118" s="107" t="s">
        <v>3</v>
      </c>
      <c r="E118" s="13"/>
    </row>
    <row r="119" spans="1:10" ht="16.5" thickBot="1" x14ac:dyDescent="0.3">
      <c r="A119" s="3" t="s">
        <v>4</v>
      </c>
      <c r="B119" s="4" t="s">
        <v>73</v>
      </c>
      <c r="C119" s="16">
        <v>1.8200000000000001E-2</v>
      </c>
      <c r="D119" s="29">
        <f>ROUND((E119*C119),2)</f>
        <v>64.19</v>
      </c>
      <c r="E119" s="45">
        <f>C16+C60+C71+C87+C113</f>
        <v>3527.1246287809477</v>
      </c>
      <c r="F119" s="30" t="s">
        <v>95</v>
      </c>
      <c r="G119" s="31"/>
    </row>
    <row r="120" spans="1:10" ht="16.5" thickBot="1" x14ac:dyDescent="0.3">
      <c r="A120" s="3" t="s">
        <v>6</v>
      </c>
      <c r="B120" s="4" t="s">
        <v>74</v>
      </c>
      <c r="C120" s="16">
        <v>0.02</v>
      </c>
      <c r="D120" s="66">
        <f>ROUND((E120*C120),2)</f>
        <v>71.83</v>
      </c>
      <c r="E120" s="45">
        <f>E119+D119</f>
        <v>3591.3146287809477</v>
      </c>
      <c r="F120" s="30" t="s">
        <v>96</v>
      </c>
      <c r="G120" s="31"/>
    </row>
    <row r="121" spans="1:10" ht="16.5" thickBot="1" x14ac:dyDescent="0.3">
      <c r="A121" s="3" t="s">
        <v>8</v>
      </c>
      <c r="B121" s="4" t="s">
        <v>75</v>
      </c>
      <c r="C121" s="16">
        <f>C122+C123+C124+C125</f>
        <v>7.2900000000000006E-2</v>
      </c>
      <c r="D121" s="10"/>
      <c r="E121" s="83">
        <f>SUM(D122:D125)</f>
        <v>288.04146633387023</v>
      </c>
      <c r="F121" s="30">
        <f>1-((C121)/1)</f>
        <v>0.92710000000000004</v>
      </c>
      <c r="G121" s="30" t="s">
        <v>76</v>
      </c>
    </row>
    <row r="122" spans="1:10" ht="16.5" thickBot="1" x14ac:dyDescent="0.3">
      <c r="A122" s="3"/>
      <c r="B122" s="57" t="s">
        <v>77</v>
      </c>
      <c r="C122" s="97">
        <v>4.1000000000000003E-3</v>
      </c>
      <c r="D122" s="10">
        <f>(E119+D119+D120)/(1-C121)*C122</f>
        <v>16.199862989970754</v>
      </c>
      <c r="E122" s="47"/>
      <c r="F122" s="1">
        <f>1-((1.65%+8%+5%)/1)</f>
        <v>0.85349999999999993</v>
      </c>
      <c r="J122" s="6"/>
    </row>
    <row r="123" spans="1:10" ht="16.5" thickBot="1" x14ac:dyDescent="0.3">
      <c r="A123" s="3"/>
      <c r="B123" s="57" t="s">
        <v>78</v>
      </c>
      <c r="C123" s="97">
        <v>1.8800000000000001E-2</v>
      </c>
      <c r="D123" s="10">
        <f>(E119+D119+D120)/(1-C121)*C123</f>
        <v>74.282298588158582</v>
      </c>
      <c r="E123" s="47"/>
      <c r="F123" s="32">
        <f>D122+D123</f>
        <v>90.482161578129336</v>
      </c>
      <c r="G123" s="30" t="s">
        <v>79</v>
      </c>
    </row>
    <row r="124" spans="1:10" ht="16.5" thickBot="1" x14ac:dyDescent="0.3">
      <c r="A124" s="3"/>
      <c r="B124" s="4" t="s">
        <v>80</v>
      </c>
      <c r="C124" s="16">
        <v>0.05</v>
      </c>
      <c r="D124" s="10">
        <f>(E119+D119+D120)/(1-C121)*C124</f>
        <v>197.5593047557409</v>
      </c>
      <c r="E124" s="47"/>
      <c r="F124" s="37">
        <f>D122+D123+D124+D125</f>
        <v>288.04146633387023</v>
      </c>
      <c r="G124" s="30" t="s">
        <v>81</v>
      </c>
    </row>
    <row r="125" spans="1:10" ht="16.5" thickBot="1" x14ac:dyDescent="0.3">
      <c r="A125" s="81"/>
      <c r="B125" s="82" t="s">
        <v>120</v>
      </c>
      <c r="C125" s="101">
        <v>0</v>
      </c>
      <c r="D125" s="10">
        <f>(E119+D119+D120)/(1-C121)*C125</f>
        <v>0</v>
      </c>
      <c r="E125" s="47"/>
      <c r="F125" s="79"/>
      <c r="G125" s="80"/>
    </row>
    <row r="126" spans="1:10" ht="16.5" thickBot="1" x14ac:dyDescent="0.3">
      <c r="A126" s="111" t="s">
        <v>37</v>
      </c>
      <c r="B126" s="112"/>
      <c r="C126" s="14"/>
      <c r="D126" s="25">
        <f>SUM(D119:D125)</f>
        <v>424.06146633387027</v>
      </c>
      <c r="E126" s="53"/>
    </row>
    <row r="129" spans="1:6" x14ac:dyDescent="0.25">
      <c r="A129" s="110" t="s">
        <v>82</v>
      </c>
      <c r="B129" s="110"/>
      <c r="C129" s="110"/>
    </row>
    <row r="130" spans="1:6" ht="16.5" thickBot="1" x14ac:dyDescent="0.3">
      <c r="D130" s="114" t="s">
        <v>97</v>
      </c>
      <c r="E130" s="114"/>
      <c r="F130" s="114"/>
    </row>
    <row r="131" spans="1:6" ht="16.5" thickBot="1" x14ac:dyDescent="0.3">
      <c r="A131" s="2"/>
      <c r="B131" s="107" t="s">
        <v>83</v>
      </c>
      <c r="C131" s="33" t="s">
        <v>3</v>
      </c>
      <c r="D131" s="34" t="s">
        <v>84</v>
      </c>
      <c r="E131" s="32">
        <f>E119+D119+D120</f>
        <v>3663.1446287809476</v>
      </c>
      <c r="F131" s="30" t="s">
        <v>85</v>
      </c>
    </row>
    <row r="132" spans="1:6" ht="16.5" thickBot="1" x14ac:dyDescent="0.3">
      <c r="A132" s="35" t="s">
        <v>4</v>
      </c>
      <c r="B132" s="4" t="s">
        <v>1</v>
      </c>
      <c r="C132" s="29">
        <f>C16</f>
        <v>1416.75</v>
      </c>
      <c r="D132" s="34" t="s">
        <v>86</v>
      </c>
      <c r="E132" s="48">
        <f>E131/(1-C121)</f>
        <v>3951.1860951148178</v>
      </c>
      <c r="F132" s="30" t="s">
        <v>87</v>
      </c>
    </row>
    <row r="133" spans="1:6" ht="16.5" thickBot="1" x14ac:dyDescent="0.3">
      <c r="A133" s="35" t="s">
        <v>6</v>
      </c>
      <c r="B133" s="4" t="s">
        <v>17</v>
      </c>
      <c r="C133" s="29">
        <f>C60</f>
        <v>1661.77</v>
      </c>
      <c r="D133" s="34" t="s">
        <v>88</v>
      </c>
      <c r="E133" s="37">
        <f>E131-E132</f>
        <v>-288.04146633387018</v>
      </c>
      <c r="F133" s="38" t="s">
        <v>89</v>
      </c>
    </row>
    <row r="134" spans="1:6" ht="16.5" thickBot="1" x14ac:dyDescent="0.3">
      <c r="A134" s="35" t="s">
        <v>8</v>
      </c>
      <c r="B134" s="4" t="s">
        <v>48</v>
      </c>
      <c r="C134" s="29">
        <f>C71</f>
        <v>100.28351535</v>
      </c>
      <c r="D134" s="30"/>
      <c r="E134" s="30"/>
      <c r="F134" s="49"/>
    </row>
    <row r="135" spans="1:6" ht="16.5" thickBot="1" x14ac:dyDescent="0.3">
      <c r="A135" s="35" t="s">
        <v>10</v>
      </c>
      <c r="B135" s="4" t="s">
        <v>54</v>
      </c>
      <c r="C135" s="10">
        <f>C102</f>
        <v>211.97111343094753</v>
      </c>
      <c r="E135" s="59" t="s">
        <v>101</v>
      </c>
      <c r="F135" s="59"/>
    </row>
    <row r="136" spans="1:6" ht="16.5" thickBot="1" x14ac:dyDescent="0.3">
      <c r="A136" s="35" t="s">
        <v>12</v>
      </c>
      <c r="B136" s="4" t="s">
        <v>66</v>
      </c>
      <c r="C136" s="10">
        <f>C113</f>
        <v>136.35000000000002</v>
      </c>
    </row>
    <row r="137" spans="1:6" ht="16.5" thickBot="1" x14ac:dyDescent="0.3">
      <c r="A137" s="111" t="s">
        <v>90</v>
      </c>
      <c r="B137" s="112"/>
      <c r="C137" s="10">
        <f>SUM(C132:C136)</f>
        <v>3527.1246287809477</v>
      </c>
    </row>
    <row r="138" spans="1:6" ht="16.5" thickBot="1" x14ac:dyDescent="0.3">
      <c r="A138" s="35" t="s">
        <v>32</v>
      </c>
      <c r="B138" s="4" t="s">
        <v>91</v>
      </c>
      <c r="C138" s="10">
        <f>D126</f>
        <v>424.06146633387027</v>
      </c>
    </row>
    <row r="139" spans="1:6" ht="16.5" thickBot="1" x14ac:dyDescent="0.3">
      <c r="A139" s="111" t="s">
        <v>92</v>
      </c>
      <c r="B139" s="112"/>
      <c r="C139" s="102">
        <f>ROUND(SUM(C138,C137),2)</f>
        <v>3951.19</v>
      </c>
    </row>
    <row r="141" spans="1:6" x14ac:dyDescent="0.25">
      <c r="B141" s="40" t="s">
        <v>93</v>
      </c>
      <c r="C141" s="41" t="s">
        <v>16</v>
      </c>
    </row>
    <row r="142" spans="1:6" x14ac:dyDescent="0.25">
      <c r="B142" s="41">
        <v>2</v>
      </c>
      <c r="C142" s="56">
        <f>C139*B142</f>
        <v>7902.38</v>
      </c>
      <c r="D142" s="46"/>
      <c r="E142" s="50"/>
      <c r="F142" s="30"/>
    </row>
    <row r="144" spans="1:6" x14ac:dyDescent="0.25">
      <c r="B144" s="6">
        <f>C142</f>
        <v>7902.38</v>
      </c>
      <c r="C144" s="68">
        <f>SUM(B144*12)</f>
        <v>94828.56</v>
      </c>
    </row>
  </sheetData>
  <mergeCells count="29">
    <mergeCell ref="A126:B126"/>
    <mergeCell ref="A129:C129"/>
    <mergeCell ref="D130:F130"/>
    <mergeCell ref="A137:B137"/>
    <mergeCell ref="A139:B139"/>
    <mergeCell ref="A116:C116"/>
    <mergeCell ref="A63:C63"/>
    <mergeCell ref="A71:B71"/>
    <mergeCell ref="A74:C74"/>
    <mergeCell ref="A77:C77"/>
    <mergeCell ref="A87:B87"/>
    <mergeCell ref="A90:C90"/>
    <mergeCell ref="A94:B94"/>
    <mergeCell ref="A97:C97"/>
    <mergeCell ref="A102:B102"/>
    <mergeCell ref="A105:C105"/>
    <mergeCell ref="A113:B113"/>
    <mergeCell ref="A60:B60"/>
    <mergeCell ref="A1:D1"/>
    <mergeCell ref="A6:C6"/>
    <mergeCell ref="A16:B16"/>
    <mergeCell ref="A19:C19"/>
    <mergeCell ref="A21:C21"/>
    <mergeCell ref="A26:B26"/>
    <mergeCell ref="A29:D29"/>
    <mergeCell ref="A40:B40"/>
    <mergeCell ref="A43:C43"/>
    <mergeCell ref="A51:B51"/>
    <mergeCell ref="A54:C5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QUADRO RESUMO</vt:lpstr>
      <vt:lpstr>JARDINEIRO</vt:lpstr>
      <vt:lpstr>AUX JARDINAGEM</vt:lpstr>
      <vt:lpstr>ENCARREGADO</vt:lpstr>
      <vt:lpstr>PISCINEIRO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Lacerda Ferreira</dc:creator>
  <cp:lastModifiedBy>Alexandra Lacerda Ferreira Rios</cp:lastModifiedBy>
  <dcterms:created xsi:type="dcterms:W3CDTF">2018-10-22T18:06:12Z</dcterms:created>
  <dcterms:modified xsi:type="dcterms:W3CDTF">2022-11-11T17:24:56Z</dcterms:modified>
</cp:coreProperties>
</file>