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1"/>
  <workbookPr defaultThemeVersion="166925"/>
  <mc:AlternateContent xmlns:mc="http://schemas.openxmlformats.org/markup-compatibility/2006">
    <mc:Choice Requires="x15">
      <x15ac:absPath xmlns:x15ac="http://schemas.microsoft.com/office/spreadsheetml/2010/11/ac" url="Z:\PUBLICIDADE - ARQUIVO GERAL\2024\Edital\Live Marketing\DOCUMENTOS PRÉ FINAIS\"/>
    </mc:Choice>
  </mc:AlternateContent>
  <xr:revisionPtr revIDLastSave="0" documentId="8_{33104CE7-D4EF-4604-A4BA-43D3541B1CA4}" xr6:coauthVersionLast="47" xr6:coauthVersionMax="47" xr10:uidLastSave="{00000000-0000-0000-0000-000000000000}"/>
  <bookViews>
    <workbookView xWindow="-120" yWindow="-120" windowWidth="29040" windowHeight="15720" xr2:uid="{62A9A2EE-BB6D-42BD-8D48-AC7B4462B149}"/>
  </bookViews>
  <sheets>
    <sheet name="Pesquisa de Mercado" sheetId="1" r:id="rId1"/>
  </sheets>
  <definedNames>
    <definedName name="_xlnm.Print_Area" localSheetId="0">'Pesquisa de Mercado'!$A$1:$Z$41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1" i="1" l="1"/>
  <c r="X41" i="1"/>
  <c r="Z41" i="1"/>
  <c r="Z6" i="1"/>
  <c r="Z5" i="1"/>
  <c r="Z4" i="1"/>
  <c r="X4" i="1"/>
  <c r="W4" i="1"/>
  <c r="Y6" i="1"/>
  <c r="Y5" i="1"/>
  <c r="Y4" i="1"/>
  <c r="X6" i="1"/>
  <c r="X5" i="1"/>
  <c r="W6" i="1"/>
  <c r="W5" i="1"/>
  <c r="U6" i="1"/>
  <c r="U5" i="1"/>
  <c r="T6" i="1"/>
  <c r="T5" i="1"/>
  <c r="T4" i="1"/>
  <c r="S6" i="1"/>
  <c r="S5" i="1"/>
  <c r="S4" i="1"/>
  <c r="U4" i="1"/>
  <c r="R6" i="1"/>
  <c r="R5" i="1"/>
  <c r="R4" i="1"/>
  <c r="Q6" i="1"/>
  <c r="Q5" i="1"/>
  <c r="Q4" i="1"/>
  <c r="P6" i="1"/>
  <c r="P5" i="1"/>
  <c r="P4" i="1"/>
  <c r="O6" i="1"/>
  <c r="O5" i="1"/>
  <c r="O4" i="1"/>
  <c r="W40" i="1" l="1"/>
  <c r="U40" i="1"/>
  <c r="V40" i="1" s="1"/>
  <c r="Q40" i="1"/>
  <c r="P40" i="1"/>
  <c r="O40" i="1"/>
  <c r="W23" i="1"/>
  <c r="X23" i="1" s="1"/>
  <c r="W24" i="1"/>
  <c r="W25" i="1"/>
  <c r="U23" i="1"/>
  <c r="V23" i="1" s="1"/>
  <c r="U24" i="1"/>
  <c r="V24" i="1" s="1"/>
  <c r="U25" i="1"/>
  <c r="V25" i="1" s="1"/>
  <c r="Q21" i="1"/>
  <c r="Y21" i="1" s="1"/>
  <c r="Q22" i="1"/>
  <c r="Y22" i="1" s="1"/>
  <c r="Q23" i="1"/>
  <c r="Q24" i="1"/>
  <c r="Q25" i="1"/>
  <c r="P21" i="1"/>
  <c r="P22" i="1"/>
  <c r="P23" i="1"/>
  <c r="P24" i="1"/>
  <c r="P25" i="1"/>
  <c r="O23" i="1"/>
  <c r="O24" i="1"/>
  <c r="O25" i="1"/>
  <c r="W20" i="1"/>
  <c r="X20" i="1" s="1"/>
  <c r="U20" i="1"/>
  <c r="V20" i="1" s="1"/>
  <c r="Q20" i="1"/>
  <c r="P20" i="1"/>
  <c r="O20" i="1"/>
  <c r="W19" i="1"/>
  <c r="X19" i="1" s="1"/>
  <c r="U19" i="1"/>
  <c r="V19" i="1" s="1"/>
  <c r="Q19" i="1"/>
  <c r="P19" i="1"/>
  <c r="O19" i="1"/>
  <c r="W15" i="1"/>
  <c r="X15" i="1" s="1"/>
  <c r="U15" i="1"/>
  <c r="V15" i="1" s="1"/>
  <c r="Q15" i="1"/>
  <c r="P15" i="1"/>
  <c r="O15" i="1"/>
  <c r="W14" i="1"/>
  <c r="X14" i="1" s="1"/>
  <c r="U14" i="1"/>
  <c r="V14" i="1" s="1"/>
  <c r="Q14" i="1"/>
  <c r="P14" i="1"/>
  <c r="O14" i="1"/>
  <c r="W9" i="1"/>
  <c r="X9" i="1" s="1"/>
  <c r="W10" i="1"/>
  <c r="X10" i="1" s="1"/>
  <c r="U9" i="1"/>
  <c r="V9" i="1" s="1"/>
  <c r="U10" i="1"/>
  <c r="V10" i="1" s="1"/>
  <c r="Q7" i="1"/>
  <c r="Y7" i="1" s="1"/>
  <c r="Q8" i="1"/>
  <c r="Y8" i="1" s="1"/>
  <c r="Q9" i="1"/>
  <c r="Q10" i="1"/>
  <c r="P7" i="1"/>
  <c r="P8" i="1"/>
  <c r="P9" i="1"/>
  <c r="P10" i="1"/>
  <c r="O9" i="1"/>
  <c r="O10" i="1"/>
  <c r="V6" i="1"/>
  <c r="V4" i="1"/>
  <c r="X24" i="1"/>
  <c r="X25" i="1"/>
  <c r="X40" i="1"/>
  <c r="W13" i="1"/>
  <c r="X13" i="1" s="1"/>
  <c r="W18" i="1"/>
  <c r="X18" i="1" s="1"/>
  <c r="W28" i="1"/>
  <c r="X28" i="1" s="1"/>
  <c r="W29" i="1"/>
  <c r="X29" i="1" s="1"/>
  <c r="W30" i="1"/>
  <c r="X30" i="1" s="1"/>
  <c r="W33" i="1"/>
  <c r="X33" i="1" s="1"/>
  <c r="W34" i="1"/>
  <c r="X34" i="1" s="1"/>
  <c r="W35" i="1"/>
  <c r="X35" i="1" s="1"/>
  <c r="W38" i="1"/>
  <c r="X38" i="1" s="1"/>
  <c r="W39" i="1"/>
  <c r="X39" i="1" s="1"/>
  <c r="V5" i="1"/>
  <c r="U13" i="1"/>
  <c r="V13" i="1" s="1"/>
  <c r="U18" i="1"/>
  <c r="V18" i="1" s="1"/>
  <c r="U28" i="1"/>
  <c r="V28" i="1" s="1"/>
  <c r="U29" i="1"/>
  <c r="V29" i="1" s="1"/>
  <c r="U30" i="1"/>
  <c r="V30" i="1" s="1"/>
  <c r="U33" i="1"/>
  <c r="V33" i="1" s="1"/>
  <c r="U34" i="1"/>
  <c r="V34" i="1" s="1"/>
  <c r="U35" i="1"/>
  <c r="V35" i="1" s="1"/>
  <c r="U38" i="1"/>
  <c r="V38" i="1" s="1"/>
  <c r="U39" i="1"/>
  <c r="V39" i="1" s="1"/>
  <c r="Q11" i="1"/>
  <c r="Y11" i="1" s="1"/>
  <c r="Q12" i="1"/>
  <c r="S12" i="1" s="1"/>
  <c r="Q13" i="1"/>
  <c r="Q16" i="1"/>
  <c r="S16" i="1" s="1"/>
  <c r="Q17" i="1"/>
  <c r="S17" i="1" s="1"/>
  <c r="Q18" i="1"/>
  <c r="Q26" i="1"/>
  <c r="S26" i="1" s="1"/>
  <c r="Q27" i="1"/>
  <c r="S27" i="1" s="1"/>
  <c r="Q28" i="1"/>
  <c r="Q29" i="1"/>
  <c r="Q30" i="1"/>
  <c r="Q31" i="1"/>
  <c r="Y31" i="1" s="1"/>
  <c r="Q32" i="1"/>
  <c r="S32" i="1" s="1"/>
  <c r="Q33" i="1"/>
  <c r="Q34" i="1"/>
  <c r="Q35" i="1"/>
  <c r="Q36" i="1"/>
  <c r="S36" i="1" s="1"/>
  <c r="Q37" i="1"/>
  <c r="Y37" i="1" s="1"/>
  <c r="Q38" i="1"/>
  <c r="Q39" i="1"/>
  <c r="P11" i="1"/>
  <c r="P12" i="1"/>
  <c r="P13" i="1"/>
  <c r="P16" i="1"/>
  <c r="P17" i="1"/>
  <c r="P18" i="1"/>
  <c r="P26" i="1"/>
  <c r="P27" i="1"/>
  <c r="P28" i="1"/>
  <c r="P29" i="1"/>
  <c r="P30" i="1"/>
  <c r="P31" i="1"/>
  <c r="P32" i="1"/>
  <c r="P33" i="1"/>
  <c r="P34" i="1"/>
  <c r="R34" i="1" s="1"/>
  <c r="S34" i="1" s="1"/>
  <c r="T34" i="1" s="1"/>
  <c r="P35" i="1"/>
  <c r="P36" i="1"/>
  <c r="P37" i="1"/>
  <c r="P38" i="1"/>
  <c r="P39" i="1"/>
  <c r="O13" i="1"/>
  <c r="O18" i="1"/>
  <c r="O28" i="1"/>
  <c r="O29" i="1"/>
  <c r="O30" i="1"/>
  <c r="O33" i="1"/>
  <c r="O34" i="1"/>
  <c r="O35" i="1"/>
  <c r="O38" i="1"/>
  <c r="O39" i="1"/>
  <c r="R25" i="1" l="1"/>
  <c r="R23" i="1"/>
  <c r="R28" i="1"/>
  <c r="R24" i="1"/>
  <c r="S24" i="1" s="1"/>
  <c r="T24" i="1" s="1"/>
  <c r="R13" i="1"/>
  <c r="S13" i="1" s="1"/>
  <c r="T13" i="1" s="1"/>
  <c r="R9" i="1"/>
  <c r="S9" i="1" s="1"/>
  <c r="Y9" i="1" s="1"/>
  <c r="Z9" i="1" s="1"/>
  <c r="S37" i="1"/>
  <c r="R29" i="1"/>
  <c r="S29" i="1" s="1"/>
  <c r="T29" i="1" s="1"/>
  <c r="S8" i="1"/>
  <c r="S7" i="1"/>
  <c r="R39" i="1"/>
  <c r="S39" i="1" s="1"/>
  <c r="T39" i="1" s="1"/>
  <c r="S21" i="1"/>
  <c r="R30" i="1"/>
  <c r="S30" i="1" s="1"/>
  <c r="T30" i="1" s="1"/>
  <c r="R33" i="1"/>
  <c r="S33" i="1" s="1"/>
  <c r="T33" i="1" s="1"/>
  <c r="R38" i="1"/>
  <c r="S38" i="1" s="1"/>
  <c r="T38" i="1" s="1"/>
  <c r="S31" i="1"/>
  <c r="R18" i="1"/>
  <c r="S18" i="1" s="1"/>
  <c r="T18" i="1" s="1"/>
  <c r="S11" i="1"/>
  <c r="S22" i="1"/>
  <c r="R35" i="1"/>
  <c r="S28" i="1"/>
  <c r="T28" i="1" s="1"/>
  <c r="S23" i="1"/>
  <c r="T23" i="1" s="1"/>
  <c r="S35" i="1"/>
  <c r="T35" i="1" s="1"/>
  <c r="S25" i="1"/>
  <c r="T25" i="1" s="1"/>
  <c r="Y17" i="1"/>
  <c r="Y16" i="1"/>
  <c r="Y27" i="1"/>
  <c r="Y26" i="1"/>
  <c r="Y36" i="1"/>
  <c r="Y12" i="1"/>
  <c r="R15" i="1"/>
  <c r="Y34" i="1"/>
  <c r="Z34" i="1" s="1"/>
  <c r="Y32" i="1"/>
  <c r="R40" i="1"/>
  <c r="R20" i="1"/>
  <c r="R19" i="1"/>
  <c r="R14" i="1"/>
  <c r="R10" i="1"/>
  <c r="V41" i="1"/>
  <c r="Y25" i="1" l="1"/>
  <c r="Z25" i="1" s="1"/>
  <c r="Y29" i="1"/>
  <c r="Z29" i="1" s="1"/>
  <c r="Y13" i="1"/>
  <c r="Z13" i="1" s="1"/>
  <c r="Y39" i="1"/>
  <c r="Z39" i="1" s="1"/>
  <c r="S15" i="1"/>
  <c r="T15" i="1" s="1"/>
  <c r="Y35" i="1"/>
  <c r="Z35" i="1" s="1"/>
  <c r="S10" i="1"/>
  <c r="T10" i="1" s="1"/>
  <c r="Y38" i="1"/>
  <c r="Z38" i="1" s="1"/>
  <c r="Y30" i="1"/>
  <c r="Z30" i="1" s="1"/>
  <c r="Y18" i="1"/>
  <c r="Z18" i="1" s="1"/>
  <c r="T9" i="1"/>
  <c r="S14" i="1"/>
  <c r="T14" i="1" s="1"/>
  <c r="S19" i="1"/>
  <c r="Y19" i="1" s="1"/>
  <c r="Z19" i="1" s="1"/>
  <c r="Y23" i="1"/>
  <c r="Z23" i="1" s="1"/>
  <c r="Y24" i="1"/>
  <c r="Z24" i="1" s="1"/>
  <c r="S20" i="1"/>
  <c r="T20" i="1" s="1"/>
  <c r="Y28" i="1"/>
  <c r="Z28" i="1" s="1"/>
  <c r="S40" i="1"/>
  <c r="T40" i="1" s="1"/>
  <c r="Y33" i="1"/>
  <c r="Z33" i="1" s="1"/>
  <c r="T19" i="1" l="1"/>
  <c r="Y10" i="1"/>
  <c r="Z10" i="1" s="1"/>
  <c r="Y20" i="1"/>
  <c r="Z20" i="1" s="1"/>
  <c r="Y40" i="1"/>
  <c r="Z40" i="1" s="1"/>
  <c r="Y14" i="1"/>
  <c r="Z14" i="1" s="1"/>
  <c r="Y15" i="1"/>
  <c r="Z15" i="1" s="1"/>
</calcChain>
</file>

<file path=xl/sharedStrings.xml><?xml version="1.0" encoding="utf-8"?>
<sst xmlns="http://schemas.openxmlformats.org/spreadsheetml/2006/main" count="67" uniqueCount="58">
  <si>
    <t>item</t>
  </si>
  <si>
    <t>Especificação dos produtos e serviços essenciais</t>
  </si>
  <si>
    <t>Quantidade Anual Estimada</t>
  </si>
  <si>
    <t>AGÊNCIA TERRUÁ LTDA
CNPJ: 12.445.718/0001-70</t>
  </si>
  <si>
    <t>Preço Unitário (R$)</t>
  </si>
  <si>
    <t>MONUMENTA COMUNICAÇÃO E ESTRATÉGIAS SOCIAIS LTDA
CNPJ: 04.692.238/0001-86</t>
  </si>
  <si>
    <t>M CHECON DESIGN E CENOGRAFIA
CNPJ:  15.392.953/0001-10</t>
  </si>
  <si>
    <t>CAPACITÀ EVENTOS LTDA.
CNPJ:  00.903.052/0001-78</t>
  </si>
  <si>
    <t>MINISTÉRIO DA CULTURA Preço Unitário (R$)</t>
  </si>
  <si>
    <t>EMBRATUR
Preço Unitário (R$)</t>
  </si>
  <si>
    <t>BANCO DO BRASIL
Preço Unitário (R$)</t>
  </si>
  <si>
    <t>Variação (%) percentual dos preços unitários</t>
  </si>
  <si>
    <t>Desvio padrão Amostral</t>
  </si>
  <si>
    <t>Média de todos os valores</t>
  </si>
  <si>
    <t>Coeficiente de Variação (Desvio Padrão / Média x  100)</t>
  </si>
  <si>
    <t>Preço unitário estimado por meio da Mediana, onde o Coeficiente de Variação for maior que 25%</t>
  </si>
  <si>
    <t>Total estimado (Mediana)</t>
  </si>
  <si>
    <t>Preço unitário estimado (Menor preço)</t>
  </si>
  <si>
    <t>Total estimado (Menor preço)</t>
  </si>
  <si>
    <t>Preço unitário estimado (média de preços)</t>
  </si>
  <si>
    <t>total estimado (média de preços)</t>
  </si>
  <si>
    <t>Definição de preços unitários após saneamento</t>
  </si>
  <si>
    <t>Definição de preços total após saneamento</t>
  </si>
  <si>
    <r>
      <t>1</t>
    </r>
    <r>
      <rPr>
        <b/>
        <sz val="7"/>
        <color theme="1"/>
        <rFont val="Times New Roman"/>
        <family val="1"/>
      </rPr>
      <t> </t>
    </r>
  </si>
  <si>
    <t>Diagnóstico e Planejamento Semestral</t>
  </si>
  <si>
    <t>Descritivo: Realização de diagnóstico para avaliação aprofundada do cenário competitivo e situacional em que caberá o levantamento de informações e análise dos ambientes internos e externos da SECOM/PR ou de sua temática de atuação. Caberá a realização de pesquisas e entrevistas presenciais, ou não, bem como benchmarking relativo às melhores práticas e tendências, como referencial para a solução estratégica a ser elaborada. A partir do levantamento serão definidos os objetivos, as estratégias, táticas e as ações, incluídos os respectivos cronogramas e estimativas de investimento.
Entregas:
a)	Arquivo em texto contendo relatório de pesquisas, roteiros de entrevistas e lista dos entrevistados e respectivos perfis.
b)	Entrevistas gravadas em áudio e/ou transcritas.
c)	Arquivo em texto contendo relatório analítico com todas as informações levantadas no diagnóstico.
d)	Arquivo de apresentação do Planejamento.
Aspectos a serem considerados na avaliação da atividade:
a)	Cumprimento do prazo.
b)	Acuidade da compreensão do briefing.
c)	Adequação perfis selecionados para os entrevistados.
d)	Consistência lógica entre premissas e conclusões.
e)	Aderência da proposta às diretrizes de comunicação da Contratante.
f)	Aplicabilidade da proposta – exequibilidade e cumprimento de prazos.
Características consideradas na classificação da complexidade:
a)	Quantidade de entrevistas.
b)	Prazo de entrega.</t>
  </si>
  <si>
    <t>Baixa: Até 10 entrevistas.
Prazo de entrega: Até 20 dias úteis.</t>
  </si>
  <si>
    <t>Média: Até 20 entrevistas.
Prazo de entrega: Até 30 dias úteis.</t>
  </si>
  <si>
    <t>Alta: Acima de 20 entrevistas.
Prazo de entrega: Até 40 dias úteis.</t>
  </si>
  <si>
    <t>Adaptação do Diagnóstico e Planejamento Semestral</t>
  </si>
  <si>
    <t>Descritivo: Adaptação do diagnóstico e planejamento semestral com base em novas premissas definidas pela Contratante ao longo dos seis meses.
Entregas:
a)	Arquivo em texto contendo relatório de pesquisas, roteiros de entrevistas e lista dos entrevistados e respectivos perfis.
b)	Entrevistas gravadas em áudio e/ou transcritas.
c)	Arquivo em texto contendo relatório analítico com todas as informações levantadas no diagnóstico.
d)	Arquivo de apresentação do Planejamento.
Aspectos a serem considerados na avaliação da atividade:
a)	Cumprimento do prazo.
b)	Acuidade da compreensão do briefing.
c)	Adequação perfis selecionados para os entrevistados.
d)	Consistência lógica entre premissas e conclusões.
e)	Aderência da proposta às diretrizes de comunicação da Contratante.
f)	Aplicabilidade da proposta – exequibilidade e cumprimento de prazos.
Características consideradas na classificação da complexidade:
a)	Prazo para o encerramento do Diagnóstico e Planejamento Semestral inicial.
b)	Prazo de entrega.</t>
  </si>
  <si>
    <t>Baixa: Até 2 meses.
Prazo de entrega: Até 10 dias úteis.</t>
  </si>
  <si>
    <t>Média: Até 4 meses.
Prazo de entrega: Até 20 dias úteis.</t>
  </si>
  <si>
    <t>Planejamento de Projeto</t>
  </si>
  <si>
    <t>Descritivo: Planejamento de cada ação da SECOM/PR ou de sua temática de atuação, baseado no diagnóstico e na matriz estratégica, contendo um plano de trabalho, incluindo os seguintes pontos:
a)	Definição do objetivo e direcionamentos estratégicos da ação.
b)	Elaboração e validação das mensagens-chave relativas às temáticas da ação, a serem transmitidas pela SECOM/PR a seus públicos.
c)	Identificação de caraterísticas regionais e locais relativas a protocolo que auxiliem na preparação da ação.
d)	Planejamento de ações de relacionamento com públicos de interesse, tais como relações públicas, cerimonial, marketing direto e contact center.
Entregas: Arquivo em texto e/ou impresso, contendo o levantamento e as definições do escopo da ação, podendo conter parte ou a totalidade das questões técnicas listadas no descritivo.
Aspectos a serem considerados na avaliação da atividade:
a)	Cumprimento do prazo.
b)	Aderência da proposta às diretrizes de comunicação da Contratante.
c)	Adequação e aplicabilidade da proposta – exequibilidade e cumprimento de prazos.
Características consideradas na classificação da complexidade:
a)	Valor do investimento.
b)	Prazo de entrega.</t>
  </si>
  <si>
    <t>Baixa: Até R$ 300.000,00.
Prazo de entrega: Até 5 dias úteis.</t>
  </si>
  <si>
    <t>Média: De R$ 300.000,01 a R$ 850.000,00.
Prazo de entrega: Até 10 dias úteis.</t>
  </si>
  <si>
    <t>Alta: Acima de R$ 850.000,01.
Prazo de entrega: Até 20 dias úteis.</t>
  </si>
  <si>
    <r>
      <t>4</t>
    </r>
    <r>
      <rPr>
        <b/>
        <sz val="10"/>
        <color theme="1"/>
        <rFont val="Times New Roman"/>
        <family val="1"/>
      </rPr>
      <t xml:space="preserve">   </t>
    </r>
  </si>
  <si>
    <t>Projeto Executivo</t>
  </si>
  <si>
    <t>Descritivo: Decupagem de todos os itens que compõem a realização da ação, incluindo os serviços próprios e de terceiros da pré-produção à pós-produção. O documento apresentará as características, quantitativo e frequência de contratação de bens e serviços. 
Entregas: 
a)	Documento digital e/ou impresso com informações sobre o projeto e descrição para os itens de produção com informações sobre cada um deles incluindo quantidade, descrição do item a ser contratado e frequência de contratação.
b)	Planilha em formato Excel contendo a relação detalhada de todos os itens. 
Aspectos a serem considerados na avaliação da atividade:
a)	Cumprimento do prazo.
b)	Abrangência e aplicabilidade da execução.
Características consideradas na classificação da complexidade:
a)	Valor do investimento.
b)	Prazo de entrega.</t>
  </si>
  <si>
    <t>Viabilização Legal da Ação</t>
  </si>
  <si>
    <t>Descritivo: Levantamento de todos os documentos e processos necessários para a aprovação da ação junto às autoridades locais, responsáveis pelos espaços que serão utilizados, e viabilização efetiva junto a estas autoridades após a aprovação da ação pela Contratante.
Existindo a necessidade de realização de ações em múltiplos locais, para fins de quantificação da viabilização legal, este serviço será remunerado de acordo com o número de locais onde as ações promocionais serão realizadas.
Entregas:
a)	Documento impresso e/ou digital com roteiro dos trâmites legais a serem resolvidos, assim como as atividades realizadas neste sentido junto aos órgãos de licença e fiscalização. 
b)	Documentos de autorização expedidos pelas autoridades locais responsáveis pelos espaços.
Aspectos a serem considerados na avaliação da atividade:
a)	Cumprimento do prazo.
b)	Abrangência do planejamento.
c)	Assertividade das providências propostas.
Características consideradas na classificação da complexidade:
a)	Quantidade de órgãos a serem acionados para viabilizar a ação.
b)	Prazo de entrega.</t>
  </si>
  <si>
    <t>Baixa: Até 3 órgãos.
Prazo de entrega: Até 15 dias úteis.</t>
  </si>
  <si>
    <t>Média: De 4 a 8 órgãos.
Prazo de entrega: Até 20 dias úteis.</t>
  </si>
  <si>
    <t>Alta: Acima de 8 órgãos.
Prazo de entrega: Até 35 dias úteis.</t>
  </si>
  <si>
    <t>Criação de Identidade Visual para a Ação</t>
  </si>
  <si>
    <t>Descritivo: Proposição e criação de identidade visual para a ação, incluindo marca, selo e manual de aplicação nos diversos elementos e materiais, tais como: e-mail marketing, mala direta, convites, panfletos, folders, banners, cartilhas, faixas, crachás, projeto gráfico para stands ou ambientes cenográficos, etc.
Entregas:
a)	Arquivo de imagem digital aberto, contendo todas as especificações da proposta (cores, formatos, fontes, reduções, aplicações), com os anexos necessários para a editoração das peças.
b)	Material finalizado em arquivo PDF.
Aspectos a serem considerados na avaliação da atividade:
a)	Cumprimento do prazo.
b)	Adequação da proposta ao briefing.
c)	Criatividade, ineditismo e atratividade visual da proposta.
d)	Clareza, objetividade, inteligibilidade da apresentação. 
Características consideradas na classificação da complexidade: 
a)	Quantidade de peças envolvidas na proposta.
b)	Prazo de entrega.</t>
  </si>
  <si>
    <t>Baixa: Até 5 peças.
Prazo de entrega: Até 5 dias úteis.</t>
  </si>
  <si>
    <t>Média: De 6 a 20 peças.
Prazo de entrega: Até 10 dias úteis.</t>
  </si>
  <si>
    <t>Alta: Acima de 20 peças.
Prazo de entrega: Até 15 dias úteis.</t>
  </si>
  <si>
    <t>Adaptação de Peças para a Ação</t>
  </si>
  <si>
    <t>Descritivo: Adaptação de peças a partir de identidade visual previamente produzida.
Entregas:
a)	Arquivo de imagem digital aberto, contendo fontes e anexos necessários para a editoração das peças.
b)	Peças finalizadas entregues em arquivo PDF.
Aspectos a serem considerados na avaliação da atividade:
a)	Cumprimento do prazo.
b)	Adequação da proposta ao briefing.
c)	Criatividade, ineditismo e atratividade visual da proposta.
d)	Clareza, objetividade, inteligibilidade da apresentação. 
Características consideradas na classificação da complexidade:
a)	Quantidade de peças envolvidas na proposta.
b)	Prazo de entrega.</t>
  </si>
  <si>
    <t>Monitoramento e Medição dos Resultados da Ação</t>
  </si>
  <si>
    <t>Descritivo: Análise qualitativa e quantitativa do impacto e da aceitação da ação no período de sua implementação e nos ambientes em que esta será realizada.
Entregas: Relatório analítico impresso e/ou digital contendo histórico dos fatos e resultados ocorridos na ação, podendo conter parte ou a totalidade dos itens abaixo, conforme o escopo da ação realizada:
a)	Número de pessoas envolvidas na ação ou que compareceram ao evento. 
b)	Número de pessoas que interagiram com a ação de ativação. 
c)	Pesquisa de satisfação sobre a ação ou o evento (amostra de 5% do público estimado). 
d)	Perfil do público atingido. 
e)	Tempo médio de permanência no local da ação ou do evento. 
f)	Índice de aceitação do tema ou causa pelo público atingido (amostra de 5% do público estimado).
Aspectos a serem considerados na avaliação da atividade:
a)	Cumprimento do prazo.
b)	Acuidade do detalhamento apresentado.
c)	Fidelidade do relatório aos fatos.
d)	Resultados apresentados.
Características consideradas na classificação da complexidade:
a)	Quantidade do público envolvido na ação.</t>
  </si>
  <si>
    <t>Baixa: Até 200 participantes.
Prazo de entrega: Até 15 dias úteis.</t>
  </si>
  <si>
    <t>Média: De 201 e 999 participantes.
Prazo de entrega: Até 15 dias úteis.</t>
  </si>
  <si>
    <t>Alta: Acima de 1.000 participantes.
Prazo de entrega: Até 15 dias úteis.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</si>
</sst>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164" formatCode="&quot;R$&quot;\ #,##0.00"/>
  </numFmts>
  <fonts count="10">
    <font>
      <sz val="11"/>
      <color theme="1"/>
      <name val="Calibri"/>
      <family val="2"/>
      <scheme val="minor"/>
    </font>
    <font>
      <b/>
      <sz val="11"/>
      <color rgb="FF000000"/>
      <name val="Calibri"/>
      <family val="2"/>
      <scheme val="minor"/>
    </font>
    <font>
      <b/>
      <sz val="11"/>
      <color theme="1"/>
      <name val="Arial"/>
      <family val="2"/>
    </font>
    <font>
      <b/>
      <sz val="7"/>
      <color theme="1"/>
      <name val="Times New Roman"/>
      <family val="1"/>
    </font>
    <font>
      <sz val="11"/>
      <color theme="1"/>
      <name val="Arial"/>
      <family val="2"/>
    </font>
    <font>
      <sz val="9"/>
      <color theme="1"/>
      <name val="Arial"/>
      <family val="2"/>
    </font>
    <font>
      <sz val="8"/>
      <color theme="1"/>
      <name val="Arial"/>
      <family val="2"/>
    </font>
    <font>
      <b/>
      <sz val="10"/>
      <color theme="1"/>
      <name val="Arial"/>
      <family val="2"/>
    </font>
    <font>
      <b/>
      <sz val="10"/>
      <color theme="1"/>
      <name val="Times New Roman"/>
      <family val="1"/>
    </font>
    <font>
      <b/>
      <sz val="11"/>
      <color theme="1"/>
      <name val="Calibri"/>
      <family val="2"/>
      <scheme val="minor"/>
    </font>
  </fonts>
  <fills count="13">
    <fill>
      <patternFill patternType="none"/>
    </fill>
    <fill>
      <patternFill patternType="gray125"/>
    </fill>
    <fill>
      <patternFill patternType="solid">
        <fgColor rgb="FFBFBFBF"/>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AF9AFC"/>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331DC"/>
        <bgColor indexed="64"/>
      </patternFill>
    </fill>
    <fill>
      <patternFill patternType="solid">
        <fgColor theme="7"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53">
    <xf numFmtId="0" fontId="0" fillId="0" borderId="0" xfId="0"/>
    <xf numFmtId="0" fontId="1" fillId="3" borderId="1" xfId="0" applyFont="1" applyFill="1" applyBorder="1" applyAlignment="1">
      <alignment horizontal="center" vertical="center" wrapText="1"/>
    </xf>
    <xf numFmtId="0" fontId="7" fillId="4" borderId="1" xfId="0" applyFont="1" applyFill="1" applyBorder="1" applyAlignment="1">
      <alignment vertical="center" wrapText="1"/>
    </xf>
    <xf numFmtId="0" fontId="4" fillId="2" borderId="1" xfId="0" applyFont="1" applyFill="1" applyBorder="1" applyAlignment="1" applyProtection="1">
      <alignment vertical="top" wrapText="1"/>
      <protection locked="0"/>
    </xf>
    <xf numFmtId="0" fontId="2" fillId="4" borderId="5" xfId="0" applyFont="1" applyFill="1" applyBorder="1" applyAlignment="1" applyProtection="1">
      <alignment horizontal="center" vertical="center" wrapText="1"/>
      <protection locked="0"/>
    </xf>
    <xf numFmtId="0" fontId="4" fillId="2" borderId="6" xfId="0" applyFont="1" applyFill="1" applyBorder="1" applyAlignment="1" applyProtection="1">
      <alignment vertical="top" wrapText="1"/>
      <protection locked="0"/>
    </xf>
    <xf numFmtId="0" fontId="2" fillId="4" borderId="5" xfId="0" applyFont="1" applyFill="1" applyBorder="1" applyAlignment="1" applyProtection="1">
      <alignment vertical="center" wrapText="1"/>
      <protection locked="0"/>
    </xf>
    <xf numFmtId="0" fontId="7" fillId="4" borderId="5" xfId="0" applyFont="1" applyFill="1" applyBorder="1" applyAlignment="1" applyProtection="1">
      <alignment vertical="center" wrapText="1"/>
      <protection locked="0"/>
    </xf>
    <xf numFmtId="0" fontId="7" fillId="4" borderId="5" xfId="0" applyFont="1" applyFill="1" applyBorder="1" applyAlignment="1" applyProtection="1">
      <alignment horizontal="left" vertical="center" wrapText="1"/>
      <protection locked="0"/>
    </xf>
    <xf numFmtId="0" fontId="2" fillId="4" borderId="1" xfId="0" applyFont="1" applyFill="1" applyBorder="1" applyAlignment="1">
      <alignment horizontal="center" vertical="center" wrapText="1"/>
    </xf>
    <xf numFmtId="0" fontId="5" fillId="2" borderId="1" xfId="0" applyFont="1" applyFill="1" applyBorder="1" applyAlignment="1">
      <alignment vertical="top" wrapText="1"/>
    </xf>
    <xf numFmtId="0" fontId="6" fillId="2" borderId="1" xfId="0" applyFont="1" applyFill="1" applyBorder="1" applyAlignment="1">
      <alignment vertical="center" wrapText="1"/>
    </xf>
    <xf numFmtId="0" fontId="4" fillId="2" borderId="1" xfId="0" applyFont="1" applyFill="1" applyBorder="1" applyAlignment="1">
      <alignment vertical="top" wrapText="1"/>
    </xf>
    <xf numFmtId="0" fontId="1" fillId="2" borderId="1" xfId="0" applyFont="1" applyFill="1" applyBorder="1" applyAlignment="1">
      <alignment vertical="center" textRotation="90" wrapText="1"/>
    </xf>
    <xf numFmtId="0" fontId="0" fillId="0" borderId="3" xfId="0" applyBorder="1" applyAlignment="1">
      <alignment vertical="center" wrapText="1"/>
    </xf>
    <xf numFmtId="0" fontId="0" fillId="0" borderId="1" xfId="0" applyBorder="1" applyAlignment="1">
      <alignment horizontal="center" vertical="center" wrapText="1"/>
    </xf>
    <xf numFmtId="0" fontId="7" fillId="4" borderId="3" xfId="0" applyFont="1" applyFill="1" applyBorder="1" applyAlignment="1">
      <alignment horizontal="left" vertical="center" wrapText="1"/>
    </xf>
    <xf numFmtId="0" fontId="5" fillId="2" borderId="2" xfId="0" applyFont="1" applyFill="1" applyBorder="1" applyAlignment="1">
      <alignment vertical="top" wrapText="1"/>
    </xf>
    <xf numFmtId="0" fontId="6" fillId="2" borderId="4" xfId="0" applyFont="1" applyFill="1" applyBorder="1" applyAlignment="1">
      <alignment vertical="center" wrapText="1"/>
    </xf>
    <xf numFmtId="0" fontId="7" fillId="4" borderId="1" xfId="0" applyFont="1" applyFill="1" applyBorder="1" applyAlignment="1">
      <alignment horizontal="center" vertical="center" wrapText="1"/>
    </xf>
    <xf numFmtId="0" fontId="2" fillId="4" borderId="1" xfId="0" applyFont="1" applyFill="1" applyBorder="1" applyAlignment="1">
      <alignment vertical="center" wrapText="1"/>
    </xf>
    <xf numFmtId="0" fontId="7" fillId="4" borderId="3" xfId="0" applyFont="1" applyFill="1" applyBorder="1" applyAlignment="1">
      <alignment vertical="center" wrapText="1"/>
    </xf>
    <xf numFmtId="0" fontId="7" fillId="4" borderId="1" xfId="0" applyFont="1" applyFill="1" applyBorder="1" applyAlignment="1">
      <alignment horizontal="left" vertical="center" wrapText="1"/>
    </xf>
    <xf numFmtId="0" fontId="0" fillId="0" borderId="5" xfId="0" applyBorder="1" applyAlignment="1">
      <alignment horizontal="center" vertical="center" wrapText="1"/>
    </xf>
    <xf numFmtId="0" fontId="2" fillId="4" borderId="5" xfId="0" applyFont="1" applyFill="1" applyBorder="1" applyAlignment="1">
      <alignment horizontal="center" vertical="center" wrapText="1"/>
    </xf>
    <xf numFmtId="0" fontId="4" fillId="2" borderId="6" xfId="0" applyFont="1" applyFill="1" applyBorder="1" applyAlignment="1">
      <alignment vertical="top" wrapText="1"/>
    </xf>
    <xf numFmtId="0" fontId="2" fillId="4" borderId="5" xfId="0" applyFont="1" applyFill="1" applyBorder="1" applyAlignment="1">
      <alignment vertical="center" wrapText="1"/>
    </xf>
    <xf numFmtId="0" fontId="7" fillId="4" borderId="5" xfId="0" applyFont="1" applyFill="1" applyBorder="1" applyAlignment="1">
      <alignment vertical="center" wrapText="1"/>
    </xf>
    <xf numFmtId="0" fontId="7" fillId="4" borderId="5"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164" fontId="0" fillId="0" borderId="5" xfId="0" applyNumberFormat="1" applyBorder="1" applyAlignment="1">
      <alignment horizontal="center" vertical="center" wrapText="1"/>
    </xf>
    <xf numFmtId="164" fontId="0" fillId="0" borderId="5" xfId="0" applyNumberFormat="1" applyBorder="1" applyAlignment="1" applyProtection="1">
      <alignment vertical="center" wrapText="1"/>
      <protection locked="0"/>
    </xf>
    <xf numFmtId="44" fontId="1" fillId="10" borderId="7" xfId="0" applyNumberFormat="1" applyFont="1" applyFill="1" applyBorder="1" applyAlignment="1" applyProtection="1">
      <alignment horizontal="center" vertical="center" wrapText="1"/>
      <protection hidden="1"/>
    </xf>
    <xf numFmtId="44" fontId="1" fillId="10" borderId="8" xfId="0" applyNumberFormat="1" applyFont="1" applyFill="1" applyBorder="1" applyAlignment="1" applyProtection="1">
      <alignment horizontal="center" vertical="center" wrapText="1"/>
      <protection hidden="1"/>
    </xf>
    <xf numFmtId="0" fontId="0" fillId="10" borderId="1" xfId="0" applyFill="1" applyBorder="1"/>
    <xf numFmtId="164" fontId="0" fillId="10" borderId="1" xfId="0" applyNumberFormat="1" applyFill="1" applyBorder="1"/>
    <xf numFmtId="164" fontId="0" fillId="10" borderId="9" xfId="0" applyNumberFormat="1" applyFill="1" applyBorder="1"/>
    <xf numFmtId="164" fontId="9" fillId="9" borderId="1" xfId="0" applyNumberFormat="1" applyFont="1" applyFill="1" applyBorder="1"/>
    <xf numFmtId="0" fontId="1" fillId="11" borderId="1" xfId="0" applyFont="1" applyFill="1" applyBorder="1" applyAlignment="1">
      <alignment horizontal="center" vertical="center" wrapText="1"/>
    </xf>
    <xf numFmtId="0" fontId="1" fillId="12" borderId="1" xfId="0" applyFont="1" applyFill="1" applyBorder="1" applyAlignment="1">
      <alignment horizontal="center" vertical="center" wrapText="1"/>
    </xf>
    <xf numFmtId="164" fontId="1" fillId="12" borderId="1" xfId="0" applyNumberFormat="1" applyFont="1" applyFill="1" applyBorder="1" applyAlignment="1">
      <alignment horizontal="center" vertical="center" wrapText="1"/>
    </xf>
    <xf numFmtId="164" fontId="7" fillId="4" borderId="1" xfId="0" applyNumberFormat="1" applyFont="1" applyFill="1" applyBorder="1" applyAlignment="1">
      <alignment vertical="center" wrapText="1"/>
    </xf>
    <xf numFmtId="164" fontId="4" fillId="2" borderId="1" xfId="0" applyNumberFormat="1" applyFont="1" applyFill="1" applyBorder="1" applyAlignment="1" applyProtection="1">
      <alignment vertical="top" wrapText="1"/>
      <protection locked="0"/>
    </xf>
    <xf numFmtId="164" fontId="2" fillId="4" borderId="5" xfId="0" applyNumberFormat="1" applyFont="1" applyFill="1" applyBorder="1" applyAlignment="1" applyProtection="1">
      <alignment horizontal="center" vertical="center" wrapText="1"/>
      <protection locked="0"/>
    </xf>
    <xf numFmtId="164" fontId="4" fillId="2" borderId="6" xfId="0" applyNumberFormat="1" applyFont="1" applyFill="1" applyBorder="1" applyAlignment="1" applyProtection="1">
      <alignment vertical="top" wrapText="1"/>
      <protection locked="0"/>
    </xf>
    <xf numFmtId="164" fontId="2" fillId="4" borderId="5" xfId="0" applyNumberFormat="1" applyFont="1" applyFill="1" applyBorder="1" applyAlignment="1" applyProtection="1">
      <alignment vertical="center" wrapText="1"/>
      <protection locked="0"/>
    </xf>
    <xf numFmtId="164" fontId="7" fillId="4" borderId="5" xfId="0" applyNumberFormat="1" applyFont="1" applyFill="1" applyBorder="1" applyAlignment="1" applyProtection="1">
      <alignment vertical="center" wrapText="1"/>
      <protection locked="0"/>
    </xf>
    <xf numFmtId="164" fontId="7" fillId="4" borderId="5" xfId="0" applyNumberFormat="1" applyFont="1" applyFill="1" applyBorder="1" applyAlignment="1" applyProtection="1">
      <alignment horizontal="left" vertical="center" wrapText="1"/>
      <protection locked="0"/>
    </xf>
    <xf numFmtId="164" fontId="0" fillId="0" borderId="0" xfId="0" applyNumberFormat="1"/>
  </cellXfs>
  <cellStyles count="1">
    <cellStyle name="Normal" xfId="0" builtinId="0"/>
  </cellStyles>
  <dxfs count="0"/>
  <tableStyles count="0" defaultTableStyle="TableStyleMedium2" defaultPivotStyle="PivotStyleLight16"/>
  <colors>
    <mruColors>
      <color rgb="FFF331DC"/>
      <color rgb="FFAF9AFC"/>
      <color rgb="FF7854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9E5C5-634A-42F6-AD2E-E75FB57EC211}">
  <dimension ref="A1:Z41"/>
  <sheetViews>
    <sheetView showGridLines="0" tabSelected="1" zoomScale="85" zoomScaleNormal="85" workbookViewId="0">
      <selection activeCell="B3" sqref="B3"/>
    </sheetView>
  </sheetViews>
  <sheetFormatPr defaultRowHeight="15"/>
  <cols>
    <col min="1" max="1" width="6.42578125" bestFit="1" customWidth="1"/>
    <col min="2" max="2" width="82.140625" bestFit="1" customWidth="1"/>
    <col min="3" max="3" width="11.42578125" customWidth="1"/>
    <col min="4" max="4" width="14.28515625" customWidth="1"/>
    <col min="5" max="5" width="13.7109375" customWidth="1"/>
    <col min="6" max="6" width="13.28515625" customWidth="1"/>
    <col min="7" max="7" width="13.140625" customWidth="1"/>
    <col min="8" max="8" width="14" customWidth="1"/>
    <col min="9" max="9" width="13.85546875" bestFit="1" customWidth="1"/>
    <col min="10" max="10" width="12" customWidth="1"/>
    <col min="11" max="11" width="14.28515625" style="52" customWidth="1"/>
    <col min="12" max="12" width="11.85546875" customWidth="1"/>
    <col min="13" max="13" width="16.5703125" customWidth="1"/>
    <col min="14" max="14" width="15.5703125" customWidth="1"/>
    <col min="15" max="15" width="20" bestFit="1" customWidth="1"/>
    <col min="16" max="16" width="22.85546875" bestFit="1" customWidth="1"/>
    <col min="17" max="17" width="15.42578125" bestFit="1" customWidth="1"/>
    <col min="18" max="18" width="15" customWidth="1"/>
    <col min="19" max="19" width="17.7109375" customWidth="1"/>
    <col min="20" max="20" width="15.42578125" customWidth="1"/>
    <col min="21" max="21" width="14" customWidth="1"/>
    <col min="22" max="22" width="14.140625" customWidth="1"/>
    <col min="23" max="23" width="14.5703125" customWidth="1"/>
    <col min="24" max="24" width="15.7109375" customWidth="1"/>
    <col min="25" max="25" width="14.85546875" customWidth="1"/>
    <col min="26" max="26" width="16.7109375" customWidth="1"/>
  </cols>
  <sheetData>
    <row r="1" spans="1:26" ht="73.5" customHeight="1">
      <c r="A1" s="1" t="s">
        <v>0</v>
      </c>
      <c r="B1" s="1" t="s">
        <v>1</v>
      </c>
      <c r="C1" s="1" t="s">
        <v>2</v>
      </c>
      <c r="D1" s="29" t="s">
        <v>3</v>
      </c>
      <c r="E1" s="29" t="s">
        <v>4</v>
      </c>
      <c r="F1" s="30" t="s">
        <v>5</v>
      </c>
      <c r="G1" s="30" t="s">
        <v>4</v>
      </c>
      <c r="H1" s="31" t="s">
        <v>6</v>
      </c>
      <c r="I1" s="31" t="s">
        <v>4</v>
      </c>
      <c r="J1" s="43" t="s">
        <v>7</v>
      </c>
      <c r="K1" s="44" t="s">
        <v>4</v>
      </c>
      <c r="L1" s="42" t="s">
        <v>8</v>
      </c>
      <c r="M1" s="32" t="s">
        <v>9</v>
      </c>
      <c r="N1" s="33" t="s">
        <v>10</v>
      </c>
      <c r="O1" s="36" t="s">
        <v>11</v>
      </c>
      <c r="P1" s="36" t="s">
        <v>12</v>
      </c>
      <c r="Q1" s="37" t="s">
        <v>13</v>
      </c>
      <c r="R1" s="37" t="s">
        <v>14</v>
      </c>
      <c r="S1" s="37" t="s">
        <v>15</v>
      </c>
      <c r="T1" s="37" t="s">
        <v>16</v>
      </c>
      <c r="U1" s="37" t="s">
        <v>17</v>
      </c>
      <c r="V1" s="37" t="s">
        <v>18</v>
      </c>
      <c r="W1" s="37" t="s">
        <v>19</v>
      </c>
      <c r="X1" s="37" t="s">
        <v>20</v>
      </c>
      <c r="Y1" s="37" t="s">
        <v>21</v>
      </c>
      <c r="Z1" s="37" t="s">
        <v>22</v>
      </c>
    </row>
    <row r="2" spans="1:26">
      <c r="A2" s="9" t="s">
        <v>23</v>
      </c>
      <c r="B2" s="2" t="s">
        <v>24</v>
      </c>
      <c r="C2" s="2"/>
      <c r="D2" s="2"/>
      <c r="E2" s="2"/>
      <c r="F2" s="2"/>
      <c r="G2" s="2"/>
      <c r="H2" s="2"/>
      <c r="I2" s="2"/>
      <c r="J2" s="2"/>
      <c r="K2" s="45"/>
      <c r="L2" s="2"/>
      <c r="M2" s="2"/>
      <c r="N2" s="2"/>
      <c r="O2" s="38"/>
      <c r="P2" s="38"/>
      <c r="Q2" s="38"/>
      <c r="R2" s="38"/>
      <c r="S2" s="38"/>
      <c r="T2" s="38"/>
      <c r="U2" s="38"/>
      <c r="V2" s="38"/>
      <c r="W2" s="38"/>
      <c r="X2" s="38"/>
      <c r="Y2" s="38"/>
      <c r="Z2" s="38"/>
    </row>
    <row r="3" spans="1:26" ht="281.25">
      <c r="A3" s="10"/>
      <c r="B3" s="11" t="s">
        <v>25</v>
      </c>
      <c r="C3" s="12"/>
      <c r="D3" s="12"/>
      <c r="E3" s="3"/>
      <c r="F3" s="12"/>
      <c r="G3" s="3"/>
      <c r="H3" s="12"/>
      <c r="I3" s="3"/>
      <c r="J3" s="3"/>
      <c r="K3" s="46"/>
      <c r="L3" s="3"/>
      <c r="M3" s="12"/>
      <c r="N3" s="12"/>
      <c r="O3" s="38"/>
      <c r="P3" s="38"/>
      <c r="Q3" s="38"/>
      <c r="R3" s="38"/>
      <c r="S3" s="38"/>
      <c r="T3" s="38"/>
      <c r="U3" s="38"/>
      <c r="V3" s="38"/>
      <c r="W3" s="38"/>
      <c r="X3" s="38"/>
      <c r="Y3" s="38"/>
      <c r="Z3" s="38"/>
    </row>
    <row r="4" spans="1:26" ht="30">
      <c r="A4" s="13"/>
      <c r="B4" s="14" t="s">
        <v>26</v>
      </c>
      <c r="C4" s="15">
        <v>2</v>
      </c>
      <c r="D4" s="23"/>
      <c r="E4" s="35">
        <v>34500</v>
      </c>
      <c r="F4" s="34"/>
      <c r="G4" s="35">
        <v>34500</v>
      </c>
      <c r="H4" s="34"/>
      <c r="I4" s="35">
        <v>36834.43</v>
      </c>
      <c r="J4" s="35"/>
      <c r="K4" s="35">
        <v>200000</v>
      </c>
      <c r="L4" s="35">
        <v>30000</v>
      </c>
      <c r="M4" s="34">
        <v>31807.360000000001</v>
      </c>
      <c r="N4" s="34">
        <v>13669.6</v>
      </c>
      <c r="O4" s="39">
        <f>MAX(N4,M4,L4,I4,K4,G4,E4)</f>
        <v>200000</v>
      </c>
      <c r="P4" s="39">
        <f>IFERROR(_xlfn.STDEV.S(N4,M4,L4,K4,I4,G4,E4),"")</f>
        <v>64633.124577356844</v>
      </c>
      <c r="Q4" s="39">
        <f>IFERROR(AVERAGE(N4,M4,L4,K4,I4,G4,E4),"")</f>
        <v>54473.055714285707</v>
      </c>
      <c r="R4" s="39">
        <f>(Q4/P4)*100</f>
        <v>84.280399671980959</v>
      </c>
      <c r="S4" s="39">
        <f>IFERROR(IF(R4&gt;25,MEDIAN(N4,M4,L4,K4,I4,G4,E4,),Q4),"")</f>
        <v>33153.68</v>
      </c>
      <c r="T4" s="39">
        <f>S4*C4</f>
        <v>66307.360000000001</v>
      </c>
      <c r="U4" s="39">
        <f>MIN(N4,M4,L4,K4,I4,G4,E4)</f>
        <v>13669.6</v>
      </c>
      <c r="V4" s="39">
        <f>U4*C4</f>
        <v>27339.200000000001</v>
      </c>
      <c r="W4" s="39">
        <f>AVERAGE(N4,M4,L4,K4,I4,G4,E4)</f>
        <v>54473.055714285707</v>
      </c>
      <c r="X4" s="39">
        <f>W4*C4</f>
        <v>108946.11142857141</v>
      </c>
      <c r="Y4" s="39">
        <f>IFERROR(IF(R4&gt;25,MEDIAN(U4,S4,W4),Q4),"")</f>
        <v>33153.68</v>
      </c>
      <c r="Z4" s="39">
        <f>Y4*C4</f>
        <v>66307.360000000001</v>
      </c>
    </row>
    <row r="5" spans="1:26" ht="30">
      <c r="A5" s="13"/>
      <c r="B5" s="14" t="s">
        <v>27</v>
      </c>
      <c r="C5" s="15">
        <v>2</v>
      </c>
      <c r="D5" s="23"/>
      <c r="E5" s="35">
        <v>48800</v>
      </c>
      <c r="F5" s="34"/>
      <c r="G5" s="35">
        <v>48500</v>
      </c>
      <c r="H5" s="34"/>
      <c r="I5" s="35">
        <v>70981.27</v>
      </c>
      <c r="J5" s="35"/>
      <c r="K5" s="35">
        <v>300000</v>
      </c>
      <c r="L5" s="35">
        <v>39000</v>
      </c>
      <c r="M5" s="34">
        <v>62994.2</v>
      </c>
      <c r="N5" s="34">
        <v>21428.16</v>
      </c>
      <c r="O5" s="39">
        <f>MAX(N5,M5,L5,I5,K5,G5,E5)</f>
        <v>300000</v>
      </c>
      <c r="P5" s="39">
        <f>IFERROR(_xlfn.STDEV.S(N5,M5,L5,K5,I5,G5,E5),"")</f>
        <v>96353.772259524427</v>
      </c>
      <c r="Q5" s="39">
        <f>IFERROR(AVERAGE(N5,M5,L5,K5,I5,G5,E5),"")</f>
        <v>84529.09</v>
      </c>
      <c r="R5" s="39">
        <f>(Q5/P5)*100</f>
        <v>87.727847096971772</v>
      </c>
      <c r="S5" s="39">
        <f>IFERROR(IF(R5&gt;25,MEDIAN(N5,M5,L5,K5,I5,G5,E5,),Q5),"")</f>
        <v>48650</v>
      </c>
      <c r="T5" s="39">
        <f>S5*C5</f>
        <v>97300</v>
      </c>
      <c r="U5" s="39">
        <f>MIN(N5,M5,L5,K5,I5,G5,E5)</f>
        <v>21428.16</v>
      </c>
      <c r="V5" s="39">
        <f>U5*C5</f>
        <v>42856.32</v>
      </c>
      <c r="W5" s="39">
        <f>AVERAGE(N5,M5,L5,K5,I5,G5,E5)</f>
        <v>84529.09</v>
      </c>
      <c r="X5" s="39">
        <f>W5*C5</f>
        <v>169058.18</v>
      </c>
      <c r="Y5" s="39">
        <f>IFERROR(IF(R5&gt;25,MEDIAN(U5,S5,W5),Q5),"")</f>
        <v>48650</v>
      </c>
      <c r="Z5" s="39">
        <f>Y5*C5</f>
        <v>97300</v>
      </c>
    </row>
    <row r="6" spans="1:26" ht="30">
      <c r="A6" s="13"/>
      <c r="B6" s="14" t="s">
        <v>28</v>
      </c>
      <c r="C6" s="15">
        <v>2</v>
      </c>
      <c r="D6" s="23"/>
      <c r="E6" s="35">
        <v>88000</v>
      </c>
      <c r="F6" s="34"/>
      <c r="G6" s="35">
        <v>67500</v>
      </c>
      <c r="H6" s="34"/>
      <c r="I6" s="35">
        <v>105919.08</v>
      </c>
      <c r="J6" s="35"/>
      <c r="K6" s="35">
        <v>380000</v>
      </c>
      <c r="L6" s="35">
        <v>75000</v>
      </c>
      <c r="M6" s="34">
        <v>93763.61</v>
      </c>
      <c r="N6" s="34">
        <v>32545.8</v>
      </c>
      <c r="O6" s="39">
        <f>MAX(N6,M6,L6, I6,K6,G6,E6)</f>
        <v>380000</v>
      </c>
      <c r="P6" s="39">
        <f>IFERROR(_xlfn.STDEV.S(N6,M6,L6,K6,I6,G6,E6),"")</f>
        <v>116861.05998392048</v>
      </c>
      <c r="Q6" s="39">
        <f>IFERROR(AVERAGE(N6,M6,L6,K6,I6,G6,E6),"")</f>
        <v>120389.78428571428</v>
      </c>
      <c r="R6" s="39">
        <f>(Q6/P6)*100</f>
        <v>103.01958950421923</v>
      </c>
      <c r="S6" s="39">
        <f>IFERROR(IF(R6&gt;25,MEDIAN(N6,M6,L6,K6,I6,G6,E6,),Q6),"")</f>
        <v>81500</v>
      </c>
      <c r="T6" s="39">
        <f>S6*C6</f>
        <v>163000</v>
      </c>
      <c r="U6" s="39">
        <f>MIN(N6,M6,L6,K6,I6,G6,E6)</f>
        <v>32545.8</v>
      </c>
      <c r="V6" s="39">
        <f>U6*C6</f>
        <v>65091.6</v>
      </c>
      <c r="W6" s="39">
        <f>AVERAGE(N6,M6,L6,K6,I6,G6,E6)</f>
        <v>120389.78428571428</v>
      </c>
      <c r="X6" s="39">
        <f>W6*C6</f>
        <v>240779.56857142856</v>
      </c>
      <c r="Y6" s="39">
        <f>IFERROR(IF(R6&gt;25,MEDIAN(U6,S6,W6),Q6),"")</f>
        <v>81500</v>
      </c>
      <c r="Z6" s="39">
        <f>Y6*C6</f>
        <v>163000</v>
      </c>
    </row>
    <row r="7" spans="1:26">
      <c r="A7" s="9">
        <v>2</v>
      </c>
      <c r="B7" s="16" t="s">
        <v>29</v>
      </c>
      <c r="C7" s="9"/>
      <c r="D7" s="24"/>
      <c r="E7" s="4"/>
      <c r="F7" s="24"/>
      <c r="G7" s="4"/>
      <c r="H7" s="24"/>
      <c r="I7" s="4"/>
      <c r="J7" s="4"/>
      <c r="K7" s="47"/>
      <c r="L7" s="4"/>
      <c r="M7" s="24"/>
      <c r="N7" s="24"/>
      <c r="O7" s="39"/>
      <c r="P7" s="39" t="str">
        <f>IFERROR(_xlfn.STDEV.S(N7,M7,G7,E7),"")</f>
        <v/>
      </c>
      <c r="Q7" s="39" t="str">
        <f>IFERROR(AVERAGE(N7,M7,G7,E7),"")</f>
        <v/>
      </c>
      <c r="R7" s="39"/>
      <c r="S7" s="39" t="str">
        <f>IFERROR(IF(R7&gt;25,MEDIAN(N7,M7,G7,E7,),Q7),"")</f>
        <v/>
      </c>
      <c r="T7" s="39"/>
      <c r="U7" s="39"/>
      <c r="V7" s="39"/>
      <c r="W7" s="39"/>
      <c r="X7" s="39"/>
      <c r="Y7" s="39" t="str">
        <f t="shared" ref="Y7:Y40" si="0">IFERROR(IF(R7&gt;25,MEDIAN(U7,S7,W7),Q7),"")</f>
        <v/>
      </c>
      <c r="Z7" s="39"/>
    </row>
    <row r="8" spans="1:26" ht="236.25">
      <c r="A8" s="17"/>
      <c r="B8" s="18" t="s">
        <v>30</v>
      </c>
      <c r="C8" s="12"/>
      <c r="D8" s="25"/>
      <c r="E8" s="5"/>
      <c r="F8" s="25"/>
      <c r="G8" s="5"/>
      <c r="H8" s="25"/>
      <c r="I8" s="5"/>
      <c r="J8" s="5"/>
      <c r="K8" s="48"/>
      <c r="L8" s="5"/>
      <c r="M8" s="25"/>
      <c r="N8" s="25"/>
      <c r="O8" s="39"/>
      <c r="P8" s="39" t="str">
        <f>IFERROR(_xlfn.STDEV.S(N8,M8,G8,E8),"")</f>
        <v/>
      </c>
      <c r="Q8" s="39" t="str">
        <f>IFERROR(AVERAGE(N8,M8,G8,E8),"")</f>
        <v/>
      </c>
      <c r="R8" s="39"/>
      <c r="S8" s="39" t="str">
        <f>IFERROR(IF(R8&gt;25,MEDIAN(N8,M8,G8,E8,),Q8),"")</f>
        <v/>
      </c>
      <c r="T8" s="39"/>
      <c r="U8" s="39"/>
      <c r="V8" s="39"/>
      <c r="W8" s="39"/>
      <c r="X8" s="39"/>
      <c r="Y8" s="39" t="str">
        <f t="shared" si="0"/>
        <v/>
      </c>
      <c r="Z8" s="39"/>
    </row>
    <row r="9" spans="1:26" ht="30">
      <c r="A9" s="13"/>
      <c r="B9" s="14" t="s">
        <v>31</v>
      </c>
      <c r="C9" s="15">
        <v>2</v>
      </c>
      <c r="D9" s="23"/>
      <c r="E9" s="35">
        <v>20000</v>
      </c>
      <c r="F9" s="34"/>
      <c r="G9" s="35">
        <v>24150</v>
      </c>
      <c r="H9" s="34"/>
      <c r="I9" s="35">
        <v>14727.06</v>
      </c>
      <c r="J9" s="35"/>
      <c r="K9" s="35">
        <v>200000</v>
      </c>
      <c r="L9" s="35">
        <v>24500</v>
      </c>
      <c r="M9" s="34">
        <v>11000</v>
      </c>
      <c r="N9" s="34">
        <v>9747.14</v>
      </c>
      <c r="O9" s="39">
        <f>MAX(N9,M9,G9,E9)</f>
        <v>24150</v>
      </c>
      <c r="P9" s="39">
        <f>IFERROR(_xlfn.STDEV.S(N9,M9,G9,E9),"")</f>
        <v>6983.7798536967084</v>
      </c>
      <c r="Q9" s="39">
        <f>IFERROR(AVERAGE(N9,M9,G9,E9),"")</f>
        <v>16224.285</v>
      </c>
      <c r="R9" s="39">
        <f t="shared" ref="R9:R40" si="1">(Q9/P9)*100</f>
        <v>232.31380913892977</v>
      </c>
      <c r="S9" s="39">
        <f>IFERROR(IF(R9&gt;25,MEDIAN(N9,M9,G9,E9,),Q9),"")</f>
        <v>11000</v>
      </c>
      <c r="T9" s="39">
        <f>S9*C9</f>
        <v>22000</v>
      </c>
      <c r="U9" s="39">
        <f>MIN(N9,M9,G9,E9)</f>
        <v>9747.14</v>
      </c>
      <c r="V9" s="39">
        <f>U9*C9</f>
        <v>19494.28</v>
      </c>
      <c r="W9" s="39">
        <f>AVERAGE(N9,M9,G9,E9)</f>
        <v>16224.285</v>
      </c>
      <c r="X9" s="39">
        <f>W9*C9</f>
        <v>32448.57</v>
      </c>
      <c r="Y9" s="39">
        <f t="shared" si="0"/>
        <v>11000</v>
      </c>
      <c r="Z9" s="39">
        <f>Y9*C9</f>
        <v>22000</v>
      </c>
    </row>
    <row r="10" spans="1:26" ht="30">
      <c r="A10" s="13"/>
      <c r="B10" s="14" t="s">
        <v>32</v>
      </c>
      <c r="C10" s="15">
        <v>2</v>
      </c>
      <c r="D10" s="23"/>
      <c r="E10" s="35">
        <v>25000</v>
      </c>
      <c r="F10" s="34"/>
      <c r="G10" s="35">
        <v>33950</v>
      </c>
      <c r="H10" s="34"/>
      <c r="I10" s="35">
        <v>26646.78</v>
      </c>
      <c r="J10" s="35"/>
      <c r="K10" s="35">
        <v>300000</v>
      </c>
      <c r="L10" s="35">
        <v>29000</v>
      </c>
      <c r="M10" s="34">
        <v>21600</v>
      </c>
      <c r="N10" s="34">
        <v>16701.79</v>
      </c>
      <c r="O10" s="39">
        <f>MAX(N10,M10,G10,E10)</f>
        <v>33950</v>
      </c>
      <c r="P10" s="39">
        <f>IFERROR(_xlfn.STDEV.S(N10,M10,G10,E10),"")</f>
        <v>7271.7403843709644</v>
      </c>
      <c r="Q10" s="39">
        <f>IFERROR(AVERAGE(N10,M10,G10,E10),"")</f>
        <v>24312.947500000002</v>
      </c>
      <c r="R10" s="39">
        <f t="shared" si="1"/>
        <v>334.34839824941264</v>
      </c>
      <c r="S10" s="39">
        <f>IFERROR(IF(R10&gt;25,MEDIAN(N10,M10,G10,E10,),Q10),"")</f>
        <v>21600</v>
      </c>
      <c r="T10" s="39">
        <f>S10*C10</f>
        <v>43200</v>
      </c>
      <c r="U10" s="39">
        <f>MIN(N10,M10,G10,E10)</f>
        <v>16701.79</v>
      </c>
      <c r="V10" s="39">
        <f>U10*C10</f>
        <v>33403.58</v>
      </c>
      <c r="W10" s="39">
        <f>AVERAGE(N10,M10,G10,E10)</f>
        <v>24312.947500000002</v>
      </c>
      <c r="X10" s="39">
        <f>W10*C10</f>
        <v>48625.895000000004</v>
      </c>
      <c r="Y10" s="39">
        <f t="shared" si="0"/>
        <v>21600</v>
      </c>
      <c r="Z10" s="39">
        <f>Y10*C10</f>
        <v>43200</v>
      </c>
    </row>
    <row r="11" spans="1:26">
      <c r="A11" s="19">
        <v>3</v>
      </c>
      <c r="B11" s="16" t="s">
        <v>33</v>
      </c>
      <c r="C11" s="20"/>
      <c r="D11" s="26"/>
      <c r="E11" s="6"/>
      <c r="F11" s="26"/>
      <c r="G11" s="6"/>
      <c r="H11" s="26"/>
      <c r="I11" s="6"/>
      <c r="J11" s="6"/>
      <c r="K11" s="49"/>
      <c r="L11" s="6"/>
      <c r="M11" s="26"/>
      <c r="N11" s="26"/>
      <c r="O11" s="39"/>
      <c r="P11" s="39" t="str">
        <f>IFERROR(_xlfn.STDEV.S(N11,M11,I11,G11,E11),"")</f>
        <v/>
      </c>
      <c r="Q11" s="39" t="str">
        <f>IFERROR(AVERAGE(N11,M11,I11,G11,E11),"")</f>
        <v/>
      </c>
      <c r="R11" s="39"/>
      <c r="S11" s="39" t="str">
        <f>IFERROR(IF(R11&gt;25,MEDIAN(N11,M11,I11,G11,E11,),Q11),"")</f>
        <v/>
      </c>
      <c r="T11" s="39"/>
      <c r="U11" s="39"/>
      <c r="V11" s="39"/>
      <c r="W11" s="39"/>
      <c r="X11" s="39"/>
      <c r="Y11" s="39" t="str">
        <f t="shared" si="0"/>
        <v/>
      </c>
      <c r="Z11" s="39"/>
    </row>
    <row r="12" spans="1:26" ht="225">
      <c r="A12" s="17"/>
      <c r="B12" s="18" t="s">
        <v>34</v>
      </c>
      <c r="C12" s="12"/>
      <c r="D12" s="25"/>
      <c r="E12" s="5"/>
      <c r="F12" s="25"/>
      <c r="G12" s="5"/>
      <c r="H12" s="25"/>
      <c r="I12" s="5"/>
      <c r="J12" s="5"/>
      <c r="K12" s="48"/>
      <c r="L12" s="5"/>
      <c r="M12" s="25"/>
      <c r="N12" s="25"/>
      <c r="O12" s="39"/>
      <c r="P12" s="39" t="str">
        <f>IFERROR(_xlfn.STDEV.S(N12,M12,I12,G12,E12),"")</f>
        <v/>
      </c>
      <c r="Q12" s="39" t="str">
        <f>IFERROR(AVERAGE(N12,M12,I12,G12,E12),"")</f>
        <v/>
      </c>
      <c r="R12" s="39"/>
      <c r="S12" s="39" t="str">
        <f>IFERROR(IF(R12&gt;25,MEDIAN(N12,M12,I12,G12,E12,),Q12),"")</f>
        <v/>
      </c>
      <c r="T12" s="39"/>
      <c r="U12" s="39"/>
      <c r="V12" s="39"/>
      <c r="W12" s="39"/>
      <c r="X12" s="39"/>
      <c r="Y12" s="39" t="str">
        <f t="shared" si="0"/>
        <v/>
      </c>
      <c r="Z12" s="39"/>
    </row>
    <row r="13" spans="1:26" ht="30">
      <c r="A13" s="13"/>
      <c r="B13" s="14" t="s">
        <v>35</v>
      </c>
      <c r="C13" s="15">
        <v>80</v>
      </c>
      <c r="D13" s="23"/>
      <c r="E13" s="35">
        <v>23000</v>
      </c>
      <c r="F13" s="34"/>
      <c r="G13" s="35">
        <v>18000</v>
      </c>
      <c r="H13" s="34"/>
      <c r="I13" s="35">
        <v>18650</v>
      </c>
      <c r="J13" s="35"/>
      <c r="K13" s="35">
        <v>22200</v>
      </c>
      <c r="L13" s="35">
        <v>26000</v>
      </c>
      <c r="M13" s="34">
        <v>14000</v>
      </c>
      <c r="N13" s="34">
        <v>6500</v>
      </c>
      <c r="O13" s="39">
        <f>MAX(N13,M13,I13,G13,E13)</f>
        <v>23000</v>
      </c>
      <c r="P13" s="39">
        <f>IFERROR(_xlfn.STDEV.S(N13,M13,I13,G13,E13),"")</f>
        <v>6210.233489974431</v>
      </c>
      <c r="Q13" s="39">
        <f>IFERROR(AVERAGE(N13,M13,I13,G13,E13),"")</f>
        <v>16030</v>
      </c>
      <c r="R13" s="39">
        <f t="shared" si="1"/>
        <v>258.12233993904147</v>
      </c>
      <c r="S13" s="39">
        <f>IFERROR(IF(R13&gt;25,MEDIAN(N13,M13,I13,G13,E13,),Q13),"")</f>
        <v>16000</v>
      </c>
      <c r="T13" s="39">
        <f>S13*C13</f>
        <v>1280000</v>
      </c>
      <c r="U13" s="39">
        <f>MIN(N13,M13,I13,G13,E13)</f>
        <v>6500</v>
      </c>
      <c r="V13" s="39">
        <f>U13*C13</f>
        <v>520000</v>
      </c>
      <c r="W13" s="39">
        <f>AVERAGE(N13,M13,I13,G13,E13)</f>
        <v>16030</v>
      </c>
      <c r="X13" s="39">
        <f>W13*C13</f>
        <v>1282400</v>
      </c>
      <c r="Y13" s="39">
        <f t="shared" si="0"/>
        <v>16000</v>
      </c>
      <c r="Z13" s="39">
        <f>Y13*C13</f>
        <v>1280000</v>
      </c>
    </row>
    <row r="14" spans="1:26" ht="30">
      <c r="A14" s="13"/>
      <c r="B14" s="14" t="s">
        <v>36</v>
      </c>
      <c r="C14" s="15">
        <v>40</v>
      </c>
      <c r="D14" s="23"/>
      <c r="E14" s="35">
        <v>40000</v>
      </c>
      <c r="F14" s="34"/>
      <c r="G14" s="35">
        <v>30000</v>
      </c>
      <c r="H14" s="34"/>
      <c r="I14" s="35">
        <v>35731.370000000003</v>
      </c>
      <c r="J14" s="35"/>
      <c r="K14" s="35">
        <v>30720</v>
      </c>
      <c r="L14" s="35">
        <v>42000</v>
      </c>
      <c r="M14" s="34">
        <v>25600</v>
      </c>
      <c r="N14" s="34">
        <v>22500</v>
      </c>
      <c r="O14" s="39">
        <f>MAX(N14,M14,G14,E14)</f>
        <v>40000</v>
      </c>
      <c r="P14" s="39">
        <f>IFERROR(_xlfn.STDEV.S(N14,M14,G14,E14),"")</f>
        <v>7631.2406156098459</v>
      </c>
      <c r="Q14" s="39">
        <f>IFERROR(AVERAGE(N14,M14,G14,E14),"")</f>
        <v>29525</v>
      </c>
      <c r="R14" s="39">
        <f t="shared" si="1"/>
        <v>386.89646267483766</v>
      </c>
      <c r="S14" s="39">
        <f>IFERROR(IF(R14&gt;25,MEDIAN(N14,M14,G14,E14,),Q14),"")</f>
        <v>25600</v>
      </c>
      <c r="T14" s="39">
        <f>S14*C14</f>
        <v>1024000</v>
      </c>
      <c r="U14" s="39">
        <f>MIN(N14,M14,G14,E14)</f>
        <v>22500</v>
      </c>
      <c r="V14" s="39">
        <f>U14*C14</f>
        <v>900000</v>
      </c>
      <c r="W14" s="39">
        <f>AVERAGE(N14,M14,G14,E14)</f>
        <v>29525</v>
      </c>
      <c r="X14" s="39">
        <f>W14*C14</f>
        <v>1181000</v>
      </c>
      <c r="Y14" s="39">
        <f t="shared" si="0"/>
        <v>25600</v>
      </c>
      <c r="Z14" s="39">
        <f>Y14*C14</f>
        <v>1024000</v>
      </c>
    </row>
    <row r="15" spans="1:26" ht="30">
      <c r="A15" s="13"/>
      <c r="B15" s="14" t="s">
        <v>37</v>
      </c>
      <c r="C15" s="15">
        <v>15</v>
      </c>
      <c r="D15" s="23"/>
      <c r="E15" s="35">
        <v>65000</v>
      </c>
      <c r="F15" s="34"/>
      <c r="G15" s="35">
        <v>45000</v>
      </c>
      <c r="H15" s="34"/>
      <c r="I15" s="35">
        <v>62721.19</v>
      </c>
      <c r="J15" s="35"/>
      <c r="K15" s="35">
        <v>57600</v>
      </c>
      <c r="L15" s="35">
        <v>62000</v>
      </c>
      <c r="M15" s="34">
        <v>48000</v>
      </c>
      <c r="N15" s="34">
        <v>30000</v>
      </c>
      <c r="O15" s="39">
        <f>MAX(N15,M15,G15,E15)</f>
        <v>65000</v>
      </c>
      <c r="P15" s="39">
        <f>IFERROR(_xlfn.STDEV.S(N15,M15,G15,E15),"")</f>
        <v>14352.700094407324</v>
      </c>
      <c r="Q15" s="39">
        <f>IFERROR(AVERAGE(N15,M15,G15,E15),"")</f>
        <v>47000</v>
      </c>
      <c r="R15" s="39">
        <f t="shared" si="1"/>
        <v>327.46451671706029</v>
      </c>
      <c r="S15" s="39">
        <f>IFERROR(IF(R15&gt;25,MEDIAN(N15,M15,G15,E15,),Q15),"")</f>
        <v>45000</v>
      </c>
      <c r="T15" s="39">
        <f>S15*C15</f>
        <v>675000</v>
      </c>
      <c r="U15" s="39">
        <f>MIN(N15,M15,G15,E15)</f>
        <v>30000</v>
      </c>
      <c r="V15" s="39">
        <f>U15*C15</f>
        <v>450000</v>
      </c>
      <c r="W15" s="39">
        <f>AVERAGE(N15,M15,G15,E15)</f>
        <v>47000</v>
      </c>
      <c r="X15" s="39">
        <f>W15*C15</f>
        <v>705000</v>
      </c>
      <c r="Y15" s="39">
        <f t="shared" si="0"/>
        <v>45000</v>
      </c>
      <c r="Z15" s="39">
        <f>Y15*C15</f>
        <v>675000</v>
      </c>
    </row>
    <row r="16" spans="1:26">
      <c r="A16" s="19" t="s">
        <v>38</v>
      </c>
      <c r="B16" s="21" t="s">
        <v>39</v>
      </c>
      <c r="C16" s="2"/>
      <c r="D16" s="27"/>
      <c r="E16" s="7"/>
      <c r="F16" s="27"/>
      <c r="G16" s="7"/>
      <c r="H16" s="27"/>
      <c r="I16" s="7"/>
      <c r="J16" s="7"/>
      <c r="K16" s="50"/>
      <c r="L16" s="7"/>
      <c r="M16" s="27"/>
      <c r="N16" s="27"/>
      <c r="O16" s="39"/>
      <c r="P16" s="39" t="str">
        <f>IFERROR(_xlfn.STDEV.S(N16,M16,I16,G16,E16),"")</f>
        <v/>
      </c>
      <c r="Q16" s="39" t="str">
        <f>IFERROR(AVERAGE(N16,M16,I16,G16,E16),"")</f>
        <v/>
      </c>
      <c r="R16" s="39"/>
      <c r="S16" s="39" t="str">
        <f>IFERROR(IF(R16&gt;25,MEDIAN(N16,M16,I16,G16,E16,),Q16),"")</f>
        <v/>
      </c>
      <c r="T16" s="39"/>
      <c r="U16" s="39"/>
      <c r="V16" s="39"/>
      <c r="W16" s="39"/>
      <c r="X16" s="39"/>
      <c r="Y16" s="39" t="str">
        <f t="shared" si="0"/>
        <v/>
      </c>
      <c r="Z16" s="39"/>
    </row>
    <row r="17" spans="1:26" ht="191.25">
      <c r="A17" s="17"/>
      <c r="B17" s="18" t="s">
        <v>40</v>
      </c>
      <c r="C17" s="12"/>
      <c r="D17" s="25"/>
      <c r="E17" s="5"/>
      <c r="F17" s="25"/>
      <c r="G17" s="5"/>
      <c r="H17" s="25"/>
      <c r="I17" s="5"/>
      <c r="J17" s="5"/>
      <c r="K17" s="48"/>
      <c r="L17" s="5"/>
      <c r="M17" s="25"/>
      <c r="N17" s="25"/>
      <c r="O17" s="39"/>
      <c r="P17" s="39" t="str">
        <f>IFERROR(_xlfn.STDEV.S(N17,M17,I17,G17,E17),"")</f>
        <v/>
      </c>
      <c r="Q17" s="39" t="str">
        <f>IFERROR(AVERAGE(N17,M17,I17,G17,E17),"")</f>
        <v/>
      </c>
      <c r="R17" s="39"/>
      <c r="S17" s="39" t="str">
        <f>IFERROR(IF(R17&gt;25,MEDIAN(N17,M17,I17,G17,E17,),Q17),"")</f>
        <v/>
      </c>
      <c r="T17" s="39"/>
      <c r="U17" s="39"/>
      <c r="V17" s="39"/>
      <c r="W17" s="39"/>
      <c r="X17" s="39"/>
      <c r="Y17" s="39" t="str">
        <f t="shared" si="0"/>
        <v/>
      </c>
      <c r="Z17" s="39"/>
    </row>
    <row r="18" spans="1:26" ht="30">
      <c r="A18" s="13"/>
      <c r="B18" s="14" t="s">
        <v>35</v>
      </c>
      <c r="C18" s="15">
        <v>80</v>
      </c>
      <c r="D18" s="23"/>
      <c r="E18" s="35">
        <v>15000</v>
      </c>
      <c r="F18" s="34"/>
      <c r="G18" s="35">
        <v>12000</v>
      </c>
      <c r="H18" s="34"/>
      <c r="I18" s="35">
        <v>13400</v>
      </c>
      <c r="J18" s="35"/>
      <c r="K18" s="35">
        <v>15000</v>
      </c>
      <c r="L18" s="35">
        <v>16000</v>
      </c>
      <c r="M18" s="34">
        <v>9371.1299999999992</v>
      </c>
      <c r="N18" s="34">
        <v>6500</v>
      </c>
      <c r="O18" s="39">
        <f>MAX(N18,M18,I18,G18,E18)</f>
        <v>15000</v>
      </c>
      <c r="P18" s="39">
        <f>IFERROR(_xlfn.STDEV.S(N18,M18,I18,G18,E18),"")</f>
        <v>3366.7515196966979</v>
      </c>
      <c r="Q18" s="39">
        <f>IFERROR(AVERAGE(N18,M18,I18,G18,E18),"")</f>
        <v>11254.225999999999</v>
      </c>
      <c r="R18" s="39">
        <f t="shared" si="1"/>
        <v>334.27551555731867</v>
      </c>
      <c r="S18" s="39">
        <f>IFERROR(IF(R18&gt;25,MEDIAN(N18,M18,I18,G18,E18,),Q18),"")</f>
        <v>10685.564999999999</v>
      </c>
      <c r="T18" s="39">
        <f>S18*C18</f>
        <v>854845.2</v>
      </c>
      <c r="U18" s="39">
        <f>MIN(N18,M18,I18,G18,E18)</f>
        <v>6500</v>
      </c>
      <c r="V18" s="39">
        <f>U18*C18</f>
        <v>520000</v>
      </c>
      <c r="W18" s="39">
        <f>AVERAGE(N18,M18,I18,G18,E18)</f>
        <v>11254.225999999999</v>
      </c>
      <c r="X18" s="39">
        <f>W18*C18</f>
        <v>900338.07999999984</v>
      </c>
      <c r="Y18" s="39">
        <f t="shared" si="0"/>
        <v>10685.564999999999</v>
      </c>
      <c r="Z18" s="39">
        <f>Y18*C18</f>
        <v>854845.2</v>
      </c>
    </row>
    <row r="19" spans="1:26" ht="30">
      <c r="A19" s="13"/>
      <c r="B19" s="14" t="s">
        <v>36</v>
      </c>
      <c r="C19" s="15">
        <v>40</v>
      </c>
      <c r="D19" s="23"/>
      <c r="E19" s="35">
        <v>26000</v>
      </c>
      <c r="F19" s="34"/>
      <c r="G19" s="35">
        <v>18000</v>
      </c>
      <c r="H19" s="34"/>
      <c r="I19" s="35">
        <v>21434.92</v>
      </c>
      <c r="J19" s="35"/>
      <c r="K19" s="35">
        <v>16000</v>
      </c>
      <c r="L19" s="35">
        <v>25000</v>
      </c>
      <c r="M19" s="34">
        <v>13407.26</v>
      </c>
      <c r="N19" s="34">
        <v>11049.92</v>
      </c>
      <c r="O19" s="39">
        <f>MAX(N19,M19,G19,E19)</f>
        <v>26000</v>
      </c>
      <c r="P19" s="39">
        <f t="shared" ref="P19:P25" si="2">IFERROR(_xlfn.STDEV.S(N19,M19,G19,E19),"")</f>
        <v>6589.3595876458367</v>
      </c>
      <c r="Q19" s="39">
        <f t="shared" ref="Q19:Q25" si="3">IFERROR(AVERAGE(N19,M19,G19,E19),"")</f>
        <v>17114.294999999998</v>
      </c>
      <c r="R19" s="39">
        <f t="shared" si="1"/>
        <v>259.72622638605122</v>
      </c>
      <c r="S19" s="39">
        <f t="shared" ref="S19:S25" si="4">IFERROR(IF(R19&gt;25,MEDIAN(N19,M19,G19,E19,),Q19),"")</f>
        <v>13407.26</v>
      </c>
      <c r="T19" s="39">
        <f>S19*C19</f>
        <v>536290.4</v>
      </c>
      <c r="U19" s="39">
        <f>MIN(N19,M19,G19,E19)</f>
        <v>11049.92</v>
      </c>
      <c r="V19" s="39">
        <f>U19*C19</f>
        <v>441996.79999999999</v>
      </c>
      <c r="W19" s="39">
        <f>AVERAGE(N19,M19,G19,E19)</f>
        <v>17114.294999999998</v>
      </c>
      <c r="X19" s="39">
        <f>W19*C19</f>
        <v>684571.79999999993</v>
      </c>
      <c r="Y19" s="39">
        <f t="shared" si="0"/>
        <v>13407.26</v>
      </c>
      <c r="Z19" s="39">
        <f>Y19*C19</f>
        <v>536290.4</v>
      </c>
    </row>
    <row r="20" spans="1:26" ht="30">
      <c r="A20" s="13"/>
      <c r="B20" s="14" t="s">
        <v>37</v>
      </c>
      <c r="C20" s="15">
        <v>15</v>
      </c>
      <c r="D20" s="23"/>
      <c r="E20" s="35">
        <v>35000</v>
      </c>
      <c r="F20" s="34"/>
      <c r="G20" s="35">
        <v>30000</v>
      </c>
      <c r="H20" s="34"/>
      <c r="I20" s="35">
        <v>35346.400000000001</v>
      </c>
      <c r="J20" s="35"/>
      <c r="K20" s="35">
        <v>26400</v>
      </c>
      <c r="L20" s="35">
        <v>37000</v>
      </c>
      <c r="M20" s="34">
        <v>22000</v>
      </c>
      <c r="N20" s="34">
        <v>17733.8</v>
      </c>
      <c r="O20" s="39">
        <f>MAX(N20,M20,G20,E20)</f>
        <v>35000</v>
      </c>
      <c r="P20" s="39">
        <f t="shared" si="2"/>
        <v>7771.6460467951474</v>
      </c>
      <c r="Q20" s="39">
        <f t="shared" si="3"/>
        <v>26183.45</v>
      </c>
      <c r="R20" s="39">
        <f t="shared" si="1"/>
        <v>336.90996530648056</v>
      </c>
      <c r="S20" s="39">
        <f t="shared" si="4"/>
        <v>22000</v>
      </c>
      <c r="T20" s="39">
        <f>S20*C20</f>
        <v>330000</v>
      </c>
      <c r="U20" s="39">
        <f>MIN(N20,M20,G20,E20)</f>
        <v>17733.8</v>
      </c>
      <c r="V20" s="39">
        <f>U20*C20</f>
        <v>266007</v>
      </c>
      <c r="W20" s="39">
        <f>AVERAGE(N20,M20,G20,E20)</f>
        <v>26183.45</v>
      </c>
      <c r="X20" s="39">
        <f>W20*C20</f>
        <v>392751.75</v>
      </c>
      <c r="Y20" s="39">
        <f t="shared" si="0"/>
        <v>22000</v>
      </c>
      <c r="Z20" s="39">
        <f>Y20*C20</f>
        <v>330000</v>
      </c>
    </row>
    <row r="21" spans="1:26">
      <c r="A21" s="19">
        <v>5</v>
      </c>
      <c r="B21" s="16" t="s">
        <v>41</v>
      </c>
      <c r="C21" s="22"/>
      <c r="D21" s="28"/>
      <c r="E21" s="8"/>
      <c r="F21" s="28"/>
      <c r="G21" s="8"/>
      <c r="H21" s="28"/>
      <c r="I21" s="8"/>
      <c r="J21" s="8"/>
      <c r="K21" s="51"/>
      <c r="L21" s="8"/>
      <c r="M21" s="28"/>
      <c r="N21" s="28"/>
      <c r="O21" s="39"/>
      <c r="P21" s="39" t="str">
        <f t="shared" si="2"/>
        <v/>
      </c>
      <c r="Q21" s="39" t="str">
        <f t="shared" si="3"/>
        <v/>
      </c>
      <c r="R21" s="39"/>
      <c r="S21" s="39" t="str">
        <f t="shared" si="4"/>
        <v/>
      </c>
      <c r="T21" s="39"/>
      <c r="U21" s="39"/>
      <c r="V21" s="39"/>
      <c r="W21" s="39"/>
      <c r="X21" s="39"/>
      <c r="Y21" s="39" t="str">
        <f t="shared" si="0"/>
        <v/>
      </c>
      <c r="Z21" s="39"/>
    </row>
    <row r="22" spans="1:26" ht="225">
      <c r="A22" s="17"/>
      <c r="B22" s="18" t="s">
        <v>42</v>
      </c>
      <c r="C22" s="12"/>
      <c r="D22" s="25"/>
      <c r="E22" s="5"/>
      <c r="F22" s="25"/>
      <c r="G22" s="5"/>
      <c r="H22" s="25"/>
      <c r="I22" s="5"/>
      <c r="J22" s="5"/>
      <c r="K22" s="48"/>
      <c r="L22" s="5"/>
      <c r="M22" s="25"/>
      <c r="N22" s="25"/>
      <c r="O22" s="39"/>
      <c r="P22" s="39" t="str">
        <f t="shared" si="2"/>
        <v/>
      </c>
      <c r="Q22" s="39" t="str">
        <f t="shared" si="3"/>
        <v/>
      </c>
      <c r="R22" s="39"/>
      <c r="S22" s="39" t="str">
        <f t="shared" si="4"/>
        <v/>
      </c>
      <c r="T22" s="39"/>
      <c r="U22" s="39"/>
      <c r="V22" s="39"/>
      <c r="W22" s="39"/>
      <c r="X22" s="39"/>
      <c r="Y22" s="39" t="str">
        <f t="shared" si="0"/>
        <v/>
      </c>
      <c r="Z22" s="39"/>
    </row>
    <row r="23" spans="1:26" ht="30">
      <c r="A23" s="13"/>
      <c r="B23" s="14" t="s">
        <v>43</v>
      </c>
      <c r="C23" s="15">
        <v>80</v>
      </c>
      <c r="D23" s="23"/>
      <c r="E23" s="35">
        <v>8000</v>
      </c>
      <c r="F23" s="34"/>
      <c r="G23" s="35">
        <v>25000</v>
      </c>
      <c r="H23" s="34"/>
      <c r="I23" s="35">
        <v>12511.74</v>
      </c>
      <c r="J23" s="35"/>
      <c r="K23" s="35">
        <v>12600</v>
      </c>
      <c r="L23" s="35">
        <v>10000</v>
      </c>
      <c r="M23" s="34">
        <v>10000</v>
      </c>
      <c r="N23" s="34">
        <v>4224.29</v>
      </c>
      <c r="O23" s="39">
        <f>MAX(N23,M23,G23,E23)</f>
        <v>25000</v>
      </c>
      <c r="P23" s="39">
        <f t="shared" si="2"/>
        <v>9116.1255385365512</v>
      </c>
      <c r="Q23" s="39">
        <f t="shared" si="3"/>
        <v>11806.0725</v>
      </c>
      <c r="R23" s="39">
        <f t="shared" si="1"/>
        <v>129.50756821077388</v>
      </c>
      <c r="S23" s="39">
        <f t="shared" si="4"/>
        <v>8000</v>
      </c>
      <c r="T23" s="39">
        <f>S23*C23</f>
        <v>640000</v>
      </c>
      <c r="U23" s="39">
        <f>MIN(N23,M23,G23,E23)</f>
        <v>4224.29</v>
      </c>
      <c r="V23" s="39">
        <f>U23*C23</f>
        <v>337943.2</v>
      </c>
      <c r="W23" s="39">
        <f>AVERAGE(N23,M23,G23,E23)</f>
        <v>11806.0725</v>
      </c>
      <c r="X23" s="39">
        <f>W23*C23</f>
        <v>944485.8</v>
      </c>
      <c r="Y23" s="39">
        <f t="shared" si="0"/>
        <v>8000</v>
      </c>
      <c r="Z23" s="39">
        <f>Y23*C23</f>
        <v>640000</v>
      </c>
    </row>
    <row r="24" spans="1:26" ht="30">
      <c r="A24" s="13"/>
      <c r="B24" s="14" t="s">
        <v>44</v>
      </c>
      <c r="C24" s="15">
        <v>40</v>
      </c>
      <c r="D24" s="23"/>
      <c r="E24" s="35">
        <v>12000</v>
      </c>
      <c r="F24" s="34"/>
      <c r="G24" s="35">
        <v>35000</v>
      </c>
      <c r="H24" s="34"/>
      <c r="I24" s="35">
        <v>24429.19</v>
      </c>
      <c r="J24" s="35"/>
      <c r="K24" s="35">
        <v>14400</v>
      </c>
      <c r="L24" s="35">
        <v>14000</v>
      </c>
      <c r="M24" s="34">
        <v>20000</v>
      </c>
      <c r="N24" s="34">
        <v>6409.94</v>
      </c>
      <c r="O24" s="39">
        <f>MAX(N24,M24,G24,E24)</f>
        <v>35000</v>
      </c>
      <c r="P24" s="39">
        <f t="shared" si="2"/>
        <v>12420.849516071756</v>
      </c>
      <c r="Q24" s="39">
        <f t="shared" si="3"/>
        <v>18352.485000000001</v>
      </c>
      <c r="R24" s="39">
        <f t="shared" si="1"/>
        <v>147.75547337767117</v>
      </c>
      <c r="S24" s="39">
        <f t="shared" si="4"/>
        <v>12000</v>
      </c>
      <c r="T24" s="39">
        <f>S24*C24</f>
        <v>480000</v>
      </c>
      <c r="U24" s="39">
        <f>MIN(N24,M24,G24,E24)</f>
        <v>6409.94</v>
      </c>
      <c r="V24" s="39">
        <f>U24*C24</f>
        <v>256397.59999999998</v>
      </c>
      <c r="W24" s="39">
        <f>AVERAGE(N24,M24,G24,E24)</f>
        <v>18352.485000000001</v>
      </c>
      <c r="X24" s="39">
        <f>W24*C24</f>
        <v>734099.4</v>
      </c>
      <c r="Y24" s="39">
        <f t="shared" si="0"/>
        <v>12000</v>
      </c>
      <c r="Z24" s="39">
        <f>Y24*C24</f>
        <v>480000</v>
      </c>
    </row>
    <row r="25" spans="1:26" ht="30">
      <c r="A25" s="13"/>
      <c r="B25" s="14" t="s">
        <v>45</v>
      </c>
      <c r="C25" s="15">
        <v>15</v>
      </c>
      <c r="D25" s="23"/>
      <c r="E25" s="35">
        <v>20000</v>
      </c>
      <c r="F25" s="34"/>
      <c r="G25" s="35">
        <v>45000</v>
      </c>
      <c r="H25" s="34"/>
      <c r="I25" s="35">
        <v>38589.5</v>
      </c>
      <c r="J25" s="35"/>
      <c r="K25" s="35">
        <v>22800</v>
      </c>
      <c r="L25" s="35">
        <v>19000</v>
      </c>
      <c r="M25" s="34">
        <v>30000</v>
      </c>
      <c r="N25" s="34">
        <v>8461.18</v>
      </c>
      <c r="O25" s="39">
        <f>MAX(N25,M25,G25,E25)</f>
        <v>45000</v>
      </c>
      <c r="P25" s="39">
        <f t="shared" si="2"/>
        <v>15497.716232231342</v>
      </c>
      <c r="Q25" s="39">
        <f t="shared" si="3"/>
        <v>25865.294999999998</v>
      </c>
      <c r="R25" s="39">
        <f t="shared" si="1"/>
        <v>166.89746161571023</v>
      </c>
      <c r="S25" s="39">
        <f t="shared" si="4"/>
        <v>20000</v>
      </c>
      <c r="T25" s="39">
        <f>S25*C25</f>
        <v>300000</v>
      </c>
      <c r="U25" s="39">
        <f>MIN(N25,M25,G25,E25)</f>
        <v>8461.18</v>
      </c>
      <c r="V25" s="39">
        <f>U25*C25</f>
        <v>126917.70000000001</v>
      </c>
      <c r="W25" s="39">
        <f>AVERAGE(N25,M25,G25,E25)</f>
        <v>25865.294999999998</v>
      </c>
      <c r="X25" s="39">
        <f>W25*C25</f>
        <v>387979.42499999999</v>
      </c>
      <c r="Y25" s="39">
        <f t="shared" si="0"/>
        <v>20000</v>
      </c>
      <c r="Z25" s="39">
        <f>Y25*C25</f>
        <v>300000</v>
      </c>
    </row>
    <row r="26" spans="1:26">
      <c r="A26" s="19">
        <v>6</v>
      </c>
      <c r="B26" s="16" t="s">
        <v>46</v>
      </c>
      <c r="C26" s="22"/>
      <c r="D26" s="28"/>
      <c r="E26" s="8"/>
      <c r="F26" s="28"/>
      <c r="G26" s="8"/>
      <c r="H26" s="28"/>
      <c r="I26" s="8"/>
      <c r="J26" s="8"/>
      <c r="K26" s="51"/>
      <c r="L26" s="8"/>
      <c r="M26" s="28"/>
      <c r="N26" s="28"/>
      <c r="O26" s="39"/>
      <c r="P26" s="39" t="str">
        <f t="shared" ref="P26:P39" si="5">IFERROR(_xlfn.STDEV.S(N26,M26,I26,G26,E26),"")</f>
        <v/>
      </c>
      <c r="Q26" s="39" t="str">
        <f t="shared" ref="Q26:Q39" si="6">IFERROR(AVERAGE(N26,M26,I26,G26,E26),"")</f>
        <v/>
      </c>
      <c r="R26" s="39"/>
      <c r="S26" s="39" t="str">
        <f t="shared" ref="S26:S39" si="7">IFERROR(IF(R26&gt;25,MEDIAN(N26,M26,I26,G26,E26,),Q26),"")</f>
        <v/>
      </c>
      <c r="T26" s="39"/>
      <c r="U26" s="39"/>
      <c r="V26" s="39"/>
      <c r="W26" s="39"/>
      <c r="X26" s="39"/>
      <c r="Y26" s="39" t="str">
        <f t="shared" si="0"/>
        <v/>
      </c>
      <c r="Z26" s="39"/>
    </row>
    <row r="27" spans="1:26" ht="202.5">
      <c r="A27" s="17"/>
      <c r="B27" s="18" t="s">
        <v>47</v>
      </c>
      <c r="C27" s="12"/>
      <c r="D27" s="25"/>
      <c r="E27" s="5"/>
      <c r="F27" s="25"/>
      <c r="G27" s="5"/>
      <c r="H27" s="25"/>
      <c r="I27" s="5"/>
      <c r="J27" s="5"/>
      <c r="K27" s="48"/>
      <c r="L27" s="5"/>
      <c r="M27" s="25"/>
      <c r="N27" s="25"/>
      <c r="O27" s="39"/>
      <c r="P27" s="39" t="str">
        <f t="shared" si="5"/>
        <v/>
      </c>
      <c r="Q27" s="39" t="str">
        <f t="shared" si="6"/>
        <v/>
      </c>
      <c r="R27" s="39"/>
      <c r="S27" s="39" t="str">
        <f t="shared" si="7"/>
        <v/>
      </c>
      <c r="T27" s="39"/>
      <c r="U27" s="39"/>
      <c r="V27" s="39"/>
      <c r="W27" s="39"/>
      <c r="X27" s="39"/>
      <c r="Y27" s="39" t="str">
        <f t="shared" si="0"/>
        <v/>
      </c>
      <c r="Z27" s="39"/>
    </row>
    <row r="28" spans="1:26" ht="30">
      <c r="A28" s="13"/>
      <c r="B28" s="14" t="s">
        <v>48</v>
      </c>
      <c r="C28" s="15">
        <v>80</v>
      </c>
      <c r="D28" s="23"/>
      <c r="E28" s="35">
        <v>20000</v>
      </c>
      <c r="F28" s="34"/>
      <c r="G28" s="35">
        <v>20000</v>
      </c>
      <c r="H28" s="34"/>
      <c r="I28" s="35">
        <v>12744</v>
      </c>
      <c r="J28" s="35"/>
      <c r="K28" s="35">
        <v>16400</v>
      </c>
      <c r="L28" s="35">
        <v>22500</v>
      </c>
      <c r="M28" s="34">
        <v>9399.9699999999993</v>
      </c>
      <c r="N28" s="34">
        <v>8000</v>
      </c>
      <c r="O28" s="39">
        <f>MAX(N28,M28,I28,G28,E28)</f>
        <v>20000</v>
      </c>
      <c r="P28" s="39">
        <f t="shared" si="5"/>
        <v>5716.9411954453408</v>
      </c>
      <c r="Q28" s="39">
        <f t="shared" si="6"/>
        <v>14028.794</v>
      </c>
      <c r="R28" s="39">
        <f t="shared" si="1"/>
        <v>245.3898600737169</v>
      </c>
      <c r="S28" s="39">
        <f t="shared" si="7"/>
        <v>11071.985000000001</v>
      </c>
      <c r="T28" s="39">
        <f>S28*C28</f>
        <v>885758.8</v>
      </c>
      <c r="U28" s="39">
        <f>MIN(N28,M28,I28,G28,E28)</f>
        <v>8000</v>
      </c>
      <c r="V28" s="39">
        <f>U28*C28</f>
        <v>640000</v>
      </c>
      <c r="W28" s="39">
        <f>AVERAGE(N28,M28,I28,G28,E28)</f>
        <v>14028.794</v>
      </c>
      <c r="X28" s="39">
        <f>W28*C28</f>
        <v>1122303.52</v>
      </c>
      <c r="Y28" s="39">
        <f t="shared" si="0"/>
        <v>11071.985000000001</v>
      </c>
      <c r="Z28" s="39">
        <f>Y28*C28</f>
        <v>885758.8</v>
      </c>
    </row>
    <row r="29" spans="1:26" ht="30">
      <c r="A29" s="13"/>
      <c r="B29" s="14" t="s">
        <v>49</v>
      </c>
      <c r="C29" s="15">
        <v>40</v>
      </c>
      <c r="D29" s="23"/>
      <c r="E29" s="35">
        <v>30000</v>
      </c>
      <c r="F29" s="34"/>
      <c r="G29" s="35">
        <v>30500</v>
      </c>
      <c r="H29" s="34"/>
      <c r="I29" s="35">
        <v>20852.32</v>
      </c>
      <c r="J29" s="35"/>
      <c r="K29" s="35">
        <v>25500</v>
      </c>
      <c r="L29" s="35">
        <v>35000</v>
      </c>
      <c r="M29" s="34">
        <v>17415.52</v>
      </c>
      <c r="N29" s="34">
        <v>12000</v>
      </c>
      <c r="O29" s="39">
        <f>MAX(N29,M29,I29,G29,E29)</f>
        <v>30500</v>
      </c>
      <c r="P29" s="39">
        <f t="shared" si="5"/>
        <v>8038.4499531887432</v>
      </c>
      <c r="Q29" s="39">
        <f t="shared" si="6"/>
        <v>22153.567999999999</v>
      </c>
      <c r="R29" s="39">
        <f t="shared" si="1"/>
        <v>275.59502303316549</v>
      </c>
      <c r="S29" s="39">
        <f t="shared" si="7"/>
        <v>19133.919999999998</v>
      </c>
      <c r="T29" s="39">
        <f>S29*C29</f>
        <v>765356.79999999993</v>
      </c>
      <c r="U29" s="39">
        <f>MIN(N29,M29,I29,G29,E29)</f>
        <v>12000</v>
      </c>
      <c r="V29" s="39">
        <f>U29*C29</f>
        <v>480000</v>
      </c>
      <c r="W29" s="39">
        <f>AVERAGE(N29,M29,I29,G29,E29)</f>
        <v>22153.567999999999</v>
      </c>
      <c r="X29" s="39">
        <f>W29*C29</f>
        <v>886142.72</v>
      </c>
      <c r="Y29" s="39">
        <f t="shared" si="0"/>
        <v>19133.919999999998</v>
      </c>
      <c r="Z29" s="39">
        <f>Y29*C29</f>
        <v>765356.79999999993</v>
      </c>
    </row>
    <row r="30" spans="1:26" ht="30">
      <c r="A30" s="13"/>
      <c r="B30" s="14" t="s">
        <v>50</v>
      </c>
      <c r="C30" s="15">
        <v>15</v>
      </c>
      <c r="D30" s="23"/>
      <c r="E30" s="35">
        <v>40000</v>
      </c>
      <c r="F30" s="34"/>
      <c r="G30" s="35">
        <v>38250</v>
      </c>
      <c r="H30" s="34"/>
      <c r="I30" s="35">
        <v>30115.61</v>
      </c>
      <c r="J30" s="35"/>
      <c r="K30" s="35">
        <v>38000</v>
      </c>
      <c r="L30" s="35">
        <v>45500</v>
      </c>
      <c r="M30" s="34">
        <v>25459.759999999998</v>
      </c>
      <c r="N30" s="34">
        <v>15000</v>
      </c>
      <c r="O30" s="39">
        <f>MAX(N30,M30,I30,G30,E30)</f>
        <v>40000</v>
      </c>
      <c r="P30" s="39">
        <f t="shared" si="5"/>
        <v>10166.288577970829</v>
      </c>
      <c r="Q30" s="39">
        <f t="shared" si="6"/>
        <v>29765.074000000001</v>
      </c>
      <c r="R30" s="39">
        <f t="shared" si="1"/>
        <v>292.78210796118333</v>
      </c>
      <c r="S30" s="39">
        <f t="shared" si="7"/>
        <v>27787.684999999998</v>
      </c>
      <c r="T30" s="39">
        <f>S30*C30</f>
        <v>416815.27499999997</v>
      </c>
      <c r="U30" s="39">
        <f>MIN(N30,M30,I30,G30,E30)</f>
        <v>15000</v>
      </c>
      <c r="V30" s="39">
        <f>U30*C30</f>
        <v>225000</v>
      </c>
      <c r="W30" s="39">
        <f>AVERAGE(N30,M30,I30,G30,E30)</f>
        <v>29765.074000000001</v>
      </c>
      <c r="X30" s="39">
        <f>W30*C30</f>
        <v>446476.11</v>
      </c>
      <c r="Y30" s="39">
        <f t="shared" si="0"/>
        <v>27787.684999999998</v>
      </c>
      <c r="Z30" s="39">
        <f>Y30*C30</f>
        <v>416815.27499999997</v>
      </c>
    </row>
    <row r="31" spans="1:26">
      <c r="A31" s="19">
        <v>7</v>
      </c>
      <c r="B31" s="21" t="s">
        <v>51</v>
      </c>
      <c r="C31" s="2"/>
      <c r="D31" s="27"/>
      <c r="E31" s="7"/>
      <c r="F31" s="27"/>
      <c r="G31" s="7"/>
      <c r="H31" s="27"/>
      <c r="I31" s="7"/>
      <c r="J31" s="7"/>
      <c r="K31" s="50"/>
      <c r="L31" s="7"/>
      <c r="M31" s="27"/>
      <c r="N31" s="27"/>
      <c r="O31" s="39"/>
      <c r="P31" s="39" t="str">
        <f t="shared" si="5"/>
        <v/>
      </c>
      <c r="Q31" s="39" t="str">
        <f t="shared" si="6"/>
        <v/>
      </c>
      <c r="R31" s="39"/>
      <c r="S31" s="39" t="str">
        <f t="shared" si="7"/>
        <v/>
      </c>
      <c r="T31" s="39"/>
      <c r="U31" s="39"/>
      <c r="V31" s="39"/>
      <c r="W31" s="39"/>
      <c r="X31" s="39"/>
      <c r="Y31" s="39" t="str">
        <f t="shared" si="0"/>
        <v/>
      </c>
      <c r="Z31" s="39"/>
    </row>
    <row r="32" spans="1:26" ht="168.75">
      <c r="A32" s="17"/>
      <c r="B32" s="18" t="s">
        <v>52</v>
      </c>
      <c r="C32" s="12"/>
      <c r="D32" s="25"/>
      <c r="E32" s="5"/>
      <c r="F32" s="25"/>
      <c r="G32" s="5"/>
      <c r="H32" s="25"/>
      <c r="I32" s="5"/>
      <c r="J32" s="5"/>
      <c r="K32" s="48"/>
      <c r="L32" s="5"/>
      <c r="M32" s="25"/>
      <c r="N32" s="25"/>
      <c r="O32" s="39"/>
      <c r="P32" s="39" t="str">
        <f t="shared" si="5"/>
        <v/>
      </c>
      <c r="Q32" s="39" t="str">
        <f t="shared" si="6"/>
        <v/>
      </c>
      <c r="R32" s="39"/>
      <c r="S32" s="39" t="str">
        <f t="shared" si="7"/>
        <v/>
      </c>
      <c r="T32" s="39"/>
      <c r="U32" s="39"/>
      <c r="V32" s="39"/>
      <c r="W32" s="39"/>
      <c r="X32" s="39"/>
      <c r="Y32" s="39" t="str">
        <f t="shared" si="0"/>
        <v/>
      </c>
      <c r="Z32" s="39"/>
    </row>
    <row r="33" spans="1:26" ht="30">
      <c r="A33" s="13"/>
      <c r="B33" s="14" t="s">
        <v>48</v>
      </c>
      <c r="C33" s="15">
        <v>80</v>
      </c>
      <c r="D33" s="23"/>
      <c r="E33" s="35">
        <v>10000</v>
      </c>
      <c r="F33" s="34"/>
      <c r="G33" s="35">
        <v>8000</v>
      </c>
      <c r="H33" s="34"/>
      <c r="I33" s="35">
        <v>5538.02</v>
      </c>
      <c r="J33" s="35"/>
      <c r="K33" s="35">
        <v>1000000</v>
      </c>
      <c r="L33" s="35">
        <v>13000</v>
      </c>
      <c r="M33" s="34">
        <v>4458.8</v>
      </c>
      <c r="N33" s="34">
        <v>376.04</v>
      </c>
      <c r="O33" s="39">
        <f>MAX(N33,M33,I33,G33,E33)</f>
        <v>10000</v>
      </c>
      <c r="P33" s="39">
        <f t="shared" si="5"/>
        <v>3663.6092902382484</v>
      </c>
      <c r="Q33" s="39">
        <f t="shared" si="6"/>
        <v>5674.5720000000001</v>
      </c>
      <c r="R33" s="39">
        <f t="shared" si="1"/>
        <v>154.89020663638991</v>
      </c>
      <c r="S33" s="39">
        <f t="shared" si="7"/>
        <v>4998.41</v>
      </c>
      <c r="T33" s="39">
        <f>S33*C33</f>
        <v>399872.8</v>
      </c>
      <c r="U33" s="39">
        <f>MIN(N33,M33,I33,G33,E33)</f>
        <v>376.04</v>
      </c>
      <c r="V33" s="39">
        <f>U33*C33</f>
        <v>30083.200000000001</v>
      </c>
      <c r="W33" s="39">
        <f>AVERAGE(N33,M33,I33,G33,E33)</f>
        <v>5674.5720000000001</v>
      </c>
      <c r="X33" s="39">
        <f>W33*C33</f>
        <v>453965.76</v>
      </c>
      <c r="Y33" s="39">
        <f t="shared" si="0"/>
        <v>4998.41</v>
      </c>
      <c r="Z33" s="39">
        <f>Y33*C33</f>
        <v>399872.8</v>
      </c>
    </row>
    <row r="34" spans="1:26" ht="30">
      <c r="A34" s="13"/>
      <c r="B34" s="14" t="s">
        <v>49</v>
      </c>
      <c r="C34" s="15">
        <v>40</v>
      </c>
      <c r="D34" s="23"/>
      <c r="E34" s="35">
        <v>15000</v>
      </c>
      <c r="F34" s="34"/>
      <c r="G34" s="35">
        <v>15650</v>
      </c>
      <c r="H34" s="34"/>
      <c r="I34" s="35">
        <v>8501.82</v>
      </c>
      <c r="J34" s="35"/>
      <c r="K34" s="35">
        <v>5600000</v>
      </c>
      <c r="L34" s="35">
        <v>18000</v>
      </c>
      <c r="M34" s="34">
        <v>6682.16</v>
      </c>
      <c r="N34" s="34">
        <v>545.69000000000005</v>
      </c>
      <c r="O34" s="39">
        <f>MAX(N34,M34,I34,G34,E34)</f>
        <v>15650</v>
      </c>
      <c r="P34" s="39">
        <f t="shared" si="5"/>
        <v>6263.7394041482912</v>
      </c>
      <c r="Q34" s="39">
        <f t="shared" si="6"/>
        <v>9275.9339999999993</v>
      </c>
      <c r="R34" s="39">
        <f t="shared" si="1"/>
        <v>148.08939838488203</v>
      </c>
      <c r="S34" s="39">
        <f t="shared" si="7"/>
        <v>7591.99</v>
      </c>
      <c r="T34" s="39">
        <f>S34*C34</f>
        <v>303679.59999999998</v>
      </c>
      <c r="U34" s="39">
        <f>MIN(N34,M34,I34,G34,E34)</f>
        <v>545.69000000000005</v>
      </c>
      <c r="V34" s="39">
        <f>U34*C34</f>
        <v>21827.600000000002</v>
      </c>
      <c r="W34" s="39">
        <f>AVERAGE(N34,M34,I34,G34,E34)</f>
        <v>9275.9339999999993</v>
      </c>
      <c r="X34" s="39">
        <f>W34*C34</f>
        <v>371037.36</v>
      </c>
      <c r="Y34" s="39">
        <f t="shared" si="0"/>
        <v>7591.99</v>
      </c>
      <c r="Z34" s="39">
        <f>Y34*C34</f>
        <v>303679.59999999998</v>
      </c>
    </row>
    <row r="35" spans="1:26" ht="30">
      <c r="A35" s="13"/>
      <c r="B35" s="14" t="s">
        <v>50</v>
      </c>
      <c r="C35" s="15">
        <v>15</v>
      </c>
      <c r="D35" s="23"/>
      <c r="E35" s="35">
        <v>20000</v>
      </c>
      <c r="F35" s="34"/>
      <c r="G35" s="35">
        <v>24250</v>
      </c>
      <c r="H35" s="34"/>
      <c r="I35" s="35">
        <v>10176.69</v>
      </c>
      <c r="J35" s="35"/>
      <c r="K35" s="35">
        <v>340000</v>
      </c>
      <c r="L35" s="35">
        <v>26000</v>
      </c>
      <c r="M35" s="34">
        <v>8292.32</v>
      </c>
      <c r="N35" s="34">
        <v>624.33000000000004</v>
      </c>
      <c r="O35" s="39">
        <f>MAX(N35,M35,I35,G35,E35)</f>
        <v>24250</v>
      </c>
      <c r="P35" s="39">
        <f t="shared" si="5"/>
        <v>9464.4616040253459</v>
      </c>
      <c r="Q35" s="39">
        <f t="shared" si="6"/>
        <v>12668.668</v>
      </c>
      <c r="R35" s="39">
        <f t="shared" si="1"/>
        <v>133.85513650995074</v>
      </c>
      <c r="S35" s="39">
        <f t="shared" si="7"/>
        <v>9234.505000000001</v>
      </c>
      <c r="T35" s="39">
        <f>S35*C35</f>
        <v>138517.57500000001</v>
      </c>
      <c r="U35" s="39">
        <f>MIN(N35,M35,I35,G35,E35)</f>
        <v>624.33000000000004</v>
      </c>
      <c r="V35" s="39">
        <f>U35*C35</f>
        <v>9364.9500000000007</v>
      </c>
      <c r="W35" s="39">
        <f>AVERAGE(N35,M35,I35,G35,E35)</f>
        <v>12668.668</v>
      </c>
      <c r="X35" s="39">
        <f>W35*C35</f>
        <v>190030.02</v>
      </c>
      <c r="Y35" s="39">
        <f t="shared" si="0"/>
        <v>9234.505000000001</v>
      </c>
      <c r="Z35" s="39">
        <f>Y35*C35</f>
        <v>138517.57500000001</v>
      </c>
    </row>
    <row r="36" spans="1:26">
      <c r="A36" s="19">
        <v>8</v>
      </c>
      <c r="B36" s="21" t="s">
        <v>53</v>
      </c>
      <c r="C36" s="2"/>
      <c r="D36" s="27"/>
      <c r="E36" s="7"/>
      <c r="F36" s="27"/>
      <c r="G36" s="7"/>
      <c r="H36" s="27"/>
      <c r="I36" s="7"/>
      <c r="J36" s="7"/>
      <c r="K36" s="50"/>
      <c r="L36" s="7"/>
      <c r="M36" s="27"/>
      <c r="N36" s="27"/>
      <c r="O36" s="39"/>
      <c r="P36" s="39" t="str">
        <f t="shared" si="5"/>
        <v/>
      </c>
      <c r="Q36" s="39" t="str">
        <f t="shared" si="6"/>
        <v/>
      </c>
      <c r="R36" s="39"/>
      <c r="S36" s="39" t="str">
        <f t="shared" si="7"/>
        <v/>
      </c>
      <c r="T36" s="39"/>
      <c r="U36" s="39"/>
      <c r="V36" s="39"/>
      <c r="W36" s="39"/>
      <c r="X36" s="39"/>
      <c r="Y36" s="39" t="str">
        <f t="shared" si="0"/>
        <v/>
      </c>
      <c r="Z36" s="39"/>
    </row>
    <row r="37" spans="1:26" ht="225">
      <c r="A37" s="17"/>
      <c r="B37" s="18" t="s">
        <v>54</v>
      </c>
      <c r="C37" s="12"/>
      <c r="D37" s="25"/>
      <c r="E37" s="5"/>
      <c r="F37" s="25"/>
      <c r="G37" s="5"/>
      <c r="H37" s="25"/>
      <c r="I37" s="5"/>
      <c r="J37" s="5"/>
      <c r="K37" s="48"/>
      <c r="L37" s="5"/>
      <c r="M37" s="25"/>
      <c r="N37" s="25"/>
      <c r="O37" s="39"/>
      <c r="P37" s="39" t="str">
        <f t="shared" si="5"/>
        <v/>
      </c>
      <c r="Q37" s="39" t="str">
        <f t="shared" si="6"/>
        <v/>
      </c>
      <c r="R37" s="39"/>
      <c r="S37" s="39" t="str">
        <f t="shared" si="7"/>
        <v/>
      </c>
      <c r="T37" s="39"/>
      <c r="U37" s="39"/>
      <c r="V37" s="39"/>
      <c r="W37" s="39"/>
      <c r="X37" s="39"/>
      <c r="Y37" s="39" t="str">
        <f t="shared" si="0"/>
        <v/>
      </c>
      <c r="Z37" s="39"/>
    </row>
    <row r="38" spans="1:26" ht="30">
      <c r="A38" s="13"/>
      <c r="B38" s="14" t="s">
        <v>55</v>
      </c>
      <c r="C38" s="15">
        <v>80</v>
      </c>
      <c r="D38" s="23"/>
      <c r="E38" s="35">
        <v>15000</v>
      </c>
      <c r="F38" s="34"/>
      <c r="G38" s="35">
        <v>18000</v>
      </c>
      <c r="H38" s="34"/>
      <c r="I38" s="35">
        <v>10250</v>
      </c>
      <c r="J38" s="35"/>
      <c r="K38" s="35">
        <v>1000000</v>
      </c>
      <c r="L38" s="35">
        <v>18000</v>
      </c>
      <c r="M38" s="34">
        <v>8547.09</v>
      </c>
      <c r="N38" s="34">
        <v>6500</v>
      </c>
      <c r="O38" s="39">
        <f>MAX(N38,M38,I38,G38,E38)</f>
        <v>18000</v>
      </c>
      <c r="P38" s="39">
        <f t="shared" si="5"/>
        <v>4734.3190369492459</v>
      </c>
      <c r="Q38" s="39">
        <f t="shared" si="6"/>
        <v>11659.418</v>
      </c>
      <c r="R38" s="39">
        <f t="shared" si="1"/>
        <v>246.27444641992753</v>
      </c>
      <c r="S38" s="39">
        <f t="shared" si="7"/>
        <v>9398.5450000000001</v>
      </c>
      <c r="T38" s="39">
        <f>S38*C38</f>
        <v>751883.6</v>
      </c>
      <c r="U38" s="39">
        <f>MIN(N38,M38,I38,G38,E38)</f>
        <v>6500</v>
      </c>
      <c r="V38" s="39">
        <f>U38*C38</f>
        <v>520000</v>
      </c>
      <c r="W38" s="39">
        <f>AVERAGE(N38,M38,I38,G38,E38)</f>
        <v>11659.418</v>
      </c>
      <c r="X38" s="39">
        <f>W38*C38</f>
        <v>932753.44</v>
      </c>
      <c r="Y38" s="39">
        <f t="shared" si="0"/>
        <v>9398.5450000000001</v>
      </c>
      <c r="Z38" s="39">
        <f>Y38*C38</f>
        <v>751883.6</v>
      </c>
    </row>
    <row r="39" spans="1:26" ht="30">
      <c r="A39" s="13"/>
      <c r="B39" s="14" t="s">
        <v>56</v>
      </c>
      <c r="C39" s="15">
        <v>40</v>
      </c>
      <c r="D39" s="23"/>
      <c r="E39" s="35">
        <v>22000</v>
      </c>
      <c r="F39" s="34"/>
      <c r="G39" s="35">
        <v>28500</v>
      </c>
      <c r="H39" s="34"/>
      <c r="I39" s="35">
        <v>13375</v>
      </c>
      <c r="J39" s="35"/>
      <c r="K39" s="35">
        <v>5600000</v>
      </c>
      <c r="L39" s="35">
        <v>23000</v>
      </c>
      <c r="M39" s="34">
        <v>11145.93</v>
      </c>
      <c r="N39" s="34">
        <v>12000</v>
      </c>
      <c r="O39" s="39">
        <f>MAX(N39,M39,I39,G39,E39)</f>
        <v>28500</v>
      </c>
      <c r="P39" s="39">
        <f t="shared" si="5"/>
        <v>7563.7941694615192</v>
      </c>
      <c r="Q39" s="39">
        <f t="shared" si="6"/>
        <v>17404.185999999998</v>
      </c>
      <c r="R39" s="39">
        <f t="shared" si="1"/>
        <v>230.09861995278271</v>
      </c>
      <c r="S39" s="39">
        <f t="shared" si="7"/>
        <v>12687.5</v>
      </c>
      <c r="T39" s="39">
        <f>S39*C39</f>
        <v>507500</v>
      </c>
      <c r="U39" s="39">
        <f>MIN(N39,M39,I39,G39,E39)</f>
        <v>11145.93</v>
      </c>
      <c r="V39" s="39">
        <f>U39*C39</f>
        <v>445837.2</v>
      </c>
      <c r="W39" s="39">
        <f>AVERAGE(N39,M39,I39,G39,E39)</f>
        <v>17404.185999999998</v>
      </c>
      <c r="X39" s="39">
        <f>W39*C39</f>
        <v>696167.44</v>
      </c>
      <c r="Y39" s="39">
        <f t="shared" si="0"/>
        <v>12687.5</v>
      </c>
      <c r="Z39" s="39">
        <f>Y39*C39</f>
        <v>507500</v>
      </c>
    </row>
    <row r="40" spans="1:26" ht="30">
      <c r="A40" s="13"/>
      <c r="B40" s="14" t="s">
        <v>57</v>
      </c>
      <c r="C40" s="15">
        <v>15</v>
      </c>
      <c r="D40" s="23"/>
      <c r="E40" s="35">
        <v>33000</v>
      </c>
      <c r="F40" s="34"/>
      <c r="G40" s="35">
        <v>40250</v>
      </c>
      <c r="H40" s="34"/>
      <c r="I40" s="35">
        <v>21600</v>
      </c>
      <c r="J40" s="35"/>
      <c r="K40" s="35">
        <v>340000</v>
      </c>
      <c r="L40" s="35">
        <v>35000</v>
      </c>
      <c r="M40" s="34">
        <v>18000</v>
      </c>
      <c r="N40" s="34">
        <v>15000</v>
      </c>
      <c r="O40" s="39">
        <f>MAX(N40,M40,G40,E40)</f>
        <v>40250</v>
      </c>
      <c r="P40" s="39">
        <f>IFERROR(_xlfn.STDEV.S(N40,M40,G40,E40),"")</f>
        <v>12052.619009991147</v>
      </c>
      <c r="Q40" s="39">
        <f>IFERROR(AVERAGE(N40,M40,G40,E40),"")</f>
        <v>26562.5</v>
      </c>
      <c r="R40" s="39">
        <f t="shared" si="1"/>
        <v>220.38778441416534</v>
      </c>
      <c r="S40" s="39">
        <f>IFERROR(IF(R40&gt;25,MEDIAN(N40,M40,G40,E40,),Q40),"")</f>
        <v>18000</v>
      </c>
      <c r="T40" s="40">
        <f>S40*C40</f>
        <v>270000</v>
      </c>
      <c r="U40" s="39">
        <f>MIN(N40,M40,G40,E40)</f>
        <v>15000</v>
      </c>
      <c r="V40" s="39">
        <f>U40*C40</f>
        <v>225000</v>
      </c>
      <c r="W40" s="39">
        <f>AVERAGE(N40,M40,G40,E40)</f>
        <v>26562.5</v>
      </c>
      <c r="X40" s="39">
        <f>W40*C40</f>
        <v>398437.5</v>
      </c>
      <c r="Y40" s="39">
        <f t="shared" si="0"/>
        <v>18000</v>
      </c>
      <c r="Z40" s="39">
        <f>Y40*C40</f>
        <v>270000</v>
      </c>
    </row>
    <row r="41" spans="1:26">
      <c r="T41" s="41">
        <f>SUM(T4:T40)</f>
        <v>10951327.409999998</v>
      </c>
      <c r="V41" s="41">
        <f>SUM(V3:V40)</f>
        <v>6604560.2300000004</v>
      </c>
      <c r="X41" s="41">
        <f>SUM(X4:X40)</f>
        <v>13309798.449999997</v>
      </c>
      <c r="Z41" s="41">
        <f>SUM(Z4:Z40)</f>
        <v>10951327.409999998</v>
      </c>
    </row>
  </sheetData>
  <pageMargins left="0.17" right="0.15748031496062992" top="0.6692913385826772" bottom="0.35433070866141736" header="0.15748031496062992" footer="0.31496062992125984"/>
  <pageSetup paperSize="9" scale="3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FBC6976DDB00B4AAF6A7F96EE23545A" ma:contentTypeVersion="11" ma:contentTypeDescription="Crie um novo documento." ma:contentTypeScope="" ma:versionID="e7ead6202eb6d8b4296c59b3c0daf247">
  <xsd:schema xmlns:xsd="http://www.w3.org/2001/XMLSchema" xmlns:xs="http://www.w3.org/2001/XMLSchema" xmlns:p="http://schemas.microsoft.com/office/2006/metadata/properties" xmlns:ns2="ca4e5496-90e8-4134-9bc8-6cd0ee396eb2" xmlns:ns3="ec208073-ce73-4a22-8152-1b7389356e07" targetNamespace="http://schemas.microsoft.com/office/2006/metadata/properties" ma:root="true" ma:fieldsID="38a50ea107d47135e0b1264858970068" ns2:_="" ns3:_="">
    <xsd:import namespace="ca4e5496-90e8-4134-9bc8-6cd0ee396eb2"/>
    <xsd:import namespace="ec208073-ce73-4a22-8152-1b7389356e0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4e5496-90e8-4134-9bc8-6cd0ee396e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139944c2-26d9-490e-ad64-83e7a6975857"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208073-ce73-4a22-8152-1b7389356e0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6c1ad9b-fcb2-484b-a0fc-28afc2062755}" ma:internalName="TaxCatchAll" ma:showField="CatchAllData" ma:web="ec208073-ce73-4a22-8152-1b7389356e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a4e5496-90e8-4134-9bc8-6cd0ee396eb2">
      <Terms xmlns="http://schemas.microsoft.com/office/infopath/2007/PartnerControls"/>
    </lcf76f155ced4ddcb4097134ff3c332f>
    <TaxCatchAll xmlns="ec208073-ce73-4a22-8152-1b7389356e0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D242A7-252D-4354-AB15-4A3BF1C77BB2}"/>
</file>

<file path=customXml/itemProps2.xml><?xml version="1.0" encoding="utf-8"?>
<ds:datastoreItem xmlns:ds="http://schemas.openxmlformats.org/officeDocument/2006/customXml" ds:itemID="{44AE1D67-DD08-41F4-A436-2755087BE4B2}"/>
</file>

<file path=customXml/itemProps3.xml><?xml version="1.0" encoding="utf-8"?>
<ds:datastoreItem xmlns:ds="http://schemas.openxmlformats.org/officeDocument/2006/customXml" ds:itemID="{1BE9E0A3-01F1-4FCD-8F96-C2AAA31AFDD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Silas Gonçalves dos Santos</dc:creator>
  <cp:keywords/>
  <dc:description/>
  <cp:lastModifiedBy/>
  <cp:revision/>
  <dcterms:created xsi:type="dcterms:W3CDTF">2023-12-28T11:58:15Z</dcterms:created>
  <dcterms:modified xsi:type="dcterms:W3CDTF">2025-09-18T20:51:48Z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0x010100CFBC6976DDB00B4AAF6A7F96EE23545A</vt:lpwstr>
  </property>
</Properties>
</file>