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prodrigues\OneDrive - MEC-Ministério da Educação\Área de Trabalho\Redação - Mariana\Arquivos central de demandas\Atualização portal\"/>
    </mc:Choice>
  </mc:AlternateContent>
  <xr:revisionPtr revIDLastSave="0" documentId="8_{801EF88C-7390-4358-BF15-08EBCE2D9C90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RESUMO" sheetId="2" r:id="rId1"/>
    <sheet name="Líder da Brigada" sheetId="1" r:id="rId2"/>
    <sheet name="BRIGADISTA NOTURNO 12X36" sheetId="3" r:id="rId3"/>
    <sheet name="BRIGADISTA DIURNO 12X36" sheetId="4" r:id="rId4"/>
    <sheet name="BRIGADISTA FOLGUISTA NOTURNO" sheetId="5" r:id="rId5"/>
    <sheet name="MATERIAIS" sheetId="11" r:id="rId6"/>
    <sheet name="UNIFORMES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F82" i="11" s="1"/>
  <c r="F4" i="12"/>
  <c r="F5" i="12"/>
  <c r="F6" i="12"/>
  <c r="F7" i="12"/>
  <c r="F8" i="12"/>
  <c r="F9" i="12"/>
  <c r="F10" i="12"/>
  <c r="F3" i="12"/>
  <c r="E26" i="11"/>
  <c r="F26" i="11" s="1"/>
  <c r="E27" i="11"/>
  <c r="F27" i="11" s="1"/>
  <c r="E28" i="11"/>
  <c r="F28" i="11" s="1"/>
  <c r="E29" i="11"/>
  <c r="F29" i="11" s="1"/>
  <c r="E25" i="11"/>
  <c r="F25" i="11" s="1"/>
  <c r="E14" i="11"/>
  <c r="F14" i="11" s="1"/>
  <c r="E15" i="11"/>
  <c r="F15" i="11" s="1"/>
  <c r="E18" i="11"/>
  <c r="F18" i="11" s="1"/>
  <c r="E19" i="11"/>
  <c r="F19" i="11" s="1"/>
  <c r="E20" i="11"/>
  <c r="F20" i="11" s="1"/>
  <c r="E21" i="11"/>
  <c r="F21" i="11" s="1"/>
  <c r="E22" i="11"/>
  <c r="F22" i="11" s="1"/>
  <c r="E23" i="11"/>
  <c r="F23" i="11" s="1"/>
  <c r="E24" i="11"/>
  <c r="F24" i="11" s="1"/>
  <c r="E49" i="11"/>
  <c r="F49" i="11" s="1"/>
  <c r="E50" i="11"/>
  <c r="F50" i="11" s="1"/>
  <c r="E38" i="11"/>
  <c r="F38" i="11" s="1"/>
  <c r="E37" i="11"/>
  <c r="F37" i="11" s="1"/>
  <c r="E35" i="11"/>
  <c r="F35" i="11" s="1"/>
  <c r="E36" i="11"/>
  <c r="F36" i="11" s="1"/>
  <c r="C78" i="11" l="1"/>
  <c r="E78" i="11" s="1"/>
  <c r="F78" i="11" s="1"/>
  <c r="E77" i="11"/>
  <c r="F77" i="11" s="1"/>
  <c r="E76" i="11"/>
  <c r="F76" i="11" s="1"/>
  <c r="E75" i="11"/>
  <c r="F75" i="11" s="1"/>
  <c r="E74" i="11"/>
  <c r="F74" i="11" s="1"/>
  <c r="E73" i="11"/>
  <c r="F73" i="11" s="1"/>
  <c r="E72" i="11"/>
  <c r="F72" i="11" s="1"/>
  <c r="E71" i="11"/>
  <c r="F71" i="11" s="1"/>
  <c r="E70" i="11"/>
  <c r="F70" i="11" s="1"/>
  <c r="E69" i="11"/>
  <c r="F69" i="11" s="1"/>
  <c r="E68" i="11"/>
  <c r="F68" i="11" s="1"/>
  <c r="E67" i="11"/>
  <c r="F67" i="11" s="1"/>
  <c r="E66" i="11"/>
  <c r="F66" i="11" s="1"/>
  <c r="E65" i="11"/>
  <c r="F65" i="11" s="1"/>
  <c r="E64" i="11"/>
  <c r="F64" i="11" s="1"/>
  <c r="E63" i="11"/>
  <c r="F63" i="11" s="1"/>
  <c r="E62" i="11"/>
  <c r="F62" i="11" s="1"/>
  <c r="E61" i="11"/>
  <c r="F61" i="11" s="1"/>
  <c r="E60" i="11"/>
  <c r="F60" i="11" s="1"/>
  <c r="E59" i="11"/>
  <c r="F59" i="11" s="1"/>
  <c r="C58" i="11"/>
  <c r="E58" i="11" s="1"/>
  <c r="F58" i="11" s="1"/>
  <c r="E57" i="11"/>
  <c r="F57" i="11" s="1"/>
  <c r="E56" i="11"/>
  <c r="F56" i="11" s="1"/>
  <c r="E55" i="11"/>
  <c r="F55" i="11" s="1"/>
  <c r="E54" i="11"/>
  <c r="F54" i="11" s="1"/>
  <c r="E53" i="11"/>
  <c r="F53" i="11" s="1"/>
  <c r="E52" i="11"/>
  <c r="F52" i="11" s="1"/>
  <c r="E51" i="11"/>
  <c r="F51" i="11" s="1"/>
  <c r="C48" i="11"/>
  <c r="E48" i="11" s="1"/>
  <c r="F48" i="11" s="1"/>
  <c r="C47" i="11"/>
  <c r="E47" i="11" s="1"/>
  <c r="F47" i="11" s="1"/>
  <c r="C46" i="11"/>
  <c r="E46" i="11" s="1"/>
  <c r="F46" i="11" s="1"/>
  <c r="C45" i="11"/>
  <c r="E45" i="11" s="1"/>
  <c r="F45" i="11" s="1"/>
  <c r="C44" i="11"/>
  <c r="E44" i="11" s="1"/>
  <c r="F44" i="11" s="1"/>
  <c r="C43" i="11"/>
  <c r="E43" i="11" s="1"/>
  <c r="F43" i="11" s="1"/>
  <c r="C42" i="11"/>
  <c r="E42" i="11" s="1"/>
  <c r="F42" i="11" s="1"/>
  <c r="C41" i="11"/>
  <c r="E41" i="11" s="1"/>
  <c r="F41" i="11" s="1"/>
  <c r="C40" i="11"/>
  <c r="E40" i="11" s="1"/>
  <c r="F40" i="11" s="1"/>
  <c r="C39" i="11"/>
  <c r="E39" i="11" s="1"/>
  <c r="F39" i="11" s="1"/>
  <c r="E34" i="11"/>
  <c r="E6" i="11"/>
  <c r="F6" i="11" s="1"/>
  <c r="E5" i="11"/>
  <c r="F5" i="11" s="1"/>
  <c r="E4" i="11"/>
  <c r="F4" i="11" s="1"/>
  <c r="E3" i="11"/>
  <c r="F3" i="11" s="1"/>
  <c r="C17" i="11"/>
  <c r="E17" i="11" s="1"/>
  <c r="F17" i="11" s="1"/>
  <c r="C16" i="11"/>
  <c r="E16" i="11" s="1"/>
  <c r="F16" i="11" s="1"/>
  <c r="C13" i="11"/>
  <c r="E13" i="11" s="1"/>
  <c r="F13" i="11" s="1"/>
  <c r="E12" i="11"/>
  <c r="G17" i="5"/>
  <c r="G18" i="5" s="1"/>
  <c r="G19" i="5" s="1"/>
  <c r="G21" i="5" s="1"/>
  <c r="F12" i="11" l="1"/>
  <c r="E30" i="11"/>
  <c r="F30" i="11" s="1"/>
  <c r="F34" i="11"/>
  <c r="F79" i="11" s="1"/>
  <c r="E7" i="11"/>
  <c r="E79" i="11"/>
  <c r="F7" i="11"/>
  <c r="F81" i="11" l="1"/>
  <c r="D22" i="1"/>
  <c r="D58" i="1"/>
  <c r="D97" i="1"/>
  <c r="D102" i="1" s="1"/>
  <c r="D57" i="1" l="1"/>
  <c r="D64" i="1" s="1"/>
  <c r="D71" i="1" s="1"/>
  <c r="D25" i="1"/>
  <c r="D28" i="1" s="1"/>
  <c r="D33" i="1" l="1"/>
  <c r="D46" i="1"/>
  <c r="D50" i="1"/>
  <c r="D78" i="1"/>
  <c r="D90" i="1"/>
  <c r="D34" i="1"/>
  <c r="D43" i="1"/>
  <c r="D47" i="1"/>
  <c r="D75" i="1"/>
  <c r="D87" i="1"/>
  <c r="D129" i="1"/>
  <c r="D44" i="1"/>
  <c r="D48" i="1"/>
  <c r="D80" i="1"/>
  <c r="D88" i="1"/>
  <c r="D45" i="1"/>
  <c r="D49" i="1"/>
  <c r="D77" i="1"/>
  <c r="D89" i="1"/>
  <c r="D51" i="1" l="1"/>
  <c r="D70" i="1" s="1"/>
  <c r="D35" i="1"/>
  <c r="D11" i="5"/>
  <c r="D11" i="4"/>
  <c r="D11" i="3"/>
  <c r="F11" i="12" l="1"/>
  <c r="F12" i="12" s="1"/>
  <c r="C118" i="5"/>
  <c r="C122" i="5" s="1"/>
  <c r="D97" i="5"/>
  <c r="D102" i="5" s="1"/>
  <c r="C79" i="5"/>
  <c r="C76" i="5"/>
  <c r="C81" i="5" s="1"/>
  <c r="D58" i="5"/>
  <c r="C51" i="5"/>
  <c r="C91" i="5" s="1"/>
  <c r="C35" i="5"/>
  <c r="D21" i="5"/>
  <c r="C118" i="4"/>
  <c r="C122" i="4" s="1"/>
  <c r="D97" i="4"/>
  <c r="D102" i="4" s="1"/>
  <c r="C79" i="4"/>
  <c r="C76" i="4"/>
  <c r="C81" i="4" s="1"/>
  <c r="D58" i="4"/>
  <c r="C51" i="4"/>
  <c r="C35" i="4"/>
  <c r="D21" i="4"/>
  <c r="D57" i="4" s="1"/>
  <c r="C118" i="3"/>
  <c r="C122" i="3" s="1"/>
  <c r="D97" i="3"/>
  <c r="D102" i="3" s="1"/>
  <c r="C79" i="3"/>
  <c r="C76" i="3"/>
  <c r="D58" i="3"/>
  <c r="C51" i="3"/>
  <c r="C35" i="3"/>
  <c r="C36" i="3" s="1"/>
  <c r="D21" i="3"/>
  <c r="C118" i="1"/>
  <c r="C122" i="1" s="1"/>
  <c r="D86" i="1"/>
  <c r="C79" i="1"/>
  <c r="C76" i="1"/>
  <c r="D76" i="1" s="1"/>
  <c r="C51" i="1"/>
  <c r="C35" i="1"/>
  <c r="D25" i="3" l="1"/>
  <c r="C81" i="3"/>
  <c r="D107" i="5"/>
  <c r="D107" i="4"/>
  <c r="D107" i="3"/>
  <c r="D107" i="1"/>
  <c r="C36" i="5"/>
  <c r="D109" i="3"/>
  <c r="D64" i="4"/>
  <c r="D71" i="4" s="1"/>
  <c r="C36" i="4"/>
  <c r="C36" i="1"/>
  <c r="D36" i="1" s="1"/>
  <c r="D37" i="1" s="1"/>
  <c r="D69" i="1" s="1"/>
  <c r="D72" i="1" s="1"/>
  <c r="D130" i="1" s="1"/>
  <c r="C81" i="1"/>
  <c r="D79" i="1"/>
  <c r="D81" i="1" s="1"/>
  <c r="D131" i="1" s="1"/>
  <c r="D109" i="5"/>
  <c r="D109" i="4"/>
  <c r="D57" i="5"/>
  <c r="D64" i="5" s="1"/>
  <c r="D71" i="5" s="1"/>
  <c r="D22" i="3"/>
  <c r="D64" i="3"/>
  <c r="D71" i="3" s="1"/>
  <c r="C91" i="3"/>
  <c r="C92" i="3" s="1"/>
  <c r="C91" i="4"/>
  <c r="C92" i="4" s="1"/>
  <c r="C92" i="5"/>
  <c r="D22" i="5"/>
  <c r="D24" i="5" s="1"/>
  <c r="D25" i="5"/>
  <c r="D22" i="4"/>
  <c r="D25" i="4"/>
  <c r="C91" i="1"/>
  <c r="D24" i="3" l="1"/>
  <c r="D28" i="3" s="1"/>
  <c r="D86" i="3" s="1"/>
  <c r="C92" i="1"/>
  <c r="D91" i="1"/>
  <c r="D92" i="1" s="1"/>
  <c r="D101" i="1" s="1"/>
  <c r="D103" i="1" s="1"/>
  <c r="D132" i="1" s="1"/>
  <c r="D28" i="4"/>
  <c r="D76" i="4" s="1"/>
  <c r="D28" i="5"/>
  <c r="D78" i="5" s="1"/>
  <c r="D89" i="4"/>
  <c r="D88" i="4"/>
  <c r="D87" i="4"/>
  <c r="D75" i="4"/>
  <c r="D47" i="4"/>
  <c r="D80" i="4"/>
  <c r="D43" i="4"/>
  <c r="D91" i="4"/>
  <c r="D86" i="4"/>
  <c r="D36" i="3"/>
  <c r="D78" i="3"/>
  <c r="D90" i="3"/>
  <c r="D77" i="3"/>
  <c r="D89" i="3"/>
  <c r="D50" i="3"/>
  <c r="D88" i="3"/>
  <c r="D49" i="3"/>
  <c r="D34" i="3"/>
  <c r="D87" i="3"/>
  <c r="D75" i="3"/>
  <c r="D48" i="3"/>
  <c r="D33" i="3"/>
  <c r="D47" i="3"/>
  <c r="D129" i="3"/>
  <c r="D46" i="3"/>
  <c r="D45" i="3"/>
  <c r="D79" i="3"/>
  <c r="D44" i="3"/>
  <c r="D80" i="3"/>
  <c r="D43" i="3"/>
  <c r="D76" i="3"/>
  <c r="D91" i="3"/>
  <c r="D46" i="4" l="1"/>
  <c r="D45" i="4"/>
  <c r="D86" i="5"/>
  <c r="D33" i="4"/>
  <c r="D44" i="4"/>
  <c r="D90" i="4"/>
  <c r="D79" i="4"/>
  <c r="D129" i="4"/>
  <c r="D48" i="4"/>
  <c r="D34" i="4"/>
  <c r="D35" i="3"/>
  <c r="D37" i="3" s="1"/>
  <c r="D69" i="3" s="1"/>
  <c r="D35" i="4"/>
  <c r="D50" i="4"/>
  <c r="D77" i="4"/>
  <c r="D49" i="4"/>
  <c r="D78" i="4"/>
  <c r="D36" i="4"/>
  <c r="D33" i="5"/>
  <c r="D49" i="5"/>
  <c r="D89" i="5"/>
  <c r="D45" i="5"/>
  <c r="D48" i="5"/>
  <c r="D88" i="5"/>
  <c r="D77" i="5"/>
  <c r="D46" i="5"/>
  <c r="D75" i="5"/>
  <c r="D50" i="5"/>
  <c r="D90" i="5"/>
  <c r="D91" i="5"/>
  <c r="D129" i="5"/>
  <c r="D34" i="5"/>
  <c r="D76" i="5"/>
  <c r="D36" i="5"/>
  <c r="D44" i="5"/>
  <c r="D80" i="5"/>
  <c r="D47" i="5"/>
  <c r="D87" i="5"/>
  <c r="D79" i="5"/>
  <c r="D43" i="5"/>
  <c r="D92" i="3"/>
  <c r="D101" i="3" s="1"/>
  <c r="D103" i="3" s="1"/>
  <c r="D132" i="3" s="1"/>
  <c r="D92" i="4"/>
  <c r="D101" i="4" s="1"/>
  <c r="D103" i="4" s="1"/>
  <c r="D132" i="4" s="1"/>
  <c r="D51" i="4"/>
  <c r="D70" i="4" s="1"/>
  <c r="D81" i="4"/>
  <c r="D131" i="4" s="1"/>
  <c r="D81" i="3"/>
  <c r="D131" i="3" s="1"/>
  <c r="D51" i="3"/>
  <c r="D70" i="3" s="1"/>
  <c r="D35" i="5" l="1"/>
  <c r="D37" i="5" s="1"/>
  <c r="D69" i="5" s="1"/>
  <c r="D37" i="4"/>
  <c r="D69" i="4" s="1"/>
  <c r="D72" i="4" s="1"/>
  <c r="D130" i="4" s="1"/>
  <c r="D51" i="5"/>
  <c r="D70" i="5" s="1"/>
  <c r="D81" i="5"/>
  <c r="D131" i="5" s="1"/>
  <c r="D92" i="5"/>
  <c r="D101" i="5" s="1"/>
  <c r="D103" i="5" s="1"/>
  <c r="D132" i="5" s="1"/>
  <c r="D72" i="3"/>
  <c r="D130" i="3" s="1"/>
  <c r="D72" i="5" l="1"/>
  <c r="D130" i="5" s="1"/>
  <c r="F83" i="11" l="1"/>
  <c r="D108" i="1" l="1"/>
  <c r="D112" i="1" s="1"/>
  <c r="D133" i="1" s="1"/>
  <c r="D134" i="1" s="1"/>
  <c r="D108" i="5"/>
  <c r="D112" i="5" s="1"/>
  <c r="D133" i="5" s="1"/>
  <c r="D134" i="5" s="1"/>
  <c r="D108" i="4"/>
  <c r="D112" i="4" s="1"/>
  <c r="D133" i="4" s="1"/>
  <c r="D134" i="4" s="1"/>
  <c r="D108" i="3"/>
  <c r="D112" i="3" s="1"/>
  <c r="D133" i="3" s="1"/>
  <c r="D134" i="3" s="1"/>
  <c r="D116" i="3" l="1"/>
  <c r="D117" i="3" s="1"/>
  <c r="D118" i="3" s="1"/>
  <c r="D122" i="3" s="1"/>
  <c r="D135" i="3" s="1"/>
  <c r="D136" i="3" s="1"/>
  <c r="D116" i="4"/>
  <c r="D117" i="4" s="1"/>
  <c r="D118" i="4" s="1"/>
  <c r="D122" i="4" s="1"/>
  <c r="D135" i="4" s="1"/>
  <c r="D136" i="4" s="1"/>
  <c r="D116" i="5"/>
  <c r="D117" i="5" s="1"/>
  <c r="D118" i="5" s="1"/>
  <c r="D122" i="5" s="1"/>
  <c r="D135" i="5" s="1"/>
  <c r="D136" i="5" s="1"/>
  <c r="D116" i="1"/>
  <c r="D117" i="1" s="1"/>
  <c r="D118" i="1" s="1"/>
  <c r="D122" i="1" s="1"/>
  <c r="D135" i="1" s="1"/>
  <c r="D136" i="1" s="1"/>
  <c r="D137" i="4" l="1"/>
  <c r="F7" i="2" s="1"/>
  <c r="G7" i="2" s="1"/>
  <c r="H7" i="2" s="1"/>
  <c r="D119" i="4"/>
  <c r="D121" i="4"/>
  <c r="D120" i="4"/>
  <c r="D120" i="3"/>
  <c r="D119" i="3"/>
  <c r="D137" i="3"/>
  <c r="F6" i="2" s="1"/>
  <c r="G6" i="2" s="1"/>
  <c r="H6" i="2" s="1"/>
  <c r="D121" i="3"/>
  <c r="D119" i="1"/>
  <c r="D121" i="1"/>
  <c r="D137" i="1"/>
  <c r="F5" i="2" s="1"/>
  <c r="D120" i="1"/>
  <c r="D137" i="5"/>
  <c r="F8" i="2" s="1"/>
  <c r="G8" i="2" s="1"/>
  <c r="H8" i="2" s="1"/>
  <c r="D119" i="5"/>
  <c r="D121" i="5"/>
  <c r="D120" i="5"/>
  <c r="G5" i="2" l="1"/>
  <c r="H5" i="2" l="1"/>
  <c r="H11" i="2" s="1"/>
  <c r="H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6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4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sharedStrings.xml><?xml version="1.0" encoding="utf-8"?>
<sst xmlns="http://schemas.openxmlformats.org/spreadsheetml/2006/main" count="1105" uniqueCount="274">
  <si>
    <t>SECRETARIA EXECUTIVA</t>
  </si>
  <si>
    <t>SUBSECRETARIA DE GESTÃO ADMINISTRATIVA</t>
  </si>
  <si>
    <t>COORDENAÇÃO-GERAL DE LICITAÇÕES E CONTRATOS</t>
  </si>
  <si>
    <t>ITEM</t>
  </si>
  <si>
    <t>CATEGORIA PROFISSIONAL</t>
  </si>
  <si>
    <t>CATSER</t>
  </si>
  <si>
    <t>UNIDADE DE MEDIDA</t>
  </si>
  <si>
    <t>QUANTIDADE</t>
  </si>
  <si>
    <t xml:space="preserve">VALOR UNITÁRIO (R$)                               </t>
  </si>
  <si>
    <t xml:space="preserve">VALOR MENSAL (R$)                                           </t>
  </si>
  <si>
    <t>VALOR ANUAL</t>
  </si>
  <si>
    <t>Líder da Brigada (Chefe) - Diurno - 12 x 36h</t>
  </si>
  <si>
    <t>Profissional/Mês</t>
  </si>
  <si>
    <t>Bombeiro Civil (Brigadista Particular) - Noturno - 12 x 36h</t>
  </si>
  <si>
    <t>Bombeiro Civil (Brigadista Particular) - Diurno - 12 x 36h</t>
  </si>
  <si>
    <t>Bombeiro Civil (Brigadista Particular) - Folguista Noturno - 12h</t>
  </si>
  <si>
    <t>QUATIDADE TOTAL</t>
  </si>
  <si>
    <t>VALOR TOTAL MENSAL</t>
  </si>
  <si>
    <t>VALOR TOTAL ANUAL</t>
  </si>
  <si>
    <t>PLANILHA DE CUSTOS E FORMAÇÃO DE CUSTOS</t>
  </si>
  <si>
    <t xml:space="preserve">INSTRUÇÃO NORMATIVA Nº 5, DE 26 DE MAIO DE 2017 (Atualizada) e </t>
  </si>
  <si>
    <t>INSTRUÇÃO NORMATIVA Nº 7, DE 20 DE SETEMBRO DE 2018.</t>
  </si>
  <si>
    <t>Discriminação dos Serviços (dados referentes à contratação)</t>
  </si>
  <si>
    <t xml:space="preserve">A </t>
  </si>
  <si>
    <t xml:space="preserve">Data de apresentação da proposta (dia/mês/ano) </t>
  </si>
  <si>
    <t>DD/MM/2024</t>
  </si>
  <si>
    <t xml:space="preserve">B </t>
  </si>
  <si>
    <t xml:space="preserve">Município/UF </t>
  </si>
  <si>
    <t>Brasília/DF</t>
  </si>
  <si>
    <t xml:space="preserve">C </t>
  </si>
  <si>
    <t xml:space="preserve">Ano Acordo, Convenção ou Sentença Normativa em Dissídio Coletivo, Nº do registro no MTE </t>
  </si>
  <si>
    <t xml:space="preserve">  DF000184/2024 - SINDBOMBEIROS</t>
  </si>
  <si>
    <t>D</t>
  </si>
  <si>
    <t xml:space="preserve">Nº de meses de execução contratual </t>
  </si>
  <si>
    <t xml:space="preserve">Dados complementares para composição dos custos referente à mão-de-obra </t>
  </si>
  <si>
    <t>Tipo de serviço (mesmo serviço com características distintas)</t>
  </si>
  <si>
    <t>SERVIÇO DE BRIGADA</t>
  </si>
  <si>
    <t>Salário Normativo da Categoria Profissional</t>
  </si>
  <si>
    <t xml:space="preserve">Categoria profissional (vinculada à execução contratual) </t>
  </si>
  <si>
    <t>BRIGADISTA</t>
  </si>
  <si>
    <t>Classificação Brasileira de Ocupações (CBO):</t>
  </si>
  <si>
    <t>CBO (5173-30)</t>
  </si>
  <si>
    <t xml:space="preserve">Data base da categoria (dia/mês/ano) </t>
  </si>
  <si>
    <t>Módulo 1 - Composição da Remuneração</t>
  </si>
  <si>
    <t xml:space="preserve">Composição da remuneração </t>
  </si>
  <si>
    <t xml:space="preserve">Valor (R$) </t>
  </si>
  <si>
    <t xml:space="preserve">Salário Base </t>
  </si>
  <si>
    <t>Adicional de Periculosidade</t>
  </si>
  <si>
    <t xml:space="preserve">Adicional de insalubridade </t>
  </si>
  <si>
    <t xml:space="preserve">D </t>
  </si>
  <si>
    <t xml:space="preserve">Adicional noturno </t>
  </si>
  <si>
    <t xml:space="preserve">E </t>
  </si>
  <si>
    <t>Adicional de Hora Noturna reduzida</t>
  </si>
  <si>
    <t xml:space="preserve">G </t>
  </si>
  <si>
    <t xml:space="preserve">Intervalo Intrajornada </t>
  </si>
  <si>
    <t xml:space="preserve">H </t>
  </si>
  <si>
    <t>Descanso Semanal Remunerado</t>
  </si>
  <si>
    <t xml:space="preserve">Total da Remuneração </t>
  </si>
  <si>
    <t>Nota 1: O Módulo 1 refere-se ao valor mensal devido ao empregado 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</si>
  <si>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</si>
  <si>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</si>
  <si>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</si>
  <si>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</si>
  <si>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 xml:space="preserve">% </t>
  </si>
  <si>
    <t xml:space="preserve">13 º Salário </t>
  </si>
  <si>
    <t>Férias e Adicional de Férias</t>
  </si>
  <si>
    <t xml:space="preserve">Subtotal </t>
  </si>
  <si>
    <t>C</t>
  </si>
  <si>
    <t>Incidência dos encargos previstos no Submódulo 2.2 sobre 13º Salário, Férias e Adicional de Férias</t>
  </si>
  <si>
    <t xml:space="preserve">Total 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</si>
  <si>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</si>
  <si>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</si>
  <si>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</si>
  <si>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</si>
  <si>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</si>
  <si>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</si>
  <si>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INSS </t>
  </si>
  <si>
    <t xml:space="preserve">Salário Educação </t>
  </si>
  <si>
    <t>SAT</t>
  </si>
  <si>
    <t>SESC ou SESI</t>
  </si>
  <si>
    <t>SENAI - SENAC</t>
  </si>
  <si>
    <t xml:space="preserve">F </t>
  </si>
  <si>
    <t xml:space="preserve">SEBRAE </t>
  </si>
  <si>
    <t>INCRA</t>
  </si>
  <si>
    <t>FGTS</t>
  </si>
  <si>
    <t xml:space="preserve">TOTAL 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</si>
  <si>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</si>
  <si>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</si>
  <si>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 Esses percentuais incidem sobre o Módulo 1, o Submódulo 2.1. (Redação dada pela Instrução Normativa nº 7, de 2018)</t>
  </si>
  <si>
    <t>Submódulo 2.3 - Benefícios Mensais e Diários.</t>
  </si>
  <si>
    <t>2.3</t>
  </si>
  <si>
    <t>Benefícios Mensais e Diários</t>
  </si>
  <si>
    <t xml:space="preserve">Transporte </t>
  </si>
  <si>
    <t>Auxílio- Refeição/ Alimentação  (Vales, Cestas básicas, etc)</t>
  </si>
  <si>
    <t xml:space="preserve">Fundo Social Odontológico </t>
  </si>
  <si>
    <t>Plano de Saúde</t>
  </si>
  <si>
    <t>E</t>
  </si>
  <si>
    <t>Seguro de vida</t>
  </si>
  <si>
    <t>Fundo Ind. Aposentadoria / Doença</t>
  </si>
  <si>
    <t>G</t>
  </si>
  <si>
    <t>Outros (especificar) Contr. Social Patronal</t>
  </si>
  <si>
    <t xml:space="preserve">Total de Benefícios mensais e diários </t>
  </si>
  <si>
    <t>Nota 1: O valor informado deverá ser o custo real do benefício (descontado o valor eventualmente pago pelo posto).</t>
  </si>
  <si>
    <t>Nota 2: Observar a previsão dos benefícios contidos em Acordos, Convenções e Dissídios Coletivos de Trabalho e atentar-se ao disposto no art. 6º desta Instrução Normativa SEGES Nº 05/2017.</t>
  </si>
  <si>
    <t>Quadro-Resumo do Módulo 2 - Encargos e Benefícios anuais, mensais e diários</t>
  </si>
  <si>
    <t>Encargos e Benefícios Anuais, Mensais e Diários</t>
  </si>
  <si>
    <t>Valor (R$)</t>
  </si>
  <si>
    <t>Total</t>
  </si>
  <si>
    <t>Módulo 3 - Provisão para Rescisão</t>
  </si>
  <si>
    <t>Provisão para Rescisão</t>
  </si>
  <si>
    <t>%</t>
  </si>
  <si>
    <t>A</t>
  </si>
  <si>
    <t>Aviso Prévio Indenizado</t>
  </si>
  <si>
    <t>B</t>
  </si>
  <si>
    <t>Incidência do FGTS sobre o Aviso Prévio Indenizado</t>
  </si>
  <si>
    <t>Multa do FGTS sobre o Aviso Prévio Indenizado</t>
  </si>
  <si>
    <t>Aviso Prévio Trabalhado</t>
  </si>
  <si>
    <t>Incidência de GPS, FGTS e outras contribuições sobre o Aviso Prévio Trabalhado</t>
  </si>
  <si>
    <t>F</t>
  </si>
  <si>
    <t>Multa do FGTS sobre o Aviso Prévio Trabalhado</t>
  </si>
  <si>
    <t>Nota 1: O somatório dos percentuais referentes a Multa do FGTS e contribuição social sobre o Aviso Prévio Indenizado e a Multa do FGTS e contribuição social sobre o Aviso Prévio Trabalhado não deverão ultrapassar a 5% conforme o Anexo XI da IN 05/2017-SG/MPDG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</si>
  <si>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</si>
  <si>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</si>
  <si>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</si>
  <si>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</si>
  <si>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</si>
  <si>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 por doença</t>
  </si>
  <si>
    <t>Substituto na cobertura de Licença-Paternidade</t>
  </si>
  <si>
    <t>Substituto na cobertura de Ausência por acidente de trabalho</t>
  </si>
  <si>
    <t>Substituto na cobertura de Afastamento Maternidade</t>
  </si>
  <si>
    <t>Incidência do submódulo 2.2 sobre o somatório do submódulo 2.1 e sobre as alíneas A, B, C, D e E do submódulo 4.1</t>
  </si>
  <si>
    <t xml:space="preserve">                                                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</si>
  <si>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</si>
  <si>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</si>
  <si>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</si>
  <si>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</si>
  <si>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</si>
  <si>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</si>
  <si>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</si>
  <si>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</si>
  <si>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</si>
  <si>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</si>
  <si>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</si>
  <si>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</si>
  <si>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Utensílios</t>
  </si>
  <si>
    <t>Insumos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</si>
  <si>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</si>
  <si>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</si>
  <si>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</si>
  <si>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</si>
  <si>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</si>
  <si>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(PIS, COFINS)</t>
  </si>
  <si>
    <t>C.2. Tributos Estaduais (ISS)</t>
  </si>
  <si>
    <t>C.3. Tributos Municipais (especificar)</t>
  </si>
  <si>
    <t>Nota 1: Custos Indiretos, Tributos e Lucro por empregado.</t>
  </si>
  <si>
    <t>Nota 2: Os percentuais de Custos Indiretos (5%) e de Lucro (5%) por posto indicados acima estão menores que os máximos aceitáveis, de acordo com o Acórdão 2.369/2011- TCU – Plenário.</t>
  </si>
  <si>
    <t>Nota 3: O orçamento dos custos dos serviços foi estimado levando-se em consideração empresas optantes pelo Lucro Real.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</si>
  <si>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</si>
  <si>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</si>
  <si>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</si>
  <si>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</si>
  <si>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</si>
  <si>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Valor Total por Posto</t>
  </si>
  <si>
    <t>Descrição</t>
  </si>
  <si>
    <t>Valor</t>
  </si>
  <si>
    <t>Piso</t>
  </si>
  <si>
    <t>Adcn Peric</t>
  </si>
  <si>
    <t>Subtotal</t>
  </si>
  <si>
    <t>Valor / hora (subtotal/220)</t>
  </si>
  <si>
    <t>Valor plantão/dia</t>
  </si>
  <si>
    <t>Quantd plantões no mês</t>
  </si>
  <si>
    <t>Salário Mensal</t>
  </si>
  <si>
    <t>Considerando o ano com 365 dias, se divididos por 12 meses ao ano, e posteriormente por 7 dias por semana, teremos a média mensal de 4,35 semanas 
no mês (365 / 12 / 7 = 4,35) , desta forma, teremos 4,35 domingos no mês.</t>
  </si>
  <si>
    <r>
      <t xml:space="preserve">EQUIPAMENTOS PARA A </t>
    </r>
    <r>
      <rPr>
        <b/>
        <sz val="10"/>
        <color rgb="FFFF0000"/>
        <rFont val="Calibri"/>
        <family val="2"/>
        <scheme val="minor"/>
      </rPr>
      <t>BRIGADA</t>
    </r>
  </si>
  <si>
    <t>DESCRIÇÃO</t>
  </si>
  <si>
    <t>UND</t>
  </si>
  <si>
    <t>QUANT.*</t>
  </si>
  <si>
    <t>V.UNIT.</t>
  </si>
  <si>
    <t>V.TOTAL</t>
  </si>
  <si>
    <t>CUSTO MENSAL</t>
  </si>
  <si>
    <t>Equipamento para ronda, conforme descrição do Termo de Referência.</t>
  </si>
  <si>
    <t>Un</t>
  </si>
  <si>
    <t>Equipamento de rádio comunicador portátil, conforme descrição do Termo de Referência.</t>
  </si>
  <si>
    <t>Lanterna de mão tipo farolete, conforme descrição do Termo de Referência.</t>
  </si>
  <si>
    <r>
      <t>Outros</t>
    </r>
    <r>
      <rPr>
        <sz val="10"/>
        <color rgb="FFFF0000"/>
        <rFont val="Calibri"/>
        <family val="2"/>
        <scheme val="minor"/>
      </rPr>
      <t xml:space="preserve"> (especificar)</t>
    </r>
  </si>
  <si>
    <r>
      <t xml:space="preserve">INSUMOS PARA A </t>
    </r>
    <r>
      <rPr>
        <b/>
        <sz val="10"/>
        <color rgb="FFFF0000"/>
        <rFont val="Calibri"/>
        <family val="2"/>
        <scheme val="minor"/>
      </rPr>
      <t>BRIGADA</t>
    </r>
    <r>
      <rPr>
        <b/>
        <sz val="10"/>
        <color rgb="FF000000"/>
        <rFont val="Calibri"/>
        <family val="2"/>
        <scheme val="minor"/>
      </rPr>
      <t xml:space="preserve"> - Quantidades para atender às 4 edificações do MEC</t>
    </r>
  </si>
  <si>
    <t>Compressa de gaze 8 (oito) dobras (7,5cm x 7,5cm)</t>
  </si>
  <si>
    <t>UN</t>
  </si>
  <si>
    <t>Compressa de gaze esterilizadas (10 cm x 15 cm)</t>
  </si>
  <si>
    <t>Atadura de crepe (20 cm de largura)</t>
  </si>
  <si>
    <t>Plástico protetor de queimaduras e eviscerações (1m x 1m) esterilizado</t>
  </si>
  <si>
    <t>Frasco de soro fisiológico de 250 ml (duzentos e cinquenta mililitros)</t>
  </si>
  <si>
    <t>Fita adesiva (crepe) esparadrapo impermeável (10cm x 4,5m)</t>
  </si>
  <si>
    <t>Tala moldável grande (86 cm x 10 cm x 2 cm)</t>
  </si>
  <si>
    <t>Tala moldável média (63 cm x 9 cm x 2 cm)</t>
  </si>
  <si>
    <t>Tala moldável pequena (30 cm x 8 cm x 2 cm)</t>
  </si>
  <si>
    <t>Bandagem triangular (142 cm x 100 cm x 100 cm)</t>
  </si>
  <si>
    <t>Colar cervical regulável 4 em 1</t>
  </si>
  <si>
    <t>Óculos de segurança Ref: CA nº 9.722</t>
  </si>
  <si>
    <t>Máscara semifacial (PFF 2)</t>
  </si>
  <si>
    <t xml:space="preserve"> cx 100 un</t>
  </si>
  <si>
    <t>Máscara descartável</t>
  </si>
  <si>
    <t>cx 50 um</t>
  </si>
  <si>
    <t>Luva de procedimento não cirúrgico (látex) - ambidestra</t>
  </si>
  <si>
    <t>Prancha longa de poliettileno (190 cm x 45 cm)</t>
  </si>
  <si>
    <t>Ressuscitador manual (ambu) ou mascara de ressuscitação para ventilação artificial (pocket mask)</t>
  </si>
  <si>
    <t>Tesoura de ponta romba</t>
  </si>
  <si>
    <r>
      <t xml:space="preserve">INSUMOS E EQUIPAMENTOS PARA A </t>
    </r>
    <r>
      <rPr>
        <b/>
        <sz val="10"/>
        <color rgb="FFFF0000"/>
        <rFont val="Calibri"/>
        <family val="2"/>
        <scheme val="minor"/>
      </rPr>
      <t>BRIGADA</t>
    </r>
  </si>
  <si>
    <t>Luva de segurança em vaqueta, para proteção contra agentes térmicos Ref: CA nº 31.986</t>
  </si>
  <si>
    <t>PAR</t>
  </si>
  <si>
    <t>Luva para trabalhos em alta tensão.</t>
  </si>
  <si>
    <t>Protetor auricular tipo plug em silicone, lavável, com proteção de 18dB (A).</t>
  </si>
  <si>
    <t>Álcool 70%</t>
  </si>
  <si>
    <t>Água oxigenada 100ml.</t>
  </si>
  <si>
    <t>Álcool etílico hidratado 70° INPM 100ml.</t>
  </si>
  <si>
    <t>Analgésico aerossol mínimo de 60ml.</t>
  </si>
  <si>
    <t>Algodão hidrófilo não estéril 500g.</t>
  </si>
  <si>
    <t>Atadura de crepe (06 cm de largura).</t>
  </si>
  <si>
    <t>Atadura de crepe (10 cm de largura).</t>
  </si>
  <si>
    <t>Curativo poroso (band-aid).</t>
  </si>
  <si>
    <t>Fita adesiva (crepe) esparadrapo impermeável (10cm x 4,5m).</t>
  </si>
  <si>
    <t>Fita zebrada plástica para isolamento de áreas, nas cores amarela e preta. Rolo com dimensões 7x200cm.</t>
  </si>
  <si>
    <t>Cobertor manta térmica aluminizada isolante para resgate.</t>
  </si>
  <si>
    <t>Saco plástico para lixo hospitalar branco leitoso resistente com capacidade para 15 litros.</t>
  </si>
  <si>
    <t>Aferidor de pressão arterial braquial digital.</t>
  </si>
  <si>
    <t>Termômetro digital infravermelho.</t>
  </si>
  <si>
    <t>Oxímetro digital de dedo portátil.</t>
  </si>
  <si>
    <t>Desfibrilador externo automático (DEA) e manutenção e troca das pás (eletrodos) vencidos.</t>
  </si>
  <si>
    <t>Baudrier tipo escalador, regulável para resgate</t>
  </si>
  <si>
    <t>Cabos solteiros (cabo da vida) 4m de comprimento e 8mm de espessura.</t>
  </si>
  <si>
    <t>Corda poliamida (nylon) 6.6mm em sua alma e poliéster na capa 10mm - 100m.</t>
  </si>
  <si>
    <t>Capacete de segurança com carneira e jugular do tipo III, classe A (sem aba), cor branca.</t>
  </si>
  <si>
    <t>Bolsa ou mochila (para transporte de materiais de primeiros socorros) com capacidade de 40 a 50 litros.</t>
  </si>
  <si>
    <t>Mosquetão HMS, fabricado em duralumínio, com trava de rosca, tensão mínima de ruptura de 32KN.</t>
  </si>
  <si>
    <t>Lanterna clínica com lente pré-focada com campo de iluminação claro para avaliar pupilas.</t>
  </si>
  <si>
    <t>Lanterna de mão tipo farolete. Luminosidade 500.000 velas, recarregador e bivolt.</t>
  </si>
  <si>
    <t>Escada dobrável com 10 degraus.</t>
  </si>
  <si>
    <t>Megafone, alcance 300m em zona urbana, recarregável, amplificador de voz, controle de volume, sirene.</t>
  </si>
  <si>
    <t>Cadeira de rodas com largura mínima de 80cm, capaz de atender pessoas acima de 110kg.</t>
  </si>
  <si>
    <t>Alavanca para arrombamento, tipo pé-de-cabra, oitavado.</t>
  </si>
  <si>
    <t>Alicate universal de 9" com cabo isolado.</t>
  </si>
  <si>
    <t>Arco de serra com 2 (duas) lâminas.</t>
  </si>
  <si>
    <t>Jogo de chaves de fenda, 1/8 x 4", 3/16 x 4" e 1,4 x 5".</t>
  </si>
  <si>
    <t>Jogo de chaves phillips 1/4 x 4", 1/4 x 6" e 1/8 x 3".</t>
  </si>
  <si>
    <t>Jogo de chaves de boca nº 6, 8, 12, 13, 14, 16 e 19 - material: aço.</t>
  </si>
  <si>
    <t>Machado para bombeiro, com cabeça chata, cunha de ferro, corte e cabo de madeira.</t>
  </si>
  <si>
    <t>Marreta de 5kg.</t>
  </si>
  <si>
    <t>Martelo.</t>
  </si>
  <si>
    <t>Tesoura corta vergalhão.</t>
  </si>
  <si>
    <t>Torniquete tático.</t>
  </si>
  <si>
    <t>Imobilizador de cabeça (coxim) completo.</t>
  </si>
  <si>
    <t>Trena de 15m</t>
  </si>
  <si>
    <t>Capa de chuva impermeável com manga e capuz - CA 28449, tamanho G.</t>
  </si>
  <si>
    <t>Cone de Sinalização 75cm.</t>
  </si>
  <si>
    <t>Valor total de materiais e equipamentos</t>
  </si>
  <si>
    <t>Quantidade de funicionários (contantdo com os folguistas)</t>
  </si>
  <si>
    <t>Valor total de materiais e equipamentos por funcionário</t>
  </si>
  <si>
    <t>UNIFORMES</t>
  </si>
  <si>
    <t>Item</t>
  </si>
  <si>
    <t>UNIDADE MEDIDA</t>
  </si>
  <si>
    <t>QUANTIDADE POR EMPREGADO</t>
  </si>
  <si>
    <t>VALOR UNITÁRIO</t>
  </si>
  <si>
    <t>VALOR TOTAL</t>
  </si>
  <si>
    <t>Gandola - Tecido “Ripstop” padrão estipulado pelo CBMDF.</t>
  </si>
  <si>
    <t>UNIDADE</t>
  </si>
  <si>
    <t>Calça - Tecido “Ripstop” padrão estipulado pelo CBMDF.</t>
  </si>
  <si>
    <t>Cinto - Confeccionado em poliéster, com fivela e ponteira prata.</t>
  </si>
  <si>
    <t>Camiseta - Algodão 100%.</t>
  </si>
  <si>
    <t>Casaco - Tipo Japona, em brim pesado, 100% algodão, com fechamento em zíper, 2 (dois) bolsos superiores e 2 (dois) inferiores (padrão de cor igual ao aprovado pelo CBMDF para a calça).</t>
  </si>
  <si>
    <t>Coturno - Cabedal em couro nobuk hidrofugado, espessura de 2mm, dublado comtecido sintético e colarinho de couro pelica; forração interna de acrílico automotivo, com isolamento térmico em EVA; reforço interno de materialtermoplástico leve e resistente, no bico e calcanhar, solado de borrachamacio,  vulcanizado  ao  cabedal,  resistente  à  corrente  elétrica;  vedaçãoresistente à água ou 100% impermeável; marca guatelá ou similar.</t>
  </si>
  <si>
    <t>Par</t>
  </si>
  <si>
    <t>Meião - Confeccionado em algodão e lycra (tipo tático).</t>
  </si>
  <si>
    <t>Crachá - Em material plástico, com fotografia do trabalhador, além de identificaçãoda empresa.</t>
  </si>
  <si>
    <t>MENSAL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</si>
</sst>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-&quot;R$&quot;* #,##0.00_-;\-&quot;R$&quot;* #,##0.00_-;_-&quot;R$&quot;* &quot;-&quot;??_-;_-@_-"/>
    <numFmt numFmtId="167" formatCode="_(&quot;R$ &quot;* #,##0.00_);_(&quot;R$ &quot;* \(#,##0.00\);_(&quot;R$ &quot;* &quot;-&quot;??_);_(@_)"/>
    <numFmt numFmtId="168" formatCode="_-&quot;R$&quot;* #,##0.00_-;\-&quot;R$&quot;* #,##0.00_-;_-&quot;R$&quot;* &quot;-&quot;??_-;_-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 Light"/>
      <family val="2"/>
      <scheme val="maj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8DB3E2"/>
      </patternFill>
    </fill>
    <fill>
      <patternFill patternType="solid">
        <fgColor theme="0" tint="-0.14999847407452621"/>
        <bgColor rgb="FF8DB3E2"/>
      </patternFill>
    </fill>
    <fill>
      <patternFill patternType="solid">
        <fgColor theme="0" tint="-0.14999847407452621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2" fillId="0" borderId="0" applyFill="0" applyBorder="0" applyAlignment="0" applyProtection="0"/>
    <xf numFmtId="167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</cellStyleXfs>
  <cellXfs count="466">
    <xf numFmtId="0" fontId="0" fillId="0" borderId="0" xfId="0"/>
    <xf numFmtId="0" fontId="4" fillId="0" borderId="0" xfId="0" applyFont="1"/>
    <xf numFmtId="0" fontId="3" fillId="0" borderId="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4" fontId="4" fillId="0" borderId="29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shrinkToFit="1"/>
    </xf>
    <xf numFmtId="44" fontId="4" fillId="0" borderId="8" xfId="1" applyFont="1" applyFill="1" applyBorder="1" applyAlignment="1">
      <alignment vertical="center" shrinkToFit="1"/>
    </xf>
    <xf numFmtId="4" fontId="2" fillId="0" borderId="0" xfId="0" applyNumberFormat="1" applyFont="1"/>
    <xf numFmtId="44" fontId="3" fillId="0" borderId="12" xfId="1" applyFont="1" applyFill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44" fontId="4" fillId="0" borderId="15" xfId="1" applyFont="1" applyFill="1" applyBorder="1" applyAlignment="1">
      <alignment vertical="center" shrinkToFit="1"/>
    </xf>
    <xf numFmtId="0" fontId="5" fillId="0" borderId="0" xfId="0" applyFont="1"/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44" fontId="4" fillId="0" borderId="0" xfId="1" applyFont="1" applyFill="1" applyBorder="1" applyAlignment="1">
      <alignment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44" fontId="3" fillId="0" borderId="19" xfId="1" applyFont="1" applyFill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10" fontId="4" fillId="0" borderId="14" xfId="2" applyNumberFormat="1" applyFont="1" applyFill="1" applyBorder="1" applyAlignment="1" applyProtection="1">
      <alignment horizontal="center" vertical="center" shrinkToFit="1"/>
    </xf>
    <xf numFmtId="0" fontId="4" fillId="2" borderId="0" xfId="0" applyFont="1" applyFill="1"/>
    <xf numFmtId="0" fontId="3" fillId="0" borderId="12" xfId="0" applyFont="1" applyBorder="1" applyAlignment="1">
      <alignment horizontal="center" vertical="center" wrapText="1"/>
    </xf>
    <xf numFmtId="44" fontId="3" fillId="0" borderId="3" xfId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 shrinkToFit="1"/>
    </xf>
    <xf numFmtId="10" fontId="8" fillId="0" borderId="0" xfId="2" applyNumberFormat="1" applyFont="1" applyFill="1" applyBorder="1" applyAlignment="1" applyProtection="1">
      <alignment horizontal="center" vertical="center" shrinkToFit="1"/>
    </xf>
    <xf numFmtId="44" fontId="8" fillId="0" borderId="0" xfId="1" applyFont="1" applyFill="1" applyBorder="1" applyAlignment="1">
      <alignment vertical="center" shrinkToFit="1"/>
    </xf>
    <xf numFmtId="44" fontId="3" fillId="0" borderId="19" xfId="1" applyFont="1" applyFill="1" applyBorder="1" applyAlignment="1">
      <alignment horizontal="center" vertical="center" shrinkToFit="1"/>
    </xf>
    <xf numFmtId="44" fontId="3" fillId="0" borderId="23" xfId="1" applyFont="1" applyFill="1" applyBorder="1" applyAlignment="1">
      <alignment vertical="center" shrinkToFit="1"/>
    </xf>
    <xf numFmtId="0" fontId="3" fillId="0" borderId="0" xfId="0" applyFont="1" applyAlignment="1">
      <alignment horizontal="justify" vertical="center" shrinkToFit="1"/>
    </xf>
    <xf numFmtId="44" fontId="3" fillId="0" borderId="0" xfId="1" applyFont="1" applyFill="1" applyBorder="1" applyAlignment="1">
      <alignment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3" fillId="0" borderId="12" xfId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4" fontId="4" fillId="0" borderId="25" xfId="1" applyFont="1" applyFill="1" applyBorder="1" applyAlignment="1">
      <alignment horizontal="center" vertical="center" wrapText="1"/>
    </xf>
    <xf numFmtId="44" fontId="3" fillId="0" borderId="25" xfId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justify" vertical="center" wrapText="1"/>
    </xf>
    <xf numFmtId="10" fontId="4" fillId="0" borderId="23" xfId="2" applyNumberFormat="1" applyFont="1" applyFill="1" applyBorder="1" applyAlignment="1">
      <alignment horizontal="center" vertical="center" shrinkToFit="1"/>
    </xf>
    <xf numFmtId="10" fontId="4" fillId="2" borderId="23" xfId="2" applyNumberFormat="1" applyFont="1" applyFill="1" applyBorder="1" applyAlignment="1">
      <alignment horizontal="center" vertical="center" shrinkToFit="1"/>
    </xf>
    <xf numFmtId="10" fontId="3" fillId="0" borderId="24" xfId="2" applyNumberFormat="1" applyFont="1" applyFill="1" applyBorder="1" applyAlignment="1">
      <alignment horizontal="center" vertical="center" shrinkToFit="1"/>
    </xf>
    <xf numFmtId="44" fontId="3" fillId="0" borderId="23" xfId="1" applyFont="1" applyFill="1" applyBorder="1" applyAlignment="1">
      <alignment horizontal="center" vertical="center" wrapText="1"/>
    </xf>
    <xf numFmtId="164" fontId="4" fillId="0" borderId="25" xfId="2" applyNumberFormat="1" applyFont="1" applyFill="1" applyBorder="1" applyAlignment="1">
      <alignment horizontal="center" vertical="center" wrapText="1"/>
    </xf>
    <xf numFmtId="43" fontId="4" fillId="0" borderId="25" xfId="0" applyNumberFormat="1" applyFont="1" applyBorder="1" applyAlignment="1">
      <alignment horizontal="justify" vertical="center" wrapText="1"/>
    </xf>
    <xf numFmtId="10" fontId="4" fillId="0" borderId="25" xfId="2" applyNumberFormat="1" applyFont="1" applyFill="1" applyBorder="1" applyAlignment="1">
      <alignment horizontal="center" vertical="center" wrapText="1"/>
    </xf>
    <xf numFmtId="0" fontId="4" fillId="0" borderId="0" xfId="0" quotePrefix="1" applyFont="1"/>
    <xf numFmtId="10" fontId="3" fillId="0" borderId="23" xfId="2" applyNumberFormat="1" applyFont="1" applyFill="1" applyBorder="1" applyAlignment="1">
      <alignment horizontal="center" vertical="center" wrapText="1"/>
    </xf>
    <xf numFmtId="0" fontId="4" fillId="0" borderId="28" xfId="0" applyFont="1" applyBorder="1"/>
    <xf numFmtId="0" fontId="4" fillId="0" borderId="0" xfId="0" applyFont="1" applyAlignment="1">
      <alignment horizontal="center"/>
    </xf>
    <xf numFmtId="44" fontId="4" fillId="0" borderId="0" xfId="1" applyFont="1" applyFill="1" applyBorder="1"/>
    <xf numFmtId="0" fontId="4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43" fontId="4" fillId="0" borderId="0" xfId="0" applyNumberFormat="1" applyFont="1"/>
    <xf numFmtId="9" fontId="4" fillId="0" borderId="25" xfId="2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4" fontId="4" fillId="0" borderId="23" xfId="1" applyFont="1" applyFill="1" applyBorder="1" applyAlignment="1">
      <alignment horizontal="center" vertical="center" wrapText="1"/>
    </xf>
    <xf numFmtId="44" fontId="3" fillId="0" borderId="24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14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justify" vertical="center" wrapText="1"/>
    </xf>
    <xf numFmtId="164" fontId="4" fillId="2" borderId="25" xfId="2" applyNumberFormat="1" applyFont="1" applyFill="1" applyBorder="1" applyAlignment="1">
      <alignment horizontal="center" vertical="center" wrapText="1"/>
    </xf>
    <xf numFmtId="43" fontId="4" fillId="2" borderId="25" xfId="0" applyNumberFormat="1" applyFont="1" applyFill="1" applyBorder="1" applyAlignment="1">
      <alignment horizontal="justify" vertical="center" wrapText="1"/>
    </xf>
    <xf numFmtId="44" fontId="4" fillId="2" borderId="25" xfId="1" applyFont="1" applyFill="1" applyBorder="1" applyAlignment="1">
      <alignment horizontal="center" vertical="center" wrapText="1"/>
    </xf>
    <xf numFmtId="44" fontId="4" fillId="2" borderId="8" xfId="1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44" fontId="4" fillId="2" borderId="29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1" applyNumberFormat="1" applyFont="1" applyFill="1" applyBorder="1" applyAlignment="1">
      <alignment horizontal="center" vertical="center" shrinkToFit="1"/>
    </xf>
    <xf numFmtId="4" fontId="2" fillId="2" borderId="0" xfId="0" applyNumberFormat="1" applyFont="1" applyFill="1"/>
    <xf numFmtId="44" fontId="3" fillId="2" borderId="12" xfId="1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44" fontId="4" fillId="2" borderId="15" xfId="1" applyFont="1" applyFill="1" applyBorder="1" applyAlignment="1">
      <alignment vertical="center" shrinkToFit="1"/>
    </xf>
    <xf numFmtId="0" fontId="5" fillId="2" borderId="0" xfId="0" applyFont="1" applyFill="1"/>
    <xf numFmtId="0" fontId="6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44" fontId="4" fillId="2" borderId="0" xfId="1" applyFont="1" applyFill="1" applyBorder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center" vertical="center" shrinkToFit="1"/>
    </xf>
    <xf numFmtId="44" fontId="3" fillId="2" borderId="19" xfId="1" applyFont="1" applyFill="1" applyBorder="1" applyAlignment="1">
      <alignment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 shrinkToFit="1"/>
    </xf>
    <xf numFmtId="10" fontId="4" fillId="2" borderId="14" xfId="2" applyNumberFormat="1" applyFont="1" applyFill="1" applyBorder="1" applyAlignment="1" applyProtection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justify" vertical="center" shrinkToFit="1"/>
    </xf>
    <xf numFmtId="10" fontId="8" fillId="2" borderId="0" xfId="2" applyNumberFormat="1" applyFont="1" applyFill="1" applyBorder="1" applyAlignment="1" applyProtection="1">
      <alignment horizontal="center" vertical="center" shrinkToFit="1"/>
    </xf>
    <xf numFmtId="44" fontId="8" fillId="2" borderId="0" xfId="1" applyFont="1" applyFill="1" applyBorder="1" applyAlignment="1">
      <alignment vertical="center" shrinkToFit="1"/>
    </xf>
    <xf numFmtId="44" fontId="3" fillId="2" borderId="19" xfId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shrinkToFit="1"/>
    </xf>
    <xf numFmtId="44" fontId="3" fillId="2" borderId="23" xfId="1" applyFont="1" applyFill="1" applyBorder="1" applyAlignment="1">
      <alignment vertical="center" shrinkToFit="1"/>
    </xf>
    <xf numFmtId="0" fontId="3" fillId="2" borderId="0" xfId="0" applyFont="1" applyFill="1" applyAlignment="1">
      <alignment horizontal="justify" vertical="center" shrinkToFit="1"/>
    </xf>
    <xf numFmtId="44" fontId="3" fillId="2" borderId="0" xfId="1" applyFont="1" applyFill="1" applyBorder="1" applyAlignment="1">
      <alignment vertical="center" shrinkToFi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 wrapText="1"/>
    </xf>
    <xf numFmtId="44" fontId="3" fillId="2" borderId="25" xfId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shrinkToFit="1"/>
    </xf>
    <xf numFmtId="10" fontId="3" fillId="2" borderId="24" xfId="2" applyNumberFormat="1" applyFont="1" applyFill="1" applyBorder="1" applyAlignment="1">
      <alignment horizontal="center" vertical="center" shrinkToFit="1"/>
    </xf>
    <xf numFmtId="44" fontId="3" fillId="2" borderId="2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0" fontId="4" fillId="2" borderId="25" xfId="2" applyNumberFormat="1" applyFont="1" applyFill="1" applyBorder="1" applyAlignment="1">
      <alignment horizontal="center" vertical="center" wrapText="1"/>
    </xf>
    <xf numFmtId="0" fontId="4" fillId="2" borderId="0" xfId="0" quotePrefix="1" applyFont="1" applyFill="1"/>
    <xf numFmtId="10" fontId="3" fillId="2" borderId="23" xfId="2" applyNumberFormat="1" applyFont="1" applyFill="1" applyBorder="1" applyAlignment="1">
      <alignment horizontal="center" vertical="center" wrapText="1"/>
    </xf>
    <xf numFmtId="0" fontId="4" fillId="2" borderId="28" xfId="0" applyFont="1" applyFill="1" applyBorder="1"/>
    <xf numFmtId="0" fontId="4" fillId="2" borderId="0" xfId="0" applyFont="1" applyFill="1" applyAlignment="1">
      <alignment horizontal="center"/>
    </xf>
    <xf numFmtId="44" fontId="4" fillId="2" borderId="0" xfId="1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43" fontId="4" fillId="2" borderId="0" xfId="0" applyNumberFormat="1" applyFont="1" applyFill="1"/>
    <xf numFmtId="9" fontId="4" fillId="2" borderId="25" xfId="2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4" fillId="2" borderId="23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6" fillId="0" borderId="0" xfId="0" applyFont="1"/>
    <xf numFmtId="0" fontId="15" fillId="0" borderId="3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left" vertical="center" wrapText="1"/>
    </xf>
    <xf numFmtId="10" fontId="4" fillId="2" borderId="40" xfId="2" applyNumberFormat="1" applyFont="1" applyFill="1" applyBorder="1" applyAlignment="1" applyProtection="1">
      <alignment horizontal="center" vertical="center" shrinkToFit="1"/>
    </xf>
    <xf numFmtId="44" fontId="4" fillId="0" borderId="41" xfId="1" applyFont="1" applyFill="1" applyBorder="1" applyAlignment="1">
      <alignment vertical="center" shrinkToFit="1"/>
    </xf>
    <xf numFmtId="0" fontId="21" fillId="0" borderId="0" xfId="0" applyFont="1"/>
    <xf numFmtId="0" fontId="16" fillId="0" borderId="43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26" xfId="0" applyFont="1" applyBorder="1" applyAlignment="1" applyProtection="1">
      <alignment horizontal="center"/>
      <protection locked="0"/>
    </xf>
    <xf numFmtId="43" fontId="14" fillId="0" borderId="0" xfId="0" applyNumberFormat="1" applyFont="1"/>
    <xf numFmtId="43" fontId="4" fillId="2" borderId="26" xfId="0" applyNumberFormat="1" applyFont="1" applyFill="1" applyBorder="1" applyAlignment="1" applyProtection="1">
      <alignment horizontal="center"/>
      <protection locked="0"/>
    </xf>
    <xf numFmtId="43" fontId="16" fillId="0" borderId="26" xfId="0" applyNumberFormat="1" applyFont="1" applyBorder="1" applyAlignment="1">
      <alignment horizontal="center"/>
    </xf>
    <xf numFmtId="43" fontId="16" fillId="0" borderId="44" xfId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16" fillId="0" borderId="35" xfId="0" applyFont="1" applyBorder="1" applyAlignment="1">
      <alignment horizontal="left" vertical="center"/>
    </xf>
    <xf numFmtId="0" fontId="16" fillId="0" borderId="45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 vertical="top"/>
      <protection locked="0"/>
    </xf>
    <xf numFmtId="43" fontId="4" fillId="0" borderId="45" xfId="0" applyNumberFormat="1" applyFont="1" applyBorder="1" applyAlignment="1" applyProtection="1">
      <alignment horizontal="center"/>
      <protection locked="0"/>
    </xf>
    <xf numFmtId="43" fontId="22" fillId="0" borderId="0" xfId="1" applyNumberFormat="1" applyFont="1" applyBorder="1" applyAlignment="1">
      <alignment horizontal="center"/>
    </xf>
    <xf numFmtId="0" fontId="16" fillId="2" borderId="45" xfId="7" applyFont="1" applyFill="1" applyBorder="1" applyAlignment="1">
      <alignment horizontal="center" vertical="center" wrapText="1"/>
    </xf>
    <xf numFmtId="43" fontId="16" fillId="0" borderId="46" xfId="0" applyNumberFormat="1" applyFont="1" applyBorder="1" applyAlignment="1">
      <alignment horizontal="center"/>
    </xf>
    <xf numFmtId="43" fontId="16" fillId="0" borderId="47" xfId="1" applyNumberFormat="1" applyFont="1" applyBorder="1" applyAlignment="1">
      <alignment horizontal="center"/>
    </xf>
    <xf numFmtId="0" fontId="16" fillId="0" borderId="26" xfId="7" applyFont="1" applyBorder="1" applyAlignment="1">
      <alignment horizontal="center" vertical="center" wrapText="1"/>
    </xf>
    <xf numFmtId="43" fontId="4" fillId="0" borderId="26" xfId="0" applyNumberFormat="1" applyFont="1" applyBorder="1" applyAlignment="1" applyProtection="1">
      <alignment horizontal="center"/>
      <protection locked="0"/>
    </xf>
    <xf numFmtId="43" fontId="16" fillId="0" borderId="0" xfId="1" applyNumberFormat="1" applyFont="1" applyBorder="1" applyAlignment="1">
      <alignment horizontal="center"/>
    </xf>
    <xf numFmtId="44" fontId="14" fillId="0" borderId="0" xfId="0" applyNumberFormat="1" applyFont="1"/>
    <xf numFmtId="44" fontId="3" fillId="3" borderId="49" xfId="0" applyNumberFormat="1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166" fontId="4" fillId="0" borderId="2" xfId="4" applyFont="1" applyBorder="1" applyAlignment="1">
      <alignment horizontal="center" vertical="center" wrapText="1"/>
    </xf>
    <xf numFmtId="44" fontId="14" fillId="0" borderId="3" xfId="0" applyNumberFormat="1" applyFont="1" applyBorder="1" applyAlignment="1">
      <alignment vertical="center"/>
    </xf>
    <xf numFmtId="44" fontId="3" fillId="3" borderId="51" xfId="0" applyNumberFormat="1" applyFont="1" applyFill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 shrinkToFit="1"/>
    </xf>
    <xf numFmtId="10" fontId="4" fillId="0" borderId="57" xfId="2" applyNumberFormat="1" applyFont="1" applyFill="1" applyBorder="1" applyAlignment="1" applyProtection="1">
      <alignment horizontal="center" vertical="center" shrinkToFit="1"/>
    </xf>
    <xf numFmtId="44" fontId="4" fillId="0" borderId="58" xfId="1" applyFont="1" applyFill="1" applyBorder="1" applyAlignment="1">
      <alignment vertical="center" shrinkToFit="1"/>
    </xf>
    <xf numFmtId="0" fontId="4" fillId="2" borderId="59" xfId="0" applyFont="1" applyFill="1" applyBorder="1" applyAlignment="1">
      <alignment horizontal="justify" vertical="center" shrinkToFit="1"/>
    </xf>
    <xf numFmtId="0" fontId="4" fillId="2" borderId="62" xfId="0" applyFont="1" applyFill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justify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64" xfId="0" applyFont="1" applyFill="1" applyBorder="1" applyAlignment="1">
      <alignment horizontal="justify" vertical="center" shrinkToFit="1"/>
    </xf>
    <xf numFmtId="0" fontId="4" fillId="2" borderId="65" xfId="0" applyFont="1" applyFill="1" applyBorder="1" applyAlignment="1">
      <alignment horizontal="justify" vertical="center" shrinkToFit="1"/>
    </xf>
    <xf numFmtId="44" fontId="4" fillId="2" borderId="66" xfId="1" applyFont="1" applyFill="1" applyBorder="1" applyAlignment="1">
      <alignment horizontal="center" vertical="center" shrinkToFit="1"/>
    </xf>
    <xf numFmtId="44" fontId="4" fillId="2" borderId="67" xfId="1" applyFont="1" applyFill="1" applyBorder="1" applyAlignment="1">
      <alignment vertical="center" shrinkToFit="1"/>
    </xf>
    <xf numFmtId="0" fontId="4" fillId="2" borderId="72" xfId="0" applyFont="1" applyFill="1" applyBorder="1" applyAlignment="1">
      <alignment horizontal="center" vertical="center" shrinkToFit="1"/>
    </xf>
    <xf numFmtId="44" fontId="4" fillId="2" borderId="74" xfId="1" applyFont="1" applyFill="1" applyBorder="1" applyAlignment="1">
      <alignment horizontal="center" vertical="center" shrinkToFit="1"/>
    </xf>
    <xf numFmtId="0" fontId="4" fillId="2" borderId="75" xfId="0" applyFont="1" applyFill="1" applyBorder="1" applyAlignment="1">
      <alignment horizontal="center" vertical="center" shrinkToFit="1"/>
    </xf>
    <xf numFmtId="14" fontId="4" fillId="2" borderId="77" xfId="1" applyNumberFormat="1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0" fontId="4" fillId="2" borderId="79" xfId="0" applyFont="1" applyFill="1" applyBorder="1" applyAlignment="1">
      <alignment horizontal="justify" vertical="center" shrinkToFit="1"/>
    </xf>
    <xf numFmtId="9" fontId="4" fillId="2" borderId="79" xfId="0" applyNumberFormat="1" applyFont="1" applyFill="1" applyBorder="1" applyAlignment="1">
      <alignment horizontal="center" vertical="center" shrinkToFit="1"/>
    </xf>
    <xf numFmtId="44" fontId="4" fillId="2" borderId="80" xfId="1" applyFont="1" applyFill="1" applyBorder="1" applyAlignment="1">
      <alignment vertical="center" shrinkToFit="1"/>
    </xf>
    <xf numFmtId="10" fontId="4" fillId="2" borderId="79" xfId="0" applyNumberFormat="1" applyFont="1" applyFill="1" applyBorder="1" applyAlignment="1">
      <alignment horizontal="center" vertical="center" shrinkToFit="1"/>
    </xf>
    <xf numFmtId="0" fontId="4" fillId="2" borderId="81" xfId="0" applyFont="1" applyFill="1" applyBorder="1" applyAlignment="1">
      <alignment horizontal="center" vertical="center" shrinkToFit="1"/>
    </xf>
    <xf numFmtId="44" fontId="3" fillId="2" borderId="77" xfId="1" applyFont="1" applyFill="1" applyBorder="1" applyAlignment="1">
      <alignment vertical="center" shrinkToFit="1"/>
    </xf>
    <xf numFmtId="0" fontId="4" fillId="2" borderId="79" xfId="0" applyFont="1" applyFill="1" applyBorder="1" applyAlignment="1">
      <alignment horizontal="left" vertical="center" shrinkToFit="1"/>
    </xf>
    <xf numFmtId="10" fontId="4" fillId="2" borderId="79" xfId="2" applyNumberFormat="1" applyFont="1" applyFill="1" applyBorder="1" applyAlignment="1" applyProtection="1">
      <alignment horizontal="center" vertical="center" shrinkToFit="1"/>
    </xf>
    <xf numFmtId="10" fontId="3" fillId="2" borderId="84" xfId="0" applyNumberFormat="1" applyFont="1" applyFill="1" applyBorder="1" applyAlignment="1">
      <alignment horizontal="center" vertical="center" shrinkToFit="1"/>
    </xf>
    <xf numFmtId="10" fontId="3" fillId="2" borderId="85" xfId="0" applyNumberFormat="1" applyFont="1" applyFill="1" applyBorder="1" applyAlignment="1">
      <alignment vertical="center" shrinkToFit="1"/>
    </xf>
    <xf numFmtId="0" fontId="4" fillId="2" borderId="86" xfId="0" applyFont="1" applyFill="1" applyBorder="1" applyAlignment="1">
      <alignment vertical="center" shrinkToFit="1"/>
    </xf>
    <xf numFmtId="0" fontId="4" fillId="2" borderId="79" xfId="0" applyFont="1" applyFill="1" applyBorder="1" applyAlignment="1">
      <alignment horizontal="center" vertical="center" shrinkToFit="1"/>
    </xf>
    <xf numFmtId="44" fontId="4" fillId="2" borderId="74" xfId="1" applyFont="1" applyFill="1" applyBorder="1" applyAlignment="1">
      <alignment vertical="center" shrinkToFit="1"/>
    </xf>
    <xf numFmtId="0" fontId="4" fillId="2" borderId="86" xfId="0" applyFont="1" applyFill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/>
    </xf>
    <xf numFmtId="43" fontId="14" fillId="0" borderId="85" xfId="0" applyNumberFormat="1" applyFont="1" applyBorder="1" applyAlignment="1">
      <alignment horizontal="center" vertical="center"/>
    </xf>
    <xf numFmtId="43" fontId="18" fillId="0" borderId="85" xfId="0" applyNumberFormat="1" applyFont="1" applyBorder="1" applyAlignment="1">
      <alignment horizontal="center" vertical="center"/>
    </xf>
    <xf numFmtId="168" fontId="14" fillId="0" borderId="87" xfId="0" applyNumberFormat="1" applyFont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justify" vertical="center" shrinkToFit="1"/>
    </xf>
    <xf numFmtId="0" fontId="4" fillId="2" borderId="88" xfId="0" applyFont="1" applyFill="1" applyBorder="1" applyAlignment="1">
      <alignment horizontal="left" vertical="center" shrinkToFi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justify" wrapText="1"/>
    </xf>
    <xf numFmtId="0" fontId="4" fillId="0" borderId="7" xfId="0" applyFont="1" applyBorder="1" applyAlignment="1">
      <alignment horizontal="justify" vertical="center" shrinkToFit="1"/>
    </xf>
    <xf numFmtId="0" fontId="4" fillId="0" borderId="14" xfId="0" applyFont="1" applyBorder="1" applyAlignment="1">
      <alignment horizontal="justify" vertical="center" shrinkToFit="1"/>
    </xf>
    <xf numFmtId="0" fontId="3" fillId="0" borderId="9" xfId="0" applyFont="1" applyBorder="1" applyAlignment="1">
      <alignment horizontal="justify" vertical="center" shrinkToFit="1"/>
    </xf>
    <xf numFmtId="0" fontId="3" fillId="0" borderId="16" xfId="0" applyFont="1" applyBorder="1" applyAlignment="1">
      <alignment horizontal="justify" vertical="center" shrinkToFit="1"/>
    </xf>
    <xf numFmtId="0" fontId="7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3" fillId="2" borderId="60" xfId="0" applyFont="1" applyFill="1" applyBorder="1" applyAlignment="1">
      <alignment horizontal="center" vertical="center" wrapText="1" shrinkToFit="1"/>
    </xf>
    <xf numFmtId="0" fontId="3" fillId="2" borderId="61" xfId="0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0" xfId="0" applyFont="1" applyBorder="1" applyAlignment="1">
      <alignment horizontal="justify" vertical="center" shrinkToFit="1"/>
    </xf>
    <xf numFmtId="0" fontId="3" fillId="0" borderId="11" xfId="0" applyFont="1" applyBorder="1" applyAlignment="1">
      <alignment horizontal="justify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justify" vertical="justify" wrapText="1"/>
    </xf>
    <xf numFmtId="0" fontId="7" fillId="0" borderId="0" xfId="0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justify" vertical="justify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justify" vertical="center" shrinkToFit="1"/>
    </xf>
    <xf numFmtId="0" fontId="3" fillId="2" borderId="16" xfId="0" applyFont="1" applyFill="1" applyBorder="1" applyAlignment="1">
      <alignment horizontal="justify" vertical="center" shrinkToFit="1"/>
    </xf>
    <xf numFmtId="0" fontId="7" fillId="2" borderId="0" xfId="0" applyFont="1" applyFill="1" applyAlignment="1">
      <alignment vertical="center" wrapText="1"/>
    </xf>
    <xf numFmtId="0" fontId="4" fillId="2" borderId="2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justify" vertical="center" shrinkToFit="1"/>
    </xf>
    <xf numFmtId="0" fontId="3" fillId="2" borderId="10" xfId="0" applyFont="1" applyFill="1" applyBorder="1" applyAlignment="1">
      <alignment horizontal="justify" vertical="center" shrinkToFit="1"/>
    </xf>
    <xf numFmtId="0" fontId="3" fillId="2" borderId="11" xfId="0" applyFont="1" applyFill="1" applyBorder="1" applyAlignment="1">
      <alignment horizontal="justify" vertical="center" shrinkToFit="1"/>
    </xf>
    <xf numFmtId="0" fontId="4" fillId="2" borderId="14" xfId="0" applyFont="1" applyFill="1" applyBorder="1" applyAlignment="1">
      <alignment horizontal="justify" vertical="center" shrinkToFit="1"/>
    </xf>
    <xf numFmtId="0" fontId="0" fillId="2" borderId="12" xfId="0" applyFill="1" applyBorder="1" applyAlignment="1">
      <alignment vertical="center" wrapText="1"/>
    </xf>
    <xf numFmtId="0" fontId="7" fillId="2" borderId="0" xfId="0" applyFont="1" applyFill="1" applyAlignment="1">
      <alignment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justify" wrapTex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76" xfId="0" applyFont="1" applyFill="1" applyBorder="1" applyAlignment="1">
      <alignment horizontal="justify" vertical="center" shrinkToFit="1"/>
    </xf>
    <xf numFmtId="0" fontId="4" fillId="2" borderId="79" xfId="0" applyFont="1" applyFill="1" applyBorder="1" applyAlignment="1">
      <alignment horizontal="justify" vertical="center" shrinkToFit="1"/>
    </xf>
    <xf numFmtId="0" fontId="3" fillId="2" borderId="82" xfId="0" applyFont="1" applyFill="1" applyBorder="1" applyAlignment="1">
      <alignment horizontal="justify" vertical="center" shrinkToFit="1"/>
    </xf>
    <xf numFmtId="0" fontId="3" fillId="2" borderId="83" xfId="0" applyFont="1" applyFill="1" applyBorder="1" applyAlignment="1">
      <alignment horizontal="justify" vertical="center" shrinkToFit="1"/>
    </xf>
    <xf numFmtId="0" fontId="3" fillId="2" borderId="76" xfId="0" applyFont="1" applyFill="1" applyBorder="1" applyAlignment="1">
      <alignment horizontal="justify" vertical="center" shrinkToFit="1"/>
    </xf>
    <xf numFmtId="0" fontId="4" fillId="2" borderId="73" xfId="0" applyFont="1" applyFill="1" applyBorder="1" applyAlignment="1">
      <alignment horizontal="justify" vertical="center" shrinkToFit="1"/>
    </xf>
    <xf numFmtId="0" fontId="3" fillId="2" borderId="82" xfId="0" applyFont="1" applyFill="1" applyBorder="1" applyAlignment="1">
      <alignment horizontal="center" vertical="center" shrinkToFit="1"/>
    </xf>
    <xf numFmtId="0" fontId="3" fillId="2" borderId="76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4" fillId="0" borderId="60" xfId="0" applyFont="1" applyBorder="1" applyAlignment="1">
      <alignment horizontal="justify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0" xfId="1" applyNumberFormat="1" applyFont="1" applyBorder="1" applyAlignment="1">
      <alignment horizontal="center" vertical="center" wrapText="1"/>
    </xf>
    <xf numFmtId="44" fontId="4" fillId="0" borderId="60" xfId="1" applyFont="1" applyBorder="1" applyAlignment="1">
      <alignment horizontal="center" vertical="center" wrapText="1"/>
    </xf>
    <xf numFmtId="44" fontId="4" fillId="0" borderId="60" xfId="3" applyNumberFormat="1" applyFont="1" applyBorder="1" applyAlignment="1">
      <alignment horizontal="center" vertical="center" wrapText="1"/>
    </xf>
    <xf numFmtId="44" fontId="14" fillId="0" borderId="61" xfId="0" applyNumberFormat="1" applyFont="1" applyBorder="1" applyAlignment="1">
      <alignment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justify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5" xfId="1" applyNumberFormat="1" applyFont="1" applyBorder="1" applyAlignment="1">
      <alignment horizontal="center" vertical="center" wrapText="1"/>
    </xf>
    <xf numFmtId="44" fontId="4" fillId="0" borderId="85" xfId="1" applyFont="1" applyBorder="1" applyAlignment="1">
      <alignment horizontal="center" vertical="center" wrapText="1"/>
    </xf>
    <xf numFmtId="44" fontId="4" fillId="0" borderId="85" xfId="3" applyNumberFormat="1" applyFont="1" applyBorder="1" applyAlignment="1">
      <alignment horizontal="center" vertical="center" wrapText="1"/>
    </xf>
    <xf numFmtId="44" fontId="14" fillId="0" borderId="69" xfId="0" applyNumberFormat="1" applyFont="1" applyBorder="1" applyAlignment="1">
      <alignment vertical="center"/>
    </xf>
    <xf numFmtId="0" fontId="4" fillId="0" borderId="68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left" vertical="center" shrinkToFit="1"/>
    </xf>
    <xf numFmtId="0" fontId="4" fillId="0" borderId="71" xfId="0" applyFont="1" applyBorder="1" applyAlignment="1">
      <alignment horizontal="left" vertical="center" shrinkToFit="1"/>
    </xf>
    <xf numFmtId="44" fontId="4" fillId="0" borderId="69" xfId="1" applyFont="1" applyFill="1" applyBorder="1" applyAlignment="1">
      <alignment horizontal="center" vertical="center" shrinkToFit="1"/>
    </xf>
    <xf numFmtId="0" fontId="4" fillId="0" borderId="70" xfId="0" applyFont="1" applyBorder="1" applyAlignment="1">
      <alignment horizontal="justify" vertical="center" wrapText="1" shrinkToFit="1"/>
    </xf>
    <xf numFmtId="0" fontId="4" fillId="0" borderId="71" xfId="0" applyFont="1" applyBorder="1" applyAlignment="1">
      <alignment horizontal="justify" vertical="center" wrapText="1" shrinkToFit="1"/>
    </xf>
    <xf numFmtId="44" fontId="4" fillId="0" borderId="69" xfId="1" applyFont="1" applyFill="1" applyBorder="1" applyAlignment="1">
      <alignment horizontal="center" vertical="center" wrapText="1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justify" vertical="center" shrinkToFit="1"/>
    </xf>
    <xf numFmtId="0" fontId="4" fillId="0" borderId="86" xfId="0" applyFont="1" applyBorder="1" applyAlignment="1">
      <alignment horizontal="justify" vertical="center" shrinkToFit="1"/>
    </xf>
    <xf numFmtId="44" fontId="4" fillId="0" borderId="74" xfId="1" applyFont="1" applyFill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justify" vertical="center" shrinkToFit="1"/>
    </xf>
    <xf numFmtId="0" fontId="4" fillId="0" borderId="65" xfId="0" applyFont="1" applyBorder="1" applyAlignment="1">
      <alignment horizontal="justify" vertical="center" shrinkToFit="1"/>
    </xf>
    <xf numFmtId="44" fontId="4" fillId="0" borderId="66" xfId="1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justify" vertical="center" shrinkToFit="1"/>
    </xf>
    <xf numFmtId="0" fontId="4" fillId="0" borderId="76" xfId="0" applyFont="1" applyBorder="1" applyAlignment="1">
      <alignment horizontal="justify" vertical="center" shrinkToFit="1"/>
    </xf>
    <xf numFmtId="14" fontId="4" fillId="0" borderId="77" xfId="1" applyNumberFormat="1" applyFont="1" applyFill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justify" vertical="center" shrinkToFit="1"/>
    </xf>
    <xf numFmtId="9" fontId="4" fillId="0" borderId="79" xfId="0" applyNumberFormat="1" applyFont="1" applyBorder="1" applyAlignment="1">
      <alignment horizontal="center" vertical="center" shrinkToFit="1"/>
    </xf>
    <xf numFmtId="44" fontId="4" fillId="0" borderId="80" xfId="1" applyFont="1" applyFill="1" applyBorder="1" applyAlignment="1">
      <alignment vertical="center" shrinkToFit="1"/>
    </xf>
    <xf numFmtId="0" fontId="4" fillId="0" borderId="79" xfId="0" applyFont="1" applyBorder="1" applyAlignment="1">
      <alignment horizontal="justify" vertical="center" shrinkToFit="1"/>
    </xf>
    <xf numFmtId="10" fontId="4" fillId="0" borderId="79" xfId="0" applyNumberFormat="1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justify" vertical="center" shrinkToFit="1"/>
    </xf>
    <xf numFmtId="44" fontId="4" fillId="0" borderId="67" xfId="1" applyFont="1" applyFill="1" applyBorder="1" applyAlignment="1">
      <alignment vertical="center" shrinkToFit="1"/>
    </xf>
    <xf numFmtId="0" fontId="3" fillId="0" borderId="82" xfId="0" applyFont="1" applyBorder="1" applyAlignment="1">
      <alignment horizontal="justify" vertical="center" shrinkToFit="1"/>
    </xf>
    <xf numFmtId="0" fontId="3" fillId="0" borderId="83" xfId="0" applyFont="1" applyBorder="1" applyAlignment="1">
      <alignment horizontal="justify" vertical="center" shrinkToFit="1"/>
    </xf>
    <xf numFmtId="0" fontId="3" fillId="0" borderId="76" xfId="0" applyFont="1" applyBorder="1" applyAlignment="1">
      <alignment horizontal="justify" vertical="center" shrinkToFit="1"/>
    </xf>
    <xf numFmtId="44" fontId="3" fillId="0" borderId="77" xfId="1" applyFont="1" applyFill="1" applyBorder="1" applyAlignment="1">
      <alignment vertical="center" shrinkToFit="1"/>
    </xf>
    <xf numFmtId="0" fontId="4" fillId="0" borderId="79" xfId="0" applyFont="1" applyBorder="1" applyAlignment="1">
      <alignment horizontal="left" vertical="center" shrinkToFit="1"/>
    </xf>
    <xf numFmtId="10" fontId="4" fillId="0" borderId="79" xfId="2" applyNumberFormat="1" applyFont="1" applyFill="1" applyBorder="1" applyAlignment="1" applyProtection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10" fontId="3" fillId="0" borderId="84" xfId="0" applyNumberFormat="1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10" fontId="3" fillId="0" borderId="85" xfId="0" applyNumberFormat="1" applyFont="1" applyBorder="1" applyAlignment="1">
      <alignment vertical="center" shrinkToFit="1"/>
    </xf>
    <xf numFmtId="0" fontId="4" fillId="0" borderId="90" xfId="0" applyFont="1" applyBorder="1" applyAlignment="1">
      <alignment horizontal="left" vertical="center" shrinkToFit="1"/>
    </xf>
    <xf numFmtId="10" fontId="3" fillId="0" borderId="89" xfId="2" applyNumberFormat="1" applyFont="1" applyFill="1" applyBorder="1" applyAlignment="1" applyProtection="1">
      <alignment horizontal="center" vertical="center" shrinkToFit="1"/>
    </xf>
    <xf numFmtId="0" fontId="4" fillId="0" borderId="86" xfId="0" applyFont="1" applyBorder="1" applyAlignment="1">
      <alignment vertical="center" shrinkToFit="1"/>
    </xf>
    <xf numFmtId="0" fontId="4" fillId="0" borderId="79" xfId="0" applyFont="1" applyBorder="1" applyAlignment="1">
      <alignment horizontal="center" vertical="center" shrinkToFit="1"/>
    </xf>
    <xf numFmtId="44" fontId="4" fillId="0" borderId="74" xfId="1" applyFont="1" applyFill="1" applyBorder="1" applyAlignment="1">
      <alignment vertical="center" shrinkToFit="1"/>
    </xf>
    <xf numFmtId="0" fontId="4" fillId="0" borderId="88" xfId="0" applyFont="1" applyBorder="1" applyAlignment="1">
      <alignment horizontal="justify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left" vertical="center" shrinkToFit="1"/>
    </xf>
    <xf numFmtId="0" fontId="4" fillId="2" borderId="91" xfId="0" applyFont="1" applyFill="1" applyBorder="1" applyAlignment="1">
      <alignment horizontal="center" vertical="center" shrinkToFit="1"/>
    </xf>
    <xf numFmtId="0" fontId="4" fillId="2" borderId="87" xfId="0" applyFont="1" applyFill="1" applyBorder="1" applyAlignment="1">
      <alignment horizontal="left" vertical="center" shrinkToFit="1"/>
    </xf>
    <xf numFmtId="44" fontId="4" fillId="2" borderId="92" xfId="1" applyFont="1" applyFill="1" applyBorder="1" applyAlignment="1">
      <alignment horizontal="center" vertical="center" shrinkToFit="1"/>
    </xf>
    <xf numFmtId="0" fontId="4" fillId="2" borderId="93" xfId="0" applyFont="1" applyFill="1" applyBorder="1" applyAlignment="1">
      <alignment horizontal="justify" vertical="center" wrapText="1" shrinkToFit="1"/>
    </xf>
    <xf numFmtId="0" fontId="4" fillId="2" borderId="94" xfId="0" applyFont="1" applyFill="1" applyBorder="1" applyAlignment="1">
      <alignment horizontal="justify" vertical="center" wrapText="1" shrinkToFit="1"/>
    </xf>
    <xf numFmtId="44" fontId="4" fillId="2" borderId="92" xfId="1" applyFont="1" applyFill="1" applyBorder="1" applyAlignment="1">
      <alignment horizontal="center" vertical="center" wrapText="1" shrinkToFit="1"/>
    </xf>
    <xf numFmtId="0" fontId="4" fillId="2" borderId="86" xfId="0" applyFont="1" applyFill="1" applyBorder="1" applyAlignment="1">
      <alignment horizontal="justify" vertical="center" shrinkToFit="1"/>
    </xf>
    <xf numFmtId="0" fontId="4" fillId="2" borderId="89" xfId="0" applyFont="1" applyFill="1" applyBorder="1" applyAlignment="1">
      <alignment horizontal="justify" vertical="center" shrinkToFit="1"/>
    </xf>
    <xf numFmtId="0" fontId="4" fillId="2" borderId="90" xfId="0" applyFont="1" applyFill="1" applyBorder="1" applyAlignment="1">
      <alignment horizontal="justify" vertical="center" shrinkToFit="1"/>
    </xf>
    <xf numFmtId="0" fontId="4" fillId="2" borderId="90" xfId="0" applyFont="1" applyFill="1" applyBorder="1" applyAlignment="1">
      <alignment horizontal="left" vertical="center" wrapText="1"/>
    </xf>
    <xf numFmtId="10" fontId="4" fillId="2" borderId="90" xfId="2" applyNumberFormat="1" applyFont="1" applyFill="1" applyBorder="1" applyAlignment="1" applyProtection="1">
      <alignment horizontal="center" vertical="center" shrinkToFit="1"/>
    </xf>
    <xf numFmtId="0" fontId="4" fillId="2" borderId="90" xfId="0" applyFont="1" applyFill="1" applyBorder="1" applyAlignment="1">
      <alignment horizontal="left" vertical="center" shrinkToFit="1"/>
    </xf>
    <xf numFmtId="10" fontId="3" fillId="2" borderId="89" xfId="2" applyNumberFormat="1" applyFont="1" applyFill="1" applyBorder="1" applyAlignment="1" applyProtection="1">
      <alignment horizontal="center" vertical="center" shrinkToFit="1"/>
    </xf>
    <xf numFmtId="0" fontId="18" fillId="0" borderId="87" xfId="0" applyFont="1" applyBorder="1" applyAlignment="1">
      <alignment horizontal="center" vertical="center"/>
    </xf>
    <xf numFmtId="0" fontId="4" fillId="2" borderId="95" xfId="0" applyFont="1" applyFill="1" applyBorder="1" applyAlignment="1">
      <alignment horizontal="justify" vertical="center" shrinkToFit="1"/>
    </xf>
    <xf numFmtId="44" fontId="4" fillId="2" borderId="96" xfId="1" applyFont="1" applyFill="1" applyBorder="1" applyAlignment="1">
      <alignment horizontal="center" vertical="center" shrinkToFit="1"/>
    </xf>
    <xf numFmtId="0" fontId="4" fillId="2" borderId="97" xfId="0" applyFont="1" applyFill="1" applyBorder="1" applyAlignment="1">
      <alignment horizontal="center" vertical="center" shrinkToFit="1"/>
    </xf>
    <xf numFmtId="0" fontId="4" fillId="2" borderId="98" xfId="0" applyFont="1" applyFill="1" applyBorder="1" applyAlignment="1">
      <alignment horizontal="justify" vertical="center" shrinkToFit="1"/>
    </xf>
    <xf numFmtId="0" fontId="4" fillId="2" borderId="99" xfId="0" applyFont="1" applyFill="1" applyBorder="1" applyAlignment="1">
      <alignment horizontal="justify" vertical="center" shrinkToFit="1"/>
    </xf>
    <xf numFmtId="44" fontId="4" fillId="2" borderId="100" xfId="1" applyFont="1" applyFill="1" applyBorder="1" applyAlignment="1">
      <alignment horizontal="center" vertical="center" shrinkToFit="1"/>
    </xf>
    <xf numFmtId="0" fontId="4" fillId="2" borderId="101" xfId="0" applyFont="1" applyFill="1" applyBorder="1" applyAlignment="1">
      <alignment horizontal="center" vertical="center" shrinkToFit="1"/>
    </xf>
    <xf numFmtId="0" fontId="4" fillId="2" borderId="102" xfId="0" applyFont="1" applyFill="1" applyBorder="1" applyAlignment="1">
      <alignment horizontal="justify" vertical="center" shrinkToFit="1"/>
    </xf>
    <xf numFmtId="0" fontId="4" fillId="2" borderId="103" xfId="0" applyFont="1" applyFill="1" applyBorder="1" applyAlignment="1">
      <alignment horizontal="justify" vertical="center" shrinkToFit="1"/>
    </xf>
    <xf numFmtId="14" fontId="4" fillId="2" borderId="104" xfId="1" applyNumberFormat="1" applyFont="1" applyFill="1" applyBorder="1" applyAlignment="1">
      <alignment horizontal="center" vertical="center" shrinkToFit="1"/>
    </xf>
    <xf numFmtId="0" fontId="4" fillId="2" borderId="105" xfId="0" applyFont="1" applyFill="1" applyBorder="1" applyAlignment="1">
      <alignment horizontal="center" vertical="center" shrinkToFit="1"/>
    </xf>
    <xf numFmtId="0" fontId="4" fillId="2" borderId="106" xfId="0" applyFont="1" applyFill="1" applyBorder="1" applyAlignment="1">
      <alignment horizontal="justify" vertical="center" shrinkToFit="1"/>
    </xf>
    <xf numFmtId="9" fontId="4" fillId="2" borderId="106" xfId="0" applyNumberFormat="1" applyFont="1" applyFill="1" applyBorder="1" applyAlignment="1">
      <alignment horizontal="center" vertical="center" shrinkToFit="1"/>
    </xf>
    <xf numFmtId="44" fontId="4" fillId="2" borderId="107" xfId="1" applyFont="1" applyFill="1" applyBorder="1" applyAlignment="1">
      <alignment vertical="center" shrinkToFit="1"/>
    </xf>
    <xf numFmtId="0" fontId="4" fillId="2" borderId="106" xfId="0" applyFont="1" applyFill="1" applyBorder="1" applyAlignment="1">
      <alignment horizontal="justify" vertical="center" shrinkToFit="1"/>
    </xf>
    <xf numFmtId="168" fontId="14" fillId="0" borderId="108" xfId="0" applyNumberFormat="1" applyFont="1" applyBorder="1" applyAlignment="1">
      <alignment horizontal="center" vertical="center" wrapText="1"/>
    </xf>
    <xf numFmtId="0" fontId="14" fillId="0" borderId="108" xfId="0" applyFont="1" applyBorder="1" applyAlignment="1">
      <alignment horizontal="center" vertical="center" wrapTex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justify" vertical="center" shrinkToFit="1"/>
    </xf>
    <xf numFmtId="44" fontId="4" fillId="2" borderId="111" xfId="1" applyFont="1" applyFill="1" applyBorder="1" applyAlignment="1">
      <alignment vertical="center" shrinkToFit="1"/>
    </xf>
    <xf numFmtId="0" fontId="3" fillId="2" borderId="112" xfId="0" applyFont="1" applyFill="1" applyBorder="1" applyAlignment="1">
      <alignment horizontal="justify" vertical="center" shrinkToFit="1"/>
    </xf>
    <xf numFmtId="0" fontId="3" fillId="2" borderId="113" xfId="0" applyFont="1" applyFill="1" applyBorder="1" applyAlignment="1">
      <alignment horizontal="justify" vertical="center" shrinkToFit="1"/>
    </xf>
    <xf numFmtId="0" fontId="3" fillId="2" borderId="103" xfId="0" applyFont="1" applyFill="1" applyBorder="1" applyAlignment="1">
      <alignment horizontal="justify" vertical="center" shrinkToFit="1"/>
    </xf>
    <xf numFmtId="44" fontId="3" fillId="2" borderId="104" xfId="1" applyFont="1" applyFill="1" applyBorder="1" applyAlignment="1">
      <alignment vertical="center" shrinkToFit="1"/>
    </xf>
    <xf numFmtId="0" fontId="4" fillId="2" borderId="106" xfId="0" applyFont="1" applyFill="1" applyBorder="1" applyAlignment="1">
      <alignment horizontal="left" vertical="center" shrinkToFit="1"/>
    </xf>
    <xf numFmtId="10" fontId="4" fillId="2" borderId="106" xfId="2" applyNumberFormat="1" applyFont="1" applyFill="1" applyBorder="1" applyAlignment="1" applyProtection="1">
      <alignment horizontal="center" vertical="center" shrinkToFit="1"/>
    </xf>
    <xf numFmtId="0" fontId="3" fillId="2" borderId="112" xfId="0" applyFont="1" applyFill="1" applyBorder="1" applyAlignment="1">
      <alignment horizontal="center" vertical="center" shrinkToFit="1"/>
    </xf>
    <xf numFmtId="0" fontId="3" fillId="2" borderId="103" xfId="0" applyFont="1" applyFill="1" applyBorder="1" applyAlignment="1">
      <alignment horizontal="center" vertical="center" shrinkToFit="1"/>
    </xf>
    <xf numFmtId="10" fontId="3" fillId="2" borderId="114" xfId="0" applyNumberFormat="1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left" vertical="center" wrapText="1"/>
    </xf>
    <xf numFmtId="10" fontId="4" fillId="2" borderId="110" xfId="2" applyNumberFormat="1" applyFont="1" applyFill="1" applyBorder="1" applyAlignment="1" applyProtection="1">
      <alignment horizontal="center" vertical="center" shrinkToFit="1"/>
    </xf>
    <xf numFmtId="0" fontId="3" fillId="2" borderId="94" xfId="0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left" vertical="center" shrinkToFit="1"/>
    </xf>
    <xf numFmtId="10" fontId="3" fillId="2" borderId="102" xfId="2" applyNumberFormat="1" applyFont="1" applyFill="1" applyBorder="1" applyAlignment="1" applyProtection="1">
      <alignment horizontal="center" vertical="center" shrinkToFit="1"/>
    </xf>
    <xf numFmtId="0" fontId="4" fillId="2" borderId="95" xfId="0" applyFont="1" applyFill="1" applyBorder="1" applyAlignment="1">
      <alignment vertical="center" shrinkToFit="1"/>
    </xf>
    <xf numFmtId="0" fontId="4" fillId="2" borderId="106" xfId="0" applyFont="1" applyFill="1" applyBorder="1" applyAlignment="1">
      <alignment horizontal="center" vertical="center" shrinkToFit="1"/>
    </xf>
    <xf numFmtId="44" fontId="4" fillId="2" borderId="96" xfId="1" applyFont="1" applyFill="1" applyBorder="1" applyAlignment="1">
      <alignment vertical="center" shrinkToFit="1"/>
    </xf>
    <xf numFmtId="0" fontId="4" fillId="2" borderId="115" xfId="0" applyFont="1" applyFill="1" applyBorder="1" applyAlignment="1">
      <alignment horizontal="justify" vertical="center" shrinkToFit="1"/>
    </xf>
    <xf numFmtId="0" fontId="4" fillId="2" borderId="95" xfId="0" applyFont="1" applyFill="1" applyBorder="1" applyAlignment="1">
      <alignment horizontal="center" vertical="center" shrinkToFit="1"/>
    </xf>
    <xf numFmtId="0" fontId="4" fillId="2" borderId="115" xfId="0" applyFont="1" applyFill="1" applyBorder="1" applyAlignment="1">
      <alignment horizontal="left" vertical="center" shrinkToFit="1"/>
    </xf>
    <xf numFmtId="0" fontId="21" fillId="5" borderId="108" xfId="0" applyFont="1" applyFill="1" applyBorder="1" applyAlignment="1">
      <alignment horizontal="center" vertical="center" wrapText="1"/>
    </xf>
    <xf numFmtId="43" fontId="3" fillId="5" borderId="108" xfId="0" applyNumberFormat="1" applyFont="1" applyFill="1" applyBorder="1" applyAlignment="1">
      <alignment horizontal="center" vertical="center" wrapText="1"/>
    </xf>
    <xf numFmtId="43" fontId="21" fillId="5" borderId="108" xfId="0" applyNumberFormat="1" applyFont="1" applyFill="1" applyBorder="1" applyAlignment="1">
      <alignment horizontal="center"/>
    </xf>
    <xf numFmtId="0" fontId="16" fillId="2" borderId="108" xfId="7" applyFont="1" applyFill="1" applyBorder="1" applyAlignment="1">
      <alignment horizontal="center" vertical="center" wrapText="1"/>
    </xf>
    <xf numFmtId="0" fontId="16" fillId="0" borderId="108" xfId="0" applyFont="1" applyBorder="1" applyAlignment="1" applyProtection="1">
      <alignment horizontal="center"/>
      <protection locked="0"/>
    </xf>
    <xf numFmtId="43" fontId="4" fillId="0" borderId="108" xfId="0" applyNumberFormat="1" applyFont="1" applyBorder="1" applyAlignment="1" applyProtection="1">
      <alignment horizontal="center"/>
      <protection locked="0"/>
    </xf>
    <xf numFmtId="43" fontId="16" fillId="0" borderId="108" xfId="0" applyNumberFormat="1" applyFont="1" applyBorder="1" applyAlignment="1">
      <alignment horizontal="center"/>
    </xf>
    <xf numFmtId="0" fontId="21" fillId="6" borderId="108" xfId="0" applyFont="1" applyFill="1" applyBorder="1" applyAlignment="1">
      <alignment horizontal="center"/>
    </xf>
    <xf numFmtId="43" fontId="3" fillId="6" borderId="108" xfId="0" applyNumberFormat="1" applyFont="1" applyFill="1" applyBorder="1" applyAlignment="1">
      <alignment horizontal="center"/>
    </xf>
    <xf numFmtId="0" fontId="16" fillId="0" borderId="108" xfId="0" applyFont="1" applyBorder="1" applyAlignment="1">
      <alignment horizontal="left" vertical="center"/>
    </xf>
    <xf numFmtId="0" fontId="16" fillId="0" borderId="108" xfId="7" applyFont="1" applyBorder="1" applyAlignment="1">
      <alignment horizontal="center" vertical="center" wrapText="1"/>
    </xf>
    <xf numFmtId="43" fontId="16" fillId="0" borderId="108" xfId="1" applyNumberFormat="1" applyFont="1" applyBorder="1" applyAlignment="1">
      <alignment horizontal="center"/>
    </xf>
    <xf numFmtId="0" fontId="4" fillId="0" borderId="108" xfId="7" applyFont="1" applyBorder="1" applyAlignment="1">
      <alignment horizontal="center" vertical="center" wrapText="1"/>
    </xf>
    <xf numFmtId="43" fontId="18" fillId="6" borderId="108" xfId="0" applyNumberFormat="1" applyFont="1" applyFill="1" applyBorder="1"/>
    <xf numFmtId="43" fontId="21" fillId="6" borderId="108" xfId="1" applyNumberFormat="1" applyFont="1" applyFill="1" applyBorder="1" applyAlignment="1">
      <alignment horizontal="center"/>
    </xf>
    <xf numFmtId="0" fontId="21" fillId="4" borderId="108" xfId="0" applyFont="1" applyFill="1" applyBorder="1" applyAlignment="1">
      <alignment horizontal="center" vertical="center" wrapText="1"/>
    </xf>
    <xf numFmtId="43" fontId="4" fillId="4" borderId="108" xfId="0" applyNumberFormat="1" applyFont="1" applyFill="1" applyBorder="1" applyAlignment="1">
      <alignment horizontal="center" vertical="center" wrapText="1"/>
    </xf>
    <xf numFmtId="43" fontId="21" fillId="4" borderId="108" xfId="0" applyNumberFormat="1" applyFont="1" applyFill="1" applyBorder="1" applyAlignment="1">
      <alignment horizontal="center"/>
    </xf>
    <xf numFmtId="43" fontId="3" fillId="0" borderId="108" xfId="0" applyNumberFormat="1" applyFont="1" applyBorder="1" applyAlignment="1">
      <alignment horizontal="center"/>
    </xf>
    <xf numFmtId="0" fontId="24" fillId="6" borderId="108" xfId="0" applyFont="1" applyFill="1" applyBorder="1" applyAlignment="1">
      <alignment horizontal="center"/>
    </xf>
    <xf numFmtId="43" fontId="24" fillId="6" borderId="108" xfId="0" applyNumberFormat="1" applyFont="1" applyFill="1" applyBorder="1"/>
    <xf numFmtId="0" fontId="24" fillId="6" borderId="108" xfId="0" applyFont="1" applyFill="1" applyBorder="1" applyAlignment="1">
      <alignment horizontal="center"/>
    </xf>
    <xf numFmtId="0" fontId="18" fillId="3" borderId="108" xfId="0" applyFont="1" applyFill="1" applyBorder="1" applyAlignment="1">
      <alignment horizontal="center" vertical="center"/>
    </xf>
    <xf numFmtId="0" fontId="19" fillId="3" borderId="108" xfId="0" applyFont="1" applyFill="1" applyBorder="1" applyAlignment="1">
      <alignment horizontal="center" vertical="center" wrapText="1"/>
    </xf>
    <xf numFmtId="0" fontId="14" fillId="0" borderId="108" xfId="0" applyFont="1" applyBorder="1" applyAlignment="1">
      <alignment horizontal="center" vertical="center"/>
    </xf>
    <xf numFmtId="167" fontId="13" fillId="2" borderId="108" xfId="15" applyFont="1" applyFill="1" applyBorder="1" applyAlignment="1">
      <alignment horizontal="justify" vertical="center" wrapText="1"/>
    </xf>
    <xf numFmtId="0" fontId="14" fillId="3" borderId="108" xfId="0" applyFont="1" applyFill="1" applyBorder="1" applyAlignment="1">
      <alignment horizontal="center" vertical="center"/>
    </xf>
    <xf numFmtId="0" fontId="19" fillId="3" borderId="108" xfId="0" applyFont="1" applyFill="1" applyBorder="1" applyAlignment="1">
      <alignment horizontal="center" vertical="center" wrapText="1"/>
    </xf>
    <xf numFmtId="0" fontId="14" fillId="3" borderId="108" xfId="0" applyFont="1" applyFill="1" applyBorder="1"/>
    <xf numFmtId="167" fontId="20" fillId="3" borderId="108" xfId="15" applyFont="1" applyFill="1" applyBorder="1" applyAlignment="1">
      <alignment horizontal="justify" vertical="center" wrapText="1"/>
    </xf>
    <xf numFmtId="0" fontId="18" fillId="3" borderId="108" xfId="0" applyFont="1" applyFill="1" applyBorder="1" applyAlignment="1">
      <alignment horizontal="center" vertical="center"/>
    </xf>
    <xf numFmtId="167" fontId="18" fillId="3" borderId="108" xfId="0" applyNumberFormat="1" applyFont="1" applyFill="1" applyBorder="1"/>
  </cellXfs>
  <cellStyles count="21">
    <cellStyle name="Moeda" xfId="1" builtinId="4"/>
    <cellStyle name="Moeda 2" xfId="6" xr:uid="{00000000-0005-0000-0000-000001000000}"/>
    <cellStyle name="Moeda 2 2" xfId="15" xr:uid="{00000000-0005-0000-0000-000002000000}"/>
    <cellStyle name="Moeda 3" xfId="13" xr:uid="{00000000-0005-0000-0000-000003000000}"/>
    <cellStyle name="Moeda 4" xfId="12" xr:uid="{00000000-0005-0000-0000-000004000000}"/>
    <cellStyle name="Moeda 5" xfId="9" xr:uid="{00000000-0005-0000-0000-000005000000}"/>
    <cellStyle name="Moeda 6" xfId="16" xr:uid="{00000000-0005-0000-0000-000006000000}"/>
    <cellStyle name="Moeda 9" xfId="3" xr:uid="{00000000-0005-0000-0000-000007000000}"/>
    <cellStyle name="Moeda 9 2" xfId="4" xr:uid="{00000000-0005-0000-0000-000008000000}"/>
    <cellStyle name="Normal" xfId="0" builtinId="0"/>
    <cellStyle name="Normal 2 2" xfId="7" xr:uid="{00000000-0005-0000-0000-00000A000000}"/>
    <cellStyle name="Normal 3" xfId="8" xr:uid="{00000000-0005-0000-0000-00000B000000}"/>
    <cellStyle name="Normal 4" xfId="19" xr:uid="{00000000-0005-0000-0000-00000C000000}"/>
    <cellStyle name="Normal 5" xfId="10" xr:uid="{00000000-0005-0000-0000-00000D000000}"/>
    <cellStyle name="Percentagem" xfId="2" builtinId="5"/>
    <cellStyle name="Porcentagem 2" xfId="14" xr:uid="{00000000-0005-0000-0000-00000F000000}"/>
    <cellStyle name="Separador de milhares 2 2" xfId="18" xr:uid="{00000000-0005-0000-0000-000010000000}"/>
    <cellStyle name="Vírgula 2" xfId="17" xr:uid="{00000000-0005-0000-0000-000011000000}"/>
    <cellStyle name="Vírgula 3" xfId="11" xr:uid="{00000000-0005-0000-0000-000012000000}"/>
    <cellStyle name="Vírgula 4" xfId="20" xr:uid="{00000000-0005-0000-0000-000013000000}"/>
    <cellStyle name="Vírgula 5" xfId="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Normal="100" workbookViewId="0">
      <selection activeCell="L5" sqref="L5"/>
    </sheetView>
  </sheetViews>
  <sheetFormatPr defaultRowHeight="12.75"/>
  <cols>
    <col min="1" max="1" width="10.85546875" style="65" customWidth="1"/>
    <col min="2" max="2" width="35.5703125" style="65" bestFit="1" customWidth="1"/>
    <col min="3" max="3" width="6.7109375" style="65" bestFit="1" customWidth="1"/>
    <col min="4" max="4" width="23.140625" style="65" customWidth="1"/>
    <col min="5" max="5" width="11.42578125" style="65" bestFit="1" customWidth="1"/>
    <col min="6" max="6" width="20.42578125" style="65" customWidth="1"/>
    <col min="7" max="7" width="20" style="65" customWidth="1"/>
    <col min="8" max="8" width="22.140625" style="65" customWidth="1"/>
    <col min="9" max="9" width="10.140625" style="65" customWidth="1"/>
    <col min="10" max="16384" width="9.140625" style="65"/>
  </cols>
  <sheetData>
    <row r="1" spans="1:9" ht="15" customHeight="1">
      <c r="A1" s="218" t="s">
        <v>0</v>
      </c>
      <c r="B1" s="219"/>
      <c r="C1" s="219"/>
      <c r="D1" s="219"/>
      <c r="E1" s="219"/>
      <c r="F1" s="219"/>
      <c r="G1" s="219"/>
    </row>
    <row r="2" spans="1:9" ht="15" customHeight="1">
      <c r="A2" s="218" t="s">
        <v>1</v>
      </c>
      <c r="B2" s="219"/>
      <c r="C2" s="219"/>
      <c r="D2" s="219"/>
      <c r="E2" s="219"/>
      <c r="F2" s="219"/>
      <c r="G2" s="219"/>
    </row>
    <row r="3" spans="1:9" ht="15" customHeight="1" thickBot="1">
      <c r="A3" s="218" t="s">
        <v>2</v>
      </c>
      <c r="B3" s="219"/>
      <c r="C3" s="219"/>
      <c r="D3" s="219"/>
      <c r="E3" s="219"/>
      <c r="F3" s="219"/>
      <c r="G3" s="219"/>
    </row>
    <row r="4" spans="1:9" ht="13.5" thickBot="1">
      <c r="A4" s="166" t="s">
        <v>3</v>
      </c>
      <c r="B4" s="167" t="s">
        <v>4</v>
      </c>
      <c r="C4" s="167" t="s">
        <v>5</v>
      </c>
      <c r="D4" s="167" t="s">
        <v>6</v>
      </c>
      <c r="E4" s="167" t="s">
        <v>7</v>
      </c>
      <c r="F4" s="167" t="s">
        <v>8</v>
      </c>
      <c r="G4" s="167" t="s">
        <v>9</v>
      </c>
      <c r="H4" s="168" t="s">
        <v>10</v>
      </c>
      <c r="I4" s="66"/>
    </row>
    <row r="5" spans="1:9" ht="23.25" customHeight="1">
      <c r="A5" s="174">
        <v>1</v>
      </c>
      <c r="B5" s="320" t="s">
        <v>11</v>
      </c>
      <c r="C5" s="321"/>
      <c r="D5" s="321" t="s">
        <v>12</v>
      </c>
      <c r="E5" s="322">
        <v>2</v>
      </c>
      <c r="F5" s="323">
        <f>'Líder da Brigada'!D137</f>
        <v>28765.52</v>
      </c>
      <c r="G5" s="324">
        <f>F5*E5</f>
        <v>57531.040000000001</v>
      </c>
      <c r="H5" s="325">
        <f>G5*12</f>
        <v>690372.48</v>
      </c>
    </row>
    <row r="6" spans="1:9" ht="25.5">
      <c r="A6" s="326">
        <v>2</v>
      </c>
      <c r="B6" s="327" t="s">
        <v>13</v>
      </c>
      <c r="C6" s="328"/>
      <c r="D6" s="328" t="s">
        <v>12</v>
      </c>
      <c r="E6" s="329">
        <v>4</v>
      </c>
      <c r="F6" s="330">
        <f>'BRIGADISTA NOTURNO 12X36'!D137</f>
        <v>26008.959999999999</v>
      </c>
      <c r="G6" s="331">
        <f t="shared" ref="G6:G8" si="0">F6*E6</f>
        <v>104035.84</v>
      </c>
      <c r="H6" s="332">
        <f t="shared" ref="H6:H8" si="1">G6*12</f>
        <v>1248430.0800000001</v>
      </c>
    </row>
    <row r="7" spans="1:9" ht="25.5">
      <c r="A7" s="326">
        <v>3</v>
      </c>
      <c r="B7" s="327" t="s">
        <v>14</v>
      </c>
      <c r="C7" s="328"/>
      <c r="D7" s="328" t="s">
        <v>12</v>
      </c>
      <c r="E7" s="329">
        <v>14</v>
      </c>
      <c r="F7" s="330">
        <f>'BRIGADISTA DIURNO 12X36'!D137</f>
        <v>24111.06</v>
      </c>
      <c r="G7" s="331">
        <f t="shared" si="0"/>
        <v>337554.84</v>
      </c>
      <c r="H7" s="332">
        <f t="shared" si="1"/>
        <v>4050658.08</v>
      </c>
    </row>
    <row r="8" spans="1:9" ht="25.5">
      <c r="A8" s="326">
        <v>4</v>
      </c>
      <c r="B8" s="327" t="s">
        <v>15</v>
      </c>
      <c r="C8" s="328"/>
      <c r="D8" s="328" t="s">
        <v>12</v>
      </c>
      <c r="E8" s="329">
        <v>1</v>
      </c>
      <c r="F8" s="330">
        <f>'BRIGADISTA FOLGUISTA NOTURNO'!D137</f>
        <v>8768.9599999999991</v>
      </c>
      <c r="G8" s="331">
        <f t="shared" si="0"/>
        <v>8768.9599999999991</v>
      </c>
      <c r="H8" s="332">
        <f t="shared" si="1"/>
        <v>105227.51999999999</v>
      </c>
    </row>
    <row r="9" spans="1:9" ht="12.75" customHeight="1" thickBot="1">
      <c r="A9" s="220" t="s">
        <v>16</v>
      </c>
      <c r="B9" s="221"/>
      <c r="C9" s="221"/>
      <c r="D9" s="221"/>
      <c r="E9" s="169">
        <f>SUM(E5:E8)</f>
        <v>21</v>
      </c>
      <c r="F9" s="170"/>
      <c r="G9" s="171"/>
      <c r="H9" s="172"/>
    </row>
    <row r="10" spans="1:9" ht="18" customHeight="1" thickBot="1">
      <c r="A10" s="215" t="s">
        <v>17</v>
      </c>
      <c r="B10" s="216"/>
      <c r="C10" s="216"/>
      <c r="D10" s="216"/>
      <c r="E10" s="216"/>
      <c r="F10" s="216"/>
      <c r="G10" s="217"/>
      <c r="H10" s="173">
        <f>SUM(G5:G9)</f>
        <v>507890.68000000005</v>
      </c>
    </row>
    <row r="11" spans="1:9" ht="18" customHeight="1" thickBot="1">
      <c r="A11" s="212" t="s">
        <v>18</v>
      </c>
      <c r="B11" s="213"/>
      <c r="C11" s="213"/>
      <c r="D11" s="213"/>
      <c r="E11" s="213"/>
      <c r="F11" s="213"/>
      <c r="G11" s="214"/>
      <c r="H11" s="165">
        <f>SUM(H5:H8)</f>
        <v>6094688.1600000001</v>
      </c>
    </row>
    <row r="13" spans="1:9">
      <c r="H13" s="164"/>
    </row>
  </sheetData>
  <mergeCells count="6">
    <mergeCell ref="A11:G11"/>
    <mergeCell ref="A10:G10"/>
    <mergeCell ref="A1:G1"/>
    <mergeCell ref="A2:G2"/>
    <mergeCell ref="A3:G3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7"/>
  <sheetViews>
    <sheetView topLeftCell="A4" zoomScaleNormal="100" workbookViewId="0">
      <selection activeCell="H15" sqref="H15"/>
    </sheetView>
  </sheetViews>
  <sheetFormatPr defaultRowHeight="12.75"/>
  <cols>
    <col min="1" max="1" width="5" style="1" customWidth="1"/>
    <col min="2" max="2" width="47.7109375" style="1" customWidth="1"/>
    <col min="3" max="3" width="11.28515625" style="1" customWidth="1"/>
    <col min="4" max="4" width="24.28515625" style="1" customWidth="1"/>
    <col min="5" max="16384" width="9.140625" style="1"/>
  </cols>
  <sheetData>
    <row r="1" spans="1:6">
      <c r="A1" s="218" t="s">
        <v>0</v>
      </c>
      <c r="B1" s="219"/>
      <c r="C1" s="219"/>
      <c r="D1" s="219"/>
    </row>
    <row r="2" spans="1:6">
      <c r="A2" s="218" t="s">
        <v>1</v>
      </c>
      <c r="B2" s="219"/>
      <c r="C2" s="219"/>
      <c r="D2" s="219"/>
    </row>
    <row r="3" spans="1:6">
      <c r="A3" s="218" t="s">
        <v>2</v>
      </c>
      <c r="B3" s="219"/>
      <c r="C3" s="219"/>
      <c r="D3" s="219"/>
    </row>
    <row r="4" spans="1:6">
      <c r="A4" s="218"/>
      <c r="B4" s="219"/>
      <c r="C4" s="219"/>
      <c r="D4" s="219"/>
    </row>
    <row r="5" spans="1:6" ht="13.5" thickBot="1">
      <c r="A5" s="256" t="s">
        <v>19</v>
      </c>
      <c r="B5" s="257"/>
      <c r="C5" s="257"/>
      <c r="D5" s="257"/>
    </row>
    <row r="6" spans="1:6">
      <c r="A6" s="243" t="s">
        <v>20</v>
      </c>
      <c r="B6" s="244"/>
      <c r="C6" s="244"/>
      <c r="D6" s="245"/>
    </row>
    <row r="7" spans="1:6" ht="13.5" thickBot="1">
      <c r="A7" s="256" t="s">
        <v>21</v>
      </c>
      <c r="B7" s="257"/>
      <c r="C7" s="257"/>
      <c r="D7" s="258"/>
    </row>
    <row r="8" spans="1:6" ht="13.5" thickBot="1">
      <c r="A8" s="246" t="s">
        <v>22</v>
      </c>
      <c r="B8" s="247"/>
      <c r="C8" s="247"/>
      <c r="D8" s="247"/>
    </row>
    <row r="9" spans="1:6" ht="15" customHeight="1">
      <c r="A9" s="3" t="s">
        <v>23</v>
      </c>
      <c r="B9" s="259" t="s">
        <v>24</v>
      </c>
      <c r="C9" s="260"/>
      <c r="D9" s="4" t="s">
        <v>25</v>
      </c>
    </row>
    <row r="10" spans="1:6">
      <c r="A10" s="333" t="s">
        <v>26</v>
      </c>
      <c r="B10" s="334" t="s">
        <v>27</v>
      </c>
      <c r="C10" s="335"/>
      <c r="D10" s="336" t="s">
        <v>28</v>
      </c>
    </row>
    <row r="11" spans="1:6" ht="25.5">
      <c r="A11" s="333" t="s">
        <v>29</v>
      </c>
      <c r="B11" s="337" t="s">
        <v>30</v>
      </c>
      <c r="C11" s="338"/>
      <c r="D11" s="339" t="s">
        <v>31</v>
      </c>
    </row>
    <row r="12" spans="1:6" ht="15.75" customHeight="1" thickBot="1">
      <c r="A12" s="5" t="s">
        <v>32</v>
      </c>
      <c r="B12" s="248" t="s">
        <v>33</v>
      </c>
      <c r="C12" s="249"/>
      <c r="D12" s="6">
        <v>12</v>
      </c>
    </row>
    <row r="13" spans="1:6" ht="13.5" thickBot="1">
      <c r="A13" s="265" t="s">
        <v>34</v>
      </c>
      <c r="B13" s="266"/>
      <c r="C13" s="266"/>
      <c r="D13" s="266"/>
    </row>
    <row r="14" spans="1:6" ht="25.5">
      <c r="A14" s="180">
        <v>1</v>
      </c>
      <c r="B14" s="181" t="s">
        <v>35</v>
      </c>
      <c r="C14" s="250" t="s">
        <v>36</v>
      </c>
      <c r="D14" s="251"/>
    </row>
    <row r="15" spans="1:6">
      <c r="A15" s="340">
        <v>2</v>
      </c>
      <c r="B15" s="341" t="s">
        <v>37</v>
      </c>
      <c r="C15" s="238"/>
      <c r="D15" s="7">
        <v>4330.3599999999997</v>
      </c>
      <c r="F15" s="8"/>
    </row>
    <row r="16" spans="1:6">
      <c r="A16" s="340">
        <v>3</v>
      </c>
      <c r="B16" s="341" t="s">
        <v>38</v>
      </c>
      <c r="C16" s="342"/>
      <c r="D16" s="343" t="s">
        <v>39</v>
      </c>
    </row>
    <row r="17" spans="1:4">
      <c r="A17" s="344">
        <v>4</v>
      </c>
      <c r="B17" s="345" t="s">
        <v>40</v>
      </c>
      <c r="C17" s="346"/>
      <c r="D17" s="347" t="s">
        <v>41</v>
      </c>
    </row>
    <row r="18" spans="1:4" ht="13.5" thickBot="1">
      <c r="A18" s="348">
        <v>5</v>
      </c>
      <c r="B18" s="349" t="s">
        <v>42</v>
      </c>
      <c r="C18" s="350"/>
      <c r="D18" s="351">
        <v>45292</v>
      </c>
    </row>
    <row r="19" spans="1:4" ht="13.5" thickBot="1">
      <c r="A19" s="252" t="s">
        <v>43</v>
      </c>
      <c r="B19" s="253"/>
      <c r="C19" s="253"/>
      <c r="D19" s="253"/>
    </row>
    <row r="20" spans="1:4" ht="13.5" thickBot="1">
      <c r="A20" s="2">
        <v>1</v>
      </c>
      <c r="B20" s="254" t="s">
        <v>44</v>
      </c>
      <c r="C20" s="255"/>
      <c r="D20" s="9" t="s">
        <v>45</v>
      </c>
    </row>
    <row r="21" spans="1:4">
      <c r="A21" s="10" t="s">
        <v>23</v>
      </c>
      <c r="B21" s="239" t="s">
        <v>46</v>
      </c>
      <c r="C21" s="239"/>
      <c r="D21" s="11">
        <v>4547.13</v>
      </c>
    </row>
    <row r="22" spans="1:4">
      <c r="A22" s="352" t="s">
        <v>26</v>
      </c>
      <c r="B22" s="353" t="s">
        <v>47</v>
      </c>
      <c r="C22" s="354">
        <v>0.3</v>
      </c>
      <c r="D22" s="355">
        <f>C22*D21</f>
        <v>1364.1389999999999</v>
      </c>
    </row>
    <row r="23" spans="1:4">
      <c r="A23" s="352" t="s">
        <v>29</v>
      </c>
      <c r="B23" s="356" t="s">
        <v>48</v>
      </c>
      <c r="C23" s="356"/>
      <c r="D23" s="355">
        <v>0</v>
      </c>
    </row>
    <row r="24" spans="1:4">
      <c r="A24" s="352" t="s">
        <v>49</v>
      </c>
      <c r="B24" s="353" t="s">
        <v>50</v>
      </c>
      <c r="C24" s="357">
        <v>0</v>
      </c>
      <c r="D24" s="355">
        <v>0</v>
      </c>
    </row>
    <row r="25" spans="1:4">
      <c r="A25" s="352" t="s">
        <v>51</v>
      </c>
      <c r="B25" s="356" t="s">
        <v>52</v>
      </c>
      <c r="C25" s="356"/>
      <c r="D25" s="355">
        <f t="shared" ref="D25" si="0">D21/220*0.2*0*15</f>
        <v>0</v>
      </c>
    </row>
    <row r="26" spans="1:4">
      <c r="A26" s="352" t="s">
        <v>53</v>
      </c>
      <c r="B26" s="356" t="s">
        <v>54</v>
      </c>
      <c r="C26" s="356"/>
      <c r="D26" s="355">
        <v>0</v>
      </c>
    </row>
    <row r="27" spans="1:4">
      <c r="A27" s="358" t="s">
        <v>55</v>
      </c>
      <c r="B27" s="359" t="s">
        <v>56</v>
      </c>
      <c r="C27" s="359"/>
      <c r="D27" s="360">
        <v>0</v>
      </c>
    </row>
    <row r="28" spans="1:4" ht="13.5" thickBot="1">
      <c r="A28" s="361" t="s">
        <v>57</v>
      </c>
      <c r="B28" s="362"/>
      <c r="C28" s="363"/>
      <c r="D28" s="364">
        <f t="shared" ref="D28" si="1">ROUND(SUM(D21:D27),2)</f>
        <v>5911.27</v>
      </c>
    </row>
    <row r="29" spans="1:4" ht="13.5" thickBot="1">
      <c r="A29" s="12" t="s">
        <v>58</v>
      </c>
      <c r="B29" s="13"/>
      <c r="C29" s="14"/>
      <c r="D29" s="15"/>
    </row>
    <row r="30" spans="1:4" ht="13.5" thickBot="1">
      <c r="A30" s="229" t="s">
        <v>59</v>
      </c>
      <c r="B30" s="230"/>
      <c r="C30" s="230"/>
      <c r="D30" s="231"/>
    </row>
    <row r="31" spans="1:4" ht="13.5" thickBot="1">
      <c r="A31" s="229" t="s">
        <v>60</v>
      </c>
      <c r="B31" s="230"/>
      <c r="C31" s="230"/>
      <c r="D31" s="231"/>
    </row>
    <row r="32" spans="1:4" ht="13.5" thickBot="1">
      <c r="A32" s="16" t="s">
        <v>61</v>
      </c>
      <c r="B32" s="17" t="s">
        <v>62</v>
      </c>
      <c r="C32" s="18" t="s">
        <v>63</v>
      </c>
      <c r="D32" s="19" t="s">
        <v>45</v>
      </c>
    </row>
    <row r="33" spans="1:5">
      <c r="A33" s="180" t="s">
        <v>23</v>
      </c>
      <c r="B33" s="175" t="s">
        <v>64</v>
      </c>
      <c r="C33" s="176">
        <v>8.3299999999999999E-2</v>
      </c>
      <c r="D33" s="177">
        <f>ROUND(D$28*C33,2)</f>
        <v>492.41</v>
      </c>
    </row>
    <row r="34" spans="1:5">
      <c r="A34" s="340" t="s">
        <v>26</v>
      </c>
      <c r="B34" s="365" t="s">
        <v>65</v>
      </c>
      <c r="C34" s="366">
        <v>0.121</v>
      </c>
      <c r="D34" s="7">
        <f>ROUND(D$28*C34,2)</f>
        <v>715.26</v>
      </c>
    </row>
    <row r="35" spans="1:5" ht="13.5" thickBot="1">
      <c r="A35" s="367" t="s">
        <v>66</v>
      </c>
      <c r="B35" s="368"/>
      <c r="C35" s="369">
        <f>SUM(A33:C34)</f>
        <v>0.20429999999999998</v>
      </c>
      <c r="D35" s="142">
        <f>SUM(D33:D34)</f>
        <v>1207.67</v>
      </c>
    </row>
    <row r="36" spans="1:5" ht="25.5">
      <c r="A36" s="139" t="s">
        <v>67</v>
      </c>
      <c r="B36" s="140" t="s">
        <v>68</v>
      </c>
      <c r="C36" s="141">
        <f>C35*C51</f>
        <v>7.5182399999999996E-2</v>
      </c>
      <c r="D36" s="72">
        <f>ROUND(D$28*C36,2)</f>
        <v>444.42</v>
      </c>
      <c r="E36" s="23"/>
    </row>
    <row r="37" spans="1:5">
      <c r="A37" s="264" t="s">
        <v>69</v>
      </c>
      <c r="B37" s="370"/>
      <c r="C37" s="371"/>
      <c r="D37" s="7">
        <f>SUM(D35:D36)</f>
        <v>1652.0900000000001</v>
      </c>
    </row>
    <row r="38" spans="1:5" ht="36.75" customHeight="1">
      <c r="A38" s="262" t="s">
        <v>70</v>
      </c>
      <c r="B38" s="262"/>
      <c r="C38" s="262"/>
      <c r="D38" s="262"/>
    </row>
    <row r="39" spans="1:5" ht="27.75" customHeight="1">
      <c r="A39" s="262" t="s">
        <v>71</v>
      </c>
      <c r="B39" s="262"/>
      <c r="C39" s="262"/>
      <c r="D39" s="262"/>
    </row>
    <row r="40" spans="1:5" ht="36" customHeight="1" thickBot="1">
      <c r="A40" s="268" t="s">
        <v>72</v>
      </c>
      <c r="B40" s="268"/>
      <c r="C40" s="268"/>
      <c r="D40" s="268"/>
    </row>
    <row r="41" spans="1:5" ht="13.5" thickBot="1">
      <c r="A41" s="235" t="s">
        <v>73</v>
      </c>
      <c r="B41" s="261"/>
      <c r="C41" s="261"/>
      <c r="D41" s="236"/>
    </row>
    <row r="42" spans="1:5" ht="13.5" thickBot="1">
      <c r="A42" s="16" t="s">
        <v>74</v>
      </c>
      <c r="B42" s="24" t="s">
        <v>75</v>
      </c>
      <c r="C42" s="18" t="s">
        <v>63</v>
      </c>
      <c r="D42" s="19" t="s">
        <v>45</v>
      </c>
    </row>
    <row r="43" spans="1:5">
      <c r="A43" s="20" t="s">
        <v>23</v>
      </c>
      <c r="B43" s="21" t="s">
        <v>76</v>
      </c>
      <c r="C43" s="22">
        <v>0.2</v>
      </c>
      <c r="D43" s="7">
        <f t="shared" ref="D43:D50" si="2">ROUND(D$28*C43,2)</f>
        <v>1182.25</v>
      </c>
    </row>
    <row r="44" spans="1:5">
      <c r="A44" s="340" t="s">
        <v>26</v>
      </c>
      <c r="B44" s="365" t="s">
        <v>77</v>
      </c>
      <c r="C44" s="366">
        <v>2.5000000000000001E-2</v>
      </c>
      <c r="D44" s="7">
        <f t="shared" si="2"/>
        <v>147.78</v>
      </c>
    </row>
    <row r="45" spans="1:5">
      <c r="A45" s="340" t="s">
        <v>29</v>
      </c>
      <c r="B45" s="365" t="s">
        <v>78</v>
      </c>
      <c r="C45" s="199">
        <v>0.03</v>
      </c>
      <c r="D45" s="7">
        <f t="shared" si="2"/>
        <v>177.34</v>
      </c>
    </row>
    <row r="46" spans="1:5">
      <c r="A46" s="340" t="s">
        <v>49</v>
      </c>
      <c r="B46" s="365" t="s">
        <v>79</v>
      </c>
      <c r="C46" s="366">
        <v>1.4999999999999999E-2</v>
      </c>
      <c r="D46" s="7">
        <f t="shared" si="2"/>
        <v>88.67</v>
      </c>
    </row>
    <row r="47" spans="1:5">
      <c r="A47" s="340" t="s">
        <v>51</v>
      </c>
      <c r="B47" s="365" t="s">
        <v>80</v>
      </c>
      <c r="C47" s="366">
        <v>0.01</v>
      </c>
      <c r="D47" s="7">
        <f t="shared" si="2"/>
        <v>59.11</v>
      </c>
    </row>
    <row r="48" spans="1:5">
      <c r="A48" s="340" t="s">
        <v>81</v>
      </c>
      <c r="B48" s="365" t="s">
        <v>82</v>
      </c>
      <c r="C48" s="366">
        <v>6.0000000000000001E-3</v>
      </c>
      <c r="D48" s="7">
        <f t="shared" si="2"/>
        <v>35.47</v>
      </c>
    </row>
    <row r="49" spans="1:5">
      <c r="A49" s="340" t="s">
        <v>53</v>
      </c>
      <c r="B49" s="365" t="s">
        <v>83</v>
      </c>
      <c r="C49" s="366">
        <v>2E-3</v>
      </c>
      <c r="D49" s="7">
        <f t="shared" si="2"/>
        <v>11.82</v>
      </c>
    </row>
    <row r="50" spans="1:5">
      <c r="A50" s="344" t="s">
        <v>55</v>
      </c>
      <c r="B50" s="372" t="s">
        <v>84</v>
      </c>
      <c r="C50" s="366">
        <v>0.08</v>
      </c>
      <c r="D50" s="7">
        <f t="shared" si="2"/>
        <v>472.9</v>
      </c>
    </row>
    <row r="51" spans="1:5" ht="13.5" thickBot="1">
      <c r="A51" s="361" t="s">
        <v>85</v>
      </c>
      <c r="B51" s="363"/>
      <c r="C51" s="373">
        <f t="shared" ref="C51:D51" si="3">SUM(C43:C50)</f>
        <v>0.36800000000000005</v>
      </c>
      <c r="D51" s="25">
        <f t="shared" si="3"/>
        <v>2175.3399999999997</v>
      </c>
    </row>
    <row r="52" spans="1:5">
      <c r="A52" s="26" t="s">
        <v>86</v>
      </c>
      <c r="B52" s="27"/>
      <c r="C52" s="28"/>
      <c r="D52" s="29"/>
      <c r="E52" s="12"/>
    </row>
    <row r="53" spans="1:5">
      <c r="A53" s="26" t="s">
        <v>87</v>
      </c>
      <c r="B53" s="27"/>
      <c r="C53" s="28"/>
      <c r="D53" s="29"/>
      <c r="E53" s="12"/>
    </row>
    <row r="54" spans="1:5" ht="13.5" thickBot="1">
      <c r="A54" s="12" t="s">
        <v>88</v>
      </c>
      <c r="B54" s="27"/>
      <c r="C54" s="28"/>
      <c r="D54" s="29"/>
      <c r="E54" s="12"/>
    </row>
    <row r="55" spans="1:5" ht="13.5" thickBot="1">
      <c r="A55" s="229" t="s">
        <v>89</v>
      </c>
      <c r="B55" s="230"/>
      <c r="C55" s="230"/>
      <c r="D55" s="231"/>
    </row>
    <row r="56" spans="1:5" ht="13.5" thickBot="1">
      <c r="A56" s="16" t="s">
        <v>90</v>
      </c>
      <c r="B56" s="263" t="s">
        <v>91</v>
      </c>
      <c r="C56" s="226"/>
      <c r="D56" s="30" t="s">
        <v>45</v>
      </c>
    </row>
    <row r="57" spans="1:5">
      <c r="A57" s="3" t="s">
        <v>23</v>
      </c>
      <c r="B57" s="62" t="s">
        <v>92</v>
      </c>
      <c r="C57" s="63">
        <v>13</v>
      </c>
      <c r="D57" s="7">
        <f>5.5*2*C57-6%*D21</f>
        <v>-129.82780000000002</v>
      </c>
    </row>
    <row r="58" spans="1:5">
      <c r="A58" s="333" t="s">
        <v>26</v>
      </c>
      <c r="B58" s="374" t="s">
        <v>93</v>
      </c>
      <c r="C58" s="375">
        <v>13</v>
      </c>
      <c r="D58" s="376">
        <f>C58*45.12</f>
        <v>586.55999999999995</v>
      </c>
    </row>
    <row r="59" spans="1:5">
      <c r="A59" s="333" t="s">
        <v>67</v>
      </c>
      <c r="B59" s="377" t="s">
        <v>94</v>
      </c>
      <c r="C59" s="378"/>
      <c r="D59" s="376">
        <v>0</v>
      </c>
    </row>
    <row r="60" spans="1:5">
      <c r="A60" s="333" t="s">
        <v>49</v>
      </c>
      <c r="B60" s="379" t="s">
        <v>95</v>
      </c>
      <c r="C60" s="378"/>
      <c r="D60" s="376">
        <v>0</v>
      </c>
    </row>
    <row r="61" spans="1:5">
      <c r="A61" s="3" t="s">
        <v>96</v>
      </c>
      <c r="B61" s="238" t="s">
        <v>97</v>
      </c>
      <c r="C61" s="239"/>
      <c r="D61" s="7">
        <v>0</v>
      </c>
    </row>
    <row r="62" spans="1:5">
      <c r="A62" s="333" t="s">
        <v>81</v>
      </c>
      <c r="B62" s="342" t="s">
        <v>98</v>
      </c>
      <c r="C62" s="356"/>
      <c r="D62" s="376">
        <v>0</v>
      </c>
    </row>
    <row r="63" spans="1:5" ht="13.5" thickBot="1">
      <c r="A63" s="333" t="s">
        <v>99</v>
      </c>
      <c r="B63" s="377" t="s">
        <v>100</v>
      </c>
      <c r="C63" s="378"/>
      <c r="D63" s="376">
        <v>0</v>
      </c>
    </row>
    <row r="64" spans="1:5" ht="13.5" thickBot="1">
      <c r="A64" s="240" t="s">
        <v>101</v>
      </c>
      <c r="B64" s="241" t="s">
        <v>101</v>
      </c>
      <c r="C64" s="241"/>
      <c r="D64" s="31">
        <f>SUM(D57:D63)</f>
        <v>456.73219999999992</v>
      </c>
    </row>
    <row r="65" spans="1:4">
      <c r="A65" s="26" t="s">
        <v>102</v>
      </c>
      <c r="B65" s="32"/>
      <c r="C65" s="32"/>
      <c r="D65" s="33"/>
    </row>
    <row r="66" spans="1:4" ht="13.5" thickBot="1">
      <c r="A66" s="237" t="s">
        <v>103</v>
      </c>
      <c r="B66" s="237"/>
      <c r="C66" s="237"/>
      <c r="D66" s="237"/>
    </row>
    <row r="67" spans="1:4" ht="13.5" thickBot="1">
      <c r="A67" s="229" t="s">
        <v>104</v>
      </c>
      <c r="B67" s="230"/>
      <c r="C67" s="230"/>
      <c r="D67" s="231"/>
    </row>
    <row r="68" spans="1:4" ht="13.5" thickBot="1">
      <c r="A68" s="34">
        <v>2</v>
      </c>
      <c r="B68" s="224" t="s">
        <v>105</v>
      </c>
      <c r="C68" s="226"/>
      <c r="D68" s="36" t="s">
        <v>106</v>
      </c>
    </row>
    <row r="69" spans="1:4" ht="13.5" thickBot="1">
      <c r="A69" s="37" t="s">
        <v>61</v>
      </c>
      <c r="B69" s="227" t="s">
        <v>62</v>
      </c>
      <c r="C69" s="228"/>
      <c r="D69" s="71">
        <f>D37</f>
        <v>1652.0900000000001</v>
      </c>
    </row>
    <row r="70" spans="1:4" ht="13.5" thickBot="1">
      <c r="A70" s="37" t="s">
        <v>74</v>
      </c>
      <c r="B70" s="227" t="s">
        <v>75</v>
      </c>
      <c r="C70" s="228"/>
      <c r="D70" s="38">
        <f>D51</f>
        <v>2175.3399999999997</v>
      </c>
    </row>
    <row r="71" spans="1:4" ht="13.5" thickBot="1">
      <c r="A71" s="37" t="s">
        <v>90</v>
      </c>
      <c r="B71" s="222" t="s">
        <v>91</v>
      </c>
      <c r="C71" s="223"/>
      <c r="D71" s="38">
        <f>D64</f>
        <v>456.73219999999992</v>
      </c>
    </row>
    <row r="72" spans="1:4" ht="13.5" thickBot="1">
      <c r="A72" s="224" t="s">
        <v>107</v>
      </c>
      <c r="B72" s="225"/>
      <c r="C72" s="226"/>
      <c r="D72" s="39">
        <f>SUM(D69:D71)</f>
        <v>4284.1621999999998</v>
      </c>
    </row>
    <row r="73" spans="1:4" ht="13.5" thickBot="1">
      <c r="A73" s="229" t="s">
        <v>108</v>
      </c>
      <c r="B73" s="230"/>
      <c r="C73" s="230"/>
      <c r="D73" s="231"/>
    </row>
    <row r="74" spans="1:4" ht="13.5" thickBot="1">
      <c r="A74" s="34">
        <v>3</v>
      </c>
      <c r="B74" s="24" t="s">
        <v>109</v>
      </c>
      <c r="C74" s="40" t="s">
        <v>110</v>
      </c>
      <c r="D74" s="36" t="s">
        <v>106</v>
      </c>
    </row>
    <row r="75" spans="1:4" ht="13.5" thickBot="1">
      <c r="A75" s="37" t="s">
        <v>111</v>
      </c>
      <c r="B75" s="41" t="s">
        <v>112</v>
      </c>
      <c r="C75" s="42">
        <v>4.1999999999999997E-3</v>
      </c>
      <c r="D75" s="38">
        <f t="shared" ref="D75:D80" si="4">C75*$D$28</f>
        <v>24.827334</v>
      </c>
    </row>
    <row r="76" spans="1:4" ht="13.5" thickBot="1">
      <c r="A76" s="37" t="s">
        <v>113</v>
      </c>
      <c r="B76" s="41" t="s">
        <v>114</v>
      </c>
      <c r="C76" s="42">
        <f>8%*C75</f>
        <v>3.3599999999999998E-4</v>
      </c>
      <c r="D76" s="38">
        <f t="shared" si="4"/>
        <v>1.9861867200000001</v>
      </c>
    </row>
    <row r="77" spans="1:4" ht="13.5" thickBot="1">
      <c r="A77" s="37" t="s">
        <v>67</v>
      </c>
      <c r="B77" s="41" t="s">
        <v>115</v>
      </c>
      <c r="C77" s="43">
        <v>3.9800000000000002E-2</v>
      </c>
      <c r="D77" s="38">
        <f t="shared" si="4"/>
        <v>235.26854600000004</v>
      </c>
    </row>
    <row r="78" spans="1:4" ht="13.5" thickBot="1">
      <c r="A78" s="37" t="s">
        <v>32</v>
      </c>
      <c r="B78" s="41" t="s">
        <v>116</v>
      </c>
      <c r="C78" s="42">
        <v>1.9400000000000001E-2</v>
      </c>
      <c r="D78" s="38">
        <f t="shared" si="4"/>
        <v>114.67863800000001</v>
      </c>
    </row>
    <row r="79" spans="1:4" ht="26.25" thickBot="1">
      <c r="A79" s="37" t="s">
        <v>96</v>
      </c>
      <c r="B79" s="41" t="s">
        <v>117</v>
      </c>
      <c r="C79" s="42">
        <f>1*36.8%*C78</f>
        <v>7.1392000000000001E-3</v>
      </c>
      <c r="D79" s="38">
        <f t="shared" si="4"/>
        <v>42.201738784000007</v>
      </c>
    </row>
    <row r="80" spans="1:4" ht="13.5" thickBot="1">
      <c r="A80" s="37" t="s">
        <v>118</v>
      </c>
      <c r="B80" s="41" t="s">
        <v>119</v>
      </c>
      <c r="C80" s="43">
        <v>2.0000000000000001E-4</v>
      </c>
      <c r="D80" s="38">
        <f t="shared" si="4"/>
        <v>1.1822540000000001</v>
      </c>
    </row>
    <row r="81" spans="1:6" ht="13.5" thickBot="1">
      <c r="A81" s="224" t="s">
        <v>107</v>
      </c>
      <c r="B81" s="226"/>
      <c r="C81" s="44">
        <f t="shared" ref="C81:D81" si="5">SUM(C75:C80)</f>
        <v>7.1075200000000005E-2</v>
      </c>
      <c r="D81" s="45">
        <f t="shared" si="5"/>
        <v>420.14469750400002</v>
      </c>
    </row>
    <row r="82" spans="1:6" ht="36.75" customHeight="1" thickBot="1">
      <c r="A82" s="242" t="s">
        <v>120</v>
      </c>
      <c r="B82" s="242"/>
      <c r="C82" s="242"/>
      <c r="D82" s="242"/>
      <c r="F82" s="64"/>
    </row>
    <row r="83" spans="1:6" ht="13.5" thickBot="1">
      <c r="A83" s="229" t="s">
        <v>121</v>
      </c>
      <c r="B83" s="230"/>
      <c r="C83" s="230"/>
      <c r="D83" s="231"/>
    </row>
    <row r="84" spans="1:6" ht="13.5" thickBot="1">
      <c r="A84" s="224" t="s">
        <v>122</v>
      </c>
      <c r="B84" s="225"/>
      <c r="C84" s="225"/>
      <c r="D84" s="226"/>
    </row>
    <row r="85" spans="1:6" ht="13.5" thickBot="1">
      <c r="A85" s="34" t="s">
        <v>123</v>
      </c>
      <c r="B85" s="35" t="s">
        <v>124</v>
      </c>
      <c r="C85" s="34" t="s">
        <v>110</v>
      </c>
      <c r="D85" s="36" t="s">
        <v>106</v>
      </c>
    </row>
    <row r="86" spans="1:6" ht="13.5" thickBot="1">
      <c r="A86" s="37" t="s">
        <v>111</v>
      </c>
      <c r="B86" s="41" t="s">
        <v>125</v>
      </c>
      <c r="C86" s="46">
        <v>0</v>
      </c>
      <c r="D86" s="47">
        <f t="shared" ref="D86:D91" si="6">C86*$D$28</f>
        <v>0</v>
      </c>
    </row>
    <row r="87" spans="1:6" ht="13.5" thickBot="1">
      <c r="A87" s="37" t="s">
        <v>113</v>
      </c>
      <c r="B87" s="41" t="s">
        <v>126</v>
      </c>
      <c r="C87" s="48">
        <v>4.1999999999999997E-3</v>
      </c>
      <c r="D87" s="47">
        <f t="shared" si="6"/>
        <v>24.827334</v>
      </c>
    </row>
    <row r="88" spans="1:6" ht="13.5" thickBot="1">
      <c r="A88" s="37" t="s">
        <v>67</v>
      </c>
      <c r="B88" s="41" t="s">
        <v>127</v>
      </c>
      <c r="C88" s="48">
        <v>2.0000000000000001E-4</v>
      </c>
      <c r="D88" s="47">
        <f t="shared" si="6"/>
        <v>1.1822540000000001</v>
      </c>
    </row>
    <row r="89" spans="1:6" ht="26.25" thickBot="1">
      <c r="A89" s="37" t="s">
        <v>32</v>
      </c>
      <c r="B89" s="41" t="s">
        <v>128</v>
      </c>
      <c r="C89" s="48">
        <v>4.1999999999999997E-3</v>
      </c>
      <c r="D89" s="47">
        <f t="shared" si="6"/>
        <v>24.827334</v>
      </c>
    </row>
    <row r="90" spans="1:6" ht="13.5" thickBot="1">
      <c r="A90" s="37" t="s">
        <v>96</v>
      </c>
      <c r="B90" s="41" t="s">
        <v>129</v>
      </c>
      <c r="C90" s="48">
        <v>2.0000000000000001E-4</v>
      </c>
      <c r="D90" s="47">
        <f t="shared" si="6"/>
        <v>1.1822540000000001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si="6"/>
        <v>19.143056768000005</v>
      </c>
      <c r="E91" s="49" t="s">
        <v>131</v>
      </c>
    </row>
    <row r="92" spans="1:6" ht="13.5" thickBot="1">
      <c r="A92" s="224" t="s">
        <v>69</v>
      </c>
      <c r="B92" s="225"/>
      <c r="C92" s="50">
        <f t="shared" ref="C92:D92" si="7">SUM(C86:C91)</f>
        <v>1.2038400000000001E-2</v>
      </c>
      <c r="D92" s="45">
        <f t="shared" si="7"/>
        <v>71.16223276800001</v>
      </c>
    </row>
    <row r="93" spans="1:6" ht="33.75" customHeight="1" thickBot="1">
      <c r="A93" s="267" t="s">
        <v>132</v>
      </c>
      <c r="B93" s="267"/>
      <c r="C93" s="267"/>
      <c r="D93" s="267"/>
    </row>
    <row r="94" spans="1:6" ht="13.5" thickBot="1">
      <c r="A94" s="229" t="s">
        <v>133</v>
      </c>
      <c r="B94" s="230"/>
      <c r="C94" s="230"/>
      <c r="D94" s="231"/>
    </row>
    <row r="95" spans="1:6" ht="13.5" thickBot="1">
      <c r="A95" s="34" t="s">
        <v>134</v>
      </c>
      <c r="B95" s="224" t="s">
        <v>135</v>
      </c>
      <c r="C95" s="226"/>
      <c r="D95" s="36" t="s">
        <v>106</v>
      </c>
    </row>
    <row r="96" spans="1:6" ht="13.5" thickBot="1">
      <c r="A96" s="37" t="s">
        <v>111</v>
      </c>
      <c r="B96" s="222" t="s">
        <v>136</v>
      </c>
      <c r="C96" s="223"/>
      <c r="D96" s="38">
        <v>0</v>
      </c>
    </row>
    <row r="97" spans="1:4" ht="13.5" thickBot="1">
      <c r="A97" s="224" t="s">
        <v>107</v>
      </c>
      <c r="B97" s="225"/>
      <c r="C97" s="226"/>
      <c r="D97" s="38">
        <f>SUM(D96)</f>
        <v>0</v>
      </c>
    </row>
    <row r="98" spans="1:4" ht="13.5" thickBot="1">
      <c r="A98" s="51"/>
      <c r="C98" s="52"/>
      <c r="D98" s="53"/>
    </row>
    <row r="99" spans="1:4" ht="13.5" thickBot="1">
      <c r="A99" s="229" t="s">
        <v>137</v>
      </c>
      <c r="B99" s="230"/>
      <c r="C99" s="230"/>
      <c r="D99" s="231"/>
    </row>
    <row r="100" spans="1:4" ht="13.5" thickBot="1">
      <c r="A100" s="34">
        <v>4</v>
      </c>
      <c r="B100" s="224" t="s">
        <v>138</v>
      </c>
      <c r="C100" s="226"/>
      <c r="D100" s="36" t="s">
        <v>106</v>
      </c>
    </row>
    <row r="101" spans="1:4" ht="13.5" thickBot="1">
      <c r="A101" s="37" t="s">
        <v>123</v>
      </c>
      <c r="B101" s="222" t="s">
        <v>124</v>
      </c>
      <c r="C101" s="223"/>
      <c r="D101" s="38">
        <f>D92</f>
        <v>71.16223276800001</v>
      </c>
    </row>
    <row r="102" spans="1:4" ht="13.5" thickBot="1">
      <c r="A102" s="37" t="s">
        <v>134</v>
      </c>
      <c r="B102" s="222" t="s">
        <v>135</v>
      </c>
      <c r="C102" s="223"/>
      <c r="D102" s="38">
        <f>D97</f>
        <v>0</v>
      </c>
    </row>
    <row r="103" spans="1:4" ht="13.5" thickBot="1">
      <c r="A103" s="224" t="s">
        <v>107</v>
      </c>
      <c r="B103" s="225"/>
      <c r="C103" s="226"/>
      <c r="D103" s="45">
        <f>SUM(D101:D102)</f>
        <v>71.16223276800001</v>
      </c>
    </row>
    <row r="104" spans="1:4" ht="13.5" thickBot="1">
      <c r="A104" s="51"/>
      <c r="C104" s="52"/>
      <c r="D104" s="53"/>
    </row>
    <row r="105" spans="1:4" ht="13.5" thickBot="1">
      <c r="A105" s="229" t="s">
        <v>139</v>
      </c>
      <c r="B105" s="230"/>
      <c r="C105" s="230"/>
      <c r="D105" s="231"/>
    </row>
    <row r="106" spans="1:4" ht="13.5" thickBot="1">
      <c r="A106" s="34">
        <v>5</v>
      </c>
      <c r="B106" s="224" t="s">
        <v>140</v>
      </c>
      <c r="C106" s="226"/>
      <c r="D106" s="36" t="s">
        <v>106</v>
      </c>
    </row>
    <row r="107" spans="1:4" ht="13.5" thickBot="1">
      <c r="A107" s="37" t="s">
        <v>111</v>
      </c>
      <c r="B107" s="222" t="s">
        <v>141</v>
      </c>
      <c r="C107" s="223"/>
      <c r="D107" s="38">
        <f>UNIFORMES!F12</f>
        <v>60.270833333333336</v>
      </c>
    </row>
    <row r="108" spans="1:4" ht="13.5" thickBot="1">
      <c r="A108" s="37" t="s">
        <v>113</v>
      </c>
      <c r="B108" s="232" t="s">
        <v>142</v>
      </c>
      <c r="C108" s="233"/>
      <c r="D108" s="38">
        <f>MATERIAIS!F83</f>
        <v>439.57944444444462</v>
      </c>
    </row>
    <row r="109" spans="1:4" ht="13.5" thickBot="1">
      <c r="A109" s="37" t="s">
        <v>67</v>
      </c>
      <c r="B109" s="232" t="s">
        <v>143</v>
      </c>
      <c r="C109" s="233"/>
      <c r="D109" s="38">
        <v>0</v>
      </c>
    </row>
    <row r="110" spans="1:4" ht="13.5" thickBot="1">
      <c r="A110" s="37" t="s">
        <v>32</v>
      </c>
      <c r="B110" s="222" t="s">
        <v>144</v>
      </c>
      <c r="C110" s="223"/>
      <c r="D110" s="38">
        <v>0</v>
      </c>
    </row>
    <row r="111" spans="1:4" ht="15.75" thickBot="1">
      <c r="A111" s="54" t="s">
        <v>96</v>
      </c>
      <c r="B111" s="222" t="s">
        <v>145</v>
      </c>
      <c r="C111" s="234"/>
      <c r="D111" s="38">
        <v>0</v>
      </c>
    </row>
    <row r="112" spans="1:4" ht="13.5" thickBot="1">
      <c r="A112" s="224" t="s">
        <v>69</v>
      </c>
      <c r="B112" s="225"/>
      <c r="C112" s="226"/>
      <c r="D112" s="39">
        <f>SUM(D107:D111)</f>
        <v>499.85027777777793</v>
      </c>
    </row>
    <row r="113" spans="1:5" ht="13.5" thickBot="1">
      <c r="A113" s="51"/>
      <c r="C113" s="52"/>
      <c r="D113" s="53"/>
    </row>
    <row r="114" spans="1:5" ht="13.5" thickBot="1">
      <c r="A114" s="229" t="s">
        <v>146</v>
      </c>
      <c r="B114" s="230"/>
      <c r="C114" s="230"/>
      <c r="D114" s="231"/>
    </row>
    <row r="115" spans="1:5" ht="13.5" thickBot="1">
      <c r="A115" s="34">
        <v>6</v>
      </c>
      <c r="B115" s="55" t="s">
        <v>147</v>
      </c>
      <c r="C115" s="24" t="s">
        <v>110</v>
      </c>
      <c r="D115" s="36" t="s">
        <v>106</v>
      </c>
    </row>
    <row r="116" spans="1:5" ht="13.5" thickBot="1">
      <c r="A116" s="37" t="s">
        <v>111</v>
      </c>
      <c r="B116" s="56" t="s">
        <v>148</v>
      </c>
      <c r="C116" s="48">
        <v>0.05</v>
      </c>
      <c r="D116" s="38">
        <f>C116*D134</f>
        <v>559.32947040248882</v>
      </c>
    </row>
    <row r="117" spans="1:5" ht="13.5" thickBot="1">
      <c r="A117" s="37" t="s">
        <v>113</v>
      </c>
      <c r="B117" s="56" t="s">
        <v>149</v>
      </c>
      <c r="C117" s="48">
        <v>0.05</v>
      </c>
      <c r="D117" s="38">
        <f>(D134+D116)*C117</f>
        <v>587.29594392261322</v>
      </c>
    </row>
    <row r="118" spans="1:5" ht="13.5" thickBot="1">
      <c r="A118" s="37" t="s">
        <v>67</v>
      </c>
      <c r="B118" s="56" t="s">
        <v>150</v>
      </c>
      <c r="C118" s="48">
        <f>C119+C120+C121</f>
        <v>0.14250000000000002</v>
      </c>
      <c r="D118" s="38">
        <f>((D134+D116+D117)/(1-C118))*C118</f>
        <v>2049.5429879748344</v>
      </c>
      <c r="E118" s="57"/>
    </row>
    <row r="119" spans="1:5" ht="13.5" thickBot="1">
      <c r="A119" s="37"/>
      <c r="B119" s="56" t="s">
        <v>151</v>
      </c>
      <c r="C119" s="48">
        <v>9.2499999999999999E-2</v>
      </c>
      <c r="D119" s="38">
        <f>C119*D136</f>
        <v>1330.4052999999999</v>
      </c>
    </row>
    <row r="120" spans="1:5" ht="13.5" thickBot="1">
      <c r="A120" s="37"/>
      <c r="B120" s="56" t="s">
        <v>152</v>
      </c>
      <c r="C120" s="58">
        <v>0.05</v>
      </c>
      <c r="D120" s="38">
        <f>C120*D136</f>
        <v>719.13800000000003</v>
      </c>
    </row>
    <row r="121" spans="1:5" ht="13.5" thickBot="1">
      <c r="A121" s="37"/>
      <c r="B121" s="56" t="s">
        <v>153</v>
      </c>
      <c r="C121" s="58">
        <v>0</v>
      </c>
      <c r="D121" s="38">
        <f>C121*D136</f>
        <v>0</v>
      </c>
    </row>
    <row r="122" spans="1:5" ht="13.5" thickBot="1">
      <c r="A122" s="224" t="s">
        <v>69</v>
      </c>
      <c r="B122" s="226"/>
      <c r="C122" s="50">
        <f>C118+C116+C117</f>
        <v>0.24249999999999999</v>
      </c>
      <c r="D122" s="36">
        <f>SUM(D116,D117,D118)</f>
        <v>3196.1684022999366</v>
      </c>
    </row>
    <row r="123" spans="1:5">
      <c r="A123" s="26" t="s">
        <v>154</v>
      </c>
      <c r="C123" s="52"/>
      <c r="D123" s="53"/>
    </row>
    <row r="124" spans="1:5">
      <c r="A124" s="237" t="s">
        <v>155</v>
      </c>
      <c r="B124" s="237"/>
      <c r="C124" s="237"/>
      <c r="D124" s="237"/>
    </row>
    <row r="125" spans="1:5">
      <c r="A125" s="26" t="s">
        <v>156</v>
      </c>
      <c r="C125" s="52"/>
      <c r="D125" s="53"/>
    </row>
    <row r="126" spans="1:5" ht="13.5" thickBot="1">
      <c r="A126" s="51"/>
      <c r="C126" s="52"/>
      <c r="D126" s="53"/>
    </row>
    <row r="127" spans="1:5" ht="13.5" thickBot="1">
      <c r="A127" s="229" t="s">
        <v>157</v>
      </c>
      <c r="B127" s="230"/>
      <c r="C127" s="230"/>
      <c r="D127" s="231"/>
    </row>
    <row r="128" spans="1:5" ht="13.5" thickBot="1">
      <c r="A128" s="34"/>
      <c r="B128" s="235" t="s">
        <v>158</v>
      </c>
      <c r="C128" s="236"/>
      <c r="D128" s="36" t="s">
        <v>106</v>
      </c>
    </row>
    <row r="129" spans="1:4" ht="13.5" thickBot="1">
      <c r="A129" s="59" t="s">
        <v>111</v>
      </c>
      <c r="B129" s="227" t="s">
        <v>43</v>
      </c>
      <c r="C129" s="228"/>
      <c r="D129" s="38">
        <f>D28</f>
        <v>5911.27</v>
      </c>
    </row>
    <row r="130" spans="1:4" ht="13.5" thickBot="1">
      <c r="A130" s="59" t="s">
        <v>113</v>
      </c>
      <c r="B130" s="222" t="s">
        <v>59</v>
      </c>
      <c r="C130" s="223"/>
      <c r="D130" s="38">
        <f>D72</f>
        <v>4284.1621999999998</v>
      </c>
    </row>
    <row r="131" spans="1:4" ht="13.5" thickBot="1">
      <c r="A131" s="59" t="s">
        <v>67</v>
      </c>
      <c r="B131" s="222" t="s">
        <v>108</v>
      </c>
      <c r="C131" s="223"/>
      <c r="D131" s="38">
        <f>D81</f>
        <v>420.14469750400002</v>
      </c>
    </row>
    <row r="132" spans="1:4" ht="13.5" thickBot="1">
      <c r="A132" s="59" t="s">
        <v>32</v>
      </c>
      <c r="B132" s="222" t="s">
        <v>121</v>
      </c>
      <c r="C132" s="223"/>
      <c r="D132" s="38">
        <f>D103</f>
        <v>71.16223276800001</v>
      </c>
    </row>
    <row r="133" spans="1:4" ht="13.5" thickBot="1">
      <c r="A133" s="59" t="s">
        <v>96</v>
      </c>
      <c r="B133" s="222" t="s">
        <v>139</v>
      </c>
      <c r="C133" s="223"/>
      <c r="D133" s="38">
        <f>D112</f>
        <v>499.85027777777793</v>
      </c>
    </row>
    <row r="134" spans="1:4" ht="13.5" thickBot="1">
      <c r="A134" s="224" t="s">
        <v>159</v>
      </c>
      <c r="B134" s="225"/>
      <c r="C134" s="226"/>
      <c r="D134" s="38">
        <f>SUM(D129:D133)</f>
        <v>11186.589408049776</v>
      </c>
    </row>
    <row r="135" spans="1:4" ht="13.5" thickBot="1">
      <c r="A135" s="59" t="s">
        <v>118</v>
      </c>
      <c r="B135" s="227" t="s">
        <v>160</v>
      </c>
      <c r="C135" s="228"/>
      <c r="D135" s="60">
        <f>D122</f>
        <v>3196.1684022999366</v>
      </c>
    </row>
    <row r="136" spans="1:4" ht="13.5" thickBot="1">
      <c r="A136" s="224" t="s">
        <v>161</v>
      </c>
      <c r="B136" s="225"/>
      <c r="C136" s="226"/>
      <c r="D136" s="61">
        <f>ROUND((D134+D135),2)</f>
        <v>14382.76</v>
      </c>
    </row>
    <row r="137" spans="1:4" ht="15" customHeight="1" thickBot="1">
      <c r="A137" s="224" t="s">
        <v>162</v>
      </c>
      <c r="B137" s="225"/>
      <c r="C137" s="226"/>
      <c r="D137" s="61">
        <f>D136*2</f>
        <v>28765.52</v>
      </c>
    </row>
  </sheetData>
  <mergeCells count="84">
    <mergeCell ref="A137:C137"/>
    <mergeCell ref="A13:D13"/>
    <mergeCell ref="A1:D1"/>
    <mergeCell ref="A2:D2"/>
    <mergeCell ref="A3:D3"/>
    <mergeCell ref="A4:D4"/>
    <mergeCell ref="A5:D5"/>
    <mergeCell ref="B102:C102"/>
    <mergeCell ref="B95:C95"/>
    <mergeCell ref="B100:C100"/>
    <mergeCell ref="B101:C101"/>
    <mergeCell ref="A66:D66"/>
    <mergeCell ref="A67:D67"/>
    <mergeCell ref="A93:D93"/>
    <mergeCell ref="A94:D94"/>
    <mergeCell ref="A40:D40"/>
    <mergeCell ref="A41:D41"/>
    <mergeCell ref="A35:B35"/>
    <mergeCell ref="A38:D38"/>
    <mergeCell ref="A39:D39"/>
    <mergeCell ref="B56:C56"/>
    <mergeCell ref="A55:D55"/>
    <mergeCell ref="A51:B51"/>
    <mergeCell ref="A37:B37"/>
    <mergeCell ref="A31:D31"/>
    <mergeCell ref="A6:D6"/>
    <mergeCell ref="A8:D8"/>
    <mergeCell ref="B12:C12"/>
    <mergeCell ref="C14:D14"/>
    <mergeCell ref="B16:C16"/>
    <mergeCell ref="B18:C18"/>
    <mergeCell ref="A19:D19"/>
    <mergeCell ref="B23:C23"/>
    <mergeCell ref="B15:C15"/>
    <mergeCell ref="B20:C20"/>
    <mergeCell ref="B21:C21"/>
    <mergeCell ref="A7:D7"/>
    <mergeCell ref="B9:C9"/>
    <mergeCell ref="B10:C10"/>
    <mergeCell ref="B11:C11"/>
    <mergeCell ref="B25:C25"/>
    <mergeCell ref="B26:C26"/>
    <mergeCell ref="B27:C27"/>
    <mergeCell ref="A28:C28"/>
    <mergeCell ref="A30:D30"/>
    <mergeCell ref="A92:B92"/>
    <mergeCell ref="B61:C61"/>
    <mergeCell ref="B62:C62"/>
    <mergeCell ref="A64:C64"/>
    <mergeCell ref="B68:C68"/>
    <mergeCell ref="B69:C69"/>
    <mergeCell ref="B70:C70"/>
    <mergeCell ref="A83:D83"/>
    <mergeCell ref="A84:D84"/>
    <mergeCell ref="B71:C71"/>
    <mergeCell ref="A72:C72"/>
    <mergeCell ref="A73:D73"/>
    <mergeCell ref="A81:B81"/>
    <mergeCell ref="A82:D82"/>
    <mergeCell ref="A136:C136"/>
    <mergeCell ref="B107:C107"/>
    <mergeCell ref="B108:C108"/>
    <mergeCell ref="B109:C109"/>
    <mergeCell ref="B110:C110"/>
    <mergeCell ref="B111:C111"/>
    <mergeCell ref="A112:C112"/>
    <mergeCell ref="B128:C128"/>
    <mergeCell ref="B130:C130"/>
    <mergeCell ref="B131:C131"/>
    <mergeCell ref="B132:C132"/>
    <mergeCell ref="A114:D114"/>
    <mergeCell ref="A124:D124"/>
    <mergeCell ref="A122:B122"/>
    <mergeCell ref="B129:C129"/>
    <mergeCell ref="A127:D127"/>
    <mergeCell ref="B133:C133"/>
    <mergeCell ref="A134:C134"/>
    <mergeCell ref="B135:C135"/>
    <mergeCell ref="B96:C96"/>
    <mergeCell ref="A97:C97"/>
    <mergeCell ref="A99:D99"/>
    <mergeCell ref="A103:C103"/>
    <mergeCell ref="A105:D105"/>
    <mergeCell ref="B106:C10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7"/>
  <sheetViews>
    <sheetView workbookViewId="0">
      <selection activeCell="C14" sqref="C14:D14"/>
    </sheetView>
  </sheetViews>
  <sheetFormatPr defaultRowHeight="12.75"/>
  <cols>
    <col min="1" max="1" width="5" style="23" customWidth="1"/>
    <col min="2" max="2" width="47.7109375" style="23" customWidth="1"/>
    <col min="3" max="3" width="11.28515625" style="23" customWidth="1"/>
    <col min="4" max="4" width="24.28515625" style="23" customWidth="1"/>
    <col min="5" max="16384" width="9.140625" style="23"/>
  </cols>
  <sheetData>
    <row r="1" spans="1:6">
      <c r="A1" s="298" t="s">
        <v>0</v>
      </c>
      <c r="B1" s="299"/>
      <c r="C1" s="299"/>
      <c r="D1" s="299"/>
    </row>
    <row r="2" spans="1:6">
      <c r="A2" s="298" t="s">
        <v>1</v>
      </c>
      <c r="B2" s="299"/>
      <c r="C2" s="299"/>
      <c r="D2" s="299"/>
    </row>
    <row r="3" spans="1:6">
      <c r="A3" s="298" t="s">
        <v>2</v>
      </c>
      <c r="B3" s="299"/>
      <c r="C3" s="299"/>
      <c r="D3" s="299"/>
    </row>
    <row r="4" spans="1:6">
      <c r="A4" s="298"/>
      <c r="B4" s="299"/>
      <c r="C4" s="299"/>
      <c r="D4" s="299"/>
    </row>
    <row r="5" spans="1:6" ht="13.5" thickBot="1">
      <c r="A5" s="300" t="s">
        <v>19</v>
      </c>
      <c r="B5" s="301"/>
      <c r="C5" s="301"/>
      <c r="D5" s="301"/>
    </row>
    <row r="6" spans="1:6">
      <c r="A6" s="302" t="s">
        <v>20</v>
      </c>
      <c r="B6" s="303"/>
      <c r="C6" s="303"/>
      <c r="D6" s="304"/>
    </row>
    <row r="7" spans="1:6" ht="13.5" thickBot="1">
      <c r="A7" s="300" t="s">
        <v>21</v>
      </c>
      <c r="B7" s="301"/>
      <c r="C7" s="301"/>
      <c r="D7" s="305"/>
    </row>
    <row r="8" spans="1:6" ht="13.5" thickBot="1">
      <c r="A8" s="307" t="s">
        <v>22</v>
      </c>
      <c r="B8" s="308"/>
      <c r="C8" s="308"/>
      <c r="D8" s="308"/>
    </row>
    <row r="9" spans="1:6">
      <c r="A9" s="74" t="s">
        <v>23</v>
      </c>
      <c r="B9" s="282" t="s">
        <v>24</v>
      </c>
      <c r="C9" s="282"/>
      <c r="D9" s="75" t="s">
        <v>25</v>
      </c>
    </row>
    <row r="10" spans="1:6">
      <c r="A10" s="380" t="s">
        <v>26</v>
      </c>
      <c r="B10" s="381" t="s">
        <v>27</v>
      </c>
      <c r="C10" s="381"/>
      <c r="D10" s="382" t="s">
        <v>28</v>
      </c>
    </row>
    <row r="11" spans="1:6" ht="25.5">
      <c r="A11" s="380" t="s">
        <v>29</v>
      </c>
      <c r="B11" s="383" t="s">
        <v>30</v>
      </c>
      <c r="C11" s="384"/>
      <c r="D11" s="385" t="str">
        <f>'Líder da Brigada'!D11</f>
        <v xml:space="preserve">  DF000184/2024 - SINDBOMBEIROS</v>
      </c>
    </row>
    <row r="12" spans="1:6" ht="13.5" thickBot="1">
      <c r="A12" s="76" t="s">
        <v>32</v>
      </c>
      <c r="B12" s="309" t="s">
        <v>33</v>
      </c>
      <c r="C12" s="309"/>
      <c r="D12" s="77">
        <v>12</v>
      </c>
    </row>
    <row r="13" spans="1:6" ht="13.5" thickBot="1">
      <c r="A13" s="283" t="s">
        <v>34</v>
      </c>
      <c r="B13" s="284"/>
      <c r="C13" s="284"/>
      <c r="D13" s="284"/>
    </row>
    <row r="14" spans="1:6" ht="25.5">
      <c r="A14" s="179">
        <v>1</v>
      </c>
      <c r="B14" s="178" t="s">
        <v>35</v>
      </c>
      <c r="C14" s="250" t="s">
        <v>36</v>
      </c>
      <c r="D14" s="251"/>
    </row>
    <row r="15" spans="1:6">
      <c r="A15" s="187">
        <v>2</v>
      </c>
      <c r="B15" s="315" t="s">
        <v>37</v>
      </c>
      <c r="C15" s="287"/>
      <c r="D15" s="72">
        <v>3669.27</v>
      </c>
      <c r="F15" s="78"/>
    </row>
    <row r="16" spans="1:6">
      <c r="A16" s="187">
        <v>3</v>
      </c>
      <c r="B16" s="315" t="s">
        <v>38</v>
      </c>
      <c r="C16" s="386"/>
      <c r="D16" s="188" t="s">
        <v>39</v>
      </c>
    </row>
    <row r="17" spans="1:4">
      <c r="A17" s="182">
        <v>4</v>
      </c>
      <c r="B17" s="183" t="s">
        <v>40</v>
      </c>
      <c r="C17" s="184"/>
      <c r="D17" s="185" t="s">
        <v>41</v>
      </c>
    </row>
    <row r="18" spans="1:4" ht="13.5" thickBot="1">
      <c r="A18" s="189">
        <v>5</v>
      </c>
      <c r="B18" s="387" t="s">
        <v>42</v>
      </c>
      <c r="C18" s="310"/>
      <c r="D18" s="190">
        <v>45292</v>
      </c>
    </row>
    <row r="19" spans="1:4" ht="13.5" thickBot="1">
      <c r="A19" s="285" t="s">
        <v>43</v>
      </c>
      <c r="B19" s="286"/>
      <c r="C19" s="286"/>
      <c r="D19" s="286"/>
    </row>
    <row r="20" spans="1:4" ht="13.5" thickBot="1">
      <c r="A20" s="73">
        <v>1</v>
      </c>
      <c r="B20" s="288" t="s">
        <v>44</v>
      </c>
      <c r="C20" s="289"/>
      <c r="D20" s="79" t="s">
        <v>45</v>
      </c>
    </row>
    <row r="21" spans="1:4">
      <c r="A21" s="80" t="s">
        <v>23</v>
      </c>
      <c r="B21" s="290" t="s">
        <v>46</v>
      </c>
      <c r="C21" s="290"/>
      <c r="D21" s="81">
        <f>D15</f>
        <v>3669.27</v>
      </c>
    </row>
    <row r="22" spans="1:4">
      <c r="A22" s="191" t="s">
        <v>26</v>
      </c>
      <c r="B22" s="192" t="s">
        <v>47</v>
      </c>
      <c r="C22" s="193">
        <v>0.3</v>
      </c>
      <c r="D22" s="194">
        <f t="shared" ref="D22" si="0">C22*D21</f>
        <v>1100.7809999999999</v>
      </c>
    </row>
    <row r="23" spans="1:4">
      <c r="A23" s="191" t="s">
        <v>29</v>
      </c>
      <c r="B23" s="311" t="s">
        <v>48</v>
      </c>
      <c r="C23" s="311"/>
      <c r="D23" s="194">
        <v>0</v>
      </c>
    </row>
    <row r="24" spans="1:4">
      <c r="A24" s="191" t="s">
        <v>49</v>
      </c>
      <c r="B24" s="192" t="s">
        <v>50</v>
      </c>
      <c r="C24" s="193">
        <v>0.2</v>
      </c>
      <c r="D24" s="209">
        <f>ROUND((((D21+D22)/220)*C24)*(7*13),2)</f>
        <v>394.61</v>
      </c>
    </row>
    <row r="25" spans="1:4">
      <c r="A25" s="191" t="s">
        <v>51</v>
      </c>
      <c r="B25" s="311" t="s">
        <v>52</v>
      </c>
      <c r="C25" s="311"/>
      <c r="D25" s="194">
        <f t="shared" ref="D25" si="1">D21/220*0.2*0*15</f>
        <v>0</v>
      </c>
    </row>
    <row r="26" spans="1:4">
      <c r="A26" s="191" t="s">
        <v>53</v>
      </c>
      <c r="B26" s="311" t="s">
        <v>54</v>
      </c>
      <c r="C26" s="311"/>
      <c r="D26" s="194">
        <v>0</v>
      </c>
    </row>
    <row r="27" spans="1:4">
      <c r="A27" s="196" t="s">
        <v>55</v>
      </c>
      <c r="B27" s="388" t="s">
        <v>56</v>
      </c>
      <c r="C27" s="388"/>
      <c r="D27" s="186">
        <v>0</v>
      </c>
    </row>
    <row r="28" spans="1:4" ht="13.5" thickBot="1">
      <c r="A28" s="312" t="s">
        <v>57</v>
      </c>
      <c r="B28" s="313"/>
      <c r="C28" s="314"/>
      <c r="D28" s="197">
        <f t="shared" ref="D28" si="2">ROUND(SUM(D21:D27),2)</f>
        <v>5164.66</v>
      </c>
    </row>
    <row r="29" spans="1:4" ht="13.5" thickBot="1">
      <c r="A29" s="82" t="s">
        <v>58</v>
      </c>
      <c r="B29" s="83"/>
      <c r="C29" s="84"/>
      <c r="D29" s="85"/>
    </row>
    <row r="30" spans="1:4" ht="13.5" thickBot="1">
      <c r="A30" s="272" t="s">
        <v>59</v>
      </c>
      <c r="B30" s="273"/>
      <c r="C30" s="273"/>
      <c r="D30" s="274"/>
    </row>
    <row r="31" spans="1:4" ht="13.5" thickBot="1">
      <c r="A31" s="272" t="s">
        <v>60</v>
      </c>
      <c r="B31" s="273"/>
      <c r="C31" s="273"/>
      <c r="D31" s="274"/>
    </row>
    <row r="32" spans="1:4" ht="13.5" thickBot="1">
      <c r="A32" s="86" t="s">
        <v>61</v>
      </c>
      <c r="B32" s="87" t="s">
        <v>62</v>
      </c>
      <c r="C32" s="88" t="s">
        <v>63</v>
      </c>
      <c r="D32" s="89" t="s">
        <v>45</v>
      </c>
    </row>
    <row r="33" spans="1:4">
      <c r="A33" s="90" t="s">
        <v>23</v>
      </c>
      <c r="B33" s="91" t="s">
        <v>64</v>
      </c>
      <c r="C33" s="92">
        <v>8.3299999999999999E-2</v>
      </c>
      <c r="D33" s="72">
        <f>ROUND(D$28*C33,2)</f>
        <v>430.22</v>
      </c>
    </row>
    <row r="34" spans="1:4">
      <c r="A34" s="187" t="s">
        <v>26</v>
      </c>
      <c r="B34" s="198" t="s">
        <v>65</v>
      </c>
      <c r="C34" s="199">
        <v>0.121</v>
      </c>
      <c r="D34" s="72">
        <f t="shared" ref="D34" si="3">ROUND(D$28*C34,2)</f>
        <v>624.91999999999996</v>
      </c>
    </row>
    <row r="35" spans="1:4" ht="13.5" thickBot="1">
      <c r="A35" s="316" t="s">
        <v>66</v>
      </c>
      <c r="B35" s="317"/>
      <c r="C35" s="200">
        <f>SUM(A33:C34)</f>
        <v>0.20429999999999998</v>
      </c>
      <c r="D35" s="72">
        <f>SUM(D33:D34)</f>
        <v>1055.1399999999999</v>
      </c>
    </row>
    <row r="36" spans="1:4" ht="25.5">
      <c r="A36" s="182" t="s">
        <v>67</v>
      </c>
      <c r="B36" s="389" t="s">
        <v>68</v>
      </c>
      <c r="C36" s="390">
        <f>C35*C51</f>
        <v>7.5182399999999996E-2</v>
      </c>
      <c r="D36" s="72">
        <f>ROUND(D$28*C36,2)</f>
        <v>388.29</v>
      </c>
    </row>
    <row r="37" spans="1:4">
      <c r="A37" s="278" t="s">
        <v>69</v>
      </c>
      <c r="B37" s="318"/>
      <c r="C37" s="201"/>
      <c r="D37" s="72">
        <f>SUM(D35:D36)</f>
        <v>1443.4299999999998</v>
      </c>
    </row>
    <row r="38" spans="1:4" ht="36.75" customHeight="1">
      <c r="A38" s="281" t="s">
        <v>70</v>
      </c>
      <c r="B38" s="281"/>
      <c r="C38" s="281"/>
      <c r="D38" s="281"/>
    </row>
    <row r="39" spans="1:4" ht="27.75" customHeight="1">
      <c r="A39" s="281" t="s">
        <v>71</v>
      </c>
      <c r="B39" s="281"/>
      <c r="C39" s="281"/>
      <c r="D39" s="281"/>
    </row>
    <row r="40" spans="1:4" ht="36" customHeight="1" thickBot="1">
      <c r="A40" s="292" t="s">
        <v>72</v>
      </c>
      <c r="B40" s="292"/>
      <c r="C40" s="292"/>
      <c r="D40" s="292"/>
    </row>
    <row r="41" spans="1:4" ht="13.5" thickBot="1">
      <c r="A41" s="293" t="s">
        <v>73</v>
      </c>
      <c r="B41" s="294"/>
      <c r="C41" s="294"/>
      <c r="D41" s="295"/>
    </row>
    <row r="42" spans="1:4" ht="13.5" thickBot="1">
      <c r="A42" s="86" t="s">
        <v>74</v>
      </c>
      <c r="B42" s="93" t="s">
        <v>75</v>
      </c>
      <c r="C42" s="88" t="s">
        <v>63</v>
      </c>
      <c r="D42" s="89" t="s">
        <v>45</v>
      </c>
    </row>
    <row r="43" spans="1:4">
      <c r="A43" s="90" t="s">
        <v>23</v>
      </c>
      <c r="B43" s="91" t="s">
        <v>76</v>
      </c>
      <c r="C43" s="92">
        <v>0.2</v>
      </c>
      <c r="D43" s="72">
        <f>ROUND(D$28*C43,2)</f>
        <v>1032.93</v>
      </c>
    </row>
    <row r="44" spans="1:4">
      <c r="A44" s="187" t="s">
        <v>26</v>
      </c>
      <c r="B44" s="198" t="s">
        <v>77</v>
      </c>
      <c r="C44" s="199">
        <v>2.5000000000000001E-2</v>
      </c>
      <c r="D44" s="72">
        <f t="shared" ref="D44:D50" si="4">ROUND(D$28*C44,2)</f>
        <v>129.12</v>
      </c>
    </row>
    <row r="45" spans="1:4">
      <c r="A45" s="187" t="s">
        <v>29</v>
      </c>
      <c r="B45" s="198" t="s">
        <v>78</v>
      </c>
      <c r="C45" s="199">
        <v>0.03</v>
      </c>
      <c r="D45" s="72">
        <f t="shared" si="4"/>
        <v>154.94</v>
      </c>
    </row>
    <row r="46" spans="1:4">
      <c r="A46" s="187" t="s">
        <v>49</v>
      </c>
      <c r="B46" s="198" t="s">
        <v>79</v>
      </c>
      <c r="C46" s="199">
        <v>1.4999999999999999E-2</v>
      </c>
      <c r="D46" s="72">
        <f t="shared" si="4"/>
        <v>77.47</v>
      </c>
    </row>
    <row r="47" spans="1:4">
      <c r="A47" s="187" t="s">
        <v>51</v>
      </c>
      <c r="B47" s="198" t="s">
        <v>80</v>
      </c>
      <c r="C47" s="199">
        <v>0.01</v>
      </c>
      <c r="D47" s="72">
        <f t="shared" si="4"/>
        <v>51.65</v>
      </c>
    </row>
    <row r="48" spans="1:4">
      <c r="A48" s="187" t="s">
        <v>81</v>
      </c>
      <c r="B48" s="198" t="s">
        <v>82</v>
      </c>
      <c r="C48" s="199">
        <v>6.0000000000000001E-3</v>
      </c>
      <c r="D48" s="72">
        <f t="shared" si="4"/>
        <v>30.99</v>
      </c>
    </row>
    <row r="49" spans="1:5">
      <c r="A49" s="187" t="s">
        <v>53</v>
      </c>
      <c r="B49" s="198" t="s">
        <v>83</v>
      </c>
      <c r="C49" s="199">
        <v>2E-3</v>
      </c>
      <c r="D49" s="72">
        <f t="shared" si="4"/>
        <v>10.33</v>
      </c>
    </row>
    <row r="50" spans="1:5">
      <c r="A50" s="182" t="s">
        <v>55</v>
      </c>
      <c r="B50" s="391" t="s">
        <v>84</v>
      </c>
      <c r="C50" s="199">
        <v>0.08</v>
      </c>
      <c r="D50" s="72">
        <f t="shared" si="4"/>
        <v>413.17</v>
      </c>
    </row>
    <row r="51" spans="1:5" ht="13.5" thickBot="1">
      <c r="A51" s="312" t="s">
        <v>85</v>
      </c>
      <c r="B51" s="314"/>
      <c r="C51" s="392">
        <f t="shared" ref="C51:D51" si="5">SUM(C43:C50)</f>
        <v>0.36800000000000005</v>
      </c>
      <c r="D51" s="94">
        <f t="shared" si="5"/>
        <v>1900.6000000000004</v>
      </c>
    </row>
    <row r="52" spans="1:5">
      <c r="A52" s="95" t="s">
        <v>86</v>
      </c>
      <c r="B52" s="96"/>
      <c r="C52" s="97"/>
      <c r="D52" s="98"/>
      <c r="E52" s="82"/>
    </row>
    <row r="53" spans="1:5">
      <c r="A53" s="95" t="s">
        <v>87</v>
      </c>
      <c r="B53" s="96"/>
      <c r="C53" s="97"/>
      <c r="D53" s="98"/>
      <c r="E53" s="82"/>
    </row>
    <row r="54" spans="1:5" ht="13.5" thickBot="1">
      <c r="A54" s="82" t="s">
        <v>88</v>
      </c>
      <c r="B54" s="96"/>
      <c r="C54" s="97"/>
      <c r="D54" s="98"/>
      <c r="E54" s="82"/>
    </row>
    <row r="55" spans="1:5" ht="13.5" thickBot="1">
      <c r="A55" s="272" t="s">
        <v>89</v>
      </c>
      <c r="B55" s="273"/>
      <c r="C55" s="273"/>
      <c r="D55" s="274"/>
    </row>
    <row r="56" spans="1:5" ht="13.5" thickBot="1">
      <c r="A56" s="86" t="s">
        <v>90</v>
      </c>
      <c r="B56" s="296" t="s">
        <v>91</v>
      </c>
      <c r="C56" s="271"/>
      <c r="D56" s="99" t="s">
        <v>45</v>
      </c>
    </row>
    <row r="57" spans="1:5">
      <c r="A57" s="74" t="s">
        <v>23</v>
      </c>
      <c r="B57" s="100" t="s">
        <v>92</v>
      </c>
      <c r="C57" s="101">
        <v>15</v>
      </c>
      <c r="D57" s="72">
        <v>0</v>
      </c>
    </row>
    <row r="58" spans="1:5">
      <c r="A58" s="380" t="s">
        <v>26</v>
      </c>
      <c r="B58" s="202" t="s">
        <v>93</v>
      </c>
      <c r="C58" s="203">
        <v>15</v>
      </c>
      <c r="D58" s="204">
        <f>C58*45.12</f>
        <v>676.8</v>
      </c>
    </row>
    <row r="59" spans="1:5">
      <c r="A59" s="380" t="s">
        <v>67</v>
      </c>
      <c r="B59" s="210" t="s">
        <v>94</v>
      </c>
      <c r="C59" s="205"/>
      <c r="D59" s="204">
        <v>0</v>
      </c>
    </row>
    <row r="60" spans="1:5">
      <c r="A60" s="380" t="s">
        <v>49</v>
      </c>
      <c r="B60" s="211" t="s">
        <v>95</v>
      </c>
      <c r="C60" s="205"/>
      <c r="D60" s="204">
        <v>0</v>
      </c>
    </row>
    <row r="61" spans="1:5">
      <c r="A61" s="74" t="s">
        <v>96</v>
      </c>
      <c r="B61" s="287" t="s">
        <v>97</v>
      </c>
      <c r="C61" s="290"/>
      <c r="D61" s="72">
        <v>0</v>
      </c>
    </row>
    <row r="62" spans="1:5">
      <c r="A62" s="380" t="s">
        <v>81</v>
      </c>
      <c r="B62" s="386" t="s">
        <v>98</v>
      </c>
      <c r="C62" s="311"/>
      <c r="D62" s="204">
        <v>0</v>
      </c>
    </row>
    <row r="63" spans="1:5" ht="13.5" thickBot="1">
      <c r="A63" s="380" t="s">
        <v>99</v>
      </c>
      <c r="B63" s="210" t="s">
        <v>100</v>
      </c>
      <c r="C63" s="205"/>
      <c r="D63" s="204">
        <v>0</v>
      </c>
    </row>
    <row r="64" spans="1:5" ht="13.5" thickBot="1">
      <c r="A64" s="279" t="s">
        <v>101</v>
      </c>
      <c r="B64" s="280" t="s">
        <v>101</v>
      </c>
      <c r="C64" s="280"/>
      <c r="D64" s="102">
        <f>SUM(D57:D63)</f>
        <v>676.8</v>
      </c>
    </row>
    <row r="65" spans="1:4">
      <c r="A65" s="95" t="s">
        <v>102</v>
      </c>
      <c r="B65" s="103"/>
      <c r="C65" s="103"/>
      <c r="D65" s="104"/>
    </row>
    <row r="66" spans="1:4" ht="13.5" thickBot="1">
      <c r="A66" s="275" t="s">
        <v>103</v>
      </c>
      <c r="B66" s="275"/>
      <c r="C66" s="275"/>
      <c r="D66" s="275"/>
    </row>
    <row r="67" spans="1:4" ht="13.5" thickBot="1">
      <c r="A67" s="272" t="s">
        <v>104</v>
      </c>
      <c r="B67" s="273"/>
      <c r="C67" s="273"/>
      <c r="D67" s="274"/>
    </row>
    <row r="68" spans="1:4" ht="13.5" thickBot="1">
      <c r="A68" s="105">
        <v>2</v>
      </c>
      <c r="B68" s="269" t="s">
        <v>105</v>
      </c>
      <c r="C68" s="271"/>
      <c r="D68" s="107" t="s">
        <v>106</v>
      </c>
    </row>
    <row r="69" spans="1:4" ht="13.5" thickBot="1">
      <c r="A69" s="67" t="s">
        <v>61</v>
      </c>
      <c r="B69" s="276" t="s">
        <v>62</v>
      </c>
      <c r="C69" s="277"/>
      <c r="D69" s="71">
        <f>D37</f>
        <v>1443.4299999999998</v>
      </c>
    </row>
    <row r="70" spans="1:4" ht="13.5" thickBot="1">
      <c r="A70" s="67" t="s">
        <v>74</v>
      </c>
      <c r="B70" s="276" t="s">
        <v>75</v>
      </c>
      <c r="C70" s="277"/>
      <c r="D70" s="71">
        <f>D51</f>
        <v>1900.6000000000004</v>
      </c>
    </row>
    <row r="71" spans="1:4" ht="13.5" thickBot="1">
      <c r="A71" s="67" t="s">
        <v>90</v>
      </c>
      <c r="B71" s="232" t="s">
        <v>91</v>
      </c>
      <c r="C71" s="233"/>
      <c r="D71" s="71">
        <f>D64</f>
        <v>676.8</v>
      </c>
    </row>
    <row r="72" spans="1:4" ht="13.5" thickBot="1">
      <c r="A72" s="269" t="s">
        <v>107</v>
      </c>
      <c r="B72" s="270"/>
      <c r="C72" s="271"/>
      <c r="D72" s="108">
        <f>SUM(D69:D71)</f>
        <v>4020.83</v>
      </c>
    </row>
    <row r="73" spans="1:4" ht="13.5" thickBot="1">
      <c r="A73" s="272" t="s">
        <v>108</v>
      </c>
      <c r="B73" s="273"/>
      <c r="C73" s="273"/>
      <c r="D73" s="274"/>
    </row>
    <row r="74" spans="1:4" ht="13.5" thickBot="1">
      <c r="A74" s="105">
        <v>3</v>
      </c>
      <c r="B74" s="93" t="s">
        <v>109</v>
      </c>
      <c r="C74" s="109" t="s">
        <v>110</v>
      </c>
      <c r="D74" s="107" t="s">
        <v>106</v>
      </c>
    </row>
    <row r="75" spans="1:4" ht="13.5" thickBot="1">
      <c r="A75" s="67" t="s">
        <v>111</v>
      </c>
      <c r="B75" s="68" t="s">
        <v>112</v>
      </c>
      <c r="C75" s="43">
        <v>4.1999999999999997E-3</v>
      </c>
      <c r="D75" s="71">
        <f t="shared" ref="D75:D80" si="6">C75*$D$28</f>
        <v>21.691571999999997</v>
      </c>
    </row>
    <row r="76" spans="1:4" ht="13.5" thickBot="1">
      <c r="A76" s="67" t="s">
        <v>113</v>
      </c>
      <c r="B76" s="68" t="s">
        <v>114</v>
      </c>
      <c r="C76" s="43">
        <f>8%*C75</f>
        <v>3.3599999999999998E-4</v>
      </c>
      <c r="D76" s="71">
        <f t="shared" si="6"/>
        <v>1.7353257599999998</v>
      </c>
    </row>
    <row r="77" spans="1:4" ht="13.5" thickBot="1">
      <c r="A77" s="67" t="s">
        <v>67</v>
      </c>
      <c r="B77" s="68" t="s">
        <v>115</v>
      </c>
      <c r="C77" s="43">
        <v>3.9800000000000002E-2</v>
      </c>
      <c r="D77" s="71">
        <f t="shared" si="6"/>
        <v>205.55346800000001</v>
      </c>
    </row>
    <row r="78" spans="1:4" ht="13.5" thickBot="1">
      <c r="A78" s="67" t="s">
        <v>32</v>
      </c>
      <c r="B78" s="68" t="s">
        <v>116</v>
      </c>
      <c r="C78" s="43">
        <v>1.9400000000000001E-2</v>
      </c>
      <c r="D78" s="71">
        <f t="shared" si="6"/>
        <v>100.19440400000001</v>
      </c>
    </row>
    <row r="79" spans="1:4" ht="26.25" thickBot="1">
      <c r="A79" s="67" t="s">
        <v>96</v>
      </c>
      <c r="B79" s="68" t="s">
        <v>117</v>
      </c>
      <c r="C79" s="43">
        <f>1*36.8%*C78</f>
        <v>7.1392000000000001E-3</v>
      </c>
      <c r="D79" s="71">
        <f t="shared" si="6"/>
        <v>36.871540672000002</v>
      </c>
    </row>
    <row r="80" spans="1:4" ht="13.5" thickBot="1">
      <c r="A80" s="67" t="s">
        <v>118</v>
      </c>
      <c r="B80" s="68" t="s">
        <v>119</v>
      </c>
      <c r="C80" s="43">
        <v>2.0000000000000001E-4</v>
      </c>
      <c r="D80" s="71">
        <f t="shared" si="6"/>
        <v>1.032932</v>
      </c>
    </row>
    <row r="81" spans="1:6" ht="13.5" thickBot="1">
      <c r="A81" s="269" t="s">
        <v>107</v>
      </c>
      <c r="B81" s="271"/>
      <c r="C81" s="110">
        <f t="shared" ref="C81:D81" si="7">SUM(C75:C80)</f>
        <v>7.1075200000000005E-2</v>
      </c>
      <c r="D81" s="111">
        <f t="shared" si="7"/>
        <v>367.079242432</v>
      </c>
    </row>
    <row r="82" spans="1:6" ht="36.75" customHeight="1" thickBot="1">
      <c r="A82" s="297" t="s">
        <v>120</v>
      </c>
      <c r="B82" s="297"/>
      <c r="C82" s="297"/>
      <c r="D82" s="297"/>
      <c r="F82" s="112"/>
    </row>
    <row r="83" spans="1:6" ht="13.5" thickBot="1">
      <c r="A83" s="272" t="s">
        <v>121</v>
      </c>
      <c r="B83" s="273"/>
      <c r="C83" s="273"/>
      <c r="D83" s="274"/>
    </row>
    <row r="84" spans="1:6" ht="13.5" thickBot="1">
      <c r="A84" s="269" t="s">
        <v>122</v>
      </c>
      <c r="B84" s="270"/>
      <c r="C84" s="270"/>
      <c r="D84" s="271"/>
    </row>
    <row r="85" spans="1:6" ht="13.5" thickBot="1">
      <c r="A85" s="105" t="s">
        <v>123</v>
      </c>
      <c r="B85" s="106" t="s">
        <v>124</v>
      </c>
      <c r="C85" s="105" t="s">
        <v>110</v>
      </c>
      <c r="D85" s="107" t="s">
        <v>106</v>
      </c>
    </row>
    <row r="86" spans="1:6" ht="13.5" thickBot="1">
      <c r="A86" s="67" t="s">
        <v>111</v>
      </c>
      <c r="B86" s="68" t="s">
        <v>125</v>
      </c>
      <c r="C86" s="69">
        <v>0</v>
      </c>
      <c r="D86" s="70">
        <f>C86*$D$28</f>
        <v>0</v>
      </c>
    </row>
    <row r="87" spans="1:6" ht="13.5" thickBot="1">
      <c r="A87" s="67" t="s">
        <v>113</v>
      </c>
      <c r="B87" s="68" t="s">
        <v>126</v>
      </c>
      <c r="C87" s="113">
        <v>4.1999999999999997E-3</v>
      </c>
      <c r="D87" s="70">
        <f>C87*$D$28</f>
        <v>21.691571999999997</v>
      </c>
    </row>
    <row r="88" spans="1:6" ht="13.5" thickBot="1">
      <c r="A88" s="67" t="s">
        <v>67</v>
      </c>
      <c r="B88" s="68" t="s">
        <v>127</v>
      </c>
      <c r="C88" s="113">
        <v>2.0000000000000001E-4</v>
      </c>
      <c r="D88" s="70">
        <f>C88*$D$28</f>
        <v>1.032932</v>
      </c>
    </row>
    <row r="89" spans="1:6" ht="26.25" thickBot="1">
      <c r="A89" s="67" t="s">
        <v>32</v>
      </c>
      <c r="B89" s="68" t="s">
        <v>128</v>
      </c>
      <c r="C89" s="113">
        <v>4.1999999999999997E-3</v>
      </c>
      <c r="D89" s="70">
        <f>C89*$D$28</f>
        <v>21.691571999999997</v>
      </c>
    </row>
    <row r="90" spans="1:6" ht="13.5" thickBot="1">
      <c r="A90" s="67" t="s">
        <v>96</v>
      </c>
      <c r="B90" s="68" t="s">
        <v>129</v>
      </c>
      <c r="C90" s="113">
        <v>2.0000000000000001E-4</v>
      </c>
      <c r="D90" s="70">
        <f>C90*$D$28</f>
        <v>1.032932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ref="D91" si="8">C91*$D$28</f>
        <v>16.725234944000004</v>
      </c>
      <c r="E91" s="114" t="s">
        <v>131</v>
      </c>
    </row>
    <row r="92" spans="1:6" ht="13.5" thickBot="1">
      <c r="A92" s="269" t="s">
        <v>69</v>
      </c>
      <c r="B92" s="270"/>
      <c r="C92" s="115">
        <f t="shared" ref="C92:D92" si="9">SUM(C86:C91)</f>
        <v>1.2038400000000001E-2</v>
      </c>
      <c r="D92" s="111">
        <f t="shared" si="9"/>
        <v>62.174242944</v>
      </c>
    </row>
    <row r="93" spans="1:6" ht="33.75" customHeight="1" thickBot="1">
      <c r="A93" s="306" t="s">
        <v>132</v>
      </c>
      <c r="B93" s="306"/>
      <c r="C93" s="306"/>
      <c r="D93" s="306"/>
    </row>
    <row r="94" spans="1:6" ht="13.5" thickBot="1">
      <c r="A94" s="272" t="s">
        <v>133</v>
      </c>
      <c r="B94" s="273"/>
      <c r="C94" s="273"/>
      <c r="D94" s="274"/>
    </row>
    <row r="95" spans="1:6" ht="13.5" thickBot="1">
      <c r="A95" s="105" t="s">
        <v>134</v>
      </c>
      <c r="B95" s="269" t="s">
        <v>135</v>
      </c>
      <c r="C95" s="271"/>
      <c r="D95" s="107" t="s">
        <v>106</v>
      </c>
    </row>
    <row r="96" spans="1:6" ht="13.5" thickBot="1">
      <c r="A96" s="67" t="s">
        <v>111</v>
      </c>
      <c r="B96" s="232" t="s">
        <v>136</v>
      </c>
      <c r="C96" s="233"/>
      <c r="D96" s="71">
        <v>0</v>
      </c>
    </row>
    <row r="97" spans="1:4" ht="13.5" thickBot="1">
      <c r="A97" s="269" t="s">
        <v>107</v>
      </c>
      <c r="B97" s="270"/>
      <c r="C97" s="271"/>
      <c r="D97" s="71">
        <f>SUM(D96)</f>
        <v>0</v>
      </c>
    </row>
    <row r="98" spans="1:4" ht="13.5" thickBot="1">
      <c r="A98" s="116"/>
      <c r="C98" s="117"/>
      <c r="D98" s="118"/>
    </row>
    <row r="99" spans="1:4" ht="13.5" thickBot="1">
      <c r="A99" s="272" t="s">
        <v>137</v>
      </c>
      <c r="B99" s="273"/>
      <c r="C99" s="273"/>
      <c r="D99" s="274"/>
    </row>
    <row r="100" spans="1:4" ht="13.5" thickBot="1">
      <c r="A100" s="105">
        <v>4</v>
      </c>
      <c r="B100" s="269" t="s">
        <v>138</v>
      </c>
      <c r="C100" s="271"/>
      <c r="D100" s="107" t="s">
        <v>106</v>
      </c>
    </row>
    <row r="101" spans="1:4" ht="13.5" thickBot="1">
      <c r="A101" s="67" t="s">
        <v>123</v>
      </c>
      <c r="B101" s="232" t="s">
        <v>124</v>
      </c>
      <c r="C101" s="233"/>
      <c r="D101" s="71">
        <f>D92</f>
        <v>62.174242944</v>
      </c>
    </row>
    <row r="102" spans="1:4" ht="13.5" thickBot="1">
      <c r="A102" s="67" t="s">
        <v>134</v>
      </c>
      <c r="B102" s="232" t="s">
        <v>135</v>
      </c>
      <c r="C102" s="233"/>
      <c r="D102" s="71">
        <f>D97</f>
        <v>0</v>
      </c>
    </row>
    <row r="103" spans="1:4" ht="13.5" thickBot="1">
      <c r="A103" s="269" t="s">
        <v>107</v>
      </c>
      <c r="B103" s="270"/>
      <c r="C103" s="271"/>
      <c r="D103" s="111">
        <f>SUM(D101:D102)</f>
        <v>62.174242944</v>
      </c>
    </row>
    <row r="104" spans="1:4" ht="13.5" thickBot="1">
      <c r="A104" s="116"/>
      <c r="C104" s="117"/>
      <c r="D104" s="118"/>
    </row>
    <row r="105" spans="1:4" ht="13.5" thickBot="1">
      <c r="A105" s="272" t="s">
        <v>139</v>
      </c>
      <c r="B105" s="273"/>
      <c r="C105" s="273"/>
      <c r="D105" s="274"/>
    </row>
    <row r="106" spans="1:4" ht="13.5" thickBot="1">
      <c r="A106" s="105">
        <v>5</v>
      </c>
      <c r="B106" s="269" t="s">
        <v>140</v>
      </c>
      <c r="C106" s="271"/>
      <c r="D106" s="107" t="s">
        <v>106</v>
      </c>
    </row>
    <row r="107" spans="1:4" ht="13.5" thickBot="1">
      <c r="A107" s="67" t="s">
        <v>111</v>
      </c>
      <c r="B107" s="232" t="s">
        <v>141</v>
      </c>
      <c r="C107" s="233"/>
      <c r="D107" s="71">
        <f>UNIFORMES!F12</f>
        <v>60.270833333333336</v>
      </c>
    </row>
    <row r="108" spans="1:4" ht="13.5" thickBot="1">
      <c r="A108" s="67" t="s">
        <v>113</v>
      </c>
      <c r="B108" s="232" t="s">
        <v>142</v>
      </c>
      <c r="C108" s="233"/>
      <c r="D108" s="71">
        <f>MATERIAIS!F83</f>
        <v>439.57944444444462</v>
      </c>
    </row>
    <row r="109" spans="1:4" ht="13.5" thickBot="1">
      <c r="A109" s="67" t="s">
        <v>67</v>
      </c>
      <c r="B109" s="232" t="s">
        <v>143</v>
      </c>
      <c r="C109" s="233"/>
      <c r="D109" s="71">
        <f>'Líder da Brigada'!D109</f>
        <v>0</v>
      </c>
    </row>
    <row r="110" spans="1:4" ht="13.5" thickBot="1">
      <c r="A110" s="67" t="s">
        <v>32</v>
      </c>
      <c r="B110" s="232" t="s">
        <v>144</v>
      </c>
      <c r="C110" s="233"/>
      <c r="D110" s="71">
        <v>0</v>
      </c>
    </row>
    <row r="111" spans="1:4" ht="15.75" thickBot="1">
      <c r="A111" s="119" t="s">
        <v>96</v>
      </c>
      <c r="B111" s="232" t="s">
        <v>145</v>
      </c>
      <c r="C111" s="291"/>
      <c r="D111" s="71">
        <v>0</v>
      </c>
    </row>
    <row r="112" spans="1:4" ht="13.5" thickBot="1">
      <c r="A112" s="269" t="s">
        <v>69</v>
      </c>
      <c r="B112" s="270"/>
      <c r="C112" s="271"/>
      <c r="D112" s="108">
        <f>SUM(D107:D111)</f>
        <v>499.85027777777793</v>
      </c>
    </row>
    <row r="113" spans="1:5" ht="13.5" thickBot="1">
      <c r="A113" s="116"/>
      <c r="C113" s="117"/>
      <c r="D113" s="118"/>
    </row>
    <row r="114" spans="1:5" ht="13.5" thickBot="1">
      <c r="A114" s="272" t="s">
        <v>146</v>
      </c>
      <c r="B114" s="273"/>
      <c r="C114" s="273"/>
      <c r="D114" s="274"/>
    </row>
    <row r="115" spans="1:5" ht="13.5" thickBot="1">
      <c r="A115" s="105">
        <v>6</v>
      </c>
      <c r="B115" s="120" t="s">
        <v>147</v>
      </c>
      <c r="C115" s="93" t="s">
        <v>110</v>
      </c>
      <c r="D115" s="107" t="s">
        <v>106</v>
      </c>
    </row>
    <row r="116" spans="1:5" ht="13.5" thickBot="1">
      <c r="A116" s="67" t="s">
        <v>111</v>
      </c>
      <c r="B116" s="121" t="s">
        <v>148</v>
      </c>
      <c r="C116" s="113">
        <v>0.05</v>
      </c>
      <c r="D116" s="71">
        <f>C116*D134</f>
        <v>505.72968815768894</v>
      </c>
    </row>
    <row r="117" spans="1:5" ht="13.5" thickBot="1">
      <c r="A117" s="67" t="s">
        <v>113</v>
      </c>
      <c r="B117" s="121" t="s">
        <v>149</v>
      </c>
      <c r="C117" s="113">
        <v>0.05</v>
      </c>
      <c r="D117" s="71">
        <f>(D134+D116)*C117</f>
        <v>531.01617256557336</v>
      </c>
    </row>
    <row r="118" spans="1:5" ht="13.5" thickBot="1">
      <c r="A118" s="67" t="s">
        <v>67</v>
      </c>
      <c r="B118" s="121" t="s">
        <v>150</v>
      </c>
      <c r="C118" s="113">
        <f>C119+C120+C121</f>
        <v>0.14250000000000002</v>
      </c>
      <c r="D118" s="71">
        <f>((D134+D116+D117)/(1-C118))*C118</f>
        <v>1853.1380716063891</v>
      </c>
      <c r="E118" s="122"/>
    </row>
    <row r="119" spans="1:5" ht="13.5" thickBot="1">
      <c r="A119" s="67"/>
      <c r="B119" s="121" t="s">
        <v>151</v>
      </c>
      <c r="C119" s="113">
        <v>9.2499999999999999E-2</v>
      </c>
      <c r="D119" s="71">
        <f>C119*D136</f>
        <v>1202.9143999999999</v>
      </c>
    </row>
    <row r="120" spans="1:5" ht="13.5" thickBot="1">
      <c r="A120" s="67"/>
      <c r="B120" s="121" t="s">
        <v>152</v>
      </c>
      <c r="C120" s="123">
        <v>0.05</v>
      </c>
      <c r="D120" s="71">
        <f>C120*D136</f>
        <v>650.22400000000005</v>
      </c>
    </row>
    <row r="121" spans="1:5" ht="13.5" thickBot="1">
      <c r="A121" s="67"/>
      <c r="B121" s="121" t="s">
        <v>153</v>
      </c>
      <c r="C121" s="123">
        <v>0</v>
      </c>
      <c r="D121" s="71">
        <f>C121*D136</f>
        <v>0</v>
      </c>
    </row>
    <row r="122" spans="1:5" ht="13.5" thickBot="1">
      <c r="A122" s="269" t="s">
        <v>69</v>
      </c>
      <c r="B122" s="271"/>
      <c r="C122" s="115">
        <f>C118+C116+C117</f>
        <v>0.24249999999999999</v>
      </c>
      <c r="D122" s="107">
        <f>SUM(D116,D117,D118)</f>
        <v>2889.8839323296515</v>
      </c>
    </row>
    <row r="123" spans="1:5">
      <c r="A123" s="95" t="s">
        <v>154</v>
      </c>
      <c r="C123" s="117"/>
      <c r="D123" s="118"/>
    </row>
    <row r="124" spans="1:5">
      <c r="A124" s="275" t="s">
        <v>155</v>
      </c>
      <c r="B124" s="275"/>
      <c r="C124" s="275"/>
      <c r="D124" s="275"/>
    </row>
    <row r="125" spans="1:5">
      <c r="A125" s="95" t="s">
        <v>156</v>
      </c>
      <c r="C125" s="117"/>
      <c r="D125" s="118"/>
    </row>
    <row r="126" spans="1:5" ht="13.5" thickBot="1">
      <c r="A126" s="116"/>
      <c r="C126" s="117"/>
      <c r="D126" s="118"/>
    </row>
    <row r="127" spans="1:5" ht="13.5" thickBot="1">
      <c r="A127" s="272" t="s">
        <v>157</v>
      </c>
      <c r="B127" s="273"/>
      <c r="C127" s="273"/>
      <c r="D127" s="274"/>
    </row>
    <row r="128" spans="1:5" ht="13.5" thickBot="1">
      <c r="A128" s="105"/>
      <c r="B128" s="293" t="s">
        <v>158</v>
      </c>
      <c r="C128" s="295"/>
      <c r="D128" s="107" t="s">
        <v>106</v>
      </c>
    </row>
    <row r="129" spans="1:4" ht="13.5" thickBot="1">
      <c r="A129" s="124" t="s">
        <v>111</v>
      </c>
      <c r="B129" s="276" t="s">
        <v>43</v>
      </c>
      <c r="C129" s="277"/>
      <c r="D129" s="71">
        <f>D28</f>
        <v>5164.66</v>
      </c>
    </row>
    <row r="130" spans="1:4" ht="13.5" thickBot="1">
      <c r="A130" s="124" t="s">
        <v>113</v>
      </c>
      <c r="B130" s="232" t="s">
        <v>59</v>
      </c>
      <c r="C130" s="233"/>
      <c r="D130" s="71">
        <f>D72</f>
        <v>4020.83</v>
      </c>
    </row>
    <row r="131" spans="1:4" ht="13.5" thickBot="1">
      <c r="A131" s="124" t="s">
        <v>67</v>
      </c>
      <c r="B131" s="232" t="s">
        <v>108</v>
      </c>
      <c r="C131" s="233"/>
      <c r="D131" s="71">
        <f>D81</f>
        <v>367.079242432</v>
      </c>
    </row>
    <row r="132" spans="1:4" ht="13.5" thickBot="1">
      <c r="A132" s="124" t="s">
        <v>32</v>
      </c>
      <c r="B132" s="232" t="s">
        <v>121</v>
      </c>
      <c r="C132" s="233"/>
      <c r="D132" s="71">
        <f>D103</f>
        <v>62.174242944</v>
      </c>
    </row>
    <row r="133" spans="1:4" ht="13.5" thickBot="1">
      <c r="A133" s="124" t="s">
        <v>96</v>
      </c>
      <c r="B133" s="232" t="s">
        <v>139</v>
      </c>
      <c r="C133" s="233"/>
      <c r="D133" s="71">
        <f>D112</f>
        <v>499.85027777777793</v>
      </c>
    </row>
    <row r="134" spans="1:4" ht="13.5" thickBot="1">
      <c r="A134" s="269" t="s">
        <v>159</v>
      </c>
      <c r="B134" s="270"/>
      <c r="C134" s="271"/>
      <c r="D134" s="71">
        <f>SUM(D129:D133)</f>
        <v>10114.593763153778</v>
      </c>
    </row>
    <row r="135" spans="1:4" ht="13.5" thickBot="1">
      <c r="A135" s="124" t="s">
        <v>118</v>
      </c>
      <c r="B135" s="276" t="s">
        <v>160</v>
      </c>
      <c r="C135" s="277"/>
      <c r="D135" s="125">
        <f>D122</f>
        <v>2889.8839323296515</v>
      </c>
    </row>
    <row r="136" spans="1:4" ht="13.5" thickBot="1">
      <c r="A136" s="269" t="s">
        <v>161</v>
      </c>
      <c r="B136" s="270"/>
      <c r="C136" s="271"/>
      <c r="D136" s="126">
        <f>ROUND((D134+D135),2)</f>
        <v>13004.48</v>
      </c>
    </row>
    <row r="137" spans="1:4" ht="13.5" thickBot="1">
      <c r="A137" s="269" t="s">
        <v>162</v>
      </c>
      <c r="B137" s="270"/>
      <c r="C137" s="271"/>
      <c r="D137" s="126">
        <f>D136*2</f>
        <v>26008.959999999999</v>
      </c>
    </row>
  </sheetData>
  <mergeCells count="84">
    <mergeCell ref="A8:D8"/>
    <mergeCell ref="B10:C10"/>
    <mergeCell ref="B11:C11"/>
    <mergeCell ref="B12:C12"/>
    <mergeCell ref="A1:D1"/>
    <mergeCell ref="A2:D2"/>
    <mergeCell ref="A39:D39"/>
    <mergeCell ref="B129:C129"/>
    <mergeCell ref="B131:C131"/>
    <mergeCell ref="A3:D3"/>
    <mergeCell ref="A4:D4"/>
    <mergeCell ref="A5:D5"/>
    <mergeCell ref="A6:D6"/>
    <mergeCell ref="A7:D7"/>
    <mergeCell ref="B128:C128"/>
    <mergeCell ref="B106:C106"/>
    <mergeCell ref="B108:C108"/>
    <mergeCell ref="B109:C109"/>
    <mergeCell ref="B96:C96"/>
    <mergeCell ref="B102:C102"/>
    <mergeCell ref="A93:D93"/>
    <mergeCell ref="B95:C95"/>
    <mergeCell ref="B111:C111"/>
    <mergeCell ref="A134:C134"/>
    <mergeCell ref="A40:D40"/>
    <mergeCell ref="A41:D41"/>
    <mergeCell ref="B62:C62"/>
    <mergeCell ref="A51:B51"/>
    <mergeCell ref="B56:C56"/>
    <mergeCell ref="B61:C61"/>
    <mergeCell ref="A55:D55"/>
    <mergeCell ref="B70:C70"/>
    <mergeCell ref="B71:C71"/>
    <mergeCell ref="A82:D82"/>
    <mergeCell ref="A92:B92"/>
    <mergeCell ref="A97:C97"/>
    <mergeCell ref="A38:D38"/>
    <mergeCell ref="B9:C9"/>
    <mergeCell ref="A13:D13"/>
    <mergeCell ref="C14:D14"/>
    <mergeCell ref="A19:D19"/>
    <mergeCell ref="B23:C23"/>
    <mergeCell ref="A31:D31"/>
    <mergeCell ref="B26:C26"/>
    <mergeCell ref="B27:C27"/>
    <mergeCell ref="B15:C15"/>
    <mergeCell ref="B16:C16"/>
    <mergeCell ref="B18:C18"/>
    <mergeCell ref="B20:C20"/>
    <mergeCell ref="B21:C21"/>
    <mergeCell ref="B25:C25"/>
    <mergeCell ref="A28:C28"/>
    <mergeCell ref="A30:D30"/>
    <mergeCell ref="A35:B35"/>
    <mergeCell ref="A37:B37"/>
    <mergeCell ref="A103:C103"/>
    <mergeCell ref="A64:C64"/>
    <mergeCell ref="A66:D66"/>
    <mergeCell ref="B68:C68"/>
    <mergeCell ref="A72:C72"/>
    <mergeCell ref="A73:D73"/>
    <mergeCell ref="A81:B81"/>
    <mergeCell ref="B101:C101"/>
    <mergeCell ref="A67:D67"/>
    <mergeCell ref="B69:C69"/>
    <mergeCell ref="A84:D84"/>
    <mergeCell ref="A83:D83"/>
    <mergeCell ref="A94:D94"/>
    <mergeCell ref="A137:C137"/>
    <mergeCell ref="A99:D99"/>
    <mergeCell ref="B100:C100"/>
    <mergeCell ref="A122:B122"/>
    <mergeCell ref="A124:D124"/>
    <mergeCell ref="A127:D127"/>
    <mergeCell ref="B107:C107"/>
    <mergeCell ref="A105:D105"/>
    <mergeCell ref="A112:C112"/>
    <mergeCell ref="A114:D114"/>
    <mergeCell ref="A136:C136"/>
    <mergeCell ref="B130:C130"/>
    <mergeCell ref="B132:C132"/>
    <mergeCell ref="B133:C133"/>
    <mergeCell ref="B135:C135"/>
    <mergeCell ref="B110:C110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7"/>
  <sheetViews>
    <sheetView workbookViewId="0">
      <selection activeCell="C14" sqref="C14:D14"/>
    </sheetView>
  </sheetViews>
  <sheetFormatPr defaultRowHeight="12.75"/>
  <cols>
    <col min="1" max="1" width="5" style="23" customWidth="1"/>
    <col min="2" max="2" width="47.7109375" style="23" customWidth="1"/>
    <col min="3" max="3" width="11.28515625" style="23" customWidth="1"/>
    <col min="4" max="4" width="24.28515625" style="23" customWidth="1"/>
    <col min="5" max="16384" width="9.140625" style="23"/>
  </cols>
  <sheetData>
    <row r="1" spans="1:6">
      <c r="A1" s="298" t="s">
        <v>0</v>
      </c>
      <c r="B1" s="299"/>
      <c r="C1" s="299"/>
      <c r="D1" s="299"/>
    </row>
    <row r="2" spans="1:6">
      <c r="A2" s="298" t="s">
        <v>1</v>
      </c>
      <c r="B2" s="299"/>
      <c r="C2" s="299"/>
      <c r="D2" s="299"/>
    </row>
    <row r="3" spans="1:6">
      <c r="A3" s="298" t="s">
        <v>2</v>
      </c>
      <c r="B3" s="299"/>
      <c r="C3" s="299"/>
      <c r="D3" s="299"/>
    </row>
    <row r="4" spans="1:6">
      <c r="A4" s="298"/>
      <c r="B4" s="299"/>
      <c r="C4" s="299"/>
      <c r="D4" s="299"/>
    </row>
    <row r="5" spans="1:6" ht="13.5" thickBot="1">
      <c r="A5" s="300" t="s">
        <v>19</v>
      </c>
      <c r="B5" s="301"/>
      <c r="C5" s="301"/>
      <c r="D5" s="301"/>
    </row>
    <row r="6" spans="1:6">
      <c r="A6" s="302" t="s">
        <v>20</v>
      </c>
      <c r="B6" s="303"/>
      <c r="C6" s="303"/>
      <c r="D6" s="304"/>
    </row>
    <row r="7" spans="1:6" ht="13.5" thickBot="1">
      <c r="A7" s="300" t="s">
        <v>21</v>
      </c>
      <c r="B7" s="301"/>
      <c r="C7" s="301"/>
      <c r="D7" s="305"/>
    </row>
    <row r="8" spans="1:6" ht="13.5" thickBot="1">
      <c r="A8" s="307" t="s">
        <v>22</v>
      </c>
      <c r="B8" s="308"/>
      <c r="C8" s="308"/>
      <c r="D8" s="308"/>
    </row>
    <row r="9" spans="1:6">
      <c r="A9" s="74" t="s">
        <v>23</v>
      </c>
      <c r="B9" s="282" t="s">
        <v>24</v>
      </c>
      <c r="C9" s="282"/>
      <c r="D9" s="75" t="s">
        <v>25</v>
      </c>
    </row>
    <row r="10" spans="1:6">
      <c r="A10" s="380" t="s">
        <v>26</v>
      </c>
      <c r="B10" s="381" t="s">
        <v>27</v>
      </c>
      <c r="C10" s="381"/>
      <c r="D10" s="382" t="s">
        <v>28</v>
      </c>
    </row>
    <row r="11" spans="1:6" ht="25.5">
      <c r="A11" s="380" t="s">
        <v>29</v>
      </c>
      <c r="B11" s="383" t="s">
        <v>30</v>
      </c>
      <c r="C11" s="384"/>
      <c r="D11" s="385" t="str">
        <f>'Líder da Brigada'!D11</f>
        <v xml:space="preserve">  DF000184/2024 - SINDBOMBEIROS</v>
      </c>
    </row>
    <row r="12" spans="1:6" ht="13.5" thickBot="1">
      <c r="A12" s="76" t="s">
        <v>32</v>
      </c>
      <c r="B12" s="309" t="s">
        <v>33</v>
      </c>
      <c r="C12" s="309"/>
      <c r="D12" s="77">
        <v>12</v>
      </c>
    </row>
    <row r="13" spans="1:6" ht="13.5" thickBot="1">
      <c r="A13" s="283" t="s">
        <v>34</v>
      </c>
      <c r="B13" s="284"/>
      <c r="C13" s="284"/>
      <c r="D13" s="284"/>
    </row>
    <row r="14" spans="1:6" ht="25.5">
      <c r="A14" s="179">
        <v>1</v>
      </c>
      <c r="B14" s="178" t="s">
        <v>35</v>
      </c>
      <c r="C14" s="250" t="s">
        <v>36</v>
      </c>
      <c r="D14" s="251"/>
    </row>
    <row r="15" spans="1:6">
      <c r="A15" s="187">
        <v>2</v>
      </c>
      <c r="B15" s="315" t="s">
        <v>37</v>
      </c>
      <c r="C15" s="287"/>
      <c r="D15" s="72">
        <v>3669.27</v>
      </c>
      <c r="F15" s="78"/>
    </row>
    <row r="16" spans="1:6">
      <c r="A16" s="187">
        <v>3</v>
      </c>
      <c r="B16" s="315" t="s">
        <v>38</v>
      </c>
      <c r="C16" s="386"/>
      <c r="D16" s="188" t="s">
        <v>39</v>
      </c>
    </row>
    <row r="17" spans="1:4">
      <c r="A17" s="182">
        <v>4</v>
      </c>
      <c r="B17" s="183" t="s">
        <v>40</v>
      </c>
      <c r="C17" s="184"/>
      <c r="D17" s="185" t="s">
        <v>41</v>
      </c>
    </row>
    <row r="18" spans="1:4" ht="13.5" thickBot="1">
      <c r="A18" s="189">
        <v>5</v>
      </c>
      <c r="B18" s="387" t="s">
        <v>42</v>
      </c>
      <c r="C18" s="310"/>
      <c r="D18" s="190">
        <v>45292</v>
      </c>
    </row>
    <row r="19" spans="1:4" ht="13.5" thickBot="1">
      <c r="A19" s="285" t="s">
        <v>43</v>
      </c>
      <c r="B19" s="286"/>
      <c r="C19" s="286"/>
      <c r="D19" s="286"/>
    </row>
    <row r="20" spans="1:4" ht="13.5" thickBot="1">
      <c r="A20" s="73">
        <v>1</v>
      </c>
      <c r="B20" s="288" t="s">
        <v>44</v>
      </c>
      <c r="C20" s="289"/>
      <c r="D20" s="79" t="s">
        <v>45</v>
      </c>
    </row>
    <row r="21" spans="1:4">
      <c r="A21" s="80" t="s">
        <v>23</v>
      </c>
      <c r="B21" s="290" t="s">
        <v>46</v>
      </c>
      <c r="C21" s="290"/>
      <c r="D21" s="81">
        <f>D15</f>
        <v>3669.27</v>
      </c>
    </row>
    <row r="22" spans="1:4">
      <c r="A22" s="191" t="s">
        <v>26</v>
      </c>
      <c r="B22" s="192" t="s">
        <v>47</v>
      </c>
      <c r="C22" s="193">
        <v>0.3</v>
      </c>
      <c r="D22" s="194">
        <f t="shared" ref="D22" si="0">C22*D21</f>
        <v>1100.7809999999999</v>
      </c>
    </row>
    <row r="23" spans="1:4">
      <c r="A23" s="191" t="s">
        <v>29</v>
      </c>
      <c r="B23" s="311" t="s">
        <v>48</v>
      </c>
      <c r="C23" s="311"/>
      <c r="D23" s="194">
        <v>0</v>
      </c>
    </row>
    <row r="24" spans="1:4">
      <c r="A24" s="191" t="s">
        <v>49</v>
      </c>
      <c r="B24" s="192" t="s">
        <v>50</v>
      </c>
      <c r="C24" s="195">
        <v>0</v>
      </c>
      <c r="D24" s="194">
        <v>0</v>
      </c>
    </row>
    <row r="25" spans="1:4">
      <c r="A25" s="191" t="s">
        <v>51</v>
      </c>
      <c r="B25" s="311" t="s">
        <v>52</v>
      </c>
      <c r="C25" s="311"/>
      <c r="D25" s="194">
        <f t="shared" ref="D25" si="1">D21/220*0.2*0*15</f>
        <v>0</v>
      </c>
    </row>
    <row r="26" spans="1:4">
      <c r="A26" s="191" t="s">
        <v>53</v>
      </c>
      <c r="B26" s="311" t="s">
        <v>54</v>
      </c>
      <c r="C26" s="311"/>
      <c r="D26" s="194">
        <v>0</v>
      </c>
    </row>
    <row r="27" spans="1:4">
      <c r="A27" s="196" t="s">
        <v>55</v>
      </c>
      <c r="B27" s="388" t="s">
        <v>56</v>
      </c>
      <c r="C27" s="388"/>
      <c r="D27" s="186">
        <v>0</v>
      </c>
    </row>
    <row r="28" spans="1:4" ht="13.5" thickBot="1">
      <c r="A28" s="312" t="s">
        <v>57</v>
      </c>
      <c r="B28" s="313"/>
      <c r="C28" s="314"/>
      <c r="D28" s="197">
        <f t="shared" ref="D28" si="2">ROUND(SUM(D21:D27),2)</f>
        <v>4770.05</v>
      </c>
    </row>
    <row r="29" spans="1:4" ht="13.5" thickBot="1">
      <c r="A29" s="82" t="s">
        <v>58</v>
      </c>
      <c r="B29" s="83"/>
      <c r="C29" s="84"/>
      <c r="D29" s="85"/>
    </row>
    <row r="30" spans="1:4" ht="13.5" thickBot="1">
      <c r="A30" s="272" t="s">
        <v>59</v>
      </c>
      <c r="B30" s="273"/>
      <c r="C30" s="273"/>
      <c r="D30" s="274"/>
    </row>
    <row r="31" spans="1:4" ht="13.5" thickBot="1">
      <c r="A31" s="272" t="s">
        <v>60</v>
      </c>
      <c r="B31" s="273"/>
      <c r="C31" s="273"/>
      <c r="D31" s="274"/>
    </row>
    <row r="32" spans="1:4" ht="13.5" thickBot="1">
      <c r="A32" s="86" t="s">
        <v>61</v>
      </c>
      <c r="B32" s="87" t="s">
        <v>62</v>
      </c>
      <c r="C32" s="88" t="s">
        <v>63</v>
      </c>
      <c r="D32" s="89" t="s">
        <v>45</v>
      </c>
    </row>
    <row r="33" spans="1:4">
      <c r="A33" s="90" t="s">
        <v>23</v>
      </c>
      <c r="B33" s="91" t="s">
        <v>64</v>
      </c>
      <c r="C33" s="92">
        <v>8.3299999999999999E-2</v>
      </c>
      <c r="D33" s="72">
        <f>ROUND(D$28*C33,2)</f>
        <v>397.35</v>
      </c>
    </row>
    <row r="34" spans="1:4">
      <c r="A34" s="187" t="s">
        <v>26</v>
      </c>
      <c r="B34" s="198" t="s">
        <v>65</v>
      </c>
      <c r="C34" s="199">
        <v>0.121</v>
      </c>
      <c r="D34" s="72">
        <f t="shared" ref="D34" si="3">ROUND(D$28*C34,2)</f>
        <v>577.17999999999995</v>
      </c>
    </row>
    <row r="35" spans="1:4" ht="13.5" thickBot="1">
      <c r="A35" s="316" t="s">
        <v>66</v>
      </c>
      <c r="B35" s="317"/>
      <c r="C35" s="200">
        <f>SUM(A33:C34)</f>
        <v>0.20429999999999998</v>
      </c>
      <c r="D35" s="72">
        <f>SUM(D33:D34)</f>
        <v>974.53</v>
      </c>
    </row>
    <row r="36" spans="1:4" ht="25.5">
      <c r="A36" s="182" t="s">
        <v>67</v>
      </c>
      <c r="B36" s="389" t="s">
        <v>68</v>
      </c>
      <c r="C36" s="390">
        <f>C35*C51</f>
        <v>7.5182399999999996E-2</v>
      </c>
      <c r="D36" s="72">
        <f>ROUND(D$28*C36,2)</f>
        <v>358.62</v>
      </c>
    </row>
    <row r="37" spans="1:4">
      <c r="A37" s="278" t="s">
        <v>69</v>
      </c>
      <c r="B37" s="318"/>
      <c r="C37" s="201"/>
      <c r="D37" s="72">
        <f>SUM(D35:D36)</f>
        <v>1333.15</v>
      </c>
    </row>
    <row r="38" spans="1:4" ht="36.75" customHeight="1">
      <c r="A38" s="281" t="s">
        <v>70</v>
      </c>
      <c r="B38" s="281"/>
      <c r="C38" s="281"/>
      <c r="D38" s="281"/>
    </row>
    <row r="39" spans="1:4" ht="27.75" customHeight="1">
      <c r="A39" s="281" t="s">
        <v>71</v>
      </c>
      <c r="B39" s="281"/>
      <c r="C39" s="281"/>
      <c r="D39" s="281"/>
    </row>
    <row r="40" spans="1:4" ht="36" customHeight="1" thickBot="1">
      <c r="A40" s="292" t="s">
        <v>72</v>
      </c>
      <c r="B40" s="292"/>
      <c r="C40" s="292"/>
      <c r="D40" s="292"/>
    </row>
    <row r="41" spans="1:4" ht="13.5" thickBot="1">
      <c r="A41" s="293" t="s">
        <v>73</v>
      </c>
      <c r="B41" s="294"/>
      <c r="C41" s="294"/>
      <c r="D41" s="295"/>
    </row>
    <row r="42" spans="1:4" ht="13.5" thickBot="1">
      <c r="A42" s="86" t="s">
        <v>74</v>
      </c>
      <c r="B42" s="93" t="s">
        <v>75</v>
      </c>
      <c r="C42" s="88" t="s">
        <v>63</v>
      </c>
      <c r="D42" s="89" t="s">
        <v>45</v>
      </c>
    </row>
    <row r="43" spans="1:4">
      <c r="A43" s="90" t="s">
        <v>23</v>
      </c>
      <c r="B43" s="91" t="s">
        <v>76</v>
      </c>
      <c r="C43" s="92">
        <v>0.2</v>
      </c>
      <c r="D43" s="72">
        <f>ROUND(D$28*C43,2)</f>
        <v>954.01</v>
      </c>
    </row>
    <row r="44" spans="1:4">
      <c r="A44" s="187" t="s">
        <v>26</v>
      </c>
      <c r="B44" s="198" t="s">
        <v>77</v>
      </c>
      <c r="C44" s="199">
        <v>2.5000000000000001E-2</v>
      </c>
      <c r="D44" s="72">
        <f t="shared" ref="D44:D50" si="4">ROUND(D$28*C44,2)</f>
        <v>119.25</v>
      </c>
    </row>
    <row r="45" spans="1:4">
      <c r="A45" s="187" t="s">
        <v>29</v>
      </c>
      <c r="B45" s="198" t="s">
        <v>78</v>
      </c>
      <c r="C45" s="199">
        <v>0.03</v>
      </c>
      <c r="D45" s="72">
        <f t="shared" si="4"/>
        <v>143.1</v>
      </c>
    </row>
    <row r="46" spans="1:4">
      <c r="A46" s="187" t="s">
        <v>49</v>
      </c>
      <c r="B46" s="198" t="s">
        <v>79</v>
      </c>
      <c r="C46" s="199">
        <v>1.4999999999999999E-2</v>
      </c>
      <c r="D46" s="72">
        <f t="shared" si="4"/>
        <v>71.55</v>
      </c>
    </row>
    <row r="47" spans="1:4">
      <c r="A47" s="187" t="s">
        <v>51</v>
      </c>
      <c r="B47" s="198" t="s">
        <v>80</v>
      </c>
      <c r="C47" s="199">
        <v>0.01</v>
      </c>
      <c r="D47" s="72">
        <f t="shared" si="4"/>
        <v>47.7</v>
      </c>
    </row>
    <row r="48" spans="1:4">
      <c r="A48" s="187" t="s">
        <v>81</v>
      </c>
      <c r="B48" s="198" t="s">
        <v>82</v>
      </c>
      <c r="C48" s="199">
        <v>6.0000000000000001E-3</v>
      </c>
      <c r="D48" s="72">
        <f t="shared" si="4"/>
        <v>28.62</v>
      </c>
    </row>
    <row r="49" spans="1:5">
      <c r="A49" s="187" t="s">
        <v>53</v>
      </c>
      <c r="B49" s="198" t="s">
        <v>83</v>
      </c>
      <c r="C49" s="199">
        <v>2E-3</v>
      </c>
      <c r="D49" s="72">
        <f t="shared" si="4"/>
        <v>9.5399999999999991</v>
      </c>
    </row>
    <row r="50" spans="1:5">
      <c r="A50" s="182" t="s">
        <v>55</v>
      </c>
      <c r="B50" s="391" t="s">
        <v>84</v>
      </c>
      <c r="C50" s="199">
        <v>0.08</v>
      </c>
      <c r="D50" s="72">
        <f t="shared" si="4"/>
        <v>381.6</v>
      </c>
    </row>
    <row r="51" spans="1:5" ht="13.5" thickBot="1">
      <c r="A51" s="312" t="s">
        <v>85</v>
      </c>
      <c r="B51" s="314"/>
      <c r="C51" s="392">
        <f t="shared" ref="C51:D51" si="5">SUM(C43:C50)</f>
        <v>0.36800000000000005</v>
      </c>
      <c r="D51" s="94">
        <f t="shared" si="5"/>
        <v>1755.37</v>
      </c>
    </row>
    <row r="52" spans="1:5">
      <c r="A52" s="95" t="s">
        <v>86</v>
      </c>
      <c r="B52" s="96"/>
      <c r="C52" s="97"/>
      <c r="D52" s="98"/>
      <c r="E52" s="82"/>
    </row>
    <row r="53" spans="1:5">
      <c r="A53" s="95" t="s">
        <v>87</v>
      </c>
      <c r="B53" s="96"/>
      <c r="C53" s="97"/>
      <c r="D53" s="98"/>
      <c r="E53" s="82"/>
    </row>
    <row r="54" spans="1:5" ht="13.5" thickBot="1">
      <c r="A54" s="82" t="s">
        <v>88</v>
      </c>
      <c r="B54" s="96"/>
      <c r="C54" s="97"/>
      <c r="D54" s="98"/>
      <c r="E54" s="82"/>
    </row>
    <row r="55" spans="1:5" ht="13.5" thickBot="1">
      <c r="A55" s="272" t="s">
        <v>89</v>
      </c>
      <c r="B55" s="273"/>
      <c r="C55" s="273"/>
      <c r="D55" s="274"/>
    </row>
    <row r="56" spans="1:5" ht="13.5" thickBot="1">
      <c r="A56" s="86" t="s">
        <v>90</v>
      </c>
      <c r="B56" s="296" t="s">
        <v>91</v>
      </c>
      <c r="C56" s="271"/>
      <c r="D56" s="99" t="s">
        <v>45</v>
      </c>
    </row>
    <row r="57" spans="1:5">
      <c r="A57" s="74" t="s">
        <v>23</v>
      </c>
      <c r="B57" s="100" t="s">
        <v>92</v>
      </c>
      <c r="C57" s="101">
        <v>15</v>
      </c>
      <c r="D57" s="72">
        <f>5.5*2*C57-6%*D21</f>
        <v>-55.156199999999984</v>
      </c>
    </row>
    <row r="58" spans="1:5">
      <c r="A58" s="380" t="s">
        <v>26</v>
      </c>
      <c r="B58" s="202" t="s">
        <v>93</v>
      </c>
      <c r="C58" s="203">
        <v>15</v>
      </c>
      <c r="D58" s="204">
        <f>C58*45.12</f>
        <v>676.8</v>
      </c>
    </row>
    <row r="59" spans="1:5">
      <c r="A59" s="380" t="s">
        <v>67</v>
      </c>
      <c r="B59" s="210" t="s">
        <v>94</v>
      </c>
      <c r="C59" s="205"/>
      <c r="D59" s="204">
        <v>0</v>
      </c>
    </row>
    <row r="60" spans="1:5">
      <c r="A60" s="380" t="s">
        <v>49</v>
      </c>
      <c r="B60" s="211" t="s">
        <v>95</v>
      </c>
      <c r="C60" s="205"/>
      <c r="D60" s="204">
        <v>0</v>
      </c>
    </row>
    <row r="61" spans="1:5">
      <c r="A61" s="74" t="s">
        <v>96</v>
      </c>
      <c r="B61" s="287" t="s">
        <v>97</v>
      </c>
      <c r="C61" s="290"/>
      <c r="D61" s="72">
        <v>0</v>
      </c>
    </row>
    <row r="62" spans="1:5">
      <c r="A62" s="380" t="s">
        <v>81</v>
      </c>
      <c r="B62" s="386" t="s">
        <v>98</v>
      </c>
      <c r="C62" s="311"/>
      <c r="D62" s="204">
        <v>0</v>
      </c>
    </row>
    <row r="63" spans="1:5" ht="13.5" thickBot="1">
      <c r="A63" s="380" t="s">
        <v>99</v>
      </c>
      <c r="B63" s="210" t="s">
        <v>100</v>
      </c>
      <c r="C63" s="205"/>
      <c r="D63" s="204">
        <v>0</v>
      </c>
    </row>
    <row r="64" spans="1:5" ht="13.5" thickBot="1">
      <c r="A64" s="279" t="s">
        <v>101</v>
      </c>
      <c r="B64" s="280" t="s">
        <v>101</v>
      </c>
      <c r="C64" s="280"/>
      <c r="D64" s="102">
        <f>SUM(D57:D63)</f>
        <v>621.64379999999994</v>
      </c>
    </row>
    <row r="65" spans="1:4">
      <c r="A65" s="95" t="s">
        <v>102</v>
      </c>
      <c r="B65" s="103"/>
      <c r="C65" s="103"/>
      <c r="D65" s="104"/>
    </row>
    <row r="66" spans="1:4" ht="13.5" thickBot="1">
      <c r="A66" s="275" t="s">
        <v>103</v>
      </c>
      <c r="B66" s="275"/>
      <c r="C66" s="275"/>
      <c r="D66" s="275"/>
    </row>
    <row r="67" spans="1:4" ht="13.5" thickBot="1">
      <c r="A67" s="272" t="s">
        <v>104</v>
      </c>
      <c r="B67" s="273"/>
      <c r="C67" s="273"/>
      <c r="D67" s="274"/>
    </row>
    <row r="68" spans="1:4" ht="13.5" thickBot="1">
      <c r="A68" s="105">
        <v>2</v>
      </c>
      <c r="B68" s="269" t="s">
        <v>105</v>
      </c>
      <c r="C68" s="271"/>
      <c r="D68" s="107" t="s">
        <v>106</v>
      </c>
    </row>
    <row r="69" spans="1:4" ht="13.5" thickBot="1">
      <c r="A69" s="67" t="s">
        <v>61</v>
      </c>
      <c r="B69" s="276" t="s">
        <v>62</v>
      </c>
      <c r="C69" s="277"/>
      <c r="D69" s="71">
        <f>D37</f>
        <v>1333.15</v>
      </c>
    </row>
    <row r="70" spans="1:4" ht="13.5" thickBot="1">
      <c r="A70" s="67" t="s">
        <v>74</v>
      </c>
      <c r="B70" s="276" t="s">
        <v>75</v>
      </c>
      <c r="C70" s="277"/>
      <c r="D70" s="71">
        <f>D51</f>
        <v>1755.37</v>
      </c>
    </row>
    <row r="71" spans="1:4" ht="13.5" thickBot="1">
      <c r="A71" s="67" t="s">
        <v>90</v>
      </c>
      <c r="B71" s="232" t="s">
        <v>91</v>
      </c>
      <c r="C71" s="233"/>
      <c r="D71" s="71">
        <f>D64</f>
        <v>621.64379999999994</v>
      </c>
    </row>
    <row r="72" spans="1:4" ht="13.5" thickBot="1">
      <c r="A72" s="269" t="s">
        <v>107</v>
      </c>
      <c r="B72" s="270"/>
      <c r="C72" s="271"/>
      <c r="D72" s="108">
        <f>SUM(D69:D71)</f>
        <v>3710.1637999999998</v>
      </c>
    </row>
    <row r="73" spans="1:4" ht="13.5" thickBot="1">
      <c r="A73" s="272" t="s">
        <v>108</v>
      </c>
      <c r="B73" s="273"/>
      <c r="C73" s="273"/>
      <c r="D73" s="274"/>
    </row>
    <row r="74" spans="1:4" ht="13.5" thickBot="1">
      <c r="A74" s="105">
        <v>3</v>
      </c>
      <c r="B74" s="93" t="s">
        <v>109</v>
      </c>
      <c r="C74" s="109" t="s">
        <v>110</v>
      </c>
      <c r="D74" s="107" t="s">
        <v>106</v>
      </c>
    </row>
    <row r="75" spans="1:4" ht="13.5" thickBot="1">
      <c r="A75" s="67" t="s">
        <v>111</v>
      </c>
      <c r="B75" s="68" t="s">
        <v>112</v>
      </c>
      <c r="C75" s="43">
        <v>4.1999999999999997E-3</v>
      </c>
      <c r="D75" s="71">
        <f t="shared" ref="D75:D80" si="6">C75*$D$28</f>
        <v>20.034209999999998</v>
      </c>
    </row>
    <row r="76" spans="1:4" ht="13.5" thickBot="1">
      <c r="A76" s="67" t="s">
        <v>113</v>
      </c>
      <c r="B76" s="68" t="s">
        <v>114</v>
      </c>
      <c r="C76" s="43">
        <f>8%*C75</f>
        <v>3.3599999999999998E-4</v>
      </c>
      <c r="D76" s="71">
        <f t="shared" si="6"/>
        <v>1.6027368</v>
      </c>
    </row>
    <row r="77" spans="1:4" ht="13.5" thickBot="1">
      <c r="A77" s="67" t="s">
        <v>67</v>
      </c>
      <c r="B77" s="68" t="s">
        <v>115</v>
      </c>
      <c r="C77" s="43">
        <v>3.9800000000000002E-2</v>
      </c>
      <c r="D77" s="71">
        <f t="shared" si="6"/>
        <v>189.84799000000001</v>
      </c>
    </row>
    <row r="78" spans="1:4" ht="13.5" thickBot="1">
      <c r="A78" s="67" t="s">
        <v>32</v>
      </c>
      <c r="B78" s="68" t="s">
        <v>116</v>
      </c>
      <c r="C78" s="43">
        <v>1.9400000000000001E-2</v>
      </c>
      <c r="D78" s="71">
        <f t="shared" si="6"/>
        <v>92.538970000000006</v>
      </c>
    </row>
    <row r="79" spans="1:4" ht="26.25" thickBot="1">
      <c r="A79" s="67" t="s">
        <v>96</v>
      </c>
      <c r="B79" s="68" t="s">
        <v>117</v>
      </c>
      <c r="C79" s="43">
        <f>1*36.8%*C78</f>
        <v>7.1392000000000001E-3</v>
      </c>
      <c r="D79" s="71">
        <f t="shared" si="6"/>
        <v>34.054340960000005</v>
      </c>
    </row>
    <row r="80" spans="1:4" ht="13.5" thickBot="1">
      <c r="A80" s="67" t="s">
        <v>118</v>
      </c>
      <c r="B80" s="68" t="s">
        <v>119</v>
      </c>
      <c r="C80" s="43">
        <v>2.0000000000000001E-4</v>
      </c>
      <c r="D80" s="71">
        <f t="shared" si="6"/>
        <v>0.95401000000000014</v>
      </c>
    </row>
    <row r="81" spans="1:6" ht="13.5" thickBot="1">
      <c r="A81" s="269" t="s">
        <v>107</v>
      </c>
      <c r="B81" s="271"/>
      <c r="C81" s="110">
        <f t="shared" ref="C81:D81" si="7">SUM(C75:C80)</f>
        <v>7.1075200000000005E-2</v>
      </c>
      <c r="D81" s="111">
        <f t="shared" si="7"/>
        <v>339.03225775999999</v>
      </c>
    </row>
    <row r="82" spans="1:6" ht="36.75" customHeight="1" thickBot="1">
      <c r="A82" s="297" t="s">
        <v>120</v>
      </c>
      <c r="B82" s="297"/>
      <c r="C82" s="297"/>
      <c r="D82" s="297"/>
      <c r="F82" s="112"/>
    </row>
    <row r="83" spans="1:6" ht="13.5" thickBot="1">
      <c r="A83" s="272" t="s">
        <v>121</v>
      </c>
      <c r="B83" s="273"/>
      <c r="C83" s="273"/>
      <c r="D83" s="274"/>
    </row>
    <row r="84" spans="1:6" ht="13.5" thickBot="1">
      <c r="A84" s="269" t="s">
        <v>122</v>
      </c>
      <c r="B84" s="270"/>
      <c r="C84" s="270"/>
      <c r="D84" s="271"/>
    </row>
    <row r="85" spans="1:6" ht="13.5" thickBot="1">
      <c r="A85" s="105" t="s">
        <v>123</v>
      </c>
      <c r="B85" s="106" t="s">
        <v>124</v>
      </c>
      <c r="C85" s="105" t="s">
        <v>110</v>
      </c>
      <c r="D85" s="107" t="s">
        <v>106</v>
      </c>
    </row>
    <row r="86" spans="1:6" ht="13.5" thickBot="1">
      <c r="A86" s="67" t="s">
        <v>111</v>
      </c>
      <c r="B86" s="68" t="s">
        <v>125</v>
      </c>
      <c r="C86" s="69">
        <v>0</v>
      </c>
      <c r="D86" s="70">
        <f>C86*$D$28</f>
        <v>0</v>
      </c>
    </row>
    <row r="87" spans="1:6" ht="13.5" thickBot="1">
      <c r="A87" s="67" t="s">
        <v>113</v>
      </c>
      <c r="B87" s="68" t="s">
        <v>126</v>
      </c>
      <c r="C87" s="113">
        <v>4.1999999999999997E-3</v>
      </c>
      <c r="D87" s="70">
        <f>C87*$D$28</f>
        <v>20.034209999999998</v>
      </c>
    </row>
    <row r="88" spans="1:6" ht="13.5" thickBot="1">
      <c r="A88" s="67" t="s">
        <v>67</v>
      </c>
      <c r="B88" s="68" t="s">
        <v>127</v>
      </c>
      <c r="C88" s="113">
        <v>2.0000000000000001E-4</v>
      </c>
      <c r="D88" s="70">
        <f>C88*$D$28</f>
        <v>0.95401000000000014</v>
      </c>
    </row>
    <row r="89" spans="1:6" ht="26.25" thickBot="1">
      <c r="A89" s="67" t="s">
        <v>32</v>
      </c>
      <c r="B89" s="68" t="s">
        <v>128</v>
      </c>
      <c r="C89" s="113">
        <v>4.1999999999999997E-3</v>
      </c>
      <c r="D89" s="70">
        <f>C89*$D$28</f>
        <v>20.034209999999998</v>
      </c>
    </row>
    <row r="90" spans="1:6" ht="13.5" thickBot="1">
      <c r="A90" s="67" t="s">
        <v>96</v>
      </c>
      <c r="B90" s="68" t="s">
        <v>129</v>
      </c>
      <c r="C90" s="113">
        <v>2.0000000000000001E-4</v>
      </c>
      <c r="D90" s="70">
        <f>C90*$D$28</f>
        <v>0.95401000000000014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ref="D91" si="8">C91*$D$28</f>
        <v>15.447329920000003</v>
      </c>
      <c r="E91" s="114" t="s">
        <v>131</v>
      </c>
    </row>
    <row r="92" spans="1:6" ht="13.5" thickBot="1">
      <c r="A92" s="269" t="s">
        <v>69</v>
      </c>
      <c r="B92" s="270"/>
      <c r="C92" s="115">
        <f t="shared" ref="C92:D92" si="9">SUM(C86:C91)</f>
        <v>1.2038400000000001E-2</v>
      </c>
      <c r="D92" s="111">
        <f t="shared" si="9"/>
        <v>57.423769919999998</v>
      </c>
    </row>
    <row r="93" spans="1:6" ht="33.75" customHeight="1" thickBot="1">
      <c r="A93" s="306" t="s">
        <v>132</v>
      </c>
      <c r="B93" s="306"/>
      <c r="C93" s="306"/>
      <c r="D93" s="306"/>
    </row>
    <row r="94" spans="1:6" ht="13.5" thickBot="1">
      <c r="A94" s="272" t="s">
        <v>133</v>
      </c>
      <c r="B94" s="273"/>
      <c r="C94" s="273"/>
      <c r="D94" s="274"/>
    </row>
    <row r="95" spans="1:6" ht="13.5" thickBot="1">
      <c r="A95" s="105" t="s">
        <v>134</v>
      </c>
      <c r="B95" s="269" t="s">
        <v>135</v>
      </c>
      <c r="C95" s="271"/>
      <c r="D95" s="107" t="s">
        <v>106</v>
      </c>
    </row>
    <row r="96" spans="1:6" ht="13.5" thickBot="1">
      <c r="A96" s="67" t="s">
        <v>111</v>
      </c>
      <c r="B96" s="232" t="s">
        <v>136</v>
      </c>
      <c r="C96" s="233"/>
      <c r="D96" s="71">
        <v>0</v>
      </c>
    </row>
    <row r="97" spans="1:4" ht="13.5" thickBot="1">
      <c r="A97" s="269" t="s">
        <v>107</v>
      </c>
      <c r="B97" s="270"/>
      <c r="C97" s="271"/>
      <c r="D97" s="71">
        <f>SUM(D96)</f>
        <v>0</v>
      </c>
    </row>
    <row r="98" spans="1:4" ht="13.5" thickBot="1">
      <c r="A98" s="116"/>
      <c r="C98" s="117"/>
      <c r="D98" s="118"/>
    </row>
    <row r="99" spans="1:4" ht="13.5" thickBot="1">
      <c r="A99" s="272" t="s">
        <v>137</v>
      </c>
      <c r="B99" s="273"/>
      <c r="C99" s="273"/>
      <c r="D99" s="274"/>
    </row>
    <row r="100" spans="1:4" ht="13.5" thickBot="1">
      <c r="A100" s="105">
        <v>4</v>
      </c>
      <c r="B100" s="269" t="s">
        <v>138</v>
      </c>
      <c r="C100" s="271"/>
      <c r="D100" s="107" t="s">
        <v>106</v>
      </c>
    </row>
    <row r="101" spans="1:4" ht="13.5" thickBot="1">
      <c r="A101" s="67" t="s">
        <v>123</v>
      </c>
      <c r="B101" s="232" t="s">
        <v>124</v>
      </c>
      <c r="C101" s="233"/>
      <c r="D101" s="71">
        <f>D92</f>
        <v>57.423769919999998</v>
      </c>
    </row>
    <row r="102" spans="1:4" ht="13.5" thickBot="1">
      <c r="A102" s="67" t="s">
        <v>134</v>
      </c>
      <c r="B102" s="232" t="s">
        <v>135</v>
      </c>
      <c r="C102" s="233"/>
      <c r="D102" s="71">
        <f>D97</f>
        <v>0</v>
      </c>
    </row>
    <row r="103" spans="1:4" ht="13.5" thickBot="1">
      <c r="A103" s="269" t="s">
        <v>107</v>
      </c>
      <c r="B103" s="270"/>
      <c r="C103" s="271"/>
      <c r="D103" s="111">
        <f>SUM(D101:D102)</f>
        <v>57.423769919999998</v>
      </c>
    </row>
    <row r="104" spans="1:4" ht="13.5" thickBot="1">
      <c r="A104" s="116"/>
      <c r="C104" s="117"/>
      <c r="D104" s="118"/>
    </row>
    <row r="105" spans="1:4" ht="13.5" thickBot="1">
      <c r="A105" s="272" t="s">
        <v>139</v>
      </c>
      <c r="B105" s="273"/>
      <c r="C105" s="273"/>
      <c r="D105" s="274"/>
    </row>
    <row r="106" spans="1:4" ht="13.5" thickBot="1">
      <c r="A106" s="105">
        <v>5</v>
      </c>
      <c r="B106" s="269" t="s">
        <v>140</v>
      </c>
      <c r="C106" s="271"/>
      <c r="D106" s="107" t="s">
        <v>106</v>
      </c>
    </row>
    <row r="107" spans="1:4" ht="13.5" thickBot="1">
      <c r="A107" s="67" t="s">
        <v>111</v>
      </c>
      <c r="B107" s="232" t="s">
        <v>141</v>
      </c>
      <c r="C107" s="233"/>
      <c r="D107" s="71">
        <f>UNIFORMES!F12</f>
        <v>60.270833333333336</v>
      </c>
    </row>
    <row r="108" spans="1:4" ht="13.5" thickBot="1">
      <c r="A108" s="67" t="s">
        <v>113</v>
      </c>
      <c r="B108" s="232" t="s">
        <v>142</v>
      </c>
      <c r="C108" s="233"/>
      <c r="D108" s="71">
        <f>MATERIAIS!F83</f>
        <v>439.57944444444462</v>
      </c>
    </row>
    <row r="109" spans="1:4" ht="13.5" thickBot="1">
      <c r="A109" s="67" t="s">
        <v>67</v>
      </c>
      <c r="B109" s="232" t="s">
        <v>143</v>
      </c>
      <c r="C109" s="233"/>
      <c r="D109" s="71">
        <f>'Líder da Brigada'!D109</f>
        <v>0</v>
      </c>
    </row>
    <row r="110" spans="1:4" ht="13.5" thickBot="1">
      <c r="A110" s="67" t="s">
        <v>32</v>
      </c>
      <c r="B110" s="232" t="s">
        <v>144</v>
      </c>
      <c r="C110" s="233"/>
      <c r="D110" s="71">
        <v>0</v>
      </c>
    </row>
    <row r="111" spans="1:4" ht="15.75" thickBot="1">
      <c r="A111" s="119" t="s">
        <v>96</v>
      </c>
      <c r="B111" s="232" t="s">
        <v>145</v>
      </c>
      <c r="C111" s="291"/>
      <c r="D111" s="71">
        <v>0</v>
      </c>
    </row>
    <row r="112" spans="1:4" ht="13.5" thickBot="1">
      <c r="A112" s="269" t="s">
        <v>69</v>
      </c>
      <c r="B112" s="270"/>
      <c r="C112" s="271"/>
      <c r="D112" s="108">
        <f>SUM(D107:D111)</f>
        <v>499.85027777777793</v>
      </c>
    </row>
    <row r="113" spans="1:5" ht="13.5" thickBot="1">
      <c r="A113" s="116"/>
      <c r="C113" s="117"/>
      <c r="D113" s="118"/>
    </row>
    <row r="114" spans="1:5" ht="13.5" thickBot="1">
      <c r="A114" s="272" t="s">
        <v>146</v>
      </c>
      <c r="B114" s="273"/>
      <c r="C114" s="273"/>
      <c r="D114" s="274"/>
    </row>
    <row r="115" spans="1:5" ht="13.5" thickBot="1">
      <c r="A115" s="105">
        <v>6</v>
      </c>
      <c r="B115" s="120" t="s">
        <v>147</v>
      </c>
      <c r="C115" s="93" t="s">
        <v>110</v>
      </c>
      <c r="D115" s="107" t="s">
        <v>106</v>
      </c>
    </row>
    <row r="116" spans="1:5" ht="13.5" thickBot="1">
      <c r="A116" s="67" t="s">
        <v>111</v>
      </c>
      <c r="B116" s="121" t="s">
        <v>148</v>
      </c>
      <c r="C116" s="113">
        <v>0.05</v>
      </c>
      <c r="D116" s="71">
        <f>C116*D134</f>
        <v>468.82600527288889</v>
      </c>
    </row>
    <row r="117" spans="1:5" ht="13.5" thickBot="1">
      <c r="A117" s="67" t="s">
        <v>113</v>
      </c>
      <c r="B117" s="121" t="s">
        <v>149</v>
      </c>
      <c r="C117" s="113">
        <v>0.05</v>
      </c>
      <c r="D117" s="71">
        <f>(D134+D116)*C117</f>
        <v>492.26730553653334</v>
      </c>
    </row>
    <row r="118" spans="1:5" ht="13.5" thickBot="1">
      <c r="A118" s="67" t="s">
        <v>67</v>
      </c>
      <c r="B118" s="121" t="s">
        <v>150</v>
      </c>
      <c r="C118" s="113">
        <f>C119+C120+C121</f>
        <v>0.14250000000000002</v>
      </c>
      <c r="D118" s="71">
        <f>((D134+D116+D117)/(1-C118))*C118</f>
        <v>1717.9124336070863</v>
      </c>
      <c r="E118" s="122"/>
    </row>
    <row r="119" spans="1:5" ht="13.5" thickBot="1">
      <c r="A119" s="67"/>
      <c r="B119" s="121" t="s">
        <v>151</v>
      </c>
      <c r="C119" s="113">
        <v>9.2499999999999999E-2</v>
      </c>
      <c r="D119" s="71">
        <f>C119*D136</f>
        <v>1115.1365250000001</v>
      </c>
    </row>
    <row r="120" spans="1:5" ht="13.5" thickBot="1">
      <c r="A120" s="67"/>
      <c r="B120" s="121" t="s">
        <v>152</v>
      </c>
      <c r="C120" s="123">
        <v>0.05</v>
      </c>
      <c r="D120" s="71">
        <f>C120*D136</f>
        <v>602.77650000000006</v>
      </c>
    </row>
    <row r="121" spans="1:5" ht="13.5" thickBot="1">
      <c r="A121" s="67"/>
      <c r="B121" s="121" t="s">
        <v>153</v>
      </c>
      <c r="C121" s="123">
        <v>0</v>
      </c>
      <c r="D121" s="71">
        <f>C121*D136</f>
        <v>0</v>
      </c>
    </row>
    <row r="122" spans="1:5" ht="13.5" thickBot="1">
      <c r="A122" s="269" t="s">
        <v>69</v>
      </c>
      <c r="B122" s="271"/>
      <c r="C122" s="115">
        <f>C118+C116+C117</f>
        <v>0.24249999999999999</v>
      </c>
      <c r="D122" s="107">
        <f>SUM(D116,D117,D118)</f>
        <v>2679.0057444165086</v>
      </c>
    </row>
    <row r="123" spans="1:5">
      <c r="A123" s="95" t="s">
        <v>154</v>
      </c>
      <c r="C123" s="117"/>
      <c r="D123" s="118"/>
    </row>
    <row r="124" spans="1:5">
      <c r="A124" s="275" t="s">
        <v>155</v>
      </c>
      <c r="B124" s="275"/>
      <c r="C124" s="275"/>
      <c r="D124" s="275"/>
    </row>
    <row r="125" spans="1:5">
      <c r="A125" s="95" t="s">
        <v>156</v>
      </c>
      <c r="C125" s="117"/>
      <c r="D125" s="118"/>
    </row>
    <row r="126" spans="1:5" ht="13.5" thickBot="1">
      <c r="A126" s="116"/>
      <c r="C126" s="117"/>
      <c r="D126" s="118"/>
    </row>
    <row r="127" spans="1:5" ht="13.5" thickBot="1">
      <c r="A127" s="272" t="s">
        <v>157</v>
      </c>
      <c r="B127" s="273"/>
      <c r="C127" s="273"/>
      <c r="D127" s="274"/>
    </row>
    <row r="128" spans="1:5" ht="13.5" thickBot="1">
      <c r="A128" s="105"/>
      <c r="B128" s="293" t="s">
        <v>158</v>
      </c>
      <c r="C128" s="295"/>
      <c r="D128" s="107" t="s">
        <v>106</v>
      </c>
    </row>
    <row r="129" spans="1:4" ht="13.5" thickBot="1">
      <c r="A129" s="124" t="s">
        <v>111</v>
      </c>
      <c r="B129" s="276" t="s">
        <v>43</v>
      </c>
      <c r="C129" s="277"/>
      <c r="D129" s="71">
        <f>D28</f>
        <v>4770.05</v>
      </c>
    </row>
    <row r="130" spans="1:4" ht="13.5" thickBot="1">
      <c r="A130" s="124" t="s">
        <v>113</v>
      </c>
      <c r="B130" s="232" t="s">
        <v>59</v>
      </c>
      <c r="C130" s="233"/>
      <c r="D130" s="71">
        <f>D72</f>
        <v>3710.1637999999998</v>
      </c>
    </row>
    <row r="131" spans="1:4" ht="13.5" thickBot="1">
      <c r="A131" s="124" t="s">
        <v>67</v>
      </c>
      <c r="B131" s="232" t="s">
        <v>108</v>
      </c>
      <c r="C131" s="233"/>
      <c r="D131" s="71">
        <f>D81</f>
        <v>339.03225775999999</v>
      </c>
    </row>
    <row r="132" spans="1:4" ht="13.5" thickBot="1">
      <c r="A132" s="124" t="s">
        <v>32</v>
      </c>
      <c r="B132" s="232" t="s">
        <v>121</v>
      </c>
      <c r="C132" s="233"/>
      <c r="D132" s="71">
        <f>D103</f>
        <v>57.423769919999998</v>
      </c>
    </row>
    <row r="133" spans="1:4" ht="13.5" thickBot="1">
      <c r="A133" s="124" t="s">
        <v>96</v>
      </c>
      <c r="B133" s="232" t="s">
        <v>139</v>
      </c>
      <c r="C133" s="233"/>
      <c r="D133" s="71">
        <f>D112</f>
        <v>499.85027777777793</v>
      </c>
    </row>
    <row r="134" spans="1:4" ht="13.5" thickBot="1">
      <c r="A134" s="269" t="s">
        <v>159</v>
      </c>
      <c r="B134" s="270"/>
      <c r="C134" s="271"/>
      <c r="D134" s="71">
        <f>SUM(D129:D133)</f>
        <v>9376.5201054577774</v>
      </c>
    </row>
    <row r="135" spans="1:4" ht="13.5" thickBot="1">
      <c r="A135" s="124" t="s">
        <v>118</v>
      </c>
      <c r="B135" s="276" t="s">
        <v>160</v>
      </c>
      <c r="C135" s="277"/>
      <c r="D135" s="125">
        <f>D122</f>
        <v>2679.0057444165086</v>
      </c>
    </row>
    <row r="136" spans="1:4" ht="13.5" thickBot="1">
      <c r="A136" s="269" t="s">
        <v>161</v>
      </c>
      <c r="B136" s="270"/>
      <c r="C136" s="271"/>
      <c r="D136" s="126">
        <f>ROUND((D134+D135),2)</f>
        <v>12055.53</v>
      </c>
    </row>
    <row r="137" spans="1:4" ht="13.5" thickBot="1">
      <c r="A137" s="269" t="s">
        <v>162</v>
      </c>
      <c r="B137" s="270"/>
      <c r="C137" s="271"/>
      <c r="D137" s="126">
        <f>D136*2</f>
        <v>24111.06</v>
      </c>
    </row>
  </sheetData>
  <mergeCells count="84">
    <mergeCell ref="A1:D1"/>
    <mergeCell ref="A7:D7"/>
    <mergeCell ref="A137:C137"/>
    <mergeCell ref="B20:C20"/>
    <mergeCell ref="B21:C21"/>
    <mergeCell ref="B16:C16"/>
    <mergeCell ref="B9:C9"/>
    <mergeCell ref="B10:C10"/>
    <mergeCell ref="B11:C11"/>
    <mergeCell ref="A13:D13"/>
    <mergeCell ref="B12:C12"/>
    <mergeCell ref="A8:D8"/>
    <mergeCell ref="B128:C128"/>
    <mergeCell ref="B108:C108"/>
    <mergeCell ref="B109:C109"/>
    <mergeCell ref="B96:C96"/>
    <mergeCell ref="A97:C97"/>
    <mergeCell ref="A99:D99"/>
    <mergeCell ref="B101:C101"/>
    <mergeCell ref="B102:C102"/>
    <mergeCell ref="B100:C100"/>
    <mergeCell ref="B95:C95"/>
    <mergeCell ref="A73:D73"/>
    <mergeCell ref="B56:C56"/>
    <mergeCell ref="B26:C26"/>
    <mergeCell ref="B27:C27"/>
    <mergeCell ref="A31:D31"/>
    <mergeCell ref="A39:D39"/>
    <mergeCell ref="A30:D30"/>
    <mergeCell ref="A35:B35"/>
    <mergeCell ref="A37:B37"/>
    <mergeCell ref="A38:D38"/>
    <mergeCell ref="A40:D40"/>
    <mergeCell ref="A41:D41"/>
    <mergeCell ref="B62:C62"/>
    <mergeCell ref="A51:B51"/>
    <mergeCell ref="A55:D55"/>
    <mergeCell ref="B15:C15"/>
    <mergeCell ref="A2:D2"/>
    <mergeCell ref="A3:D3"/>
    <mergeCell ref="A4:D4"/>
    <mergeCell ref="A5:D5"/>
    <mergeCell ref="A6:D6"/>
    <mergeCell ref="B61:C61"/>
    <mergeCell ref="A93:D93"/>
    <mergeCell ref="A94:D94"/>
    <mergeCell ref="B70:C70"/>
    <mergeCell ref="B71:C71"/>
    <mergeCell ref="A81:B81"/>
    <mergeCell ref="A82:D82"/>
    <mergeCell ref="A83:D83"/>
    <mergeCell ref="A72:C72"/>
    <mergeCell ref="A66:D66"/>
    <mergeCell ref="A67:D67"/>
    <mergeCell ref="B68:C68"/>
    <mergeCell ref="B69:C69"/>
    <mergeCell ref="A136:C136"/>
    <mergeCell ref="C14:D14"/>
    <mergeCell ref="B18:C18"/>
    <mergeCell ref="A19:D19"/>
    <mergeCell ref="B23:C23"/>
    <mergeCell ref="B25:C25"/>
    <mergeCell ref="A28:C28"/>
    <mergeCell ref="B131:C131"/>
    <mergeCell ref="B132:C132"/>
    <mergeCell ref="B133:C133"/>
    <mergeCell ref="B135:C135"/>
    <mergeCell ref="B110:C110"/>
    <mergeCell ref="B111:C111"/>
    <mergeCell ref="A84:D84"/>
    <mergeCell ref="A92:B92"/>
    <mergeCell ref="A64:C64"/>
    <mergeCell ref="A103:C103"/>
    <mergeCell ref="A105:D105"/>
    <mergeCell ref="B106:C106"/>
    <mergeCell ref="B107:C107"/>
    <mergeCell ref="A112:C112"/>
    <mergeCell ref="A134:C134"/>
    <mergeCell ref="A114:D114"/>
    <mergeCell ref="B130:C130"/>
    <mergeCell ref="A122:B122"/>
    <mergeCell ref="A124:D124"/>
    <mergeCell ref="A127:D127"/>
    <mergeCell ref="B129:C129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7"/>
  <sheetViews>
    <sheetView workbookViewId="0">
      <selection activeCell="I33" sqref="I33"/>
    </sheetView>
  </sheetViews>
  <sheetFormatPr defaultRowHeight="12.75"/>
  <cols>
    <col min="1" max="1" width="5" style="23" customWidth="1"/>
    <col min="2" max="2" width="47.7109375" style="23" customWidth="1"/>
    <col min="3" max="3" width="11.28515625" style="23" customWidth="1"/>
    <col min="4" max="4" width="24.28515625" style="23" customWidth="1"/>
    <col min="5" max="5" width="9.140625" style="23"/>
    <col min="6" max="6" width="25.140625" style="23" customWidth="1"/>
    <col min="7" max="7" width="17.140625" style="23" customWidth="1"/>
    <col min="8" max="16384" width="9.140625" style="23"/>
  </cols>
  <sheetData>
    <row r="1" spans="1:7">
      <c r="A1" s="298" t="s">
        <v>0</v>
      </c>
      <c r="B1" s="299"/>
      <c r="C1" s="299"/>
      <c r="D1" s="299"/>
    </row>
    <row r="2" spans="1:7">
      <c r="A2" s="298" t="s">
        <v>1</v>
      </c>
      <c r="B2" s="299"/>
      <c r="C2" s="299"/>
      <c r="D2" s="299"/>
    </row>
    <row r="3" spans="1:7">
      <c r="A3" s="298" t="s">
        <v>2</v>
      </c>
      <c r="B3" s="299"/>
      <c r="C3" s="299"/>
      <c r="D3" s="299"/>
    </row>
    <row r="4" spans="1:7">
      <c r="A4" s="298"/>
      <c r="B4" s="299"/>
      <c r="C4" s="299"/>
      <c r="D4" s="299"/>
    </row>
    <row r="5" spans="1:7" ht="13.5" thickBot="1">
      <c r="A5" s="300" t="s">
        <v>19</v>
      </c>
      <c r="B5" s="301"/>
      <c r="C5" s="301"/>
      <c r="D5" s="301"/>
    </row>
    <row r="6" spans="1:7">
      <c r="A6" s="302" t="s">
        <v>20</v>
      </c>
      <c r="B6" s="303"/>
      <c r="C6" s="303"/>
      <c r="D6" s="304"/>
    </row>
    <row r="7" spans="1:7" ht="13.5" thickBot="1">
      <c r="A7" s="300" t="s">
        <v>21</v>
      </c>
      <c r="B7" s="301"/>
      <c r="C7" s="301"/>
      <c r="D7" s="305"/>
    </row>
    <row r="8" spans="1:7" ht="13.5" thickBot="1">
      <c r="A8" s="307" t="s">
        <v>22</v>
      </c>
      <c r="B8" s="308"/>
      <c r="C8" s="308"/>
      <c r="D8" s="308"/>
    </row>
    <row r="9" spans="1:7">
      <c r="A9" s="74" t="s">
        <v>23</v>
      </c>
      <c r="B9" s="282" t="s">
        <v>24</v>
      </c>
      <c r="C9" s="282"/>
      <c r="D9" s="75" t="s">
        <v>25</v>
      </c>
    </row>
    <row r="10" spans="1:7">
      <c r="A10" s="380" t="s">
        <v>26</v>
      </c>
      <c r="B10" s="381" t="s">
        <v>27</v>
      </c>
      <c r="C10" s="381"/>
      <c r="D10" s="382" t="s">
        <v>28</v>
      </c>
    </row>
    <row r="11" spans="1:7" ht="25.5">
      <c r="A11" s="380" t="s">
        <v>29</v>
      </c>
      <c r="B11" s="383" t="s">
        <v>30</v>
      </c>
      <c r="C11" s="384"/>
      <c r="D11" s="385" t="str">
        <f>'Líder da Brigada'!D11</f>
        <v xml:space="preserve">  DF000184/2024 - SINDBOMBEIROS</v>
      </c>
    </row>
    <row r="12" spans="1:7" ht="13.5" thickBot="1">
      <c r="A12" s="76" t="s">
        <v>32</v>
      </c>
      <c r="B12" s="309" t="s">
        <v>33</v>
      </c>
      <c r="C12" s="309"/>
      <c r="D12" s="77">
        <v>12</v>
      </c>
    </row>
    <row r="13" spans="1:7" ht="13.5" thickBot="1">
      <c r="A13" s="283" t="s">
        <v>34</v>
      </c>
      <c r="B13" s="284"/>
      <c r="C13" s="284"/>
      <c r="D13" s="284"/>
    </row>
    <row r="14" spans="1:7" ht="25.5">
      <c r="A14" s="179">
        <v>1</v>
      </c>
      <c r="B14" s="178" t="s">
        <v>35</v>
      </c>
      <c r="C14" s="250" t="s">
        <v>36</v>
      </c>
      <c r="D14" s="251"/>
      <c r="F14" s="393" t="s">
        <v>163</v>
      </c>
      <c r="G14" s="393" t="s">
        <v>164</v>
      </c>
    </row>
    <row r="15" spans="1:7">
      <c r="A15" s="187">
        <v>2</v>
      </c>
      <c r="B15" s="315" t="s">
        <v>37</v>
      </c>
      <c r="C15" s="287"/>
      <c r="D15" s="72">
        <v>870.62</v>
      </c>
      <c r="F15" s="206" t="s">
        <v>165</v>
      </c>
      <c r="G15" s="207">
        <v>3669.27</v>
      </c>
    </row>
    <row r="16" spans="1:7">
      <c r="A16" s="187">
        <v>3</v>
      </c>
      <c r="B16" s="315" t="s">
        <v>38</v>
      </c>
      <c r="C16" s="394"/>
      <c r="D16" s="395" t="s">
        <v>39</v>
      </c>
      <c r="F16" s="206" t="s">
        <v>166</v>
      </c>
      <c r="G16" s="207">
        <v>0</v>
      </c>
    </row>
    <row r="17" spans="1:7">
      <c r="A17" s="396">
        <v>4</v>
      </c>
      <c r="B17" s="397" t="s">
        <v>40</v>
      </c>
      <c r="C17" s="398"/>
      <c r="D17" s="399" t="s">
        <v>41</v>
      </c>
      <c r="F17" s="206" t="s">
        <v>167</v>
      </c>
      <c r="G17" s="207">
        <f>G16+G15</f>
        <v>3669.27</v>
      </c>
    </row>
    <row r="18" spans="1:7" ht="13.5" thickBot="1">
      <c r="A18" s="400">
        <v>5</v>
      </c>
      <c r="B18" s="401" t="s">
        <v>42</v>
      </c>
      <c r="C18" s="402"/>
      <c r="D18" s="403">
        <v>45292</v>
      </c>
      <c r="F18" s="206" t="s">
        <v>168</v>
      </c>
      <c r="G18" s="207">
        <f>G17/220</f>
        <v>16.6785</v>
      </c>
    </row>
    <row r="19" spans="1:7" ht="13.5" thickBot="1">
      <c r="A19" s="285" t="s">
        <v>43</v>
      </c>
      <c r="B19" s="286"/>
      <c r="C19" s="286"/>
      <c r="D19" s="286"/>
      <c r="F19" s="206" t="s">
        <v>169</v>
      </c>
      <c r="G19" s="207">
        <f>G18*12</f>
        <v>200.142</v>
      </c>
    </row>
    <row r="20" spans="1:7" ht="13.5" thickBot="1">
      <c r="A20" s="73">
        <v>1</v>
      </c>
      <c r="B20" s="288" t="s">
        <v>44</v>
      </c>
      <c r="C20" s="289"/>
      <c r="D20" s="79" t="s">
        <v>45</v>
      </c>
      <c r="F20" s="206" t="s">
        <v>170</v>
      </c>
      <c r="G20" s="207">
        <v>4.3499999999999996</v>
      </c>
    </row>
    <row r="21" spans="1:7">
      <c r="A21" s="80" t="s">
        <v>23</v>
      </c>
      <c r="B21" s="290" t="s">
        <v>46</v>
      </c>
      <c r="C21" s="290"/>
      <c r="D21" s="81">
        <f>D15</f>
        <v>870.62</v>
      </c>
      <c r="F21" s="393" t="s">
        <v>171</v>
      </c>
      <c r="G21" s="208">
        <f>G19*4.35</f>
        <v>870.6176999999999</v>
      </c>
    </row>
    <row r="22" spans="1:7">
      <c r="A22" s="404" t="s">
        <v>26</v>
      </c>
      <c r="B22" s="405" t="s">
        <v>47</v>
      </c>
      <c r="C22" s="406">
        <v>0.3</v>
      </c>
      <c r="D22" s="407">
        <f t="shared" ref="D22" si="0">C22*D21</f>
        <v>261.18599999999998</v>
      </c>
    </row>
    <row r="23" spans="1:7">
      <c r="A23" s="404" t="s">
        <v>29</v>
      </c>
      <c r="B23" s="408" t="s">
        <v>48</v>
      </c>
      <c r="C23" s="408"/>
      <c r="D23" s="407">
        <v>0</v>
      </c>
    </row>
    <row r="24" spans="1:7" ht="12.75" customHeight="1">
      <c r="A24" s="404" t="s">
        <v>49</v>
      </c>
      <c r="B24" s="405" t="s">
        <v>50</v>
      </c>
      <c r="C24" s="406">
        <v>0.2</v>
      </c>
      <c r="D24" s="409">
        <f>ROUND((((D21+D22)/220)*C24)*(7*13),2)</f>
        <v>93.63</v>
      </c>
      <c r="F24" s="410" t="s">
        <v>172</v>
      </c>
      <c r="G24" s="410"/>
    </row>
    <row r="25" spans="1:7">
      <c r="A25" s="404" t="s">
        <v>51</v>
      </c>
      <c r="B25" s="408" t="s">
        <v>52</v>
      </c>
      <c r="C25" s="408"/>
      <c r="D25" s="407">
        <f t="shared" ref="D25" si="1">D21/220*0.2*0*15</f>
        <v>0</v>
      </c>
      <c r="F25" s="410"/>
      <c r="G25" s="410"/>
    </row>
    <row r="26" spans="1:7">
      <c r="A26" s="404" t="s">
        <v>53</v>
      </c>
      <c r="B26" s="408" t="s">
        <v>54</v>
      </c>
      <c r="C26" s="408"/>
      <c r="D26" s="407">
        <v>0</v>
      </c>
      <c r="F26" s="410"/>
      <c r="G26" s="410"/>
    </row>
    <row r="27" spans="1:7">
      <c r="A27" s="411" t="s">
        <v>55</v>
      </c>
      <c r="B27" s="412" t="s">
        <v>56</v>
      </c>
      <c r="C27" s="412"/>
      <c r="D27" s="413">
        <v>0</v>
      </c>
      <c r="F27" s="410"/>
      <c r="G27" s="410"/>
    </row>
    <row r="28" spans="1:7" ht="13.5" thickBot="1">
      <c r="A28" s="414" t="s">
        <v>57</v>
      </c>
      <c r="B28" s="415"/>
      <c r="C28" s="416"/>
      <c r="D28" s="417">
        <f t="shared" ref="D28" si="2">ROUND(SUM(D21:D27),2)</f>
        <v>1225.44</v>
      </c>
      <c r="F28" s="410"/>
      <c r="G28" s="410"/>
    </row>
    <row r="29" spans="1:7" ht="13.5" thickBot="1">
      <c r="A29" s="82" t="s">
        <v>58</v>
      </c>
      <c r="B29" s="83"/>
      <c r="C29" s="84"/>
      <c r="D29" s="85"/>
      <c r="F29" s="410"/>
      <c r="G29" s="410"/>
    </row>
    <row r="30" spans="1:7" ht="13.5" thickBot="1">
      <c r="A30" s="272" t="s">
        <v>59</v>
      </c>
      <c r="B30" s="273"/>
      <c r="C30" s="273"/>
      <c r="D30" s="274"/>
      <c r="F30" s="410"/>
      <c r="G30" s="410"/>
    </row>
    <row r="31" spans="1:7" ht="13.5" thickBot="1">
      <c r="A31" s="272" t="s">
        <v>60</v>
      </c>
      <c r="B31" s="273"/>
      <c r="C31" s="273"/>
      <c r="D31" s="274"/>
    </row>
    <row r="32" spans="1:7" ht="13.5" thickBot="1">
      <c r="A32" s="86" t="s">
        <v>61</v>
      </c>
      <c r="B32" s="87" t="s">
        <v>62</v>
      </c>
      <c r="C32" s="88" t="s">
        <v>63</v>
      </c>
      <c r="D32" s="89" t="s">
        <v>45</v>
      </c>
    </row>
    <row r="33" spans="1:4">
      <c r="A33" s="90" t="s">
        <v>23</v>
      </c>
      <c r="B33" s="91" t="s">
        <v>64</v>
      </c>
      <c r="C33" s="92">
        <v>8.3299999999999999E-2</v>
      </c>
      <c r="D33" s="72">
        <f>ROUND(D$28*C33,2)</f>
        <v>102.08</v>
      </c>
    </row>
    <row r="34" spans="1:4">
      <c r="A34" s="187" t="s">
        <v>26</v>
      </c>
      <c r="B34" s="418" t="s">
        <v>65</v>
      </c>
      <c r="C34" s="419">
        <v>0.121</v>
      </c>
      <c r="D34" s="72">
        <f t="shared" ref="D34" si="3">ROUND(D$28*C34,2)</f>
        <v>148.28</v>
      </c>
    </row>
    <row r="35" spans="1:4" ht="13.5" thickBot="1">
      <c r="A35" s="420" t="s">
        <v>66</v>
      </c>
      <c r="B35" s="421"/>
      <c r="C35" s="422">
        <f>SUM(A33:C34)</f>
        <v>0.20429999999999998</v>
      </c>
      <c r="D35" s="72">
        <f>SUM(D33:D34)</f>
        <v>250.36</v>
      </c>
    </row>
    <row r="36" spans="1:4" ht="25.5">
      <c r="A36" s="396" t="s">
        <v>67</v>
      </c>
      <c r="B36" s="423" t="s">
        <v>68</v>
      </c>
      <c r="C36" s="424">
        <f>C35*C51</f>
        <v>7.5182399999999996E-2</v>
      </c>
      <c r="D36" s="72">
        <f>ROUND(D$28*C36,2)</f>
        <v>92.13</v>
      </c>
    </row>
    <row r="37" spans="1:4">
      <c r="A37" s="278" t="s">
        <v>69</v>
      </c>
      <c r="B37" s="425"/>
      <c r="C37" s="201"/>
      <c r="D37" s="72">
        <f>SUM(D35:D36)</f>
        <v>342.49</v>
      </c>
    </row>
    <row r="38" spans="1:4" ht="36.75" customHeight="1">
      <c r="A38" s="281" t="s">
        <v>70</v>
      </c>
      <c r="B38" s="281"/>
      <c r="C38" s="281"/>
      <c r="D38" s="281"/>
    </row>
    <row r="39" spans="1:4" ht="27.75" customHeight="1">
      <c r="A39" s="281" t="s">
        <v>71</v>
      </c>
      <c r="B39" s="281"/>
      <c r="C39" s="281"/>
      <c r="D39" s="281"/>
    </row>
    <row r="40" spans="1:4" ht="36" customHeight="1" thickBot="1">
      <c r="A40" s="292" t="s">
        <v>72</v>
      </c>
      <c r="B40" s="292"/>
      <c r="C40" s="292"/>
      <c r="D40" s="292"/>
    </row>
    <row r="41" spans="1:4" ht="13.5" thickBot="1">
      <c r="A41" s="293" t="s">
        <v>73</v>
      </c>
      <c r="B41" s="294"/>
      <c r="C41" s="294"/>
      <c r="D41" s="295"/>
    </row>
    <row r="42" spans="1:4" ht="13.5" thickBot="1">
      <c r="A42" s="86" t="s">
        <v>74</v>
      </c>
      <c r="B42" s="93" t="s">
        <v>75</v>
      </c>
      <c r="C42" s="88" t="s">
        <v>63</v>
      </c>
      <c r="D42" s="89" t="s">
        <v>45</v>
      </c>
    </row>
    <row r="43" spans="1:4">
      <c r="A43" s="90" t="s">
        <v>23</v>
      </c>
      <c r="B43" s="91" t="s">
        <v>76</v>
      </c>
      <c r="C43" s="92">
        <v>0.2</v>
      </c>
      <c r="D43" s="72">
        <f>ROUND(D$28*C43,2)</f>
        <v>245.09</v>
      </c>
    </row>
    <row r="44" spans="1:4">
      <c r="A44" s="187" t="s">
        <v>26</v>
      </c>
      <c r="B44" s="418" t="s">
        <v>77</v>
      </c>
      <c r="C44" s="419">
        <v>2.5000000000000001E-2</v>
      </c>
      <c r="D44" s="72">
        <f t="shared" ref="D44:D50" si="4">ROUND(D$28*C44,2)</f>
        <v>30.64</v>
      </c>
    </row>
    <row r="45" spans="1:4">
      <c r="A45" s="187" t="s">
        <v>29</v>
      </c>
      <c r="B45" s="418" t="s">
        <v>78</v>
      </c>
      <c r="C45" s="419">
        <v>0.03</v>
      </c>
      <c r="D45" s="72">
        <f t="shared" si="4"/>
        <v>36.76</v>
      </c>
    </row>
    <row r="46" spans="1:4">
      <c r="A46" s="187" t="s">
        <v>49</v>
      </c>
      <c r="B46" s="418" t="s">
        <v>79</v>
      </c>
      <c r="C46" s="419">
        <v>1.4999999999999999E-2</v>
      </c>
      <c r="D46" s="72">
        <f t="shared" si="4"/>
        <v>18.38</v>
      </c>
    </row>
    <row r="47" spans="1:4">
      <c r="A47" s="187" t="s">
        <v>51</v>
      </c>
      <c r="B47" s="418" t="s">
        <v>80</v>
      </c>
      <c r="C47" s="419">
        <v>0.01</v>
      </c>
      <c r="D47" s="72">
        <f t="shared" si="4"/>
        <v>12.25</v>
      </c>
    </row>
    <row r="48" spans="1:4">
      <c r="A48" s="187" t="s">
        <v>81</v>
      </c>
      <c r="B48" s="418" t="s">
        <v>82</v>
      </c>
      <c r="C48" s="419">
        <v>6.0000000000000001E-3</v>
      </c>
      <c r="D48" s="72">
        <f t="shared" si="4"/>
        <v>7.35</v>
      </c>
    </row>
    <row r="49" spans="1:5">
      <c r="A49" s="187" t="s">
        <v>53</v>
      </c>
      <c r="B49" s="418" t="s">
        <v>83</v>
      </c>
      <c r="C49" s="419">
        <v>2E-3</v>
      </c>
      <c r="D49" s="72">
        <f t="shared" si="4"/>
        <v>2.4500000000000002</v>
      </c>
    </row>
    <row r="50" spans="1:5">
      <c r="A50" s="396" t="s">
        <v>55</v>
      </c>
      <c r="B50" s="426" t="s">
        <v>84</v>
      </c>
      <c r="C50" s="419">
        <v>0.08</v>
      </c>
      <c r="D50" s="72">
        <f t="shared" si="4"/>
        <v>98.04</v>
      </c>
    </row>
    <row r="51" spans="1:5" ht="13.5" thickBot="1">
      <c r="A51" s="414" t="s">
        <v>85</v>
      </c>
      <c r="B51" s="416"/>
      <c r="C51" s="427">
        <f t="shared" ref="C51:D51" si="5">SUM(C43:C50)</f>
        <v>0.36800000000000005</v>
      </c>
      <c r="D51" s="94">
        <f t="shared" si="5"/>
        <v>450.96000000000004</v>
      </c>
    </row>
    <row r="52" spans="1:5">
      <c r="A52" s="95" t="s">
        <v>86</v>
      </c>
      <c r="B52" s="96"/>
      <c r="C52" s="97"/>
      <c r="D52" s="98"/>
      <c r="E52" s="82"/>
    </row>
    <row r="53" spans="1:5">
      <c r="A53" s="95" t="s">
        <v>87</v>
      </c>
      <c r="B53" s="96"/>
      <c r="C53" s="97"/>
      <c r="D53" s="98"/>
      <c r="E53" s="82"/>
    </row>
    <row r="54" spans="1:5" ht="13.5" thickBot="1">
      <c r="A54" s="82" t="s">
        <v>88</v>
      </c>
      <c r="B54" s="96"/>
      <c r="C54" s="97"/>
      <c r="D54" s="98"/>
      <c r="E54" s="82"/>
    </row>
    <row r="55" spans="1:5" ht="13.5" thickBot="1">
      <c r="A55" s="272" t="s">
        <v>89</v>
      </c>
      <c r="B55" s="273"/>
      <c r="C55" s="273"/>
      <c r="D55" s="274"/>
    </row>
    <row r="56" spans="1:5" ht="13.5" thickBot="1">
      <c r="A56" s="86" t="s">
        <v>90</v>
      </c>
      <c r="B56" s="296" t="s">
        <v>91</v>
      </c>
      <c r="C56" s="271"/>
      <c r="D56" s="99" t="s">
        <v>45</v>
      </c>
    </row>
    <row r="57" spans="1:5">
      <c r="A57" s="74" t="s">
        <v>23</v>
      </c>
      <c r="B57" s="100" t="s">
        <v>92</v>
      </c>
      <c r="C57" s="101">
        <v>15</v>
      </c>
      <c r="D57" s="72">
        <f>5.5*2*C57-6%*D21</f>
        <v>112.7628</v>
      </c>
    </row>
    <row r="58" spans="1:5">
      <c r="A58" s="380" t="s">
        <v>26</v>
      </c>
      <c r="B58" s="428" t="s">
        <v>93</v>
      </c>
      <c r="C58" s="429">
        <v>15</v>
      </c>
      <c r="D58" s="430">
        <f>C58*45.12</f>
        <v>676.8</v>
      </c>
    </row>
    <row r="59" spans="1:5">
      <c r="A59" s="380" t="s">
        <v>67</v>
      </c>
      <c r="B59" s="431" t="s">
        <v>94</v>
      </c>
      <c r="C59" s="432"/>
      <c r="D59" s="430">
        <v>0</v>
      </c>
    </row>
    <row r="60" spans="1:5">
      <c r="A60" s="380" t="s">
        <v>49</v>
      </c>
      <c r="B60" s="433" t="s">
        <v>95</v>
      </c>
      <c r="C60" s="432"/>
      <c r="D60" s="430">
        <v>0</v>
      </c>
    </row>
    <row r="61" spans="1:5">
      <c r="A61" s="74" t="s">
        <v>96</v>
      </c>
      <c r="B61" s="287" t="s">
        <v>97</v>
      </c>
      <c r="C61" s="290"/>
      <c r="D61" s="72">
        <v>0</v>
      </c>
    </row>
    <row r="62" spans="1:5">
      <c r="A62" s="380" t="s">
        <v>81</v>
      </c>
      <c r="B62" s="394" t="s">
        <v>98</v>
      </c>
      <c r="C62" s="408"/>
      <c r="D62" s="430">
        <v>0</v>
      </c>
    </row>
    <row r="63" spans="1:5" ht="13.5" thickBot="1">
      <c r="A63" s="380" t="s">
        <v>99</v>
      </c>
      <c r="B63" s="431" t="s">
        <v>100</v>
      </c>
      <c r="C63" s="432"/>
      <c r="D63" s="430">
        <v>0</v>
      </c>
    </row>
    <row r="64" spans="1:5" ht="13.5" thickBot="1">
      <c r="A64" s="279" t="s">
        <v>101</v>
      </c>
      <c r="B64" s="280" t="s">
        <v>101</v>
      </c>
      <c r="C64" s="280"/>
      <c r="D64" s="102">
        <f>SUM(D57:D63)</f>
        <v>789.56279999999992</v>
      </c>
    </row>
    <row r="65" spans="1:4">
      <c r="A65" s="95" t="s">
        <v>102</v>
      </c>
      <c r="B65" s="103"/>
      <c r="C65" s="103"/>
      <c r="D65" s="104"/>
    </row>
    <row r="66" spans="1:4" ht="13.5" thickBot="1">
      <c r="A66" s="275" t="s">
        <v>103</v>
      </c>
      <c r="B66" s="275"/>
      <c r="C66" s="275"/>
      <c r="D66" s="275"/>
    </row>
    <row r="67" spans="1:4" ht="13.5" thickBot="1">
      <c r="A67" s="272" t="s">
        <v>104</v>
      </c>
      <c r="B67" s="273"/>
      <c r="C67" s="273"/>
      <c r="D67" s="274"/>
    </row>
    <row r="68" spans="1:4" ht="13.5" thickBot="1">
      <c r="A68" s="105">
        <v>2</v>
      </c>
      <c r="B68" s="269" t="s">
        <v>105</v>
      </c>
      <c r="C68" s="271"/>
      <c r="D68" s="107" t="s">
        <v>106</v>
      </c>
    </row>
    <row r="69" spans="1:4" ht="13.5" thickBot="1">
      <c r="A69" s="67" t="s">
        <v>61</v>
      </c>
      <c r="B69" s="276" t="s">
        <v>62</v>
      </c>
      <c r="C69" s="277"/>
      <c r="D69" s="71">
        <f>D37</f>
        <v>342.49</v>
      </c>
    </row>
    <row r="70" spans="1:4" ht="13.5" thickBot="1">
      <c r="A70" s="67" t="s">
        <v>74</v>
      </c>
      <c r="B70" s="276" t="s">
        <v>75</v>
      </c>
      <c r="C70" s="277"/>
      <c r="D70" s="71">
        <f>D51</f>
        <v>450.96000000000004</v>
      </c>
    </row>
    <row r="71" spans="1:4" ht="13.5" thickBot="1">
      <c r="A71" s="67" t="s">
        <v>90</v>
      </c>
      <c r="B71" s="232" t="s">
        <v>91</v>
      </c>
      <c r="C71" s="233"/>
      <c r="D71" s="71">
        <f>D64</f>
        <v>789.56279999999992</v>
      </c>
    </row>
    <row r="72" spans="1:4" ht="13.5" thickBot="1">
      <c r="A72" s="269" t="s">
        <v>107</v>
      </c>
      <c r="B72" s="270"/>
      <c r="C72" s="271"/>
      <c r="D72" s="108">
        <f>SUM(D69:D71)</f>
        <v>1583.0128</v>
      </c>
    </row>
    <row r="73" spans="1:4" ht="13.5" thickBot="1">
      <c r="A73" s="272" t="s">
        <v>108</v>
      </c>
      <c r="B73" s="273"/>
      <c r="C73" s="273"/>
      <c r="D73" s="274"/>
    </row>
    <row r="74" spans="1:4" ht="13.5" thickBot="1">
      <c r="A74" s="105">
        <v>3</v>
      </c>
      <c r="B74" s="93" t="s">
        <v>109</v>
      </c>
      <c r="C74" s="109" t="s">
        <v>110</v>
      </c>
      <c r="D74" s="107" t="s">
        <v>106</v>
      </c>
    </row>
    <row r="75" spans="1:4" ht="13.5" thickBot="1">
      <c r="A75" s="67" t="s">
        <v>111</v>
      </c>
      <c r="B75" s="68" t="s">
        <v>112</v>
      </c>
      <c r="C75" s="43">
        <v>4.1999999999999997E-3</v>
      </c>
      <c r="D75" s="71">
        <f t="shared" ref="D75:D80" si="6">C75*$D$28</f>
        <v>5.1468480000000003</v>
      </c>
    </row>
    <row r="76" spans="1:4" ht="13.5" thickBot="1">
      <c r="A76" s="67" t="s">
        <v>113</v>
      </c>
      <c r="B76" s="68" t="s">
        <v>114</v>
      </c>
      <c r="C76" s="43">
        <f>8%*C75</f>
        <v>3.3599999999999998E-4</v>
      </c>
      <c r="D76" s="71">
        <f t="shared" si="6"/>
        <v>0.41174783999999998</v>
      </c>
    </row>
    <row r="77" spans="1:4" ht="13.5" thickBot="1">
      <c r="A77" s="67" t="s">
        <v>67</v>
      </c>
      <c r="B77" s="68" t="s">
        <v>115</v>
      </c>
      <c r="C77" s="43">
        <v>3.9800000000000002E-2</v>
      </c>
      <c r="D77" s="71">
        <f t="shared" si="6"/>
        <v>48.772512000000006</v>
      </c>
    </row>
    <row r="78" spans="1:4" ht="13.5" thickBot="1">
      <c r="A78" s="67" t="s">
        <v>32</v>
      </c>
      <c r="B78" s="68" t="s">
        <v>116</v>
      </c>
      <c r="C78" s="43">
        <v>1.9400000000000001E-2</v>
      </c>
      <c r="D78" s="71">
        <f t="shared" si="6"/>
        <v>23.773536</v>
      </c>
    </row>
    <row r="79" spans="1:4" ht="26.25" thickBot="1">
      <c r="A79" s="67" t="s">
        <v>96</v>
      </c>
      <c r="B79" s="68" t="s">
        <v>117</v>
      </c>
      <c r="C79" s="43">
        <f>1*36.8%*C78</f>
        <v>7.1392000000000001E-3</v>
      </c>
      <c r="D79" s="71">
        <f t="shared" si="6"/>
        <v>8.7486612480000012</v>
      </c>
    </row>
    <row r="80" spans="1:4" ht="13.5" thickBot="1">
      <c r="A80" s="67" t="s">
        <v>118</v>
      </c>
      <c r="B80" s="68" t="s">
        <v>119</v>
      </c>
      <c r="C80" s="43">
        <v>2.0000000000000001E-4</v>
      </c>
      <c r="D80" s="71">
        <f t="shared" si="6"/>
        <v>0.24508800000000003</v>
      </c>
    </row>
    <row r="81" spans="1:6" ht="13.5" thickBot="1">
      <c r="A81" s="269" t="s">
        <v>107</v>
      </c>
      <c r="B81" s="271"/>
      <c r="C81" s="110">
        <f t="shared" ref="C81:D81" si="7">SUM(C75:C80)</f>
        <v>7.1075200000000005E-2</v>
      </c>
      <c r="D81" s="111">
        <f t="shared" si="7"/>
        <v>87.098393088000009</v>
      </c>
    </row>
    <row r="82" spans="1:6" ht="36.75" customHeight="1" thickBot="1">
      <c r="A82" s="297" t="s">
        <v>120</v>
      </c>
      <c r="B82" s="297"/>
      <c r="C82" s="297"/>
      <c r="D82" s="297"/>
      <c r="F82" s="112"/>
    </row>
    <row r="83" spans="1:6" ht="13.5" thickBot="1">
      <c r="A83" s="272" t="s">
        <v>121</v>
      </c>
      <c r="B83" s="273"/>
      <c r="C83" s="273"/>
      <c r="D83" s="274"/>
    </row>
    <row r="84" spans="1:6" ht="13.5" thickBot="1">
      <c r="A84" s="269" t="s">
        <v>122</v>
      </c>
      <c r="B84" s="270"/>
      <c r="C84" s="270"/>
      <c r="D84" s="271"/>
    </row>
    <row r="85" spans="1:6" ht="13.5" thickBot="1">
      <c r="A85" s="105" t="s">
        <v>123</v>
      </c>
      <c r="B85" s="106" t="s">
        <v>124</v>
      </c>
      <c r="C85" s="105" t="s">
        <v>110</v>
      </c>
      <c r="D85" s="107" t="s">
        <v>106</v>
      </c>
    </row>
    <row r="86" spans="1:6" ht="13.5" thickBot="1">
      <c r="A86" s="67" t="s">
        <v>111</v>
      </c>
      <c r="B86" s="68" t="s">
        <v>125</v>
      </c>
      <c r="C86" s="69">
        <v>0</v>
      </c>
      <c r="D86" s="70">
        <f>C86*$D$28</f>
        <v>0</v>
      </c>
    </row>
    <row r="87" spans="1:6" ht="13.5" thickBot="1">
      <c r="A87" s="67" t="s">
        <v>113</v>
      </c>
      <c r="B87" s="68" t="s">
        <v>126</v>
      </c>
      <c r="C87" s="113">
        <v>4.1999999999999997E-3</v>
      </c>
      <c r="D87" s="70">
        <f>C87*$D$28</f>
        <v>5.1468480000000003</v>
      </c>
    </row>
    <row r="88" spans="1:6" ht="13.5" thickBot="1">
      <c r="A88" s="67" t="s">
        <v>67</v>
      </c>
      <c r="B88" s="68" t="s">
        <v>127</v>
      </c>
      <c r="C88" s="113">
        <v>2.0000000000000001E-4</v>
      </c>
      <c r="D88" s="70">
        <f>C88*$D$28</f>
        <v>0.24508800000000003</v>
      </c>
    </row>
    <row r="89" spans="1:6" ht="26.25" thickBot="1">
      <c r="A89" s="67" t="s">
        <v>32</v>
      </c>
      <c r="B89" s="68" t="s">
        <v>128</v>
      </c>
      <c r="C89" s="113">
        <v>4.1999999999999997E-3</v>
      </c>
      <c r="D89" s="70">
        <f>C89*$D$28</f>
        <v>5.1468480000000003</v>
      </c>
    </row>
    <row r="90" spans="1:6" ht="13.5" thickBot="1">
      <c r="A90" s="67" t="s">
        <v>96</v>
      </c>
      <c r="B90" s="68" t="s">
        <v>129</v>
      </c>
      <c r="C90" s="113">
        <v>2.0000000000000001E-4</v>
      </c>
      <c r="D90" s="70">
        <f>C90*$D$28</f>
        <v>0.24508800000000003</v>
      </c>
    </row>
    <row r="91" spans="1:6" ht="39" thickBot="1">
      <c r="A91" s="67" t="s">
        <v>118</v>
      </c>
      <c r="B91" s="68" t="s">
        <v>130</v>
      </c>
      <c r="C91" s="69">
        <f>SUM(C86:C90)*C51</f>
        <v>3.2384000000000007E-3</v>
      </c>
      <c r="D91" s="70">
        <f t="shared" ref="D91" si="8">C91*$D$28</f>
        <v>3.9684648960000009</v>
      </c>
      <c r="E91" s="114" t="s">
        <v>131</v>
      </c>
    </row>
    <row r="92" spans="1:6" ht="13.5" thickBot="1">
      <c r="A92" s="269" t="s">
        <v>69</v>
      </c>
      <c r="B92" s="270"/>
      <c r="C92" s="115">
        <f t="shared" ref="C92:D92" si="9">SUM(C86:C91)</f>
        <v>1.2038400000000001E-2</v>
      </c>
      <c r="D92" s="111">
        <f t="shared" si="9"/>
        <v>14.752336896000001</v>
      </c>
    </row>
    <row r="93" spans="1:6" ht="33.75" customHeight="1" thickBot="1">
      <c r="A93" s="306" t="s">
        <v>132</v>
      </c>
      <c r="B93" s="306"/>
      <c r="C93" s="306"/>
      <c r="D93" s="306"/>
    </row>
    <row r="94" spans="1:6" ht="13.5" thickBot="1">
      <c r="A94" s="272" t="s">
        <v>133</v>
      </c>
      <c r="B94" s="273"/>
      <c r="C94" s="273"/>
      <c r="D94" s="274"/>
    </row>
    <row r="95" spans="1:6" ht="13.5" thickBot="1">
      <c r="A95" s="105" t="s">
        <v>134</v>
      </c>
      <c r="B95" s="269" t="s">
        <v>135</v>
      </c>
      <c r="C95" s="271"/>
      <c r="D95" s="107" t="s">
        <v>106</v>
      </c>
    </row>
    <row r="96" spans="1:6" ht="13.5" thickBot="1">
      <c r="A96" s="67" t="s">
        <v>111</v>
      </c>
      <c r="B96" s="232" t="s">
        <v>136</v>
      </c>
      <c r="C96" s="233"/>
      <c r="D96" s="71">
        <v>0</v>
      </c>
    </row>
    <row r="97" spans="1:4" ht="13.5" thickBot="1">
      <c r="A97" s="269" t="s">
        <v>107</v>
      </c>
      <c r="B97" s="270"/>
      <c r="C97" s="271"/>
      <c r="D97" s="71">
        <f>SUM(D96)</f>
        <v>0</v>
      </c>
    </row>
    <row r="98" spans="1:4" ht="13.5" thickBot="1">
      <c r="A98" s="116"/>
      <c r="C98" s="117"/>
      <c r="D98" s="118"/>
    </row>
    <row r="99" spans="1:4" ht="13.5" thickBot="1">
      <c r="A99" s="272" t="s">
        <v>137</v>
      </c>
      <c r="B99" s="273"/>
      <c r="C99" s="273"/>
      <c r="D99" s="274"/>
    </row>
    <row r="100" spans="1:4" ht="13.5" thickBot="1">
      <c r="A100" s="105">
        <v>4</v>
      </c>
      <c r="B100" s="269" t="s">
        <v>138</v>
      </c>
      <c r="C100" s="271"/>
      <c r="D100" s="107" t="s">
        <v>106</v>
      </c>
    </row>
    <row r="101" spans="1:4" ht="13.5" thickBot="1">
      <c r="A101" s="67" t="s">
        <v>123</v>
      </c>
      <c r="B101" s="232" t="s">
        <v>124</v>
      </c>
      <c r="C101" s="233"/>
      <c r="D101" s="71">
        <f>D92</f>
        <v>14.752336896000001</v>
      </c>
    </row>
    <row r="102" spans="1:4" ht="13.5" thickBot="1">
      <c r="A102" s="67" t="s">
        <v>134</v>
      </c>
      <c r="B102" s="232" t="s">
        <v>135</v>
      </c>
      <c r="C102" s="233"/>
      <c r="D102" s="71">
        <f>D97</f>
        <v>0</v>
      </c>
    </row>
    <row r="103" spans="1:4" ht="13.5" thickBot="1">
      <c r="A103" s="269" t="s">
        <v>107</v>
      </c>
      <c r="B103" s="270"/>
      <c r="C103" s="271"/>
      <c r="D103" s="111">
        <f>SUM(D101:D102)</f>
        <v>14.752336896000001</v>
      </c>
    </row>
    <row r="104" spans="1:4" ht="13.5" thickBot="1">
      <c r="A104" s="116"/>
      <c r="C104" s="117"/>
      <c r="D104" s="118"/>
    </row>
    <row r="105" spans="1:4" ht="13.5" thickBot="1">
      <c r="A105" s="272" t="s">
        <v>139</v>
      </c>
      <c r="B105" s="273"/>
      <c r="C105" s="273"/>
      <c r="D105" s="274"/>
    </row>
    <row r="106" spans="1:4" ht="13.5" thickBot="1">
      <c r="A106" s="105">
        <v>5</v>
      </c>
      <c r="B106" s="269" t="s">
        <v>140</v>
      </c>
      <c r="C106" s="271"/>
      <c r="D106" s="107" t="s">
        <v>106</v>
      </c>
    </row>
    <row r="107" spans="1:4" ht="13.5" thickBot="1">
      <c r="A107" s="67" t="s">
        <v>111</v>
      </c>
      <c r="B107" s="232" t="s">
        <v>141</v>
      </c>
      <c r="C107" s="233"/>
      <c r="D107" s="71">
        <f>UNIFORMES!F12</f>
        <v>60.270833333333336</v>
      </c>
    </row>
    <row r="108" spans="1:4" ht="13.5" thickBot="1">
      <c r="A108" s="67" t="s">
        <v>113</v>
      </c>
      <c r="B108" s="232" t="s">
        <v>142</v>
      </c>
      <c r="C108" s="233"/>
      <c r="D108" s="71">
        <f>MATERIAIS!F83</f>
        <v>439.57944444444462</v>
      </c>
    </row>
    <row r="109" spans="1:4" ht="13.5" thickBot="1">
      <c r="A109" s="67" t="s">
        <v>67</v>
      </c>
      <c r="B109" s="232" t="s">
        <v>143</v>
      </c>
      <c r="C109" s="233"/>
      <c r="D109" s="71">
        <f>'Líder da Brigada'!D109</f>
        <v>0</v>
      </c>
    </row>
    <row r="110" spans="1:4" ht="13.5" thickBot="1">
      <c r="A110" s="67" t="s">
        <v>32</v>
      </c>
      <c r="B110" s="232" t="s">
        <v>144</v>
      </c>
      <c r="C110" s="233"/>
      <c r="D110" s="71">
        <v>0</v>
      </c>
    </row>
    <row r="111" spans="1:4" ht="15.75" thickBot="1">
      <c r="A111" s="119" t="s">
        <v>96</v>
      </c>
      <c r="B111" s="232" t="s">
        <v>145</v>
      </c>
      <c r="C111" s="291"/>
      <c r="D111" s="71">
        <v>0</v>
      </c>
    </row>
    <row r="112" spans="1:4" ht="13.5" thickBot="1">
      <c r="A112" s="269" t="s">
        <v>69</v>
      </c>
      <c r="B112" s="270"/>
      <c r="C112" s="271"/>
      <c r="D112" s="108">
        <f>SUM(D107:D111)</f>
        <v>499.85027777777793</v>
      </c>
    </row>
    <row r="113" spans="1:5" ht="13.5" thickBot="1">
      <c r="A113" s="116"/>
      <c r="C113" s="117"/>
      <c r="D113" s="118"/>
    </row>
    <row r="114" spans="1:5" ht="13.5" thickBot="1">
      <c r="A114" s="272" t="s">
        <v>146</v>
      </c>
      <c r="B114" s="273"/>
      <c r="C114" s="273"/>
      <c r="D114" s="274"/>
    </row>
    <row r="115" spans="1:5" ht="13.5" thickBot="1">
      <c r="A115" s="105">
        <v>6</v>
      </c>
      <c r="B115" s="120" t="s">
        <v>147</v>
      </c>
      <c r="C115" s="93" t="s">
        <v>110</v>
      </c>
      <c r="D115" s="107" t="s">
        <v>106</v>
      </c>
    </row>
    <row r="116" spans="1:5" ht="13.5" thickBot="1">
      <c r="A116" s="67" t="s">
        <v>111</v>
      </c>
      <c r="B116" s="121" t="s">
        <v>148</v>
      </c>
      <c r="C116" s="113">
        <v>0.05</v>
      </c>
      <c r="D116" s="71">
        <f>C116*D134</f>
        <v>170.50769038808892</v>
      </c>
    </row>
    <row r="117" spans="1:5" ht="13.5" thickBot="1">
      <c r="A117" s="67" t="s">
        <v>113</v>
      </c>
      <c r="B117" s="121" t="s">
        <v>149</v>
      </c>
      <c r="C117" s="113">
        <v>0.05</v>
      </c>
      <c r="D117" s="71">
        <f>(D134+D116)*C117</f>
        <v>179.03307490749339</v>
      </c>
    </row>
    <row r="118" spans="1:5" ht="13.5" thickBot="1">
      <c r="A118" s="67" t="s">
        <v>67</v>
      </c>
      <c r="B118" s="121" t="s">
        <v>150</v>
      </c>
      <c r="C118" s="113">
        <f>C119+C120+C121</f>
        <v>0.14250000000000002</v>
      </c>
      <c r="D118" s="71">
        <f>((D134+D116+D117)/(1-C118))*C118</f>
        <v>624.78889406492601</v>
      </c>
      <c r="E118" s="122"/>
    </row>
    <row r="119" spans="1:5" ht="13.5" thickBot="1">
      <c r="A119" s="67"/>
      <c r="B119" s="121" t="s">
        <v>151</v>
      </c>
      <c r="C119" s="113">
        <v>9.2499999999999999E-2</v>
      </c>
      <c r="D119" s="71">
        <f>C119*D136</f>
        <v>405.56439999999998</v>
      </c>
    </row>
    <row r="120" spans="1:5" ht="13.5" thickBot="1">
      <c r="A120" s="67"/>
      <c r="B120" s="121" t="s">
        <v>152</v>
      </c>
      <c r="C120" s="123">
        <v>0.05</v>
      </c>
      <c r="D120" s="71">
        <f>C120*D136</f>
        <v>219.22399999999999</v>
      </c>
    </row>
    <row r="121" spans="1:5" ht="13.5" thickBot="1">
      <c r="A121" s="67"/>
      <c r="B121" s="121" t="s">
        <v>153</v>
      </c>
      <c r="C121" s="123">
        <v>0</v>
      </c>
      <c r="D121" s="71">
        <f>C121*D136</f>
        <v>0</v>
      </c>
    </row>
    <row r="122" spans="1:5" ht="13.5" thickBot="1">
      <c r="A122" s="269" t="s">
        <v>69</v>
      </c>
      <c r="B122" s="271"/>
      <c r="C122" s="115">
        <f>C118+C116+C117</f>
        <v>0.24249999999999999</v>
      </c>
      <c r="D122" s="107">
        <f>SUM(D116,D117,D118)</f>
        <v>974.32965936050834</v>
      </c>
    </row>
    <row r="123" spans="1:5">
      <c r="A123" s="95" t="s">
        <v>154</v>
      </c>
      <c r="C123" s="117"/>
      <c r="D123" s="118"/>
    </row>
    <row r="124" spans="1:5">
      <c r="A124" s="275" t="s">
        <v>155</v>
      </c>
      <c r="B124" s="275"/>
      <c r="C124" s="275"/>
      <c r="D124" s="275"/>
    </row>
    <row r="125" spans="1:5">
      <c r="A125" s="95" t="s">
        <v>156</v>
      </c>
      <c r="C125" s="117"/>
      <c r="D125" s="118"/>
    </row>
    <row r="126" spans="1:5" ht="13.5" thickBot="1">
      <c r="A126" s="116"/>
      <c r="C126" s="117"/>
      <c r="D126" s="118"/>
    </row>
    <row r="127" spans="1:5" ht="13.5" thickBot="1">
      <c r="A127" s="272" t="s">
        <v>157</v>
      </c>
      <c r="B127" s="273"/>
      <c r="C127" s="273"/>
      <c r="D127" s="274"/>
    </row>
    <row r="128" spans="1:5" ht="13.5" thickBot="1">
      <c r="A128" s="105"/>
      <c r="B128" s="293" t="s">
        <v>158</v>
      </c>
      <c r="C128" s="295"/>
      <c r="D128" s="107" t="s">
        <v>106</v>
      </c>
    </row>
    <row r="129" spans="1:4" ht="13.5" thickBot="1">
      <c r="A129" s="124" t="s">
        <v>111</v>
      </c>
      <c r="B129" s="276" t="s">
        <v>43</v>
      </c>
      <c r="C129" s="277"/>
      <c r="D129" s="71">
        <f>D28</f>
        <v>1225.44</v>
      </c>
    </row>
    <row r="130" spans="1:4" ht="13.5" thickBot="1">
      <c r="A130" s="124" t="s">
        <v>113</v>
      </c>
      <c r="B130" s="232" t="s">
        <v>59</v>
      </c>
      <c r="C130" s="233"/>
      <c r="D130" s="71">
        <f>D72</f>
        <v>1583.0128</v>
      </c>
    </row>
    <row r="131" spans="1:4" ht="13.5" thickBot="1">
      <c r="A131" s="124" t="s">
        <v>67</v>
      </c>
      <c r="B131" s="232" t="s">
        <v>108</v>
      </c>
      <c r="C131" s="233"/>
      <c r="D131" s="71">
        <f>D81</f>
        <v>87.098393088000009</v>
      </c>
    </row>
    <row r="132" spans="1:4" ht="13.5" thickBot="1">
      <c r="A132" s="124" t="s">
        <v>32</v>
      </c>
      <c r="B132" s="232" t="s">
        <v>121</v>
      </c>
      <c r="C132" s="233"/>
      <c r="D132" s="71">
        <f>D103</f>
        <v>14.752336896000001</v>
      </c>
    </row>
    <row r="133" spans="1:4" ht="13.5" thickBot="1">
      <c r="A133" s="124" t="s">
        <v>96</v>
      </c>
      <c r="B133" s="232" t="s">
        <v>139</v>
      </c>
      <c r="C133" s="233"/>
      <c r="D133" s="71">
        <f>D112</f>
        <v>499.85027777777793</v>
      </c>
    </row>
    <row r="134" spans="1:4" ht="13.5" thickBot="1">
      <c r="A134" s="269" t="s">
        <v>159</v>
      </c>
      <c r="B134" s="270"/>
      <c r="C134" s="271"/>
      <c r="D134" s="71">
        <f>SUM(D129:D133)</f>
        <v>3410.1538077617784</v>
      </c>
    </row>
    <row r="135" spans="1:4" ht="13.5" thickBot="1">
      <c r="A135" s="124" t="s">
        <v>118</v>
      </c>
      <c r="B135" s="276" t="s">
        <v>160</v>
      </c>
      <c r="C135" s="277"/>
      <c r="D135" s="125">
        <f>D122</f>
        <v>974.32965936050834</v>
      </c>
    </row>
    <row r="136" spans="1:4" ht="13.5" thickBot="1">
      <c r="A136" s="269" t="s">
        <v>161</v>
      </c>
      <c r="B136" s="270"/>
      <c r="C136" s="271"/>
      <c r="D136" s="126">
        <f>ROUND((D134+D135),2)</f>
        <v>4384.4799999999996</v>
      </c>
    </row>
    <row r="137" spans="1:4" ht="13.5" thickBot="1">
      <c r="A137" s="269" t="s">
        <v>162</v>
      </c>
      <c r="B137" s="270"/>
      <c r="C137" s="271"/>
      <c r="D137" s="126">
        <f>D136*2</f>
        <v>8768.9599999999991</v>
      </c>
    </row>
  </sheetData>
  <mergeCells count="85">
    <mergeCell ref="A6:D6"/>
    <mergeCell ref="A137:C137"/>
    <mergeCell ref="A1:D1"/>
    <mergeCell ref="A2:D2"/>
    <mergeCell ref="A3:D3"/>
    <mergeCell ref="A4:D4"/>
    <mergeCell ref="A5:D5"/>
    <mergeCell ref="B16:C16"/>
    <mergeCell ref="A7:D7"/>
    <mergeCell ref="A8:D8"/>
    <mergeCell ref="B10:C10"/>
    <mergeCell ref="B11:C11"/>
    <mergeCell ref="B12:C12"/>
    <mergeCell ref="A66:D66"/>
    <mergeCell ref="A39:D39"/>
    <mergeCell ref="A40:D40"/>
    <mergeCell ref="A31:D31"/>
    <mergeCell ref="A35:B35"/>
    <mergeCell ref="A37:B37"/>
    <mergeCell ref="B102:C102"/>
    <mergeCell ref="A99:D99"/>
    <mergeCell ref="A84:D84"/>
    <mergeCell ref="A82:D82"/>
    <mergeCell ref="A83:D83"/>
    <mergeCell ref="A64:C64"/>
    <mergeCell ref="A97:C97"/>
    <mergeCell ref="A67:D67"/>
    <mergeCell ref="B68:C68"/>
    <mergeCell ref="B69:C69"/>
    <mergeCell ref="A72:C72"/>
    <mergeCell ref="A73:D73"/>
    <mergeCell ref="A81:B81"/>
    <mergeCell ref="B9:C9"/>
    <mergeCell ref="A13:D13"/>
    <mergeCell ref="C14:D14"/>
    <mergeCell ref="B15:C15"/>
    <mergeCell ref="B18:C18"/>
    <mergeCell ref="A19:D19"/>
    <mergeCell ref="B20:C20"/>
    <mergeCell ref="B62:C62"/>
    <mergeCell ref="A28:C28"/>
    <mergeCell ref="A30:D30"/>
    <mergeCell ref="B21:C21"/>
    <mergeCell ref="B26:C26"/>
    <mergeCell ref="B27:C27"/>
    <mergeCell ref="B23:C23"/>
    <mergeCell ref="B25:C25"/>
    <mergeCell ref="A38:D38"/>
    <mergeCell ref="A51:B51"/>
    <mergeCell ref="A55:D55"/>
    <mergeCell ref="B56:C56"/>
    <mergeCell ref="B61:C61"/>
    <mergeCell ref="A41:D41"/>
    <mergeCell ref="B70:C70"/>
    <mergeCell ref="B71:C71"/>
    <mergeCell ref="A92:B92"/>
    <mergeCell ref="A93:D93"/>
    <mergeCell ref="A94:D94"/>
    <mergeCell ref="B108:C108"/>
    <mergeCell ref="B109:C109"/>
    <mergeCell ref="B110:C110"/>
    <mergeCell ref="B111:C111"/>
    <mergeCell ref="A112:C112"/>
    <mergeCell ref="B128:C128"/>
    <mergeCell ref="B129:C129"/>
    <mergeCell ref="A114:D114"/>
    <mergeCell ref="A122:B122"/>
    <mergeCell ref="A124:D124"/>
    <mergeCell ref="A127:D127"/>
    <mergeCell ref="F24:G30"/>
    <mergeCell ref="B135:C135"/>
    <mergeCell ref="A136:C136"/>
    <mergeCell ref="B130:C130"/>
    <mergeCell ref="A134:C134"/>
    <mergeCell ref="B100:C100"/>
    <mergeCell ref="B101:C101"/>
    <mergeCell ref="A103:C103"/>
    <mergeCell ref="A105:D105"/>
    <mergeCell ref="B106:C106"/>
    <mergeCell ref="B107:C107"/>
    <mergeCell ref="B131:C131"/>
    <mergeCell ref="B132:C132"/>
    <mergeCell ref="B133:C133"/>
    <mergeCell ref="B95:C95"/>
    <mergeCell ref="B96:C96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3"/>
  <sheetViews>
    <sheetView zoomScale="90" zoomScaleNormal="90" workbookViewId="0">
      <selection activeCell="F88" sqref="F88"/>
    </sheetView>
  </sheetViews>
  <sheetFormatPr defaultRowHeight="12.75"/>
  <cols>
    <col min="1" max="1" width="78.28515625" style="65" bestFit="1" customWidth="1"/>
    <col min="2" max="2" width="11.28515625" style="65" bestFit="1" customWidth="1"/>
    <col min="3" max="3" width="9.140625" style="65"/>
    <col min="4" max="4" width="14" style="57" bestFit="1" customWidth="1"/>
    <col min="5" max="5" width="16.140625" style="148" customWidth="1"/>
    <col min="6" max="6" width="17.42578125" style="148" bestFit="1" customWidth="1"/>
    <col min="7" max="16384" width="9.140625" style="65"/>
  </cols>
  <sheetData>
    <row r="1" spans="1:6">
      <c r="A1" s="143" t="s">
        <v>173</v>
      </c>
    </row>
    <row r="2" spans="1:6">
      <c r="A2" s="434" t="s">
        <v>174</v>
      </c>
      <c r="B2" s="434" t="s">
        <v>175</v>
      </c>
      <c r="C2" s="434" t="s">
        <v>176</v>
      </c>
      <c r="D2" s="435" t="s">
        <v>177</v>
      </c>
      <c r="E2" s="436" t="s">
        <v>178</v>
      </c>
      <c r="F2" s="436" t="s">
        <v>179</v>
      </c>
    </row>
    <row r="3" spans="1:6">
      <c r="A3" s="144" t="s">
        <v>180</v>
      </c>
      <c r="B3" s="147" t="s">
        <v>181</v>
      </c>
      <c r="C3" s="437">
        <v>1</v>
      </c>
      <c r="D3" s="149">
        <v>500</v>
      </c>
      <c r="E3" s="150">
        <f>C3*D3</f>
        <v>500</v>
      </c>
      <c r="F3" s="151">
        <f t="shared" ref="F3:F6" si="0">E3/12</f>
        <v>41.666666666666664</v>
      </c>
    </row>
    <row r="4" spans="1:6">
      <c r="A4" s="145" t="s">
        <v>182</v>
      </c>
      <c r="B4" s="438" t="s">
        <v>181</v>
      </c>
      <c r="C4" s="437">
        <v>21</v>
      </c>
      <c r="D4" s="439">
        <v>58</v>
      </c>
      <c r="E4" s="440">
        <f t="shared" ref="E4:E6" si="1">C4*D4</f>
        <v>1218</v>
      </c>
      <c r="F4" s="151">
        <f t="shared" si="0"/>
        <v>101.5</v>
      </c>
    </row>
    <row r="5" spans="1:6">
      <c r="A5" s="145" t="s">
        <v>183</v>
      </c>
      <c r="B5" s="438" t="s">
        <v>181</v>
      </c>
      <c r="C5" s="437">
        <v>10</v>
      </c>
      <c r="D5" s="439">
        <v>62.93</v>
      </c>
      <c r="E5" s="440">
        <f t="shared" si="1"/>
        <v>629.29999999999995</v>
      </c>
      <c r="F5" s="151">
        <f t="shared" si="0"/>
        <v>52.441666666666663</v>
      </c>
    </row>
    <row r="6" spans="1:6">
      <c r="A6" s="153" t="s">
        <v>184</v>
      </c>
      <c r="B6" s="154"/>
      <c r="C6" s="155"/>
      <c r="D6" s="156">
        <v>0</v>
      </c>
      <c r="E6" s="440">
        <f t="shared" si="1"/>
        <v>0</v>
      </c>
      <c r="F6" s="151">
        <f t="shared" si="0"/>
        <v>0</v>
      </c>
    </row>
    <row r="7" spans="1:6">
      <c r="A7" s="441" t="s">
        <v>167</v>
      </c>
      <c r="B7" s="441"/>
      <c r="C7" s="441"/>
      <c r="D7" s="441"/>
      <c r="E7" s="442">
        <f>SUM(E3:E6)</f>
        <v>2347.3000000000002</v>
      </c>
      <c r="F7" s="442">
        <f>SUM(F3:F6)</f>
        <v>195.60833333333332</v>
      </c>
    </row>
    <row r="8" spans="1:6">
      <c r="A8" s="128"/>
      <c r="E8" s="157"/>
    </row>
    <row r="9" spans="1:6">
      <c r="A9" s="128"/>
      <c r="E9" s="152"/>
    </row>
    <row r="10" spans="1:6">
      <c r="A10" s="143" t="s">
        <v>185</v>
      </c>
      <c r="B10" s="1"/>
      <c r="C10" s="1"/>
      <c r="E10" s="57"/>
    </row>
    <row r="11" spans="1:6">
      <c r="A11" s="434" t="s">
        <v>174</v>
      </c>
      <c r="B11" s="434" t="s">
        <v>175</v>
      </c>
      <c r="C11" s="434" t="s">
        <v>176</v>
      </c>
      <c r="D11" s="435" t="s">
        <v>177</v>
      </c>
      <c r="E11" s="436" t="s">
        <v>178</v>
      </c>
      <c r="F11" s="436" t="s">
        <v>179</v>
      </c>
    </row>
    <row r="12" spans="1:6">
      <c r="A12" s="443" t="s">
        <v>186</v>
      </c>
      <c r="B12" s="438" t="s">
        <v>187</v>
      </c>
      <c r="C12" s="444">
        <v>400</v>
      </c>
      <c r="D12" s="439">
        <v>0.64</v>
      </c>
      <c r="E12" s="440">
        <f t="shared" ref="E12:E29" si="2">C12*D12</f>
        <v>256</v>
      </c>
      <c r="F12" s="445">
        <f t="shared" ref="F12:F30" si="3">E12/12</f>
        <v>21.333333333333332</v>
      </c>
    </row>
    <row r="13" spans="1:6">
      <c r="A13" s="144" t="s">
        <v>188</v>
      </c>
      <c r="B13" s="147" t="s">
        <v>187</v>
      </c>
      <c r="C13" s="161">
        <f>20+5*3</f>
        <v>35</v>
      </c>
      <c r="D13" s="162">
        <v>3.22</v>
      </c>
      <c r="E13" s="150">
        <f t="shared" si="2"/>
        <v>112.7</v>
      </c>
      <c r="F13" s="151">
        <f t="shared" si="3"/>
        <v>9.3916666666666675</v>
      </c>
    </row>
    <row r="14" spans="1:6">
      <c r="A14" s="145" t="s">
        <v>189</v>
      </c>
      <c r="B14" s="438" t="s">
        <v>187</v>
      </c>
      <c r="C14" s="444">
        <v>40</v>
      </c>
      <c r="D14" s="439">
        <v>7.95</v>
      </c>
      <c r="E14" s="150">
        <f t="shared" si="2"/>
        <v>318</v>
      </c>
      <c r="F14" s="151">
        <f t="shared" si="3"/>
        <v>26.5</v>
      </c>
    </row>
    <row r="15" spans="1:6">
      <c r="A15" s="145" t="s">
        <v>190</v>
      </c>
      <c r="B15" s="438" t="s">
        <v>187</v>
      </c>
      <c r="C15" s="444">
        <v>20</v>
      </c>
      <c r="D15" s="439">
        <v>4.7</v>
      </c>
      <c r="E15" s="150">
        <f t="shared" si="2"/>
        <v>94</v>
      </c>
      <c r="F15" s="151">
        <f t="shared" si="3"/>
        <v>7.833333333333333</v>
      </c>
    </row>
    <row r="16" spans="1:6">
      <c r="A16" s="145" t="s">
        <v>191</v>
      </c>
      <c r="B16" s="438" t="s">
        <v>187</v>
      </c>
      <c r="C16" s="444">
        <f>6+4*3</f>
        <v>18</v>
      </c>
      <c r="D16" s="439">
        <v>5.35</v>
      </c>
      <c r="E16" s="150">
        <f t="shared" si="2"/>
        <v>96.3</v>
      </c>
      <c r="F16" s="151">
        <f t="shared" si="3"/>
        <v>8.0250000000000004</v>
      </c>
    </row>
    <row r="17" spans="1:6">
      <c r="A17" s="145" t="s">
        <v>192</v>
      </c>
      <c r="B17" s="438" t="s">
        <v>187</v>
      </c>
      <c r="C17" s="444">
        <f>4+2*3</f>
        <v>10</v>
      </c>
      <c r="D17" s="439">
        <v>9.4</v>
      </c>
      <c r="E17" s="150">
        <f t="shared" si="2"/>
        <v>94</v>
      </c>
      <c r="F17" s="151">
        <f t="shared" si="3"/>
        <v>7.833333333333333</v>
      </c>
    </row>
    <row r="18" spans="1:6">
      <c r="A18" s="145" t="s">
        <v>193</v>
      </c>
      <c r="B18" s="438" t="s">
        <v>187</v>
      </c>
      <c r="C18" s="444">
        <v>12</v>
      </c>
      <c r="D18" s="439">
        <v>25</v>
      </c>
      <c r="E18" s="150">
        <f t="shared" si="2"/>
        <v>300</v>
      </c>
      <c r="F18" s="151">
        <f t="shared" si="3"/>
        <v>25</v>
      </c>
    </row>
    <row r="19" spans="1:6">
      <c r="A19" s="145" t="s">
        <v>194</v>
      </c>
      <c r="B19" s="438" t="s">
        <v>187</v>
      </c>
      <c r="C19" s="444">
        <v>12</v>
      </c>
      <c r="D19" s="439">
        <v>25</v>
      </c>
      <c r="E19" s="150">
        <f t="shared" si="2"/>
        <v>300</v>
      </c>
      <c r="F19" s="151">
        <f t="shared" si="3"/>
        <v>25</v>
      </c>
    </row>
    <row r="20" spans="1:6">
      <c r="A20" s="145" t="s">
        <v>195</v>
      </c>
      <c r="B20" s="438" t="s">
        <v>187</v>
      </c>
      <c r="C20" s="437">
        <v>12</v>
      </c>
      <c r="D20" s="439">
        <v>25</v>
      </c>
      <c r="E20" s="150">
        <f t="shared" si="2"/>
        <v>300</v>
      </c>
      <c r="F20" s="151">
        <f t="shared" si="3"/>
        <v>25</v>
      </c>
    </row>
    <row r="21" spans="1:6">
      <c r="A21" s="145" t="s">
        <v>196</v>
      </c>
      <c r="B21" s="438" t="s">
        <v>187</v>
      </c>
      <c r="C21" s="437">
        <v>20</v>
      </c>
      <c r="D21" s="439">
        <v>6.75</v>
      </c>
      <c r="E21" s="150">
        <f t="shared" si="2"/>
        <v>135</v>
      </c>
      <c r="F21" s="151">
        <f t="shared" si="3"/>
        <v>11.25</v>
      </c>
    </row>
    <row r="22" spans="1:6">
      <c r="A22" s="145" t="s">
        <v>197</v>
      </c>
      <c r="B22" s="438" t="s">
        <v>187</v>
      </c>
      <c r="C22" s="437">
        <v>5</v>
      </c>
      <c r="D22" s="439">
        <v>103.93</v>
      </c>
      <c r="E22" s="150">
        <f t="shared" si="2"/>
        <v>519.65000000000009</v>
      </c>
      <c r="F22" s="151">
        <f t="shared" si="3"/>
        <v>43.304166666666674</v>
      </c>
    </row>
    <row r="23" spans="1:6">
      <c r="A23" s="145" t="s">
        <v>198</v>
      </c>
      <c r="B23" s="438" t="s">
        <v>187</v>
      </c>
      <c r="C23" s="437">
        <v>21</v>
      </c>
      <c r="D23" s="439">
        <v>12.6</v>
      </c>
      <c r="E23" s="150">
        <f t="shared" si="2"/>
        <v>264.59999999999997</v>
      </c>
      <c r="F23" s="151">
        <f t="shared" si="3"/>
        <v>22.049999999999997</v>
      </c>
    </row>
    <row r="24" spans="1:6">
      <c r="A24" s="145" t="s">
        <v>199</v>
      </c>
      <c r="B24" s="438" t="s">
        <v>200</v>
      </c>
      <c r="C24" s="446">
        <v>4</v>
      </c>
      <c r="D24" s="439">
        <v>50</v>
      </c>
      <c r="E24" s="150">
        <f t="shared" si="2"/>
        <v>200</v>
      </c>
      <c r="F24" s="151">
        <f t="shared" si="3"/>
        <v>16.666666666666668</v>
      </c>
    </row>
    <row r="25" spans="1:6">
      <c r="A25" s="145" t="s">
        <v>201</v>
      </c>
      <c r="B25" s="438" t="s">
        <v>202</v>
      </c>
      <c r="C25" s="446">
        <v>16</v>
      </c>
      <c r="D25" s="439">
        <v>9.2100000000000009</v>
      </c>
      <c r="E25" s="150">
        <f t="shared" si="2"/>
        <v>147.36000000000001</v>
      </c>
      <c r="F25" s="151">
        <f t="shared" si="3"/>
        <v>12.280000000000001</v>
      </c>
    </row>
    <row r="26" spans="1:6">
      <c r="A26" s="145" t="s">
        <v>203</v>
      </c>
      <c r="B26" s="438" t="s">
        <v>200</v>
      </c>
      <c r="C26" s="444">
        <v>4</v>
      </c>
      <c r="D26" s="439">
        <v>18</v>
      </c>
      <c r="E26" s="150">
        <f t="shared" si="2"/>
        <v>72</v>
      </c>
      <c r="F26" s="151">
        <f t="shared" si="3"/>
        <v>6</v>
      </c>
    </row>
    <row r="27" spans="1:6">
      <c r="A27" s="145" t="s">
        <v>204</v>
      </c>
      <c r="B27" s="438" t="s">
        <v>187</v>
      </c>
      <c r="C27" s="437">
        <v>5</v>
      </c>
      <c r="D27" s="439">
        <v>442.65</v>
      </c>
      <c r="E27" s="150">
        <f t="shared" si="2"/>
        <v>2213.25</v>
      </c>
      <c r="F27" s="151">
        <f t="shared" si="3"/>
        <v>184.4375</v>
      </c>
    </row>
    <row r="28" spans="1:6">
      <c r="A28" s="145" t="s">
        <v>205</v>
      </c>
      <c r="B28" s="438" t="s">
        <v>187</v>
      </c>
      <c r="C28" s="437">
        <v>5</v>
      </c>
      <c r="D28" s="439">
        <v>135</v>
      </c>
      <c r="E28" s="150">
        <f t="shared" si="2"/>
        <v>675</v>
      </c>
      <c r="F28" s="151">
        <f t="shared" si="3"/>
        <v>56.25</v>
      </c>
    </row>
    <row r="29" spans="1:6">
      <c r="A29" s="153" t="s">
        <v>206</v>
      </c>
      <c r="B29" s="154" t="s">
        <v>187</v>
      </c>
      <c r="C29" s="158">
        <v>4</v>
      </c>
      <c r="D29" s="156">
        <v>25</v>
      </c>
      <c r="E29" s="159">
        <f t="shared" si="2"/>
        <v>100</v>
      </c>
      <c r="F29" s="160">
        <f t="shared" si="3"/>
        <v>8.3333333333333339</v>
      </c>
    </row>
    <row r="30" spans="1:6">
      <c r="A30" s="441" t="s">
        <v>167</v>
      </c>
      <c r="B30" s="441"/>
      <c r="C30" s="441"/>
      <c r="D30" s="441"/>
      <c r="E30" s="447">
        <f>SUM(E12:E29)</f>
        <v>6197.8600000000006</v>
      </c>
      <c r="F30" s="448">
        <f t="shared" si="3"/>
        <v>516.48833333333334</v>
      </c>
    </row>
    <row r="31" spans="1:6">
      <c r="A31" s="128"/>
      <c r="F31" s="163"/>
    </row>
    <row r="32" spans="1:6">
      <c r="A32" s="143" t="s">
        <v>207</v>
      </c>
      <c r="B32" s="1"/>
      <c r="C32" s="1"/>
      <c r="E32" s="57"/>
    </row>
    <row r="33" spans="1:6">
      <c r="A33" s="449" t="s">
        <v>174</v>
      </c>
      <c r="B33" s="449" t="s">
        <v>175</v>
      </c>
      <c r="C33" s="449" t="s">
        <v>176</v>
      </c>
      <c r="D33" s="450" t="s">
        <v>177</v>
      </c>
      <c r="E33" s="451" t="s">
        <v>178</v>
      </c>
      <c r="F33" s="451" t="s">
        <v>179</v>
      </c>
    </row>
    <row r="34" spans="1:6">
      <c r="A34" s="145" t="s">
        <v>208</v>
      </c>
      <c r="B34" s="438" t="s">
        <v>209</v>
      </c>
      <c r="C34" s="437">
        <v>21</v>
      </c>
      <c r="D34" s="439">
        <v>153.5</v>
      </c>
      <c r="E34" s="150">
        <f t="shared" ref="E34:E78" si="4">C34*D34</f>
        <v>3223.5</v>
      </c>
      <c r="F34" s="151">
        <f>E34/12</f>
        <v>268.625</v>
      </c>
    </row>
    <row r="35" spans="1:6">
      <c r="A35" s="145" t="s">
        <v>210</v>
      </c>
      <c r="B35" s="438" t="s">
        <v>209</v>
      </c>
      <c r="C35" s="437">
        <v>4</v>
      </c>
      <c r="D35" s="439">
        <v>1057.5999999999999</v>
      </c>
      <c r="E35" s="150">
        <f t="shared" si="4"/>
        <v>4230.3999999999996</v>
      </c>
      <c r="F35" s="151">
        <f t="shared" ref="F35:F36" si="5">E35/12</f>
        <v>352.5333333333333</v>
      </c>
    </row>
    <row r="36" spans="1:6">
      <c r="A36" s="145" t="s">
        <v>211</v>
      </c>
      <c r="B36" s="438" t="s">
        <v>209</v>
      </c>
      <c r="C36" s="437">
        <v>21</v>
      </c>
      <c r="D36" s="439">
        <v>20</v>
      </c>
      <c r="E36" s="150">
        <f t="shared" si="4"/>
        <v>420</v>
      </c>
      <c r="F36" s="151">
        <f t="shared" si="5"/>
        <v>35</v>
      </c>
    </row>
    <row r="37" spans="1:6">
      <c r="A37" s="145" t="s">
        <v>212</v>
      </c>
      <c r="B37" s="438" t="s">
        <v>187</v>
      </c>
      <c r="C37" s="437">
        <v>16</v>
      </c>
      <c r="D37" s="439">
        <v>6.2</v>
      </c>
      <c r="E37" s="150">
        <f t="shared" si="4"/>
        <v>99.2</v>
      </c>
      <c r="F37" s="151">
        <f>E37/12</f>
        <v>8.2666666666666675</v>
      </c>
    </row>
    <row r="38" spans="1:6">
      <c r="A38" s="145" t="s">
        <v>213</v>
      </c>
      <c r="B38" s="438" t="s">
        <v>187</v>
      </c>
      <c r="C38" s="437">
        <v>20</v>
      </c>
      <c r="D38" s="439">
        <v>6.08</v>
      </c>
      <c r="E38" s="150">
        <f t="shared" si="4"/>
        <v>121.6</v>
      </c>
      <c r="F38" s="151">
        <f t="shared" ref="F38:F50" si="6">E38/12</f>
        <v>10.133333333333333</v>
      </c>
    </row>
    <row r="39" spans="1:6">
      <c r="A39" s="145" t="s">
        <v>214</v>
      </c>
      <c r="B39" s="438" t="s">
        <v>187</v>
      </c>
      <c r="C39" s="437">
        <f>8*4</f>
        <v>32</v>
      </c>
      <c r="D39" s="439">
        <v>6.7</v>
      </c>
      <c r="E39" s="150">
        <f t="shared" si="4"/>
        <v>214.4</v>
      </c>
      <c r="F39" s="151">
        <f t="shared" si="6"/>
        <v>17.866666666666667</v>
      </c>
    </row>
    <row r="40" spans="1:6">
      <c r="A40" s="145" t="s">
        <v>215</v>
      </c>
      <c r="B40" s="438" t="s">
        <v>187</v>
      </c>
      <c r="C40" s="437">
        <f>2*4</f>
        <v>8</v>
      </c>
      <c r="D40" s="439">
        <v>44.79</v>
      </c>
      <c r="E40" s="150">
        <f t="shared" si="4"/>
        <v>358.32</v>
      </c>
      <c r="F40" s="151">
        <f t="shared" si="6"/>
        <v>29.86</v>
      </c>
    </row>
    <row r="41" spans="1:6">
      <c r="A41" s="145" t="s">
        <v>216</v>
      </c>
      <c r="B41" s="438" t="s">
        <v>187</v>
      </c>
      <c r="C41" s="437">
        <f>2*4</f>
        <v>8</v>
      </c>
      <c r="D41" s="439">
        <v>14</v>
      </c>
      <c r="E41" s="150">
        <f t="shared" si="4"/>
        <v>112</v>
      </c>
      <c r="F41" s="151">
        <f t="shared" si="6"/>
        <v>9.3333333333333339</v>
      </c>
    </row>
    <row r="42" spans="1:6">
      <c r="A42" s="145" t="s">
        <v>217</v>
      </c>
      <c r="B42" s="438" t="s">
        <v>187</v>
      </c>
      <c r="C42" s="437">
        <f>20*4</f>
        <v>80</v>
      </c>
      <c r="D42" s="439">
        <v>1.58</v>
      </c>
      <c r="E42" s="150">
        <f t="shared" si="4"/>
        <v>126.4</v>
      </c>
      <c r="F42" s="151">
        <f t="shared" si="6"/>
        <v>10.533333333333333</v>
      </c>
    </row>
    <row r="43" spans="1:6">
      <c r="A43" s="145" t="s">
        <v>218</v>
      </c>
      <c r="B43" s="438" t="s">
        <v>187</v>
      </c>
      <c r="C43" s="437">
        <f>20*4</f>
        <v>80</v>
      </c>
      <c r="D43" s="439">
        <v>7</v>
      </c>
      <c r="E43" s="150">
        <f t="shared" si="4"/>
        <v>560</v>
      </c>
      <c r="F43" s="151">
        <f t="shared" si="6"/>
        <v>46.666666666666664</v>
      </c>
    </row>
    <row r="44" spans="1:6">
      <c r="A44" s="145" t="s">
        <v>219</v>
      </c>
      <c r="B44" s="438" t="s">
        <v>187</v>
      </c>
      <c r="C44" s="437">
        <f>4*4</f>
        <v>16</v>
      </c>
      <c r="D44" s="439">
        <v>10.38</v>
      </c>
      <c r="E44" s="150">
        <f t="shared" si="4"/>
        <v>166.08</v>
      </c>
      <c r="F44" s="151">
        <f t="shared" si="6"/>
        <v>13.840000000000002</v>
      </c>
    </row>
    <row r="45" spans="1:6">
      <c r="A45" s="145" t="s">
        <v>220</v>
      </c>
      <c r="B45" s="438" t="s">
        <v>187</v>
      </c>
      <c r="C45" s="437">
        <f>4*4</f>
        <v>16</v>
      </c>
      <c r="D45" s="439">
        <v>9.4</v>
      </c>
      <c r="E45" s="150">
        <f t="shared" si="4"/>
        <v>150.4</v>
      </c>
      <c r="F45" s="151">
        <f t="shared" si="6"/>
        <v>12.533333333333333</v>
      </c>
    </row>
    <row r="46" spans="1:6">
      <c r="A46" s="145" t="s">
        <v>221</v>
      </c>
      <c r="B46" s="438" t="s">
        <v>187</v>
      </c>
      <c r="C46" s="437">
        <f>12*4</f>
        <v>48</v>
      </c>
      <c r="D46" s="439">
        <v>10.09</v>
      </c>
      <c r="E46" s="150">
        <f t="shared" si="4"/>
        <v>484.32</v>
      </c>
      <c r="F46" s="151">
        <f t="shared" si="6"/>
        <v>40.36</v>
      </c>
    </row>
    <row r="47" spans="1:6">
      <c r="A47" s="145" t="s">
        <v>222</v>
      </c>
      <c r="B47" s="438" t="s">
        <v>187</v>
      </c>
      <c r="C47" s="437">
        <f>4*4</f>
        <v>16</v>
      </c>
      <c r="D47" s="439">
        <v>106.94</v>
      </c>
      <c r="E47" s="150">
        <f t="shared" si="4"/>
        <v>1711.04</v>
      </c>
      <c r="F47" s="151">
        <f t="shared" si="6"/>
        <v>142.58666666666667</v>
      </c>
    </row>
    <row r="48" spans="1:6">
      <c r="A48" s="145" t="s">
        <v>223</v>
      </c>
      <c r="B48" s="438" t="s">
        <v>187</v>
      </c>
      <c r="C48" s="437">
        <f>4</f>
        <v>4</v>
      </c>
      <c r="D48" s="439">
        <v>6</v>
      </c>
      <c r="E48" s="150">
        <f t="shared" si="4"/>
        <v>24</v>
      </c>
      <c r="F48" s="151">
        <f t="shared" si="6"/>
        <v>2</v>
      </c>
    </row>
    <row r="49" spans="1:6">
      <c r="A49" s="145" t="s">
        <v>224</v>
      </c>
      <c r="B49" s="438" t="s">
        <v>187</v>
      </c>
      <c r="C49" s="437">
        <v>5</v>
      </c>
      <c r="D49" s="439">
        <v>77.040000000000006</v>
      </c>
      <c r="E49" s="150">
        <f t="shared" si="4"/>
        <v>385.20000000000005</v>
      </c>
      <c r="F49" s="151">
        <f t="shared" si="6"/>
        <v>32.1</v>
      </c>
    </row>
    <row r="50" spans="1:6">
      <c r="A50" s="145" t="s">
        <v>225</v>
      </c>
      <c r="B50" s="438" t="s">
        <v>187</v>
      </c>
      <c r="C50" s="437">
        <v>5</v>
      </c>
      <c r="D50" s="439">
        <v>88.69</v>
      </c>
      <c r="E50" s="150">
        <f t="shared" si="4"/>
        <v>443.45</v>
      </c>
      <c r="F50" s="151">
        <f t="shared" si="6"/>
        <v>36.954166666666666</v>
      </c>
    </row>
    <row r="51" spans="1:6">
      <c r="A51" s="145" t="s">
        <v>226</v>
      </c>
      <c r="B51" s="438" t="s">
        <v>187</v>
      </c>
      <c r="C51" s="437">
        <v>5</v>
      </c>
      <c r="D51" s="439">
        <v>128</v>
      </c>
      <c r="E51" s="150">
        <f t="shared" si="4"/>
        <v>640</v>
      </c>
      <c r="F51" s="151">
        <f>E51/12</f>
        <v>53.333333333333336</v>
      </c>
    </row>
    <row r="52" spans="1:6">
      <c r="A52" s="145" t="s">
        <v>227</v>
      </c>
      <c r="B52" s="438" t="s">
        <v>187</v>
      </c>
      <c r="C52" s="437">
        <v>1</v>
      </c>
      <c r="D52" s="439">
        <v>7507</v>
      </c>
      <c r="E52" s="150">
        <f t="shared" si="4"/>
        <v>7507</v>
      </c>
      <c r="F52" s="151">
        <f>E52/12</f>
        <v>625.58333333333337</v>
      </c>
    </row>
    <row r="53" spans="1:6">
      <c r="A53" s="145" t="s">
        <v>228</v>
      </c>
      <c r="B53" s="438" t="s">
        <v>187</v>
      </c>
      <c r="C53" s="437">
        <v>5</v>
      </c>
      <c r="D53" s="439">
        <v>348</v>
      </c>
      <c r="E53" s="150">
        <f t="shared" si="4"/>
        <v>1740</v>
      </c>
      <c r="F53" s="151">
        <f>E53/12</f>
        <v>145</v>
      </c>
    </row>
    <row r="54" spans="1:6">
      <c r="A54" s="145" t="s">
        <v>229</v>
      </c>
      <c r="B54" s="438" t="s">
        <v>187</v>
      </c>
      <c r="C54" s="437">
        <v>5</v>
      </c>
      <c r="D54" s="439">
        <v>150</v>
      </c>
      <c r="E54" s="150">
        <f t="shared" si="4"/>
        <v>750</v>
      </c>
      <c r="F54" s="151">
        <f>E54/12</f>
        <v>62.5</v>
      </c>
    </row>
    <row r="55" spans="1:6">
      <c r="A55" s="145" t="s">
        <v>230</v>
      </c>
      <c r="B55" s="438" t="s">
        <v>187</v>
      </c>
      <c r="C55" s="437">
        <v>5</v>
      </c>
      <c r="D55" s="439">
        <v>2629.5</v>
      </c>
      <c r="E55" s="150">
        <f t="shared" si="4"/>
        <v>13147.5</v>
      </c>
      <c r="F55" s="151">
        <f>E55/12</f>
        <v>1095.625</v>
      </c>
    </row>
    <row r="56" spans="1:6">
      <c r="A56" s="145" t="s">
        <v>231</v>
      </c>
      <c r="B56" s="438" t="s">
        <v>187</v>
      </c>
      <c r="C56" s="437">
        <v>21</v>
      </c>
      <c r="D56" s="439">
        <v>1687.5</v>
      </c>
      <c r="E56" s="150">
        <f t="shared" si="4"/>
        <v>35437.5</v>
      </c>
      <c r="F56" s="151">
        <f t="shared" ref="F56:F78" si="7">E56/12</f>
        <v>2953.125</v>
      </c>
    </row>
    <row r="57" spans="1:6">
      <c r="A57" s="145" t="s">
        <v>232</v>
      </c>
      <c r="B57" s="438" t="s">
        <v>187</v>
      </c>
      <c r="C57" s="437">
        <v>5</v>
      </c>
      <c r="D57" s="439">
        <v>150</v>
      </c>
      <c r="E57" s="150">
        <f t="shared" si="4"/>
        <v>750</v>
      </c>
      <c r="F57" s="151">
        <f t="shared" si="7"/>
        <v>62.5</v>
      </c>
    </row>
    <row r="58" spans="1:6">
      <c r="A58" s="145" t="s">
        <v>233</v>
      </c>
      <c r="B58" s="438" t="s">
        <v>187</v>
      </c>
      <c r="C58" s="437">
        <f>4+2*3</f>
        <v>10</v>
      </c>
      <c r="D58" s="439">
        <v>74.73</v>
      </c>
      <c r="E58" s="150">
        <f t="shared" si="4"/>
        <v>747.30000000000007</v>
      </c>
      <c r="F58" s="151">
        <f t="shared" si="7"/>
        <v>62.275000000000006</v>
      </c>
    </row>
    <row r="59" spans="1:6">
      <c r="A59" s="145" t="s">
        <v>234</v>
      </c>
      <c r="B59" s="438" t="s">
        <v>187</v>
      </c>
      <c r="C59" s="437">
        <v>5</v>
      </c>
      <c r="D59" s="439">
        <v>30.01</v>
      </c>
      <c r="E59" s="150">
        <f t="shared" si="4"/>
        <v>150.05000000000001</v>
      </c>
      <c r="F59" s="151">
        <f t="shared" si="7"/>
        <v>12.504166666666668</v>
      </c>
    </row>
    <row r="60" spans="1:6">
      <c r="A60" s="145" t="s">
        <v>235</v>
      </c>
      <c r="B60" s="438" t="s">
        <v>187</v>
      </c>
      <c r="C60" s="437">
        <v>8</v>
      </c>
      <c r="D60" s="439">
        <v>46</v>
      </c>
      <c r="E60" s="150">
        <f t="shared" si="4"/>
        <v>368</v>
      </c>
      <c r="F60" s="151">
        <f t="shared" si="7"/>
        <v>30.666666666666668</v>
      </c>
    </row>
    <row r="61" spans="1:6">
      <c r="A61" s="145" t="s">
        <v>236</v>
      </c>
      <c r="B61" s="438" t="s">
        <v>187</v>
      </c>
      <c r="C61" s="437">
        <v>5</v>
      </c>
      <c r="D61" s="439">
        <v>319.61</v>
      </c>
      <c r="E61" s="150">
        <f t="shared" si="4"/>
        <v>1598.0500000000002</v>
      </c>
      <c r="F61" s="151">
        <f t="shared" si="7"/>
        <v>133.17083333333335</v>
      </c>
    </row>
    <row r="62" spans="1:6">
      <c r="A62" s="145" t="s">
        <v>237</v>
      </c>
      <c r="B62" s="438" t="s">
        <v>187</v>
      </c>
      <c r="C62" s="437">
        <v>5</v>
      </c>
      <c r="D62" s="439">
        <v>223.3</v>
      </c>
      <c r="E62" s="150">
        <f t="shared" si="4"/>
        <v>1116.5</v>
      </c>
      <c r="F62" s="151">
        <f t="shared" si="7"/>
        <v>93.041666666666671</v>
      </c>
    </row>
    <row r="63" spans="1:6">
      <c r="A63" s="145" t="s">
        <v>238</v>
      </c>
      <c r="B63" s="438" t="s">
        <v>187</v>
      </c>
      <c r="C63" s="437">
        <v>5</v>
      </c>
      <c r="D63" s="439">
        <v>2477.58</v>
      </c>
      <c r="E63" s="150">
        <f t="shared" si="4"/>
        <v>12387.9</v>
      </c>
      <c r="F63" s="151">
        <f t="shared" si="7"/>
        <v>1032.325</v>
      </c>
    </row>
    <row r="64" spans="1:6">
      <c r="A64" s="145" t="s">
        <v>239</v>
      </c>
      <c r="B64" s="438" t="s">
        <v>187</v>
      </c>
      <c r="C64" s="437">
        <v>5</v>
      </c>
      <c r="D64" s="439">
        <v>32.5</v>
      </c>
      <c r="E64" s="150">
        <f t="shared" si="4"/>
        <v>162.5</v>
      </c>
      <c r="F64" s="151">
        <f t="shared" si="7"/>
        <v>13.541666666666666</v>
      </c>
    </row>
    <row r="65" spans="1:6">
      <c r="A65" s="145" t="s">
        <v>240</v>
      </c>
      <c r="B65" s="438" t="s">
        <v>187</v>
      </c>
      <c r="C65" s="437">
        <v>5</v>
      </c>
      <c r="D65" s="439">
        <v>40.01</v>
      </c>
      <c r="E65" s="150">
        <f t="shared" si="4"/>
        <v>200.04999999999998</v>
      </c>
      <c r="F65" s="151">
        <f t="shared" si="7"/>
        <v>16.670833333333331</v>
      </c>
    </row>
    <row r="66" spans="1:6">
      <c r="A66" s="145" t="s">
        <v>241</v>
      </c>
      <c r="B66" s="438" t="s">
        <v>187</v>
      </c>
      <c r="C66" s="437">
        <v>5</v>
      </c>
      <c r="D66" s="439">
        <v>48</v>
      </c>
      <c r="E66" s="150">
        <f t="shared" si="4"/>
        <v>240</v>
      </c>
      <c r="F66" s="151">
        <f t="shared" si="7"/>
        <v>20</v>
      </c>
    </row>
    <row r="67" spans="1:6">
      <c r="A67" s="145" t="s">
        <v>242</v>
      </c>
      <c r="B67" s="438" t="s">
        <v>187</v>
      </c>
      <c r="C67" s="437">
        <v>5</v>
      </c>
      <c r="D67" s="439">
        <v>58</v>
      </c>
      <c r="E67" s="150">
        <f t="shared" si="4"/>
        <v>290</v>
      </c>
      <c r="F67" s="151">
        <f t="shared" si="7"/>
        <v>24.166666666666668</v>
      </c>
    </row>
    <row r="68" spans="1:6">
      <c r="A68" s="145" t="s">
        <v>243</v>
      </c>
      <c r="B68" s="438" t="s">
        <v>187</v>
      </c>
      <c r="C68" s="437">
        <v>5</v>
      </c>
      <c r="D68" s="439">
        <v>52</v>
      </c>
      <c r="E68" s="150">
        <f t="shared" si="4"/>
        <v>260</v>
      </c>
      <c r="F68" s="151">
        <f t="shared" si="7"/>
        <v>21.666666666666668</v>
      </c>
    </row>
    <row r="69" spans="1:6">
      <c r="A69" s="145" t="s">
        <v>244</v>
      </c>
      <c r="B69" s="438" t="s">
        <v>187</v>
      </c>
      <c r="C69" s="437">
        <v>5</v>
      </c>
      <c r="D69" s="439">
        <v>127</v>
      </c>
      <c r="E69" s="150">
        <f t="shared" si="4"/>
        <v>635</v>
      </c>
      <c r="F69" s="151">
        <f t="shared" si="7"/>
        <v>52.916666666666664</v>
      </c>
    </row>
    <row r="70" spans="1:6">
      <c r="A70" s="145" t="s">
        <v>245</v>
      </c>
      <c r="B70" s="438" t="s">
        <v>187</v>
      </c>
      <c r="C70" s="437">
        <v>5</v>
      </c>
      <c r="D70" s="439">
        <v>143.87</v>
      </c>
      <c r="E70" s="150">
        <f t="shared" si="4"/>
        <v>719.35</v>
      </c>
      <c r="F70" s="151">
        <f t="shared" si="7"/>
        <v>59.945833333333333</v>
      </c>
    </row>
    <row r="71" spans="1:6">
      <c r="A71" s="145" t="s">
        <v>246</v>
      </c>
      <c r="B71" s="438" t="s">
        <v>187</v>
      </c>
      <c r="C71" s="437">
        <v>5</v>
      </c>
      <c r="D71" s="439">
        <v>123.81</v>
      </c>
      <c r="E71" s="150">
        <f t="shared" si="4"/>
        <v>619.04999999999995</v>
      </c>
      <c r="F71" s="151">
        <f t="shared" si="7"/>
        <v>51.587499999999999</v>
      </c>
    </row>
    <row r="72" spans="1:6">
      <c r="A72" s="145" t="s">
        <v>247</v>
      </c>
      <c r="B72" s="438" t="s">
        <v>187</v>
      </c>
      <c r="C72" s="437">
        <v>5</v>
      </c>
      <c r="D72" s="439">
        <v>25</v>
      </c>
      <c r="E72" s="150">
        <f t="shared" si="4"/>
        <v>125</v>
      </c>
      <c r="F72" s="151">
        <f t="shared" si="7"/>
        <v>10.416666666666666</v>
      </c>
    </row>
    <row r="73" spans="1:6">
      <c r="A73" s="145" t="s">
        <v>248</v>
      </c>
      <c r="B73" s="438" t="s">
        <v>187</v>
      </c>
      <c r="C73" s="437">
        <v>5</v>
      </c>
      <c r="D73" s="439">
        <v>148.5</v>
      </c>
      <c r="E73" s="150">
        <f t="shared" si="4"/>
        <v>742.5</v>
      </c>
      <c r="F73" s="151">
        <f t="shared" si="7"/>
        <v>61.875</v>
      </c>
    </row>
    <row r="74" spans="1:6">
      <c r="A74" s="145" t="s">
        <v>249</v>
      </c>
      <c r="B74" s="438" t="s">
        <v>187</v>
      </c>
      <c r="C74" s="437">
        <v>5</v>
      </c>
      <c r="D74" s="439">
        <v>219</v>
      </c>
      <c r="E74" s="150">
        <f t="shared" si="4"/>
        <v>1095</v>
      </c>
      <c r="F74" s="151">
        <f t="shared" si="7"/>
        <v>91.25</v>
      </c>
    </row>
    <row r="75" spans="1:6">
      <c r="A75" s="145" t="s">
        <v>250</v>
      </c>
      <c r="B75" s="438" t="s">
        <v>187</v>
      </c>
      <c r="C75" s="437">
        <v>5</v>
      </c>
      <c r="D75" s="439">
        <v>850</v>
      </c>
      <c r="E75" s="150">
        <f t="shared" si="4"/>
        <v>4250</v>
      </c>
      <c r="F75" s="151">
        <f t="shared" si="7"/>
        <v>354.16666666666669</v>
      </c>
    </row>
    <row r="76" spans="1:6">
      <c r="A76" s="145" t="s">
        <v>251</v>
      </c>
      <c r="B76" s="438" t="s">
        <v>187</v>
      </c>
      <c r="C76" s="437">
        <v>5</v>
      </c>
      <c r="D76" s="439">
        <v>27.5</v>
      </c>
      <c r="E76" s="150">
        <f t="shared" si="4"/>
        <v>137.5</v>
      </c>
      <c r="F76" s="151">
        <f t="shared" si="7"/>
        <v>11.458333333333334</v>
      </c>
    </row>
    <row r="77" spans="1:6">
      <c r="A77" s="145" t="s">
        <v>252</v>
      </c>
      <c r="B77" s="438" t="s">
        <v>187</v>
      </c>
      <c r="C77" s="444">
        <v>21</v>
      </c>
      <c r="D77" s="439">
        <v>103</v>
      </c>
      <c r="E77" s="150">
        <f t="shared" si="4"/>
        <v>2163</v>
      </c>
      <c r="F77" s="151">
        <f t="shared" si="7"/>
        <v>180.25</v>
      </c>
    </row>
    <row r="78" spans="1:6">
      <c r="A78" s="145" t="s">
        <v>253</v>
      </c>
      <c r="B78" s="438" t="s">
        <v>187</v>
      </c>
      <c r="C78" s="444">
        <f>5*4</f>
        <v>20</v>
      </c>
      <c r="D78" s="439">
        <v>70.989999999999995</v>
      </c>
      <c r="E78" s="150">
        <f t="shared" si="4"/>
        <v>1419.8</v>
      </c>
      <c r="F78" s="151">
        <f t="shared" si="7"/>
        <v>118.31666666666666</v>
      </c>
    </row>
    <row r="79" spans="1:6">
      <c r="A79" s="146"/>
      <c r="B79" s="1"/>
      <c r="C79" s="1"/>
      <c r="E79" s="452">
        <f>SUM(E34:E78)</f>
        <v>102228.86000000002</v>
      </c>
      <c r="F79" s="452">
        <f>SUM(F34:F78)</f>
        <v>8519.0716666666704</v>
      </c>
    </row>
    <row r="81" spans="1:6" ht="15">
      <c r="A81" s="453" t="s">
        <v>254</v>
      </c>
      <c r="B81" s="453"/>
      <c r="C81" s="453"/>
      <c r="D81" s="453"/>
      <c r="E81" s="453"/>
      <c r="F81" s="454">
        <f>SUM(F7,F30,F79)</f>
        <v>9231.1683333333367</v>
      </c>
    </row>
    <row r="82" spans="1:6" ht="15">
      <c r="A82" s="453" t="s">
        <v>255</v>
      </c>
      <c r="B82" s="453"/>
      <c r="C82" s="453"/>
      <c r="D82" s="453"/>
      <c r="E82" s="453"/>
      <c r="F82" s="455">
        <f>RESUMO!E9</f>
        <v>21</v>
      </c>
    </row>
    <row r="83" spans="1:6" ht="15">
      <c r="A83" s="453" t="s">
        <v>256</v>
      </c>
      <c r="B83" s="453"/>
      <c r="C83" s="453"/>
      <c r="D83" s="453"/>
      <c r="E83" s="453"/>
      <c r="F83" s="454">
        <f>F81/F82</f>
        <v>439.57944444444462</v>
      </c>
    </row>
  </sheetData>
  <mergeCells count="5">
    <mergeCell ref="A81:E81"/>
    <mergeCell ref="A82:E82"/>
    <mergeCell ref="A83:E83"/>
    <mergeCell ref="A7:D7"/>
    <mergeCell ref="A30:D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workbookViewId="0">
      <selection activeCell="F12" sqref="F12"/>
    </sheetView>
  </sheetViews>
  <sheetFormatPr defaultRowHeight="12.75"/>
  <cols>
    <col min="1" max="1" width="9.140625" style="130"/>
    <col min="2" max="2" width="59.140625" style="65" customWidth="1"/>
    <col min="3" max="3" width="9.28515625" style="138" bestFit="1" customWidth="1"/>
    <col min="4" max="4" width="17" style="138" customWidth="1"/>
    <col min="5" max="5" width="20" style="65" customWidth="1"/>
    <col min="6" max="6" width="17.7109375" style="65" customWidth="1"/>
    <col min="7" max="16384" width="9.140625" style="65"/>
  </cols>
  <sheetData>
    <row r="1" spans="1:6" ht="28.5" customHeight="1">
      <c r="B1" s="319" t="s">
        <v>257</v>
      </c>
      <c r="C1" s="319"/>
      <c r="D1" s="319"/>
      <c r="E1" s="319"/>
      <c r="F1" s="319"/>
    </row>
    <row r="2" spans="1:6" ht="25.5">
      <c r="A2" s="456" t="s">
        <v>258</v>
      </c>
      <c r="B2" s="131" t="s">
        <v>174</v>
      </c>
      <c r="C2" s="132" t="s">
        <v>259</v>
      </c>
      <c r="D2" s="133" t="s">
        <v>260</v>
      </c>
      <c r="E2" s="457" t="s">
        <v>261</v>
      </c>
      <c r="F2" s="457" t="s">
        <v>262</v>
      </c>
    </row>
    <row r="3" spans="1:6">
      <c r="A3" s="458">
        <v>1</v>
      </c>
      <c r="B3" s="127" t="s">
        <v>263</v>
      </c>
      <c r="C3" s="134" t="s">
        <v>264</v>
      </c>
      <c r="D3" s="135">
        <v>2</v>
      </c>
      <c r="E3" s="459">
        <v>106</v>
      </c>
      <c r="F3" s="459">
        <f>E3*D3</f>
        <v>212</v>
      </c>
    </row>
    <row r="4" spans="1:6">
      <c r="A4" s="458">
        <v>2</v>
      </c>
      <c r="B4" s="127" t="s">
        <v>265</v>
      </c>
      <c r="C4" s="134" t="s">
        <v>264</v>
      </c>
      <c r="D4" s="135">
        <v>2</v>
      </c>
      <c r="E4" s="459">
        <v>82.5</v>
      </c>
      <c r="F4" s="459">
        <f t="shared" ref="F4:F10" si="0">E4*D4</f>
        <v>165</v>
      </c>
    </row>
    <row r="5" spans="1:6">
      <c r="A5" s="458">
        <v>3</v>
      </c>
      <c r="B5" s="127" t="s">
        <v>266</v>
      </c>
      <c r="C5" s="134" t="s">
        <v>264</v>
      </c>
      <c r="D5" s="135">
        <v>1</v>
      </c>
      <c r="E5" s="459">
        <v>10</v>
      </c>
      <c r="F5" s="459">
        <f t="shared" si="0"/>
        <v>10</v>
      </c>
    </row>
    <row r="6" spans="1:6">
      <c r="A6" s="458">
        <v>4</v>
      </c>
      <c r="B6" s="127" t="s">
        <v>267</v>
      </c>
      <c r="C6" s="134" t="s">
        <v>264</v>
      </c>
      <c r="D6" s="135">
        <v>2</v>
      </c>
      <c r="E6" s="459">
        <v>25</v>
      </c>
      <c r="F6" s="459">
        <f t="shared" si="0"/>
        <v>50</v>
      </c>
    </row>
    <row r="7" spans="1:6" ht="38.25">
      <c r="A7" s="458">
        <v>5</v>
      </c>
      <c r="B7" s="127" t="s">
        <v>268</v>
      </c>
      <c r="C7" s="134" t="s">
        <v>264</v>
      </c>
      <c r="D7" s="135">
        <v>1</v>
      </c>
      <c r="E7" s="459">
        <v>77.5</v>
      </c>
      <c r="F7" s="459">
        <f t="shared" si="0"/>
        <v>77.5</v>
      </c>
    </row>
    <row r="8" spans="1:6" ht="89.25">
      <c r="A8" s="458">
        <v>6</v>
      </c>
      <c r="B8" s="127" t="s">
        <v>269</v>
      </c>
      <c r="C8" s="134" t="s">
        <v>270</v>
      </c>
      <c r="D8" s="135">
        <v>1</v>
      </c>
      <c r="E8" s="459">
        <v>190</v>
      </c>
      <c r="F8" s="459">
        <f t="shared" si="0"/>
        <v>190</v>
      </c>
    </row>
    <row r="9" spans="1:6">
      <c r="A9" s="458">
        <v>7</v>
      </c>
      <c r="B9" s="127" t="s">
        <v>271</v>
      </c>
      <c r="C9" s="134" t="s">
        <v>270</v>
      </c>
      <c r="D9" s="135">
        <v>2</v>
      </c>
      <c r="E9" s="459">
        <v>7.5</v>
      </c>
      <c r="F9" s="459">
        <f t="shared" si="0"/>
        <v>15</v>
      </c>
    </row>
    <row r="10" spans="1:6" ht="25.5">
      <c r="A10" s="458">
        <v>8</v>
      </c>
      <c r="B10" s="129" t="s">
        <v>272</v>
      </c>
      <c r="C10" s="136" t="s">
        <v>264</v>
      </c>
      <c r="D10" s="137">
        <v>1</v>
      </c>
      <c r="E10" s="459">
        <v>3.75</v>
      </c>
      <c r="F10" s="459">
        <f t="shared" si="0"/>
        <v>3.75</v>
      </c>
    </row>
    <row r="11" spans="1:6" ht="15.75" customHeight="1">
      <c r="A11" s="460"/>
      <c r="B11" s="461" t="s">
        <v>85</v>
      </c>
      <c r="C11" s="461"/>
      <c r="D11" s="461"/>
      <c r="E11" s="462"/>
      <c r="F11" s="463">
        <f>SUM(F3:F10)</f>
        <v>723.25</v>
      </c>
    </row>
    <row r="12" spans="1:6">
      <c r="A12" s="464" t="s">
        <v>273</v>
      </c>
      <c r="B12" s="464"/>
      <c r="C12" s="464"/>
      <c r="D12" s="464"/>
      <c r="E12" s="464"/>
      <c r="F12" s="465">
        <f>F11/12</f>
        <v>60.270833333333336</v>
      </c>
    </row>
  </sheetData>
  <mergeCells count="3">
    <mergeCell ref="B11:D11"/>
    <mergeCell ref="B1:F1"/>
    <mergeCell ref="A12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BC6976DDB00B4AAF6A7F96EE23545A" ma:contentTypeVersion="11" ma:contentTypeDescription="Crie um novo documento." ma:contentTypeScope="" ma:versionID="ddaed3c42f81a48c021b34f6c5511b70">
  <xsd:schema xmlns:xsd="http://www.w3.org/2001/XMLSchema" xmlns:xs="http://www.w3.org/2001/XMLSchema" xmlns:p="http://schemas.microsoft.com/office/2006/metadata/properties" xmlns:ns2="ca4e5496-90e8-4134-9bc8-6cd0ee396eb2" xmlns:ns3="ec208073-ce73-4a22-8152-1b7389356e07" targetNamespace="http://schemas.microsoft.com/office/2006/metadata/properties" ma:root="true" ma:fieldsID="1750801c1cba78416050076ace7e7e6c" ns2:_="" ns3:_="">
    <xsd:import namespace="ca4e5496-90e8-4134-9bc8-6cd0ee396eb2"/>
    <xsd:import namespace="ec208073-ce73-4a22-8152-1b7389356e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e5496-90e8-4134-9bc8-6cd0ee396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39944c2-26d9-490e-ad64-83e7a69758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08073-ce73-4a22-8152-1b7389356e0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c1ad9b-fcb2-484b-a0fc-28afc2062755}" ma:internalName="TaxCatchAll" ma:showField="CatchAllData" ma:web="ec208073-ce73-4a22-8152-1b7389356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e5496-90e8-4134-9bc8-6cd0ee396eb2">
      <Terms xmlns="http://schemas.microsoft.com/office/infopath/2007/PartnerControls"/>
    </lcf76f155ced4ddcb4097134ff3c332f>
    <TaxCatchAll xmlns="ec208073-ce73-4a22-8152-1b7389356e07" xsi:nil="true"/>
  </documentManagement>
</p:properties>
</file>

<file path=customXml/itemProps1.xml><?xml version="1.0" encoding="utf-8"?>
<ds:datastoreItem xmlns:ds="http://schemas.openxmlformats.org/officeDocument/2006/customXml" ds:itemID="{06E27228-DD9E-483A-9C1B-AE013AB94687}"/>
</file>

<file path=customXml/itemProps2.xml><?xml version="1.0" encoding="utf-8"?>
<ds:datastoreItem xmlns:ds="http://schemas.openxmlformats.org/officeDocument/2006/customXml" ds:itemID="{A89E6F70-5338-495A-BD17-53FE2D392E15}"/>
</file>

<file path=customXml/itemProps3.xml><?xml version="1.0" encoding="utf-8"?>
<ds:datastoreItem xmlns:ds="http://schemas.openxmlformats.org/officeDocument/2006/customXml" ds:itemID="{3B1C0C0E-E943-46B9-8481-C2F0303F8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Esrom Goncalves Rodrigues</dc:creator>
  <cp:keywords/>
  <dc:description/>
  <cp:lastModifiedBy/>
  <cp:revision/>
  <dcterms:created xsi:type="dcterms:W3CDTF">2024-04-24T16:31:23Z</dcterms:created>
  <dcterms:modified xsi:type="dcterms:W3CDTF">2024-11-05T16:30:04Z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0x010100CFBC6976DDB00B4AAF6A7F96EE23545A</vt:lpwstr>
  </property>
</Properties>
</file>