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2"/>
  <workbookPr defaultThemeVersion="166925"/>
  <mc:AlternateContent xmlns:mc="http://schemas.openxmlformats.org/markup-compatibility/2006">
    <mc:Choice Requires="x15">
      <x15ac:absPath xmlns:x15ac="http://schemas.microsoft.com/office/spreadsheetml/2010/11/ac" url="\\mecfileserver02\SAA\CGCC\3 - CGL\DIVISÃO DE LICITAÇÕES\2024\2. PREGÕES\UASG 150002 - SGA\PE nº 90011.2024 - Vigilância\03 - APÓS 1ª SUSPENSÃO\00. Edital\"/>
    </mc:Choice>
  </mc:AlternateContent>
  <xr:revisionPtr revIDLastSave="0" documentId="8_{4DFAAA1E-3C0D-49F1-9D0C-E7034511160E}" xr6:coauthVersionLast="47" xr6:coauthVersionMax="47" xr10:uidLastSave="{00000000-0000-0000-0000-000000000000}"/>
  <bookViews>
    <workbookView xWindow="-120" yWindow="-120" windowWidth="29040" windowHeight="15720" tabRatio="800" xr2:uid="{00000000-000D-0000-FFFF-FFFF00000000}"/>
  </bookViews>
  <sheets>
    <sheet name="RESUMO" sheetId="2" r:id="rId1"/>
    <sheet name="VIGILÂNCIA 12X36 DIURNA ARMADA" sheetId="1" r:id="rId2"/>
    <sheet name="VIGILÂNCIA 12X36 ARMADA NOTURNA" sheetId="3" r:id="rId3"/>
    <sheet name="VIGILÂNCIA 12X36 DESARMADA DIUR" sheetId="4" r:id="rId4"/>
    <sheet name="VIGILÂNCIA 12X36 DESARMADA NOTU" sheetId="5" r:id="rId5"/>
    <sheet name="VIGILÂNCIA 44 HORAS" sheetId="6" r:id="rId6"/>
    <sheet name="CFTV 12 X 36 HORAS DIURNO" sheetId="7" r:id="rId7"/>
    <sheet name="CFTV 12 X 36 HORAS NOTURNO" sheetId="8" r:id="rId8"/>
    <sheet name="SUPERVISOR" sheetId="9" r:id="rId9"/>
    <sheet name="SUPERVISOR GERAL" sheetId="13" r:id="rId10"/>
    <sheet name="MATERIAIS" sheetId="11" r:id="rId11"/>
    <sheet name="UNIFORME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3" l="1"/>
  <c r="D58" i="9"/>
  <c r="D58" i="8"/>
  <c r="D58" i="7"/>
  <c r="D58" i="6"/>
  <c r="D58" i="5"/>
  <c r="D58" i="4"/>
  <c r="D58" i="3"/>
  <c r="D58" i="1"/>
  <c r="F14" i="2"/>
  <c r="D15" i="13"/>
  <c r="C118" i="13"/>
  <c r="C122" i="13" s="1"/>
  <c r="D97" i="13"/>
  <c r="D102" i="13" s="1"/>
  <c r="C81" i="13"/>
  <c r="C79" i="13"/>
  <c r="C76" i="13"/>
  <c r="C51" i="13"/>
  <c r="C35" i="13"/>
  <c r="C36" i="13" s="1"/>
  <c r="D11" i="13"/>
  <c r="G8" i="12"/>
  <c r="D21" i="13" l="1"/>
  <c r="D57" i="13" s="1"/>
  <c r="D64" i="13" s="1"/>
  <c r="D71" i="13" s="1"/>
  <c r="C91" i="13"/>
  <c r="D22" i="13"/>
  <c r="D15" i="8"/>
  <c r="D15" i="7"/>
  <c r="D15" i="5"/>
  <c r="D15" i="4"/>
  <c r="D15" i="6" s="1"/>
  <c r="D15" i="3"/>
  <c r="D11" i="9"/>
  <c r="D11" i="8"/>
  <c r="D11" i="7"/>
  <c r="D11" i="6"/>
  <c r="D11" i="5"/>
  <c r="D11" i="4"/>
  <c r="D11" i="3"/>
  <c r="D25" i="13" l="1"/>
  <c r="D28" i="13"/>
  <c r="D44" i="13" s="1"/>
  <c r="C92" i="13"/>
  <c r="G12" i="12"/>
  <c r="G13" i="12"/>
  <c r="G14" i="12"/>
  <c r="G3" i="12"/>
  <c r="G9" i="2"/>
  <c r="G10" i="2"/>
  <c r="G11" i="2"/>
  <c r="G12" i="2"/>
  <c r="G8" i="2"/>
  <c r="G7" i="2"/>
  <c r="G6" i="2"/>
  <c r="G5" i="2"/>
  <c r="G14" i="2" l="1"/>
  <c r="D86" i="13"/>
  <c r="D90" i="13"/>
  <c r="D78" i="13"/>
  <c r="D75" i="13"/>
  <c r="D50" i="13"/>
  <c r="D89" i="13"/>
  <c r="D46" i="13"/>
  <c r="D80" i="13"/>
  <c r="D87" i="13"/>
  <c r="D77" i="13"/>
  <c r="D33" i="13"/>
  <c r="D34" i="13"/>
  <c r="D79" i="13"/>
  <c r="D88" i="13"/>
  <c r="D36" i="13"/>
  <c r="D43" i="13"/>
  <c r="D91" i="13"/>
  <c r="D48" i="13"/>
  <c r="D76" i="13"/>
  <c r="D129" i="13"/>
  <c r="D47" i="13"/>
  <c r="D45" i="13"/>
  <c r="D49" i="13"/>
  <c r="G11" i="12"/>
  <c r="D51" i="13" l="1"/>
  <c r="D70" i="13" s="1"/>
  <c r="D35" i="13"/>
  <c r="D37" i="13" s="1"/>
  <c r="D69" i="13" s="1"/>
  <c r="D92" i="13"/>
  <c r="D101" i="13" s="1"/>
  <c r="D103" i="13" s="1"/>
  <c r="D132" i="13" s="1"/>
  <c r="D81" i="13"/>
  <c r="D131" i="13" s="1"/>
  <c r="D72" i="13"/>
  <c r="D130" i="13" s="1"/>
  <c r="G20" i="12"/>
  <c r="G21" i="12"/>
  <c r="G22" i="12"/>
  <c r="G23" i="12"/>
  <c r="G24" i="12"/>
  <c r="G25" i="12"/>
  <c r="G19" i="12"/>
  <c r="G4" i="12"/>
  <c r="G5" i="12"/>
  <c r="G6" i="12"/>
  <c r="G7" i="12"/>
  <c r="G9" i="12"/>
  <c r="G10" i="12"/>
  <c r="F7" i="11"/>
  <c r="F9" i="11"/>
  <c r="F10" i="11"/>
  <c r="F11" i="11"/>
  <c r="F12" i="11"/>
  <c r="F13" i="11"/>
  <c r="F8" i="11"/>
  <c r="F3" i="11"/>
  <c r="F4" i="11"/>
  <c r="F5" i="11"/>
  <c r="F6" i="11"/>
  <c r="F2" i="11"/>
  <c r="G15" i="12" l="1"/>
  <c r="F14" i="11"/>
  <c r="F15" i="11"/>
  <c r="G26" i="12"/>
  <c r="D107" i="13" s="1"/>
  <c r="D112" i="13" s="1"/>
  <c r="D133" i="13" s="1"/>
  <c r="D134" i="13" s="1"/>
  <c r="C118" i="9"/>
  <c r="C122" i="9" s="1"/>
  <c r="D97" i="9"/>
  <c r="D102" i="9" s="1"/>
  <c r="C79" i="9"/>
  <c r="C76" i="9"/>
  <c r="C51" i="9"/>
  <c r="C35" i="9"/>
  <c r="D21" i="9"/>
  <c r="D57" i="9" s="1"/>
  <c r="C118" i="8"/>
  <c r="C122" i="8" s="1"/>
  <c r="D97" i="8"/>
  <c r="D102" i="8" s="1"/>
  <c r="C79" i="8"/>
  <c r="C76" i="8"/>
  <c r="C51" i="8"/>
  <c r="C35" i="8"/>
  <c r="D21" i="8"/>
  <c r="D25" i="8" s="1"/>
  <c r="C118" i="7"/>
  <c r="C122" i="7" s="1"/>
  <c r="D97" i="7"/>
  <c r="D102" i="7" s="1"/>
  <c r="C79" i="7"/>
  <c r="C76" i="7"/>
  <c r="C81" i="7" s="1"/>
  <c r="C51" i="7"/>
  <c r="C35" i="7"/>
  <c r="C36" i="7" s="1"/>
  <c r="D21" i="7"/>
  <c r="D57" i="7" s="1"/>
  <c r="C118" i="6"/>
  <c r="C122" i="6" s="1"/>
  <c r="D97" i="6"/>
  <c r="D102" i="6" s="1"/>
  <c r="C79" i="6"/>
  <c r="C76" i="6"/>
  <c r="C81" i="6" s="1"/>
  <c r="C51" i="6"/>
  <c r="C35" i="6"/>
  <c r="D21" i="6"/>
  <c r="D57" i="6" s="1"/>
  <c r="C118" i="5"/>
  <c r="C122" i="5" s="1"/>
  <c r="D97" i="5"/>
  <c r="D102" i="5" s="1"/>
  <c r="C79" i="5"/>
  <c r="C76" i="5"/>
  <c r="C81" i="5" s="1"/>
  <c r="C51" i="5"/>
  <c r="C35" i="5"/>
  <c r="C36" i="5" s="1"/>
  <c r="D21" i="5"/>
  <c r="C118" i="4"/>
  <c r="C122" i="4" s="1"/>
  <c r="D97" i="4"/>
  <c r="D102" i="4" s="1"/>
  <c r="C79" i="4"/>
  <c r="C76" i="4"/>
  <c r="C81" i="4" s="1"/>
  <c r="C51" i="4"/>
  <c r="C35" i="4"/>
  <c r="C36" i="4" s="1"/>
  <c r="D21" i="4"/>
  <c r="D57" i="4" s="1"/>
  <c r="D64" i="4" s="1"/>
  <c r="D71" i="4" s="1"/>
  <c r="C118" i="3"/>
  <c r="C122" i="3" s="1"/>
  <c r="D97" i="3"/>
  <c r="D102" i="3" s="1"/>
  <c r="C79" i="3"/>
  <c r="C76" i="3"/>
  <c r="C51" i="3"/>
  <c r="C35" i="3"/>
  <c r="D21" i="3"/>
  <c r="D25" i="3" s="1"/>
  <c r="C118" i="1"/>
  <c r="C122" i="1" s="1"/>
  <c r="D97" i="1"/>
  <c r="D102" i="1" s="1"/>
  <c r="C79" i="1"/>
  <c r="C76" i="1"/>
  <c r="C51" i="1"/>
  <c r="C35" i="1"/>
  <c r="C36" i="1" s="1"/>
  <c r="D21" i="1"/>
  <c r="D57" i="1" s="1"/>
  <c r="D116" i="13" l="1"/>
  <c r="D117" i="13" s="1"/>
  <c r="D118" i="13" s="1"/>
  <c r="D122" i="13" s="1"/>
  <c r="D135" i="13" s="1"/>
  <c r="D136" i="13" s="1"/>
  <c r="C81" i="9"/>
  <c r="C36" i="3"/>
  <c r="C81" i="3"/>
  <c r="D22" i="7"/>
  <c r="D28" i="7" s="1"/>
  <c r="C36" i="6"/>
  <c r="C36" i="9"/>
  <c r="C91" i="5"/>
  <c r="D107" i="6"/>
  <c r="D107" i="7"/>
  <c r="D107" i="8"/>
  <c r="C81" i="1"/>
  <c r="D109" i="3"/>
  <c r="D108" i="1"/>
  <c r="D108" i="5" s="1"/>
  <c r="D64" i="7"/>
  <c r="D71" i="7" s="1"/>
  <c r="D109" i="5"/>
  <c r="D109" i="4"/>
  <c r="D109" i="6"/>
  <c r="D109" i="7"/>
  <c r="D109" i="8"/>
  <c r="D57" i="8"/>
  <c r="D64" i="8" s="1"/>
  <c r="D71" i="8" s="1"/>
  <c r="D25" i="7"/>
  <c r="D57" i="5"/>
  <c r="D64" i="5" s="1"/>
  <c r="D71" i="5" s="1"/>
  <c r="D22" i="3"/>
  <c r="D24" i="3" s="1"/>
  <c r="D57" i="3"/>
  <c r="D64" i="3" s="1"/>
  <c r="D71" i="3" s="1"/>
  <c r="D107" i="9"/>
  <c r="D112" i="9" s="1"/>
  <c r="D133" i="9" s="1"/>
  <c r="D107" i="5"/>
  <c r="D107" i="4"/>
  <c r="D107" i="3"/>
  <c r="C91" i="3"/>
  <c r="C92" i="3" s="1"/>
  <c r="C91" i="4"/>
  <c r="C92" i="4" s="1"/>
  <c r="C91" i="7"/>
  <c r="C92" i="7" s="1"/>
  <c r="C91" i="9"/>
  <c r="C92" i="9" s="1"/>
  <c r="C91" i="8"/>
  <c r="C92" i="8" s="1"/>
  <c r="C91" i="6"/>
  <c r="C92" i="6" s="1"/>
  <c r="D64" i="6"/>
  <c r="D71" i="6" s="1"/>
  <c r="D64" i="9"/>
  <c r="D71" i="9" s="1"/>
  <c r="D107" i="1"/>
  <c r="D112" i="1" s="1"/>
  <c r="D133" i="1" s="1"/>
  <c r="D22" i="9"/>
  <c r="D25" i="9"/>
  <c r="C81" i="8"/>
  <c r="D22" i="8"/>
  <c r="C36" i="8"/>
  <c r="D22" i="6"/>
  <c r="D25" i="6"/>
  <c r="C92" i="5"/>
  <c r="D22" i="5"/>
  <c r="D24" i="5" s="1"/>
  <c r="D25" i="5"/>
  <c r="D22" i="4"/>
  <c r="D25" i="4"/>
  <c r="D64" i="1"/>
  <c r="D71" i="1" s="1"/>
  <c r="D22" i="1"/>
  <c r="D25" i="1"/>
  <c r="C91" i="1"/>
  <c r="C92" i="1" s="1"/>
  <c r="D120" i="13" l="1"/>
  <c r="D137" i="13"/>
  <c r="D121" i="13"/>
  <c r="D119" i="13"/>
  <c r="D28" i="4"/>
  <c r="D108" i="3"/>
  <c r="D108" i="6"/>
  <c r="D112" i="6" s="1"/>
  <c r="D133" i="6" s="1"/>
  <c r="C13" i="2"/>
  <c r="E13" i="2"/>
  <c r="H13" i="2" s="1"/>
  <c r="I13" i="2" s="1"/>
  <c r="D28" i="6"/>
  <c r="D77" i="6" s="1"/>
  <c r="D108" i="7"/>
  <c r="D112" i="7" s="1"/>
  <c r="D133" i="7" s="1"/>
  <c r="D108" i="8"/>
  <c r="D28" i="3"/>
  <c r="D86" i="3" s="1"/>
  <c r="D28" i="9"/>
  <c r="D88" i="9" s="1"/>
  <c r="D108" i="4"/>
  <c r="D112" i="5"/>
  <c r="D133" i="5" s="1"/>
  <c r="D112" i="4"/>
  <c r="D133" i="4" s="1"/>
  <c r="D112" i="8"/>
  <c r="D133" i="8" s="1"/>
  <c r="D112" i="3"/>
  <c r="D133" i="3" s="1"/>
  <c r="D24" i="8"/>
  <c r="D28" i="8" s="1"/>
  <c r="D28" i="5"/>
  <c r="D90" i="5" s="1"/>
  <c r="D28" i="1"/>
  <c r="D46" i="1" s="1"/>
  <c r="D91" i="7"/>
  <c r="D36" i="9"/>
  <c r="D77" i="9"/>
  <c r="D89" i="9"/>
  <c r="D76" i="9"/>
  <c r="D50" i="9"/>
  <c r="D75" i="9"/>
  <c r="D47" i="9"/>
  <c r="D129" i="9"/>
  <c r="D46" i="9"/>
  <c r="D45" i="9"/>
  <c r="D36" i="7"/>
  <c r="D78" i="7"/>
  <c r="D90" i="7"/>
  <c r="D77" i="7"/>
  <c r="D89" i="7"/>
  <c r="D76" i="7"/>
  <c r="D50" i="7"/>
  <c r="D88" i="7"/>
  <c r="D49" i="7"/>
  <c r="D34" i="7"/>
  <c r="D87" i="7"/>
  <c r="D75" i="7"/>
  <c r="D48" i="7"/>
  <c r="D33" i="7"/>
  <c r="D46" i="7"/>
  <c r="D47" i="7"/>
  <c r="D129" i="7"/>
  <c r="D45" i="7"/>
  <c r="D79" i="7"/>
  <c r="D44" i="7"/>
  <c r="D80" i="7"/>
  <c r="D43" i="7"/>
  <c r="D86" i="7"/>
  <c r="D34" i="6"/>
  <c r="D75" i="6"/>
  <c r="D33" i="6"/>
  <c r="D36" i="5"/>
  <c r="D78" i="5"/>
  <c r="D44" i="5"/>
  <c r="D89" i="5"/>
  <c r="D50" i="5"/>
  <c r="D79" i="5"/>
  <c r="D88" i="5"/>
  <c r="D49" i="5"/>
  <c r="D34" i="5"/>
  <c r="D87" i="5"/>
  <c r="D75" i="5"/>
  <c r="D46" i="5"/>
  <c r="D45" i="5"/>
  <c r="D80" i="5"/>
  <c r="D86" i="5"/>
  <c r="D91" i="5"/>
  <c r="D36" i="4"/>
  <c r="D90" i="4"/>
  <c r="D77" i="4"/>
  <c r="D76" i="4"/>
  <c r="D78" i="4"/>
  <c r="D89" i="4"/>
  <c r="D50" i="4"/>
  <c r="D88" i="4"/>
  <c r="D49" i="4"/>
  <c r="D34" i="4"/>
  <c r="D44" i="4"/>
  <c r="D87" i="4"/>
  <c r="D75" i="4"/>
  <c r="D48" i="4"/>
  <c r="D33" i="4"/>
  <c r="D35" i="4" s="1"/>
  <c r="D47" i="4"/>
  <c r="D45" i="4"/>
  <c r="D129" i="4"/>
  <c r="D46" i="4"/>
  <c r="D80" i="4"/>
  <c r="D43" i="4"/>
  <c r="D79" i="4"/>
  <c r="D91" i="4"/>
  <c r="D86" i="4"/>
  <c r="D36" i="3"/>
  <c r="D78" i="3"/>
  <c r="D90" i="3"/>
  <c r="D77" i="3"/>
  <c r="D89" i="3"/>
  <c r="D50" i="3"/>
  <c r="D88" i="3"/>
  <c r="D49" i="3"/>
  <c r="D34" i="3"/>
  <c r="D87" i="3"/>
  <c r="D75" i="3"/>
  <c r="D48" i="3"/>
  <c r="D33" i="3"/>
  <c r="D47" i="3"/>
  <c r="D129" i="3"/>
  <c r="D46" i="3"/>
  <c r="D45" i="3"/>
  <c r="D79" i="3"/>
  <c r="D44" i="3"/>
  <c r="D80" i="3"/>
  <c r="D43" i="3"/>
  <c r="D76" i="3"/>
  <c r="D91" i="3"/>
  <c r="D79" i="6" l="1"/>
  <c r="D47" i="6"/>
  <c r="D91" i="6"/>
  <c r="D48" i="6"/>
  <c r="D76" i="5"/>
  <c r="D80" i="6"/>
  <c r="D49" i="6"/>
  <c r="D86" i="6"/>
  <c r="D92" i="6" s="1"/>
  <c r="D101" i="6" s="1"/>
  <c r="D103" i="6" s="1"/>
  <c r="D132" i="6" s="1"/>
  <c r="D44" i="6"/>
  <c r="D88" i="6"/>
  <c r="D87" i="6"/>
  <c r="D47" i="5"/>
  <c r="D43" i="5"/>
  <c r="D45" i="6"/>
  <c r="D50" i="6"/>
  <c r="D90" i="9"/>
  <c r="D129" i="5"/>
  <c r="D33" i="5"/>
  <c r="D77" i="5"/>
  <c r="D46" i="6"/>
  <c r="D51" i="6" s="1"/>
  <c r="D70" i="6" s="1"/>
  <c r="D89" i="6"/>
  <c r="D76" i="6"/>
  <c r="D81" i="6" s="1"/>
  <c r="D131" i="6" s="1"/>
  <c r="D43" i="6"/>
  <c r="D48" i="5"/>
  <c r="D129" i="6"/>
  <c r="D78" i="6"/>
  <c r="D44" i="9"/>
  <c r="D90" i="6"/>
  <c r="D36" i="6"/>
  <c r="D33" i="9"/>
  <c r="D78" i="9"/>
  <c r="D37" i="4"/>
  <c r="D69" i="4" s="1"/>
  <c r="D35" i="7"/>
  <c r="D48" i="9"/>
  <c r="D51" i="9" s="1"/>
  <c r="D70" i="9" s="1"/>
  <c r="D79" i="9"/>
  <c r="D35" i="3"/>
  <c r="D37" i="3" s="1"/>
  <c r="D69" i="3" s="1"/>
  <c r="D35" i="6"/>
  <c r="D86" i="9"/>
  <c r="D87" i="9"/>
  <c r="D91" i="9"/>
  <c r="D34" i="9"/>
  <c r="D43" i="9"/>
  <c r="D49" i="9"/>
  <c r="D80" i="9"/>
  <c r="D89" i="8"/>
  <c r="D34" i="8"/>
  <c r="D33" i="8"/>
  <c r="D45" i="8"/>
  <c r="D80" i="8"/>
  <c r="D86" i="8"/>
  <c r="D79" i="8"/>
  <c r="D36" i="8"/>
  <c r="D50" i="8"/>
  <c r="D87" i="8"/>
  <c r="D46" i="8"/>
  <c r="D43" i="8"/>
  <c r="D78" i="8"/>
  <c r="D88" i="8"/>
  <c r="D75" i="8"/>
  <c r="D47" i="8"/>
  <c r="D90" i="8"/>
  <c r="D76" i="8"/>
  <c r="D77" i="8"/>
  <c r="D49" i="8"/>
  <c r="D48" i="8"/>
  <c r="D129" i="8"/>
  <c r="D44" i="8"/>
  <c r="D91" i="8"/>
  <c r="D81" i="7"/>
  <c r="D131" i="7" s="1"/>
  <c r="D51" i="7"/>
  <c r="D70" i="7" s="1"/>
  <c r="D37" i="7"/>
  <c r="D69" i="7" s="1"/>
  <c r="D47" i="1"/>
  <c r="D89" i="1"/>
  <c r="D36" i="1"/>
  <c r="D91" i="1"/>
  <c r="D45" i="1"/>
  <c r="D33" i="1"/>
  <c r="D78" i="1"/>
  <c r="D86" i="1"/>
  <c r="D129" i="1"/>
  <c r="D87" i="1"/>
  <c r="D44" i="1"/>
  <c r="D75" i="1"/>
  <c r="D43" i="1"/>
  <c r="D76" i="1"/>
  <c r="D49" i="1"/>
  <c r="D90" i="1"/>
  <c r="D88" i="1"/>
  <c r="D48" i="1"/>
  <c r="D79" i="1"/>
  <c r="D80" i="1"/>
  <c r="D34" i="1"/>
  <c r="D50" i="1"/>
  <c r="D77" i="1"/>
  <c r="D35" i="5"/>
  <c r="D37" i="5" s="1"/>
  <c r="D69" i="5" s="1"/>
  <c r="D81" i="5"/>
  <c r="D131" i="5" s="1"/>
  <c r="D92" i="3"/>
  <c r="D101" i="3" s="1"/>
  <c r="D103" i="3" s="1"/>
  <c r="D132" i="3" s="1"/>
  <c r="D92" i="9"/>
  <c r="D101" i="9" s="1"/>
  <c r="D103" i="9" s="1"/>
  <c r="D132" i="9" s="1"/>
  <c r="D92" i="7"/>
  <c r="D101" i="7" s="1"/>
  <c r="D103" i="7" s="1"/>
  <c r="D132" i="7" s="1"/>
  <c r="D92" i="5"/>
  <c r="D101" i="5" s="1"/>
  <c r="D103" i="5" s="1"/>
  <c r="D132" i="5" s="1"/>
  <c r="D51" i="5"/>
  <c r="D70" i="5" s="1"/>
  <c r="D92" i="4"/>
  <c r="D101" i="4" s="1"/>
  <c r="D103" i="4" s="1"/>
  <c r="D132" i="4" s="1"/>
  <c r="D51" i="4"/>
  <c r="D70" i="4" s="1"/>
  <c r="D72" i="4" s="1"/>
  <c r="D130" i="4" s="1"/>
  <c r="D81" i="4"/>
  <c r="D131" i="4" s="1"/>
  <c r="D81" i="3"/>
  <c r="D131" i="3" s="1"/>
  <c r="D51" i="3"/>
  <c r="D70" i="3" s="1"/>
  <c r="D81" i="9" l="1"/>
  <c r="D131" i="9" s="1"/>
  <c r="D35" i="1"/>
  <c r="D37" i="1" s="1"/>
  <c r="D69" i="1" s="1"/>
  <c r="D35" i="9"/>
  <c r="D37" i="9" s="1"/>
  <c r="D69" i="9" s="1"/>
  <c r="D92" i="1"/>
  <c r="D101" i="1" s="1"/>
  <c r="D103" i="1" s="1"/>
  <c r="D132" i="1" s="1"/>
  <c r="D81" i="8"/>
  <c r="D131" i="8" s="1"/>
  <c r="D37" i="6"/>
  <c r="D69" i="6" s="1"/>
  <c r="D72" i="3"/>
  <c r="D130" i="3" s="1"/>
  <c r="D134" i="3" s="1"/>
  <c r="D116" i="3" s="1"/>
  <c r="D51" i="1"/>
  <c r="D70" i="1" s="1"/>
  <c r="D72" i="1" s="1"/>
  <c r="D130" i="1" s="1"/>
  <c r="D134" i="1" s="1"/>
  <c r="D116" i="1" s="1"/>
  <c r="D72" i="6"/>
  <c r="D130" i="6" s="1"/>
  <c r="D134" i="6" s="1"/>
  <c r="D116" i="6" s="1"/>
  <c r="D72" i="7"/>
  <c r="D130" i="7" s="1"/>
  <c r="D134" i="7" s="1"/>
  <c r="D116" i="7" s="1"/>
  <c r="D81" i="1"/>
  <c r="D131" i="1" s="1"/>
  <c r="D92" i="8"/>
  <c r="D101" i="8" s="1"/>
  <c r="D103" i="8" s="1"/>
  <c r="D132" i="8" s="1"/>
  <c r="D51" i="8"/>
  <c r="D70" i="8" s="1"/>
  <c r="D35" i="8"/>
  <c r="D37" i="8" s="1"/>
  <c r="D69" i="8" s="1"/>
  <c r="D72" i="8" s="1"/>
  <c r="D130" i="8" s="1"/>
  <c r="D72" i="5"/>
  <c r="D130" i="5" s="1"/>
  <c r="D134" i="5" s="1"/>
  <c r="D116" i="5" s="1"/>
  <c r="D72" i="9"/>
  <c r="D130" i="9" s="1"/>
  <c r="D134" i="9" s="1"/>
  <c r="D116" i="9" s="1"/>
  <c r="D117" i="9" s="1"/>
  <c r="D134" i="4"/>
  <c r="D116" i="4" s="1"/>
  <c r="D134" i="8" l="1"/>
  <c r="D116" i="8" s="1"/>
  <c r="D118" i="9"/>
  <c r="D122" i="9" s="1"/>
  <c r="D135" i="9" s="1"/>
  <c r="D136" i="9" s="1"/>
  <c r="D117" i="8"/>
  <c r="D118" i="8" s="1"/>
  <c r="D122" i="8" s="1"/>
  <c r="D135" i="8" s="1"/>
  <c r="D136" i="8" s="1"/>
  <c r="D117" i="7"/>
  <c r="D117" i="6"/>
  <c r="D117" i="5"/>
  <c r="D117" i="4"/>
  <c r="D117" i="3"/>
  <c r="D117" i="1"/>
  <c r="D118" i="1" s="1"/>
  <c r="D122" i="1" s="1"/>
  <c r="D135" i="1" s="1"/>
  <c r="D136" i="1" s="1"/>
  <c r="D137" i="1" l="1"/>
  <c r="E5" i="2" s="1"/>
  <c r="H5" i="2" s="1"/>
  <c r="C5" i="2"/>
  <c r="D137" i="8"/>
  <c r="E11" i="2" s="1"/>
  <c r="H11" i="2" s="1"/>
  <c r="I11" i="2" s="1"/>
  <c r="C11" i="2"/>
  <c r="D137" i="9"/>
  <c r="E12" i="2" s="1"/>
  <c r="H12" i="2" s="1"/>
  <c r="I12" i="2" s="1"/>
  <c r="C12" i="2"/>
  <c r="D118" i="5"/>
  <c r="D122" i="5" s="1"/>
  <c r="D135" i="5" s="1"/>
  <c r="D136" i="5" s="1"/>
  <c r="D119" i="9"/>
  <c r="D121" i="9"/>
  <c r="D120" i="9"/>
  <c r="D119" i="8"/>
  <c r="D121" i="8"/>
  <c r="D120" i="8"/>
  <c r="D118" i="7"/>
  <c r="D122" i="7" s="1"/>
  <c r="D135" i="7" s="1"/>
  <c r="D136" i="7" s="1"/>
  <c r="C10" i="2" s="1"/>
  <c r="D118" i="6"/>
  <c r="D122" i="6" s="1"/>
  <c r="D135" i="6" s="1"/>
  <c r="D136" i="6" s="1"/>
  <c r="D118" i="4"/>
  <c r="D122" i="4" s="1"/>
  <c r="D135" i="4" s="1"/>
  <c r="D136" i="4" s="1"/>
  <c r="C7" i="2" s="1"/>
  <c r="D118" i="3"/>
  <c r="D122" i="3" s="1"/>
  <c r="D135" i="3" s="1"/>
  <c r="D136" i="3" s="1"/>
  <c r="C6" i="2" s="1"/>
  <c r="D119" i="1"/>
  <c r="D120" i="1"/>
  <c r="D121" i="1"/>
  <c r="I5" i="2" l="1"/>
  <c r="D137" i="7"/>
  <c r="E10" i="2" s="1"/>
  <c r="H10" i="2" s="1"/>
  <c r="I10" i="2" s="1"/>
  <c r="D137" i="5"/>
  <c r="E8" i="2" s="1"/>
  <c r="H8" i="2" s="1"/>
  <c r="I8" i="2" s="1"/>
  <c r="C8" i="2"/>
  <c r="D137" i="3"/>
  <c r="E6" i="2" s="1"/>
  <c r="H6" i="2" s="1"/>
  <c r="I6" i="2" s="1"/>
  <c r="D137" i="4"/>
  <c r="E7" i="2" s="1"/>
  <c r="H7" i="2" s="1"/>
  <c r="I7" i="2" s="1"/>
  <c r="D137" i="6"/>
  <c r="E9" i="2" s="1"/>
  <c r="H9" i="2" s="1"/>
  <c r="I9" i="2" s="1"/>
  <c r="C9" i="2"/>
  <c r="D121" i="5"/>
  <c r="D119" i="5"/>
  <c r="D120" i="5"/>
  <c r="D119" i="7"/>
  <c r="D121" i="7"/>
  <c r="D120" i="7"/>
  <c r="D119" i="6"/>
  <c r="D121" i="6"/>
  <c r="D120" i="6"/>
  <c r="D119" i="4"/>
  <c r="D121" i="4"/>
  <c r="D120" i="4"/>
  <c r="D119" i="3"/>
  <c r="D121" i="3"/>
  <c r="D120" i="3"/>
  <c r="I15" i="2" l="1"/>
  <c r="I17" i="2"/>
  <c r="H21" i="2" s="1"/>
  <c r="I19" i="2" l="1"/>
  <c r="J19" i="2" s="1"/>
  <c r="I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1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1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2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2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3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3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4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4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5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5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6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6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7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7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8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8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714B494A-13A8-4208-B04D-D7141B881767}">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DD8A25D4-9AA9-4634-8C80-1349B221FAC4}">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sharedStrings.xml><?xml version="1.0" encoding="utf-8"?>
<sst xmlns="http://schemas.openxmlformats.org/spreadsheetml/2006/main" count="2099" uniqueCount="219">
  <si>
    <t>SECRETARIA EXECUTIVA</t>
  </si>
  <si>
    <t>SUBSECRETARIA DE GESTÃO ADMINISTRATIVA</t>
  </si>
  <si>
    <t>COORDENAÇÃO-GERAL DE LICITAÇÕES E CONTRATOS</t>
  </si>
  <si>
    <t>ITEM</t>
  </si>
  <si>
    <t>CATEGORIA PROFISSIONAL OU PRODUTO</t>
  </si>
  <si>
    <t>Valor proposto por empregado</t>
  </si>
  <si>
    <t>Qtde. de empregados por posto</t>
  </si>
  <si>
    <t>VALOR UNITÁRIO DO POSTO (R$) (B)</t>
  </si>
  <si>
    <t>Nº DE POSTOS</t>
  </si>
  <si>
    <t>Quantidade Total Funcionários</t>
  </si>
  <si>
    <t xml:space="preserve">VALOR MENSAL DO POSTO (R$)                               </t>
  </si>
  <si>
    <t xml:space="preserve">VALOR ANUAL DO ITEM (R$)                                           </t>
  </si>
  <si>
    <t>Posto de vigilância com 2 vigilantes em turnos de 12 horas trabalhadas por 36 horas de descanso ARMADO e em período DIURNO</t>
  </si>
  <si>
    <t>Posto de vigilância com 2 vigilantes em turnos de 12 horas trabalhadas por 36 horas de descanso ARMADO e em período NOTURNO</t>
  </si>
  <si>
    <t>Posto de vigilância com 2 vigilantes em turnos de 12 horas trabalhadas por 36 horas de descanso DESARMADO e em período DIURNO</t>
  </si>
  <si>
    <t>Posto de vigilância com 2 vigilantes em turnos de 12 horas trabalhadas por 36 horas de descanso DESARMADO e em período NOTURNO</t>
  </si>
  <si>
    <t>Posto de vigilância com 1 vigilante em 44 horas semanais DESARMADO e em período DIURNO</t>
  </si>
  <si>
    <t>Posto de Monitoramento CFTV com 2 vigilantes em turnos de 12 horas trabalhadas por 36 horas de descanso DESARMADO e em período DIURNO</t>
  </si>
  <si>
    <t>Posto de Monitoramento CFTV com 2 vigilantes em turnos de 12 horas trabalhadas por 36 horas de descanso DESARMADO e em período NOTURNO</t>
  </si>
  <si>
    <t>Posto de supervisão de vigilância com 1 vigilante em 44 horas semanais DESARMADO e em período DIURNO</t>
  </si>
  <si>
    <t>Posto de supervisão geral de vigilância com 1 vigilante em 44 horas semanais DESARMADO e em período DIURNO</t>
  </si>
  <si>
    <t>QUANTITATIVO TOTAL</t>
  </si>
  <si>
    <t>VALOR TOTAL MENSAL</t>
  </si>
  <si>
    <t>VALOR TOTAL ANUAL</t>
  </si>
  <si>
    <t>PLANILHA DE CUSTOS E FORMAÇÃO DE CUSTOS</t>
  </si>
  <si>
    <t xml:space="preserve">INSTRUÇÃO NORMATIVA Nº 5, DE 26 DE MAIO DE 2017 (Atualizada) e </t>
  </si>
  <si>
    <t>INSTRUÇÃO NORMATIVA Nº 7, DE 20 DE SETEMBRO DE 2018.</t>
  </si>
  <si>
    <t>Discriminação dos Serviços (dados referentes à contratação)</t>
  </si>
  <si>
    <t xml:space="preserve">A </t>
  </si>
  <si>
    <t xml:space="preserve">Data de apresentação da proposta (dia/mês/ano) </t>
  </si>
  <si>
    <t>DD/MM/2024</t>
  </si>
  <si>
    <t xml:space="preserve">B </t>
  </si>
  <si>
    <t xml:space="preserve">Município/UF </t>
  </si>
  <si>
    <t>Brasília/DF</t>
  </si>
  <si>
    <t xml:space="preserve">C </t>
  </si>
  <si>
    <t xml:space="preserve">Ano Acordo, Convenção ou Sentença Normativa em Dissídio Coletivo, Nº do registro no MTE </t>
  </si>
  <si>
    <t>DF000333/2024 - SINDESV/DF</t>
  </si>
  <si>
    <t>D</t>
  </si>
  <si>
    <t xml:space="preserve">Nº de meses de execução contratual </t>
  </si>
  <si>
    <t xml:space="preserve">Dados complementares para composição dos custos referente à mão-de-obra </t>
  </si>
  <si>
    <t>Tipo de serviço (mesmo serviço com características distintas)</t>
  </si>
  <si>
    <t>ENCARREGADO GERAL</t>
  </si>
  <si>
    <t>Salário Normativo da Categoria Profissional</t>
  </si>
  <si>
    <t xml:space="preserve">Categoria profissional (vinculada à execução contratual) </t>
  </si>
  <si>
    <t>VIGILANTE</t>
  </si>
  <si>
    <t>Classificação Brasileira de Ocupações (CBO):</t>
  </si>
  <si>
    <t>CBO (5173-30)</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</si>
  <si>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</si>
  <si>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</si>
  <si>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</si>
  <si>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</si>
  <si>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</si>
  <si>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</si>
  <si>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</si>
  <si>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</si>
  <si>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</si>
  <si>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</si>
  <si>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</si>
  <si>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</si>
  <si>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</si>
  <si>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</si>
  <si>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</si>
  <si>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</si>
  <si>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</si>
  <si>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</si>
  <si>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</si>
  <si>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</si>
  <si>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</si>
  <si>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</si>
  <si>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</si>
  <si>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</si>
  <si>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</si>
  <si>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</si>
  <si>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</si>
  <si>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 xml:space="preserve">Total </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</si>
  <si>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</si>
  <si>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</si>
  <si>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(Incluído pela Instrução Normativa nº 7, de 2018)</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</si>
  <si>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</si>
  <si>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</si>
  <si>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</si>
  <si>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</si>
  <si>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</si>
  <si>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</si>
  <si>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</si>
  <si>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</si>
  <si>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</si>
  <si>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</si>
  <si>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INCRA</t>
  </si>
  <si>
    <t>FGTS</t>
  </si>
  <si>
    <t xml:space="preserve">TOTAL </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</si>
  <si>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</si>
  <si>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</si>
  <si>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</si>
  <si>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Submódulo 2.3 - Benefícios Mensais e Diários.</t>
  </si>
  <si>
    <t>2.3</t>
  </si>
  <si>
    <t>Benefícios Mensais e Diários</t>
  </si>
  <si>
    <t xml:space="preserve">Transporte </t>
  </si>
  <si>
    <t>Auxílio- Refeição/ Alimentação  (Vales, Cestas básicas, etc)</t>
  </si>
  <si>
    <t xml:space="preserve">Fundo Social Odontológico </t>
  </si>
  <si>
    <t>Plano de Saúde</t>
  </si>
  <si>
    <t>E</t>
  </si>
  <si>
    <t>Seguro de vida</t>
  </si>
  <si>
    <t>Fundo Ind. Aposentadoria / Doença</t>
  </si>
  <si>
    <t>G</t>
  </si>
  <si>
    <t>Outros (especificar) Contr. Social Patronal</t>
  </si>
  <si>
    <t xml:space="preserve">Total de Benefícios mensais e diários </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</si>
  <si>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</si>
  <si>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</si>
  <si>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Quadro-Resumo do Módulo 2 - Encargos e Benefícios anuais, mensais e diários</t>
  </si>
  <si>
    <t>Encargos e Benefícios Anuais, Mensais e Diários</t>
  </si>
  <si>
    <t>Valor (R$)</t>
  </si>
  <si>
    <t>Total</t>
  </si>
  <si>
    <t>Módulo 3 - Provisão para Rescisão</t>
  </si>
  <si>
    <t>Provisão para Rescisão</t>
  </si>
  <si>
    <t>%</t>
  </si>
  <si>
    <t>A</t>
  </si>
  <si>
    <t>Aviso Prévio Indenizado</t>
  </si>
  <si>
    <t>B</t>
  </si>
  <si>
    <t>Incidência do FGTS sobre o Aviso Prévio Indenizado</t>
  </si>
  <si>
    <t>Multa do FGTS sobre o Aviso Prévio Indenizado</t>
  </si>
  <si>
    <t>Aviso Prévio Trabalhado</t>
  </si>
  <si>
    <t>Incidência de GPS, FGTS e outras contribuições sobre o Aviso Prévio Trabalhado</t>
  </si>
  <si>
    <t>F</t>
  </si>
  <si>
    <t>Multa do FGTS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</si>
  <si>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</si>
  <si>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Módulo 4 - Custo de Reposição do Profissional Ausente</t>
  </si>
  <si>
    <t>Submódulo 4.1 - Ausências Legais</t>
  </si>
  <si>
    <t>4.1</t>
  </si>
  <si>
    <t>Substituto nas Ausências Legais</t>
  </si>
  <si>
    <t>Substituto na cobertura de Férias</t>
  </si>
  <si>
    <t>Substituto na cobertura de Ausências Legais por doença</t>
  </si>
  <si>
    <t>Substituto na cobertura de Licença-Paternidade</t>
  </si>
  <si>
    <t>Substituto na cobertura de Ausência por acidente de trabalho</t>
  </si>
  <si>
    <t>Substituto na cobertura de Afastamento Maternidade</t>
  </si>
  <si>
    <t>Incidência do submódulo 2.2 sobre o somatório do submódulo 2.1 e sobre as alíneas A, B, C, D e E do submódulo 4.1</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</si>
  <si>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</si>
  <si>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</si>
  <si>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</si>
  <si>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</si>
  <si>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</si>
  <si>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</si>
  <si>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</si>
  <si>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</si>
  <si>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Módulo 5 - Insumos Diversos</t>
  </si>
  <si>
    <t>Insumos Diversos</t>
  </si>
  <si>
    <t>Uniformes</t>
  </si>
  <si>
    <t>Materiais</t>
  </si>
  <si>
    <t>Equipamentos</t>
  </si>
  <si>
    <t>Utensílios</t>
  </si>
  <si>
    <t>Insumos</t>
  </si>
  <si>
    <t>Módulo 6 - Custos Indiretos, Tributos e Lucro</t>
  </si>
  <si>
    <t>Custos Indiretos, Tributos e Lucro</t>
  </si>
  <si>
    <t>Custos Indiretos</t>
  </si>
  <si>
    <t>Lucro</t>
  </si>
  <si>
    <t>Tributos</t>
  </si>
  <si>
    <t>C.1. Tributos Federais (PIS, COFINS)</t>
  </si>
  <si>
    <t>C.2. Tributos Estaduais (ISS)</t>
  </si>
  <si>
    <t>C.3. Tributos Municipais (especificar)</t>
  </si>
  <si>
    <t>Nota 1: Custos Indiretos, Tributos e Lucro por empregado.</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</si>
  <si>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</si>
  <si>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</si>
  <si>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2. QUADRO-RESUMO DO CUSTO POR EMPREGADO</t>
  </si>
  <si>
    <t>Mão de obra vinculada à execução contratual (valor por empregado)</t>
  </si>
  <si>
    <t>Subtotal (A + B +C+ D+E)</t>
  </si>
  <si>
    <t>Módulo 6 – Custos Indiretos, Tributos e Lucro</t>
  </si>
  <si>
    <t xml:space="preserve">Valor Total por Empregado </t>
  </si>
  <si>
    <t>Valor Total por Posto</t>
  </si>
  <si>
    <t>Salário Normativo da Categoria Profissional + 30%</t>
  </si>
  <si>
    <t>Item</t>
  </si>
  <si>
    <t>Especificação dos Materiais e Equipamentos</t>
  </si>
  <si>
    <t>Period.</t>
  </si>
  <si>
    <t>Qtd.</t>
  </si>
  <si>
    <t>Valor Unitário</t>
  </si>
  <si>
    <t>Valor Total</t>
  </si>
  <si>
    <t>Revólver calibre 38 (trinta e oito), oxidado, cabo de borracha, com munição.</t>
  </si>
  <si>
    <t xml:space="preserve">Munições letais de primeiro uso para revólver calibre 38. Procedentes de fabricante nacional, não sendo permitido, em hipótese alguma, o uso de
munições recarregadas, </t>
  </si>
  <si>
    <t>Cinto tático com coldre para revólver calibre 38, com porta balística para a
munição correspondente, com passador de cinto e trava de segurança, e porta tonfa.</t>
  </si>
  <si>
    <t>Colete balístico - modelo social, discreto, com proteção frontal, dorsal e lateral, com Proteção Nível II-A, com emblema da empresa, sem acessórios  (sem  bolso), dentro das especificações NIJ 010104 ou superior, com fibras de aramida
e polietileno, ou com material semelhante, com uma capa a mais cada.</t>
  </si>
  <si>
    <t>Cofre com segredo mecânico e chave para guarda de armamentos, medindo no mínimo A280mm x L395mm x P270mm.</t>
  </si>
  <si>
    <t>Capa  de  colete  -  feita  em  material  resistente,  na  cor  preta,  com  ajustes por velcro  nos  ombros e  laterais  e  suporte  para  Placas Balísticas. A capa deve possuir porta celular elástico com fechamento em velcro, fiel com suporte em velcro, dois bolsos peitorais embutidos com zíper, dois porta canetas junto ao zíper frontal, velcro para tarjeta e distintivo na parte frontal, e para tarjeta na parte traseira, coldre frontal com fechamento em velcro, 3 (três) porta carregadores para pistola com fechamento em velcro, porta objetos com fechamento em velcro, porta algemas com fechamento em velcro, ajuste de
tamanho com velcro e suporte com fechos tipo "Tic-Tac" na cintura, e com velcro nos ombros e fitas de acabamento em nylon.</t>
  </si>
  <si>
    <t>Lanterna tática de alumínio, LED, no mínimo 190 (cento e noventa) Lumens e pilhas recarregáveis.</t>
  </si>
  <si>
    <t>Cassetete tipo tonfa de polímero ou material similar (vedado o de madeira), em dimensões adequadas ao Posto).</t>
  </si>
  <si>
    <t>Porta cassetete.</t>
  </si>
  <si>
    <t>Rádio/transceptor HT, digital para comunicação, portátil com caneleta de comunicação comum e reservada, novo e de primeiro uso, alcance mínimo de 4 km, com bateria recarregável reserva, com microfone de lapela e fone auricular de silicone modelo espiral sintonizado em frequência da empresa funcionado 24 (vinte e quatro) horas (o aparelho utilizado no Posto de Vigilância de 12 (doze) horas diurna será o mesmo utilizado no Posto de
Vigilância de 12 (doze) horas noturna). Motorola Ou similiar</t>
  </si>
  <si>
    <t>Armario de Aço</t>
  </si>
  <si>
    <t>Livro de Ocorrências com emblema da CONTRATADA e caneta esferográfica. Observação: A CONTRATADA deverá fornecer aos profissionais dos Postos
de Vigilância, sempre que necessário</t>
  </si>
  <si>
    <t xml:space="preserve">TOTAL GERAL MENSAL  </t>
  </si>
  <si>
    <t>DIVIDIO POR 107 VIGILANTE</t>
  </si>
  <si>
    <t>Posto Ostensivo</t>
  </si>
  <si>
    <t>DESCRIÇÃO</t>
  </si>
  <si>
    <t>UNIDADE MEDIDA</t>
  </si>
  <si>
    <t>PERÍODO</t>
  </si>
  <si>
    <t>QUANTIDADE POR EMPREGADO</t>
  </si>
  <si>
    <t>VALOR UNITÁRIO</t>
  </si>
  <si>
    <t>VALOR TOTAL</t>
  </si>
  <si>
    <t>Calça comprida com bolso lateral</t>
  </si>
  <si>
    <t>un</t>
  </si>
  <si>
    <t>Camisa de mangas curtas, com o distintivo silk-screen/bordado no bolso.</t>
  </si>
  <si>
    <t>Cinto de nylon</t>
  </si>
  <si>
    <t>Meias</t>
  </si>
  <si>
    <t>par</t>
  </si>
  <si>
    <t>Coturno meio couro e meio lona, leve, com zíper</t>
  </si>
  <si>
    <t>Quepe com emblema</t>
  </si>
  <si>
    <t>Jaqueta de frio ou japona com emblema da empresa</t>
  </si>
  <si>
    <t>Capa de chuva com capuz</t>
  </si>
  <si>
    <t>Crachá</t>
  </si>
  <si>
    <t>Cinto com coldre e baleiro</t>
  </si>
  <si>
    <t>Apito Profissional </t>
  </si>
  <si>
    <t>Cordão de apito</t>
  </si>
  <si>
    <t>TOTAL MENSAL POR EMPREGADO</t>
  </si>
  <si>
    <t>Posto Velado</t>
  </si>
  <si>
    <t>QUANTIDADE POR EMPREGADO </t>
  </si>
  <si>
    <t>Terno completo com:
Paleto em tecido 100% poliéster, cor preta, forrado internamente, inclusive na manga, com bolso externo e interno, emblema da empresa, silk-screen/bordado na parte externa do bolso ou na parte superior do lado esquerdo.
Calça modelo social tecido e cor idênticos aos do paletó, cós entretelado, forrado, com passadores no mesmo tecido da calça, 02 bolsos laterais, embutidos 02 bolsos traseiros embutidos, com uma casa vertical e um botão.</t>
  </si>
  <si>
    <t>Gravata lisa, em tecido de poliéster ou seda, na cor preta.</t>
  </si>
  <si>
    <t>Camisa social branca, manga longa</t>
  </si>
  <si>
    <t>Meia social na cor preta</t>
  </si>
  <si>
    <t>Cinto social na cor preta</t>
  </si>
  <si>
    <t>Sapato tipo social preto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</si>
</sst>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00%"/>
    <numFmt numFmtId="165" formatCode="_(&quot;R$&quot;* #,##0.00_);_(&quot;R$&quot;* \(#,##0.00\);_(&quot;R$&quot;* &quot;-&quot;??_);_(@_)"/>
    <numFmt numFmtId="166" formatCode="_-&quot;R$&quot;* #,##0.00_-;\-&quot;R$&quot;* #,##0.00_-;_-&quot;R$&quot;* &quot;-&quot;??_-;_-@_-"/>
    <numFmt numFmtId="167" formatCode="_(&quot;R$ &quot;* #,##0.00_);_(&quot;R$ &quot;* \(#,##0.00\);_(&quot;R$ &quot;* &quot;-&quot;??_);_(@_)"/>
  </numFmts>
  <fonts count="26">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8"/>
      <name val="Calibri"/>
      <family val="2"/>
      <scheme val="minor"/>
    </font>
    <font>
      <sz val="9"/>
      <name val="Calibri"/>
      <family val="2"/>
      <scheme val="minor"/>
    </font>
    <font>
      <sz val="8"/>
      <name val="Calibri"/>
      <family val="2"/>
    </font>
    <font>
      <b/>
      <sz val="8"/>
      <name val="Calibri"/>
      <family val="2"/>
      <scheme val="minor"/>
    </font>
    <font>
      <b/>
      <sz val="9"/>
      <color indexed="81"/>
      <name val="Segoe UI"/>
      <family val="2"/>
    </font>
    <font>
      <sz val="9"/>
      <color indexed="81"/>
      <name val="Segoe UI"/>
      <family val="2"/>
    </font>
    <font>
      <sz val="10"/>
      <color rgb="FF000000"/>
      <name val="Times New Roman"/>
      <family val="1"/>
    </font>
    <font>
      <sz val="12"/>
      <name val="Calibri Light"/>
      <family val="2"/>
      <scheme val="major"/>
    </font>
    <font>
      <sz val="10"/>
      <color rgb="FF000000"/>
      <name val="Times New Roman"/>
      <family val="1"/>
    </font>
    <font>
      <sz val="10"/>
      <name val="Arial Narrow"/>
      <family val="2"/>
    </font>
    <font>
      <b/>
      <sz val="10"/>
      <name val="Arial Narrow"/>
      <family val="2"/>
    </font>
    <font>
      <sz val="10"/>
      <name val="Calibri Light"/>
      <family val="2"/>
      <scheme val="major"/>
    </font>
    <font>
      <sz val="10"/>
      <color theme="1"/>
      <name val="Calibri"/>
      <family val="2"/>
      <scheme val="minor"/>
    </font>
    <font>
      <b/>
      <sz val="11"/>
      <name val="Calibri Light"/>
      <family val="2"/>
      <scheme val="major"/>
    </font>
    <font>
      <sz val="11"/>
      <name val="Calibri Light"/>
      <family val="2"/>
      <scheme val="major"/>
    </font>
    <font>
      <sz val="10"/>
      <name val="Calibri"/>
      <family val="2"/>
    </font>
    <font>
      <sz val="10"/>
      <color rgb="FF000000"/>
      <name val="Calibri"/>
      <family val="2"/>
      <scheme val="minor"/>
    </font>
    <font>
      <sz val="10"/>
      <color rgb="FF000000"/>
      <name val="Calibri"/>
      <family val="2"/>
    </font>
    <font>
      <b/>
      <sz val="10"/>
      <color theme="1"/>
      <name val="Calibri"/>
      <family val="2"/>
      <scheme val="minor"/>
    </font>
    <font>
      <b/>
      <sz val="10"/>
      <color rgb="FF000000"/>
      <name val="Calibri"/>
      <family val="2"/>
    </font>
    <font>
      <b/>
      <sz val="10"/>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s>
  <borders count="7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thin">
        <color indexed="64"/>
      </bottom>
      <diagonal/>
    </border>
    <border>
      <left/>
      <right/>
      <top style="thin">
        <color indexed="8"/>
      </top>
      <bottom style="thin">
        <color indexed="8"/>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indexed="64"/>
      </top>
      <bottom style="thin">
        <color indexed="64"/>
      </bottom>
      <diagonal/>
    </border>
  </borders>
  <cellStyleXfs count="21">
    <xf numFmtId="0" fontId="0" fillId="0" borderId="0"/>
    <xf numFmtId="44"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167" fontId="2" fillId="0" borderId="0" applyFont="0" applyFill="0" applyBorder="0" applyAlignment="0" applyProtection="0"/>
    <xf numFmtId="0" fontId="11" fillId="0" borderId="0"/>
    <xf numFmtId="43" fontId="11" fillId="0" borderId="0" applyFont="0" applyFill="0" applyBorder="0" applyAlignment="0" applyProtection="0"/>
    <xf numFmtId="167" fontId="2" fillId="0" borderId="0" applyFont="0" applyFill="0" applyBorder="0" applyAlignment="0" applyProtection="0"/>
    <xf numFmtId="44" fontId="11" fillId="0" borderId="0" applyFont="0" applyFill="0" applyBorder="0" applyAlignment="0" applyProtection="0"/>
    <xf numFmtId="9" fontId="2" fillId="0" borderId="0" applyFill="0" applyBorder="0" applyAlignment="0" applyProtection="0"/>
    <xf numFmtId="167" fontId="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0" fontId="13" fillId="0" borderId="0"/>
    <xf numFmtId="43" fontId="2" fillId="0" borderId="0" applyFont="0" applyFill="0" applyBorder="0" applyAlignment="0" applyProtection="0"/>
  </cellStyleXfs>
  <cellXfs count="392">
    <xf numFmtId="0" fontId="0" fillId="0" borderId="0" xfId="0"/>
    <xf numFmtId="0" fontId="4" fillId="0" borderId="0" xfId="0" applyFont="1"/>
    <xf numFmtId="0" fontId="3" fillId="0" borderId="22" xfId="0" applyFont="1" applyBorder="1" applyAlignment="1">
      <alignment horizontal="center" vertical="center" shrinkToFit="1"/>
    </xf>
    <xf numFmtId="0" fontId="4" fillId="0" borderId="45" xfId="0" applyFont="1" applyBorder="1" applyAlignment="1">
      <alignment horizontal="center" vertical="center" shrinkToFit="1"/>
    </xf>
    <xf numFmtId="44" fontId="4" fillId="0" borderId="54" xfId="1" applyFont="1" applyFill="1" applyBorder="1" applyAlignment="1">
      <alignment horizontal="center" vertical="center" shrinkToFit="1"/>
    </xf>
    <xf numFmtId="0" fontId="4" fillId="0" borderId="1" xfId="0" applyFont="1" applyBorder="1" applyAlignment="1">
      <alignment horizontal="center" vertical="center" shrinkToFit="1"/>
    </xf>
    <xf numFmtId="44" fontId="4" fillId="0" borderId="3" xfId="1" applyFont="1" applyFill="1" applyBorder="1" applyAlignment="1">
      <alignment horizontal="center" vertical="center" shrinkToFit="1"/>
    </xf>
    <xf numFmtId="44" fontId="4" fillId="0" borderId="3" xfId="1" applyFont="1" applyFill="1" applyBorder="1" applyAlignment="1">
      <alignment horizontal="center" vertical="center" wrapText="1" shrinkToFit="1"/>
    </xf>
    <xf numFmtId="0" fontId="4" fillId="0" borderId="6" xfId="0" applyFont="1" applyBorder="1" applyAlignment="1">
      <alignment horizontal="center" vertical="center" shrinkToFit="1"/>
    </xf>
    <xf numFmtId="0" fontId="4" fillId="0" borderId="8" xfId="1" applyNumberFormat="1" applyFont="1" applyFill="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justify" vertical="center" shrinkToFit="1"/>
    </xf>
    <xf numFmtId="0" fontId="4" fillId="0" borderId="12" xfId="0" applyFont="1" applyBorder="1" applyAlignment="1">
      <alignment horizontal="center" vertical="center" shrinkToFit="1"/>
    </xf>
    <xf numFmtId="44" fontId="4" fillId="0" borderId="15" xfId="1" applyFont="1" applyFill="1" applyBorder="1" applyAlignment="1">
      <alignment vertical="center" shrinkToFit="1"/>
    </xf>
    <xf numFmtId="4" fontId="2" fillId="0" borderId="0" xfId="0" applyNumberFormat="1" applyFont="1"/>
    <xf numFmtId="44" fontId="4" fillId="0" borderId="17" xfId="1" applyFont="1" applyFill="1" applyBorder="1" applyAlignment="1">
      <alignment horizontal="center" vertical="center" shrinkToFit="1"/>
    </xf>
    <xf numFmtId="0" fontId="4" fillId="0" borderId="43" xfId="0" applyFont="1" applyBorder="1" applyAlignment="1">
      <alignment horizontal="center" vertical="center" shrinkToFit="1"/>
    </xf>
    <xf numFmtId="0" fontId="4" fillId="0" borderId="59" xfId="0" applyFont="1" applyBorder="1" applyAlignment="1">
      <alignment horizontal="justify" vertical="center" shrinkToFit="1"/>
    </xf>
    <xf numFmtId="0" fontId="4" fillId="0" borderId="60" xfId="0" applyFont="1" applyBorder="1" applyAlignment="1">
      <alignment horizontal="justify" vertical="center" shrinkToFit="1"/>
    </xf>
    <xf numFmtId="44" fontId="4" fillId="0" borderId="44" xfId="1" applyFont="1" applyFill="1" applyBorder="1" applyAlignment="1">
      <alignment horizontal="center" vertical="center" shrinkToFit="1"/>
    </xf>
    <xf numFmtId="0" fontId="4" fillId="0" borderId="18" xfId="0" applyFont="1" applyBorder="1" applyAlignment="1">
      <alignment horizontal="center" vertical="center" shrinkToFit="1"/>
    </xf>
    <xf numFmtId="14" fontId="4" fillId="0" borderId="21" xfId="1" applyNumberFormat="1" applyFont="1" applyFill="1" applyBorder="1" applyAlignment="1">
      <alignment horizontal="center" vertical="center" shrinkToFit="1"/>
    </xf>
    <xf numFmtId="44" fontId="3" fillId="0" borderId="25" xfId="1" applyFont="1" applyFill="1" applyBorder="1" applyAlignment="1">
      <alignment vertical="center" shrinkToFit="1"/>
    </xf>
    <xf numFmtId="0" fontId="4" fillId="0" borderId="26" xfId="0" applyFont="1" applyBorder="1" applyAlignment="1">
      <alignment horizontal="center" vertical="center" shrinkToFit="1"/>
    </xf>
    <xf numFmtId="44" fontId="4" fillId="0" borderId="28" xfId="1" applyFont="1" applyFill="1" applyBorder="1" applyAlignment="1">
      <alignment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justify" vertical="center" shrinkToFit="1"/>
    </xf>
    <xf numFmtId="9" fontId="4" fillId="0" borderId="30" xfId="0" applyNumberFormat="1" applyFont="1" applyBorder="1" applyAlignment="1">
      <alignment horizontal="center" vertical="center" shrinkToFit="1"/>
    </xf>
    <xf numFmtId="44" fontId="4" fillId="0" borderId="31" xfId="1" applyFont="1" applyFill="1" applyBorder="1" applyAlignment="1">
      <alignment vertical="center" shrinkToFit="1"/>
    </xf>
    <xf numFmtId="10" fontId="4" fillId="0" borderId="30" xfId="0" applyNumberFormat="1" applyFont="1" applyBorder="1" applyAlignment="1">
      <alignment horizontal="center" vertical="center" shrinkToFit="1"/>
    </xf>
    <xf numFmtId="0" fontId="4" fillId="0" borderId="32" xfId="0" applyFont="1" applyBorder="1" applyAlignment="1">
      <alignment horizontal="center" vertical="center" shrinkToFit="1"/>
    </xf>
    <xf numFmtId="44" fontId="4" fillId="0" borderId="34" xfId="1" applyFont="1" applyFill="1" applyBorder="1" applyAlignment="1">
      <alignment vertical="center" shrinkToFit="1"/>
    </xf>
    <xf numFmtId="44" fontId="3" fillId="0" borderId="21" xfId="1" applyFont="1" applyFill="1" applyBorder="1" applyAlignment="1">
      <alignment vertical="center" shrinkToFit="1"/>
    </xf>
    <xf numFmtId="0" fontId="5" fillId="0" borderId="0" xfId="0" applyFont="1"/>
    <xf numFmtId="0" fontId="6" fillId="0" borderId="0" xfId="0" applyFont="1" applyAlignment="1">
      <alignment horizontal="left" vertical="center" shrinkToFit="1"/>
    </xf>
    <xf numFmtId="0" fontId="4" fillId="0" borderId="0" xfId="0" applyFont="1" applyAlignment="1">
      <alignment horizontal="center" vertical="center" shrinkToFit="1"/>
    </xf>
    <xf numFmtId="44" fontId="4" fillId="0" borderId="0" xfId="1" applyFont="1" applyFill="1" applyBorder="1" applyAlignment="1">
      <alignment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39" xfId="0" applyFont="1" applyBorder="1" applyAlignment="1">
      <alignment horizontal="center" vertical="center" shrinkToFit="1"/>
    </xf>
    <xf numFmtId="44" fontId="3" fillId="0" borderId="40" xfId="1" applyFont="1" applyFill="1" applyBorder="1" applyAlignment="1">
      <alignment vertical="center" shrinkToFit="1"/>
    </xf>
    <xf numFmtId="0" fontId="4" fillId="0" borderId="41" xfId="0" applyFont="1" applyBorder="1" applyAlignment="1">
      <alignment horizontal="center" vertical="center" shrinkToFit="1"/>
    </xf>
    <xf numFmtId="0" fontId="4" fillId="0" borderId="27" xfId="0" applyFont="1" applyBorder="1" applyAlignment="1">
      <alignment horizontal="left" vertical="center" shrinkToFit="1"/>
    </xf>
    <xf numFmtId="10" fontId="4" fillId="0" borderId="27" xfId="2" applyNumberFormat="1" applyFont="1" applyFill="1" applyBorder="1" applyAlignment="1" applyProtection="1">
      <alignment horizontal="center" vertical="center" shrinkToFit="1"/>
    </xf>
    <xf numFmtId="0" fontId="4" fillId="0" borderId="30" xfId="0" applyFont="1" applyBorder="1" applyAlignment="1">
      <alignment horizontal="left" vertical="center" shrinkToFit="1"/>
    </xf>
    <xf numFmtId="10" fontId="4" fillId="0" borderId="30" xfId="2" applyNumberFormat="1" applyFont="1" applyFill="1" applyBorder="1" applyAlignment="1" applyProtection="1">
      <alignment horizontal="center" vertical="center" shrinkToFit="1"/>
    </xf>
    <xf numFmtId="10" fontId="3" fillId="0" borderId="42" xfId="0" applyNumberFormat="1" applyFont="1" applyBorder="1" applyAlignment="1">
      <alignment horizontal="center" vertical="center" shrinkToFit="1"/>
    </xf>
    <xf numFmtId="0" fontId="4" fillId="2" borderId="0" xfId="0" applyFont="1" applyFill="1"/>
    <xf numFmtId="0" fontId="3" fillId="0" borderId="25" xfId="0" applyFont="1" applyBorder="1" applyAlignment="1">
      <alignment horizontal="center" vertical="center" wrapText="1"/>
    </xf>
    <xf numFmtId="10" fontId="4" fillId="2" borderId="30" xfId="2" applyNumberFormat="1" applyFont="1" applyFill="1" applyBorder="1" applyAlignment="1" applyProtection="1">
      <alignment horizontal="center" vertical="center" shrinkToFit="1"/>
    </xf>
    <xf numFmtId="0" fontId="4" fillId="0" borderId="33" xfId="0" applyFont="1" applyBorder="1" applyAlignment="1">
      <alignment horizontal="left" vertical="center" shrinkToFit="1"/>
    </xf>
    <xf numFmtId="10" fontId="3" fillId="0" borderId="19" xfId="2" applyNumberFormat="1" applyFont="1" applyFill="1" applyBorder="1" applyAlignment="1" applyProtection="1">
      <alignment horizontal="center" vertical="center" shrinkToFit="1"/>
    </xf>
    <xf numFmtId="44" fontId="3" fillId="0" borderId="8" xfId="1" applyFont="1" applyFill="1" applyBorder="1" applyAlignment="1">
      <alignment vertical="center" shrinkToFit="1"/>
    </xf>
    <xf numFmtId="0" fontId="7" fillId="0" borderId="0" xfId="0" applyFont="1" applyAlignment="1">
      <alignment vertical="center"/>
    </xf>
    <xf numFmtId="0" fontId="8" fillId="0" borderId="0" xfId="0" applyFont="1" applyAlignment="1">
      <alignment horizontal="justify" vertical="center" shrinkToFit="1"/>
    </xf>
    <xf numFmtId="10" fontId="8" fillId="0" borderId="0" xfId="2" applyNumberFormat="1" applyFont="1" applyFill="1" applyBorder="1" applyAlignment="1" applyProtection="1">
      <alignment horizontal="center" vertical="center" shrinkToFit="1"/>
    </xf>
    <xf numFmtId="44" fontId="8" fillId="0" borderId="0" xfId="1" applyFont="1" applyFill="1" applyBorder="1" applyAlignment="1">
      <alignment vertical="center" shrinkToFit="1"/>
    </xf>
    <xf numFmtId="44" fontId="3" fillId="0" borderId="40" xfId="1" applyFont="1" applyFill="1" applyBorder="1" applyAlignment="1">
      <alignment horizontal="center" vertical="center" shrinkToFit="1"/>
    </xf>
    <xf numFmtId="44" fontId="4" fillId="0" borderId="17" xfId="1" applyFont="1" applyFill="1" applyBorder="1" applyAlignment="1">
      <alignment vertical="center" shrinkToFit="1"/>
    </xf>
    <xf numFmtId="0" fontId="4" fillId="0" borderId="46" xfId="0" applyFont="1" applyBorder="1" applyAlignment="1">
      <alignment horizontal="justify" vertical="center" shrinkToFit="1"/>
    </xf>
    <xf numFmtId="0" fontId="4" fillId="0" borderId="16" xfId="0" applyFont="1" applyBorder="1" applyAlignment="1">
      <alignment horizontal="center" vertical="center" shrinkToFit="1"/>
    </xf>
    <xf numFmtId="0" fontId="4" fillId="0" borderId="46" xfId="0" applyFont="1" applyBorder="1" applyAlignment="1">
      <alignment horizontal="left" vertical="center" shrinkToFit="1"/>
    </xf>
    <xf numFmtId="44" fontId="3" fillId="0" borderId="48" xfId="1" applyFont="1" applyFill="1" applyBorder="1" applyAlignment="1">
      <alignment vertical="center" shrinkToFit="1"/>
    </xf>
    <xf numFmtId="0" fontId="3" fillId="0" borderId="0" xfId="0" applyFont="1" applyAlignment="1">
      <alignment horizontal="justify" vertical="center" shrinkToFit="1"/>
    </xf>
    <xf numFmtId="44" fontId="3" fillId="0" borderId="0" xfId="1" applyFont="1" applyFill="1" applyBorder="1" applyAlignment="1">
      <alignment vertical="center" shrinkToFit="1"/>
    </xf>
    <xf numFmtId="0" fontId="3" fillId="0" borderId="48" xfId="0" applyFont="1" applyBorder="1" applyAlignment="1">
      <alignment horizontal="center" vertical="center" wrapText="1"/>
    </xf>
    <xf numFmtId="0" fontId="3" fillId="0" borderId="22" xfId="0" applyFont="1" applyBorder="1" applyAlignment="1">
      <alignment horizontal="center" vertical="center" wrapText="1"/>
    </xf>
    <xf numFmtId="44" fontId="3" fillId="0" borderId="25" xfId="1" applyFont="1" applyFill="1" applyBorder="1" applyAlignment="1">
      <alignment horizontal="center" vertical="center" wrapText="1"/>
    </xf>
    <xf numFmtId="0" fontId="4" fillId="0" borderId="49" xfId="0" applyFont="1" applyBorder="1" applyAlignment="1">
      <alignment horizontal="center" vertical="center" wrapText="1"/>
    </xf>
    <xf numFmtId="44" fontId="4" fillId="0" borderId="50" xfId="1" applyFont="1" applyFill="1" applyBorder="1" applyAlignment="1">
      <alignment horizontal="center" vertical="center" wrapText="1"/>
    </xf>
    <xf numFmtId="44" fontId="3" fillId="0" borderId="50" xfId="1" applyFont="1" applyFill="1" applyBorder="1" applyAlignment="1">
      <alignment horizontal="center" vertical="center" wrapText="1"/>
    </xf>
    <xf numFmtId="0" fontId="3" fillId="0" borderId="48" xfId="0" applyFont="1" applyBorder="1" applyAlignment="1">
      <alignment horizontal="center" vertical="center" shrinkToFit="1"/>
    </xf>
    <xf numFmtId="0" fontId="4" fillId="0" borderId="50" xfId="0" applyFont="1" applyBorder="1" applyAlignment="1">
      <alignment horizontal="justify" vertical="center" wrapText="1"/>
    </xf>
    <xf numFmtId="10" fontId="4" fillId="0" borderId="48" xfId="2" applyNumberFormat="1" applyFont="1" applyFill="1" applyBorder="1" applyAlignment="1">
      <alignment horizontal="center" vertical="center" shrinkToFit="1"/>
    </xf>
    <xf numFmtId="10" fontId="4" fillId="2" borderId="48" xfId="2" applyNumberFormat="1" applyFont="1" applyFill="1" applyBorder="1" applyAlignment="1">
      <alignment horizontal="center" vertical="center" shrinkToFit="1"/>
    </xf>
    <xf numFmtId="10" fontId="3" fillId="0" borderId="49" xfId="2" applyNumberFormat="1" applyFont="1" applyFill="1" applyBorder="1" applyAlignment="1">
      <alignment horizontal="center" vertical="center" shrinkToFit="1"/>
    </xf>
    <xf numFmtId="44" fontId="3" fillId="0" borderId="48" xfId="1" applyFont="1" applyFill="1" applyBorder="1" applyAlignment="1">
      <alignment horizontal="center" vertical="center" wrapText="1"/>
    </xf>
    <xf numFmtId="164" fontId="4" fillId="0" borderId="50" xfId="2" applyNumberFormat="1" applyFont="1" applyFill="1" applyBorder="1" applyAlignment="1">
      <alignment horizontal="center" vertical="center" wrapText="1"/>
    </xf>
    <xf numFmtId="43" fontId="4" fillId="0" borderId="50" xfId="0" applyNumberFormat="1" applyFont="1" applyBorder="1" applyAlignment="1">
      <alignment horizontal="justify" vertical="center" wrapText="1"/>
    </xf>
    <xf numFmtId="10" fontId="4" fillId="0" borderId="50" xfId="2" applyNumberFormat="1" applyFont="1" applyFill="1" applyBorder="1" applyAlignment="1">
      <alignment horizontal="center" vertical="center" wrapText="1"/>
    </xf>
    <xf numFmtId="0" fontId="4" fillId="0" borderId="0" xfId="0" quotePrefix="1" applyFont="1"/>
    <xf numFmtId="10" fontId="3" fillId="0" borderId="48" xfId="2" applyNumberFormat="1" applyFont="1" applyFill="1" applyBorder="1" applyAlignment="1">
      <alignment horizontal="center" vertical="center" wrapText="1"/>
    </xf>
    <xf numFmtId="0" fontId="4" fillId="0" borderId="53" xfId="0" applyFont="1" applyBorder="1"/>
    <xf numFmtId="0" fontId="4" fillId="0" borderId="0" xfId="0" applyFont="1" applyAlignment="1">
      <alignment horizontal="center"/>
    </xf>
    <xf numFmtId="44" fontId="4" fillId="0" borderId="0" xfId="1" applyFont="1" applyFill="1" applyBorder="1"/>
    <xf numFmtId="0" fontId="4" fillId="0" borderId="47" xfId="0" applyFont="1" applyBorder="1" applyAlignment="1">
      <alignment horizontal="center" vertical="center" wrapText="1"/>
    </xf>
    <xf numFmtId="0" fontId="3" fillId="0" borderId="25" xfId="0" applyFont="1" applyBorder="1" applyAlignment="1">
      <alignment vertical="center" wrapText="1"/>
    </xf>
    <xf numFmtId="0" fontId="4" fillId="0" borderId="50" xfId="0" applyFont="1" applyBorder="1" applyAlignment="1">
      <alignment vertical="center" wrapText="1"/>
    </xf>
    <xf numFmtId="43" fontId="4" fillId="0" borderId="0" xfId="0" applyNumberFormat="1" applyFont="1"/>
    <xf numFmtId="9" fontId="4" fillId="0" borderId="50" xfId="2" applyFont="1" applyFill="1" applyBorder="1" applyAlignment="1">
      <alignment horizontal="center" vertical="center" wrapText="1"/>
    </xf>
    <xf numFmtId="0" fontId="3" fillId="0" borderId="49" xfId="0" applyFont="1" applyBorder="1" applyAlignment="1">
      <alignment horizontal="center" vertical="center" wrapText="1"/>
    </xf>
    <xf numFmtId="44" fontId="4" fillId="0" borderId="48" xfId="1" applyFont="1" applyFill="1" applyBorder="1" applyAlignment="1">
      <alignment horizontal="center" vertical="center" wrapText="1"/>
    </xf>
    <xf numFmtId="44" fontId="3" fillId="0" borderId="49" xfId="1" applyFont="1" applyFill="1" applyBorder="1" applyAlignment="1">
      <alignment horizontal="center" vertical="center" wrapText="1"/>
    </xf>
    <xf numFmtId="0" fontId="4" fillId="0" borderId="16" xfId="0" applyFont="1" applyBorder="1" applyAlignment="1">
      <alignment vertical="center" shrinkToFit="1"/>
    </xf>
    <xf numFmtId="0" fontId="4" fillId="0" borderId="14" xfId="0" applyFont="1" applyBorder="1" applyAlignment="1">
      <alignment vertical="center" shrinkToFit="1"/>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10" fontId="3" fillId="0" borderId="2" xfId="0" applyNumberFormat="1" applyFont="1" applyBorder="1" applyAlignment="1">
      <alignment vertical="center" shrinkToFit="1"/>
    </xf>
    <xf numFmtId="0" fontId="4" fillId="0" borderId="0" xfId="0" applyFont="1" applyAlignment="1">
      <alignment vertical="center"/>
    </xf>
    <xf numFmtId="0" fontId="14" fillId="2" borderId="0" xfId="7" applyFont="1" applyFill="1" applyAlignment="1">
      <alignment horizontal="center" vertical="center" wrapText="1"/>
    </xf>
    <xf numFmtId="43" fontId="14" fillId="4" borderId="0" xfId="20" applyFont="1" applyFill="1" applyAlignment="1">
      <alignment horizontal="justify" vertical="center" wrapText="1"/>
    </xf>
    <xf numFmtId="43" fontId="14" fillId="2" borderId="0" xfId="7" applyNumberFormat="1" applyFont="1" applyFill="1" applyAlignment="1">
      <alignment horizontal="justify" vertical="center" wrapText="1"/>
    </xf>
    <xf numFmtId="0" fontId="12" fillId="2" borderId="0" xfId="7" applyFont="1" applyFill="1" applyAlignment="1">
      <alignment vertical="center" wrapText="1"/>
    </xf>
    <xf numFmtId="167" fontId="15" fillId="2" borderId="0" xfId="15" applyFont="1" applyFill="1" applyAlignment="1">
      <alignment horizontal="center" vertical="center" wrapText="1"/>
    </xf>
    <xf numFmtId="0" fontId="17" fillId="0" borderId="0" xfId="0" applyFont="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44" fontId="4" fillId="0" borderId="2" xfId="0" applyNumberFormat="1" applyFont="1" applyBorder="1" applyAlignment="1">
      <alignment horizontal="center" vertical="center" wrapText="1"/>
    </xf>
    <xf numFmtId="44" fontId="4" fillId="0" borderId="2" xfId="1" applyFont="1" applyBorder="1" applyAlignment="1">
      <alignment horizontal="justify" vertical="center" wrapText="1"/>
    </xf>
    <xf numFmtId="44" fontId="4" fillId="0" borderId="2" xfId="1" applyFont="1" applyBorder="1" applyAlignment="1">
      <alignment horizontal="center" vertical="center" wrapText="1"/>
    </xf>
    <xf numFmtId="165" fontId="4" fillId="0" borderId="2" xfId="3" applyFont="1" applyBorder="1" applyAlignment="1">
      <alignment horizontal="center" vertical="center" wrapText="1"/>
    </xf>
    <xf numFmtId="166" fontId="4" fillId="0" borderId="2" xfId="4" applyFont="1" applyBorder="1" applyAlignment="1">
      <alignment horizontal="center" vertical="center" wrapText="1"/>
    </xf>
    <xf numFmtId="165" fontId="3" fillId="3" borderId="2" xfId="0" applyNumberFormat="1" applyFont="1" applyFill="1" applyBorder="1" applyAlignment="1">
      <alignment horizontal="left" vertical="center" wrapText="1"/>
    </xf>
    <xf numFmtId="44" fontId="3" fillId="3" borderId="2" xfId="0" applyNumberFormat="1" applyFont="1" applyFill="1" applyBorder="1" applyAlignment="1">
      <alignment horizontal="left"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justify" vertical="center" wrapText="1"/>
    </xf>
    <xf numFmtId="164" fontId="4" fillId="2" borderId="50" xfId="2" applyNumberFormat="1" applyFont="1" applyFill="1" applyBorder="1" applyAlignment="1">
      <alignment horizontal="center" vertical="center" wrapText="1"/>
    </xf>
    <xf numFmtId="43" fontId="4" fillId="2" borderId="50" xfId="0" applyNumberFormat="1" applyFont="1" applyFill="1" applyBorder="1" applyAlignment="1">
      <alignment horizontal="justify" vertical="center" wrapText="1"/>
    </xf>
    <xf numFmtId="44" fontId="4" fillId="2" borderId="50" xfId="1" applyFont="1" applyFill="1" applyBorder="1" applyAlignment="1">
      <alignment horizontal="center" vertical="center" wrapText="1"/>
    </xf>
    <xf numFmtId="0" fontId="4" fillId="2" borderId="43" xfId="0" applyFont="1" applyFill="1" applyBorder="1" applyAlignment="1">
      <alignment horizontal="center" vertical="center" shrinkToFit="1"/>
    </xf>
    <xf numFmtId="0" fontId="4" fillId="2" borderId="33" xfId="0" applyFont="1" applyFill="1" applyBorder="1" applyAlignment="1">
      <alignment horizontal="left" vertical="center" wrapText="1"/>
    </xf>
    <xf numFmtId="10" fontId="4" fillId="2" borderId="33" xfId="2" applyNumberFormat="1" applyFont="1" applyFill="1" applyBorder="1" applyAlignment="1" applyProtection="1">
      <alignment horizontal="center" vertical="center" shrinkToFit="1"/>
    </xf>
    <xf numFmtId="44" fontId="4" fillId="2" borderId="15" xfId="1" applyFont="1" applyFill="1" applyBorder="1" applyAlignment="1">
      <alignment vertical="center" shrinkToFit="1"/>
    </xf>
    <xf numFmtId="0" fontId="3" fillId="2" borderId="22"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44" fontId="4" fillId="2" borderId="54" xfId="1" applyFont="1" applyFill="1" applyBorder="1" applyAlignment="1">
      <alignment horizontal="center" vertical="center" shrinkToFit="1"/>
    </xf>
    <xf numFmtId="0" fontId="4" fillId="2" borderId="1" xfId="0" applyFont="1" applyFill="1" applyBorder="1" applyAlignment="1">
      <alignment horizontal="center" vertical="center" shrinkToFit="1"/>
    </xf>
    <xf numFmtId="44" fontId="4" fillId="2" borderId="3" xfId="1" applyFont="1" applyFill="1" applyBorder="1" applyAlignment="1">
      <alignment horizontal="center" vertical="center" shrinkToFit="1"/>
    </xf>
    <xf numFmtId="44" fontId="4" fillId="2" borderId="3" xfId="1"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8" xfId="1" applyNumberFormat="1"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6" xfId="0" applyFont="1" applyFill="1" applyBorder="1" applyAlignment="1">
      <alignment horizontal="justify" vertical="center" shrinkToFit="1"/>
    </xf>
    <xf numFmtId="0" fontId="4" fillId="2" borderId="12" xfId="0" applyFont="1" applyFill="1" applyBorder="1" applyAlignment="1">
      <alignment horizontal="center" vertical="center" shrinkToFit="1"/>
    </xf>
    <xf numFmtId="4" fontId="2" fillId="2" borderId="0" xfId="0" applyNumberFormat="1" applyFont="1" applyFill="1"/>
    <xf numFmtId="44" fontId="4" fillId="2" borderId="17" xfId="1" applyFont="1" applyFill="1" applyBorder="1" applyAlignment="1">
      <alignment horizontal="center" vertical="center" shrinkToFit="1"/>
    </xf>
    <xf numFmtId="0" fontId="4" fillId="2" borderId="59" xfId="0" applyFont="1" applyFill="1" applyBorder="1" applyAlignment="1">
      <alignment horizontal="justify" vertical="center" shrinkToFit="1"/>
    </xf>
    <xf numFmtId="0" fontId="4" fillId="2" borderId="60" xfId="0" applyFont="1" applyFill="1" applyBorder="1" applyAlignment="1">
      <alignment horizontal="justify" vertical="center" shrinkToFit="1"/>
    </xf>
    <xf numFmtId="44" fontId="4" fillId="2" borderId="44" xfId="1" applyFont="1" applyFill="1" applyBorder="1" applyAlignment="1">
      <alignment horizontal="center" vertical="center" shrinkToFit="1"/>
    </xf>
    <xf numFmtId="0" fontId="4" fillId="2" borderId="18" xfId="0" applyFont="1" applyFill="1" applyBorder="1" applyAlignment="1">
      <alignment horizontal="center" vertical="center" shrinkToFit="1"/>
    </xf>
    <xf numFmtId="14" fontId="4" fillId="2" borderId="21" xfId="1" applyNumberFormat="1" applyFont="1" applyFill="1" applyBorder="1" applyAlignment="1">
      <alignment horizontal="center" vertical="center" shrinkToFit="1"/>
    </xf>
    <xf numFmtId="44" fontId="3" fillId="2" borderId="25" xfId="1" applyFont="1" applyFill="1" applyBorder="1" applyAlignment="1">
      <alignment vertical="center" shrinkToFit="1"/>
    </xf>
    <xf numFmtId="0" fontId="4" fillId="2" borderId="26" xfId="0" applyFont="1" applyFill="1" applyBorder="1" applyAlignment="1">
      <alignment horizontal="center" vertical="center" shrinkToFit="1"/>
    </xf>
    <xf numFmtId="44" fontId="4" fillId="2" borderId="28" xfId="1" applyFont="1" applyFill="1" applyBorder="1" applyAlignment="1">
      <alignment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justify" vertical="center" shrinkToFit="1"/>
    </xf>
    <xf numFmtId="9" fontId="4" fillId="2" borderId="30" xfId="0" applyNumberFormat="1" applyFont="1" applyFill="1" applyBorder="1" applyAlignment="1">
      <alignment horizontal="center" vertical="center" shrinkToFit="1"/>
    </xf>
    <xf numFmtId="44" fontId="4" fillId="2" borderId="31" xfId="1" applyFont="1" applyFill="1" applyBorder="1" applyAlignment="1">
      <alignment vertical="center" shrinkToFit="1"/>
    </xf>
    <xf numFmtId="10" fontId="4" fillId="2" borderId="30" xfId="0" applyNumberFormat="1" applyFont="1" applyFill="1" applyBorder="1" applyAlignment="1">
      <alignment horizontal="center" vertical="center" shrinkToFit="1"/>
    </xf>
    <xf numFmtId="0" fontId="4" fillId="2" borderId="32" xfId="0" applyFont="1" applyFill="1" applyBorder="1" applyAlignment="1">
      <alignment horizontal="center" vertical="center" shrinkToFit="1"/>
    </xf>
    <xf numFmtId="44" fontId="4" fillId="2" borderId="34" xfId="1" applyFont="1" applyFill="1" applyBorder="1" applyAlignment="1">
      <alignment vertical="center" shrinkToFit="1"/>
    </xf>
    <xf numFmtId="44" fontId="3" fillId="2" borderId="21" xfId="1" applyFont="1" applyFill="1" applyBorder="1" applyAlignment="1">
      <alignment vertical="center" shrinkToFit="1"/>
    </xf>
    <xf numFmtId="0" fontId="5" fillId="2" borderId="0" xfId="0" applyFont="1" applyFill="1"/>
    <xf numFmtId="0" fontId="6" fillId="2" borderId="0" xfId="0" applyFont="1" applyFill="1" applyAlignment="1">
      <alignment horizontal="left" vertical="center" shrinkToFit="1"/>
    </xf>
    <xf numFmtId="0" fontId="4" fillId="2" borderId="0" xfId="0" applyFont="1" applyFill="1" applyAlignment="1">
      <alignment horizontal="center" vertical="center" shrinkToFit="1"/>
    </xf>
    <xf numFmtId="44" fontId="4" fillId="2" borderId="0" xfId="1" applyFont="1" applyFill="1" applyBorder="1" applyAlignment="1">
      <alignment vertical="center" shrinkToFit="1"/>
    </xf>
    <xf numFmtId="0" fontId="3" fillId="2" borderId="38" xfId="0" applyFont="1" applyFill="1" applyBorder="1" applyAlignment="1">
      <alignment horizontal="center" vertical="center" shrinkToFit="1"/>
    </xf>
    <xf numFmtId="0" fontId="3" fillId="2" borderId="39" xfId="0" applyFont="1" applyFill="1" applyBorder="1" applyAlignment="1">
      <alignment horizontal="left" vertical="center" shrinkToFit="1"/>
    </xf>
    <xf numFmtId="0" fontId="3" fillId="2" borderId="39" xfId="0" applyFont="1" applyFill="1" applyBorder="1" applyAlignment="1">
      <alignment horizontal="center" vertical="center" shrinkToFit="1"/>
    </xf>
    <xf numFmtId="44" fontId="3" fillId="2" borderId="40" xfId="1" applyFont="1" applyFill="1" applyBorder="1" applyAlignment="1">
      <alignment vertical="center" shrinkToFit="1"/>
    </xf>
    <xf numFmtId="0" fontId="4" fillId="2" borderId="41" xfId="0" applyFont="1" applyFill="1" applyBorder="1" applyAlignment="1">
      <alignment horizontal="center" vertical="center" shrinkToFit="1"/>
    </xf>
    <xf numFmtId="0" fontId="4" fillId="2" borderId="27" xfId="0" applyFont="1" applyFill="1" applyBorder="1" applyAlignment="1">
      <alignment horizontal="left" vertical="center" shrinkToFit="1"/>
    </xf>
    <xf numFmtId="10" fontId="4" fillId="2" borderId="27" xfId="2" applyNumberFormat="1" applyFont="1" applyFill="1" applyBorder="1" applyAlignment="1" applyProtection="1">
      <alignment horizontal="center" vertical="center" shrinkToFit="1"/>
    </xf>
    <xf numFmtId="0" fontId="4" fillId="2" borderId="30" xfId="0" applyFont="1" applyFill="1" applyBorder="1" applyAlignment="1">
      <alignment horizontal="left" vertical="center" shrinkToFit="1"/>
    </xf>
    <xf numFmtId="10" fontId="3" fillId="2" borderId="42" xfId="0" applyNumberFormat="1" applyFont="1" applyFill="1" applyBorder="1" applyAlignment="1">
      <alignment horizontal="center" vertical="center" shrinkToFit="1"/>
    </xf>
    <xf numFmtId="10" fontId="3" fillId="2" borderId="2" xfId="0" applyNumberFormat="1" applyFont="1" applyFill="1" applyBorder="1" applyAlignment="1">
      <alignment vertical="center" shrinkToFit="1"/>
    </xf>
    <xf numFmtId="0" fontId="3" fillId="2" borderId="25" xfId="0" applyFont="1" applyFill="1" applyBorder="1" applyAlignment="1">
      <alignment horizontal="center" vertical="center" wrapText="1"/>
    </xf>
    <xf numFmtId="0" fontId="4" fillId="2" borderId="33" xfId="0" applyFont="1" applyFill="1" applyBorder="1" applyAlignment="1">
      <alignment horizontal="left" vertical="center" shrinkToFit="1"/>
    </xf>
    <xf numFmtId="10" fontId="3" fillId="2" borderId="19" xfId="2" applyNumberFormat="1" applyFont="1" applyFill="1" applyBorder="1" applyAlignment="1" applyProtection="1">
      <alignment horizontal="center" vertical="center" shrinkToFit="1"/>
    </xf>
    <xf numFmtId="44" fontId="3" fillId="2" borderId="8" xfId="1" applyFont="1" applyFill="1" applyBorder="1" applyAlignment="1">
      <alignment vertical="center" shrinkToFit="1"/>
    </xf>
    <xf numFmtId="0" fontId="7" fillId="2" borderId="0" xfId="0" applyFont="1" applyFill="1" applyAlignment="1">
      <alignment vertical="center"/>
    </xf>
    <xf numFmtId="0" fontId="8" fillId="2" borderId="0" xfId="0" applyFont="1" applyFill="1" applyAlignment="1">
      <alignment horizontal="justify" vertical="center" shrinkToFit="1"/>
    </xf>
    <xf numFmtId="10" fontId="8" fillId="2" borderId="0" xfId="2" applyNumberFormat="1" applyFont="1" applyFill="1" applyBorder="1" applyAlignment="1" applyProtection="1">
      <alignment horizontal="center" vertical="center" shrinkToFit="1"/>
    </xf>
    <xf numFmtId="44" fontId="8" fillId="2" borderId="0" xfId="1" applyFont="1" applyFill="1" applyBorder="1" applyAlignment="1">
      <alignment vertical="center" shrinkToFit="1"/>
    </xf>
    <xf numFmtId="44" fontId="3" fillId="2" borderId="40" xfId="1" applyFont="1" applyFill="1" applyBorder="1" applyAlignment="1">
      <alignment horizontal="center" vertical="center" shrinkToFit="1"/>
    </xf>
    <xf numFmtId="0" fontId="4" fillId="2" borderId="14" xfId="0" applyFont="1" applyFill="1" applyBorder="1" applyAlignment="1">
      <alignment vertical="center" shrinkToFit="1"/>
    </xf>
    <xf numFmtId="0" fontId="4" fillId="2" borderId="27" xfId="0" applyFont="1" applyFill="1" applyBorder="1" applyAlignment="1">
      <alignment horizontal="center" vertical="center" shrinkToFit="1"/>
    </xf>
    <xf numFmtId="0" fontId="4" fillId="2" borderId="16" xfId="0" applyFont="1" applyFill="1" applyBorder="1" applyAlignment="1">
      <alignment vertical="center" shrinkToFit="1"/>
    </xf>
    <xf numFmtId="0" fontId="4" fillId="2" borderId="30" xfId="0" applyFont="1" applyFill="1" applyBorder="1" applyAlignment="1">
      <alignment horizontal="center" vertical="center" shrinkToFit="1"/>
    </xf>
    <xf numFmtId="44" fontId="4" fillId="2" borderId="17" xfId="1" applyFont="1" applyFill="1" applyBorder="1" applyAlignment="1">
      <alignment vertical="center" shrinkToFit="1"/>
    </xf>
    <xf numFmtId="0" fontId="4" fillId="2" borderId="46" xfId="0" applyFont="1" applyFill="1" applyBorder="1" applyAlignment="1">
      <alignment horizontal="justify" vertical="center" shrinkToFit="1"/>
    </xf>
    <xf numFmtId="0" fontId="4" fillId="2" borderId="16" xfId="0" applyFont="1" applyFill="1" applyBorder="1" applyAlignment="1">
      <alignment horizontal="center" vertical="center" shrinkToFit="1"/>
    </xf>
    <xf numFmtId="0" fontId="4" fillId="2" borderId="46" xfId="0" applyFont="1" applyFill="1" applyBorder="1" applyAlignment="1">
      <alignment horizontal="left" vertical="center" shrinkToFit="1"/>
    </xf>
    <xf numFmtId="44" fontId="3" fillId="2" borderId="48" xfId="1" applyFont="1" applyFill="1" applyBorder="1" applyAlignment="1">
      <alignment vertical="center" shrinkToFit="1"/>
    </xf>
    <xf numFmtId="0" fontId="3" fillId="2" borderId="0" xfId="0" applyFont="1" applyFill="1" applyAlignment="1">
      <alignment horizontal="justify" vertical="center" shrinkToFit="1"/>
    </xf>
    <xf numFmtId="44" fontId="3" fillId="2" borderId="0" xfId="1" applyFont="1" applyFill="1" applyBorder="1" applyAlignment="1">
      <alignment vertical="center" shrinkToFit="1"/>
    </xf>
    <xf numFmtId="0" fontId="3" fillId="2" borderId="48" xfId="0" applyFont="1" applyFill="1" applyBorder="1" applyAlignment="1">
      <alignment horizontal="center" vertical="center" wrapText="1"/>
    </xf>
    <xf numFmtId="0" fontId="3" fillId="2" borderId="22" xfId="0" applyFont="1" applyFill="1" applyBorder="1" applyAlignment="1">
      <alignment horizontal="center" vertical="center" wrapText="1"/>
    </xf>
    <xf numFmtId="44" fontId="3" fillId="2" borderId="25" xfId="1" applyFont="1" applyFill="1" applyBorder="1" applyAlignment="1">
      <alignment horizontal="center" vertical="center" wrapText="1"/>
    </xf>
    <xf numFmtId="44" fontId="3" fillId="2" borderId="50" xfId="1" applyFont="1" applyFill="1" applyBorder="1" applyAlignment="1">
      <alignment horizontal="center" vertical="center" wrapText="1"/>
    </xf>
    <xf numFmtId="0" fontId="3" fillId="2" borderId="48" xfId="0" applyFont="1" applyFill="1" applyBorder="1" applyAlignment="1">
      <alignment horizontal="center" vertical="center" shrinkToFit="1"/>
    </xf>
    <xf numFmtId="10" fontId="3" fillId="2" borderId="49" xfId="2" applyNumberFormat="1" applyFont="1" applyFill="1" applyBorder="1" applyAlignment="1">
      <alignment horizontal="center" vertical="center" shrinkToFit="1"/>
    </xf>
    <xf numFmtId="44" fontId="3" fillId="2" borderId="48" xfId="1" applyFont="1" applyFill="1" applyBorder="1" applyAlignment="1">
      <alignment horizontal="center" vertical="center" wrapText="1"/>
    </xf>
    <xf numFmtId="0" fontId="4" fillId="2" borderId="0" xfId="0" applyFont="1" applyFill="1" applyAlignment="1">
      <alignment vertical="center"/>
    </xf>
    <xf numFmtId="10" fontId="4" fillId="2" borderId="50" xfId="2" applyNumberFormat="1" applyFont="1" applyFill="1" applyBorder="1" applyAlignment="1">
      <alignment horizontal="center" vertical="center" wrapText="1"/>
    </xf>
    <xf numFmtId="0" fontId="4" fillId="2" borderId="0" xfId="0" quotePrefix="1" applyFont="1" applyFill="1"/>
    <xf numFmtId="10" fontId="3" fillId="2" borderId="48" xfId="2" applyNumberFormat="1" applyFont="1" applyFill="1" applyBorder="1" applyAlignment="1">
      <alignment horizontal="center" vertical="center" wrapText="1"/>
    </xf>
    <xf numFmtId="0" fontId="4" fillId="2" borderId="53" xfId="0" applyFont="1" applyFill="1" applyBorder="1"/>
    <xf numFmtId="0" fontId="4" fillId="2" borderId="0" xfId="0" applyFont="1" applyFill="1" applyAlignment="1">
      <alignment horizontal="center"/>
    </xf>
    <xf numFmtId="44" fontId="4" fillId="2" borderId="0" xfId="1" applyFont="1" applyFill="1" applyBorder="1"/>
    <xf numFmtId="0" fontId="4" fillId="2" borderId="47" xfId="0" applyFont="1" applyFill="1" applyBorder="1" applyAlignment="1">
      <alignment horizontal="center" vertical="center" wrapText="1"/>
    </xf>
    <xf numFmtId="0" fontId="3" fillId="2" borderId="25" xfId="0" applyFont="1" applyFill="1" applyBorder="1" applyAlignment="1">
      <alignment vertical="center" wrapText="1"/>
    </xf>
    <xf numFmtId="0" fontId="4" fillId="2" borderId="50" xfId="0" applyFont="1" applyFill="1" applyBorder="1" applyAlignment="1">
      <alignment vertical="center" wrapText="1"/>
    </xf>
    <xf numFmtId="43" fontId="4" fillId="2" borderId="0" xfId="0" applyNumberFormat="1" applyFont="1" applyFill="1"/>
    <xf numFmtId="9" fontId="4" fillId="2" borderId="50" xfId="2" applyFont="1" applyFill="1" applyBorder="1" applyAlignment="1">
      <alignment horizontal="center" vertical="center" wrapText="1"/>
    </xf>
    <xf numFmtId="0" fontId="3" fillId="2" borderId="49" xfId="0" applyFont="1" applyFill="1" applyBorder="1" applyAlignment="1">
      <alignment horizontal="center" vertical="center" wrapText="1"/>
    </xf>
    <xf numFmtId="44" fontId="4" fillId="2" borderId="48" xfId="1" applyFont="1" applyFill="1" applyBorder="1" applyAlignment="1">
      <alignment horizontal="center" vertical="center" wrapText="1"/>
    </xf>
    <xf numFmtId="44" fontId="3" fillId="2" borderId="49" xfId="1" applyFont="1" applyFill="1" applyBorder="1" applyAlignment="1">
      <alignment horizontal="center" vertical="center" wrapText="1"/>
    </xf>
    <xf numFmtId="44" fontId="17" fillId="0" borderId="0" xfId="0" applyNumberFormat="1" applyFont="1"/>
    <xf numFmtId="0" fontId="18" fillId="3" borderId="2" xfId="7" applyFont="1" applyFill="1" applyBorder="1" applyAlignment="1">
      <alignment horizontal="center" vertical="center" wrapText="1"/>
    </xf>
    <xf numFmtId="167" fontId="18" fillId="3" borderId="2" xfId="15" applyFont="1" applyFill="1" applyBorder="1" applyAlignment="1">
      <alignment horizontal="center" vertical="center" wrapText="1"/>
    </xf>
    <xf numFmtId="0" fontId="19" fillId="2" borderId="2" xfId="7" applyFont="1" applyFill="1" applyBorder="1" applyAlignment="1">
      <alignment horizontal="center" vertical="center" wrapText="1"/>
    </xf>
    <xf numFmtId="167" fontId="19" fillId="2" borderId="2" xfId="15" applyFont="1" applyFill="1" applyBorder="1" applyAlignment="1">
      <alignment vertical="center" wrapText="1"/>
    </xf>
    <xf numFmtId="167" fontId="19" fillId="2" borderId="2" xfId="15" applyFont="1" applyFill="1" applyBorder="1" applyAlignment="1">
      <alignment horizontal="justify" vertical="center" wrapText="1"/>
    </xf>
    <xf numFmtId="167" fontId="18" fillId="3" borderId="2" xfId="15" applyFont="1" applyFill="1" applyBorder="1" applyAlignment="1">
      <alignment horizontal="justify" vertical="center" wrapText="1"/>
    </xf>
    <xf numFmtId="0" fontId="16" fillId="2" borderId="2" xfId="7" applyFont="1" applyFill="1" applyBorder="1" applyAlignment="1">
      <alignment horizontal="justify" vertical="center" wrapText="1"/>
    </xf>
    <xf numFmtId="0" fontId="16" fillId="0" borderId="2" xfId="7" applyFont="1" applyBorder="1" applyAlignment="1">
      <alignment horizontal="justify" vertical="center" wrapText="1"/>
    </xf>
    <xf numFmtId="0" fontId="20" fillId="0" borderId="69" xfId="0" applyFont="1" applyBorder="1" applyAlignment="1">
      <alignment horizontal="left" vertical="center" wrapText="1"/>
    </xf>
    <xf numFmtId="0" fontId="21" fillId="0" borderId="0" xfId="0" applyFont="1"/>
    <xf numFmtId="0" fontId="20" fillId="0" borderId="70" xfId="0" applyFont="1" applyBorder="1" applyAlignment="1">
      <alignment horizontal="left" vertical="center" wrapText="1"/>
    </xf>
    <xf numFmtId="0" fontId="20" fillId="0" borderId="2" xfId="0" applyFont="1" applyBorder="1" applyAlignment="1">
      <alignment horizontal="left" vertical="center" wrapText="1"/>
    </xf>
    <xf numFmtId="0" fontId="21" fillId="0" borderId="2" xfId="0" applyFont="1" applyBorder="1"/>
    <xf numFmtId="0" fontId="22" fillId="0" borderId="73" xfId="0" applyFont="1" applyBorder="1" applyAlignment="1">
      <alignment horizontal="left" vertical="center" wrapText="1"/>
    </xf>
    <xf numFmtId="0" fontId="22" fillId="0" borderId="68" xfId="0" applyFont="1" applyBorder="1" applyAlignment="1">
      <alignment horizontal="left" vertical="center" wrapText="1"/>
    </xf>
    <xf numFmtId="0" fontId="17" fillId="0" borderId="0" xfId="0" applyFont="1" applyAlignment="1">
      <alignment horizontal="center" vertical="center"/>
    </xf>
    <xf numFmtId="0" fontId="17" fillId="3" borderId="2" xfId="0" applyFont="1" applyFill="1" applyBorder="1" applyAlignment="1">
      <alignment horizontal="center" vertical="center"/>
    </xf>
    <xf numFmtId="0" fontId="24" fillId="3" borderId="69" xfId="0" applyFont="1" applyFill="1" applyBorder="1" applyAlignment="1">
      <alignment horizontal="center" vertical="center" wrapText="1"/>
    </xf>
    <xf numFmtId="0" fontId="24" fillId="3" borderId="66" xfId="0" applyFont="1" applyFill="1" applyBorder="1" applyAlignment="1">
      <alignment horizontal="center" vertical="center" wrapText="1"/>
    </xf>
    <xf numFmtId="0" fontId="24" fillId="3" borderId="67"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7" fillId="0" borderId="2" xfId="0" applyFont="1" applyBorder="1" applyAlignment="1">
      <alignment horizontal="center" vertical="center"/>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167" fontId="16" fillId="2" borderId="2" xfId="15" applyFont="1" applyFill="1" applyBorder="1" applyAlignment="1">
      <alignment horizontal="justify"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2" xfId="0" applyFont="1" applyBorder="1" applyAlignment="1">
      <alignment horizontal="center" vertical="center" wrapText="1"/>
    </xf>
    <xf numFmtId="0" fontId="17" fillId="3" borderId="2" xfId="0" applyFont="1" applyFill="1" applyBorder="1"/>
    <xf numFmtId="167" fontId="25" fillId="3" borderId="2" xfId="15" applyFont="1" applyFill="1" applyBorder="1" applyAlignment="1">
      <alignment horizontal="justify" vertical="center" wrapText="1"/>
    </xf>
    <xf numFmtId="0" fontId="22" fillId="0" borderId="0" xfId="0" applyFont="1" applyAlignment="1">
      <alignment horizontal="center" vertical="center" wrapText="1"/>
    </xf>
    <xf numFmtId="167" fontId="17" fillId="0" borderId="0" xfId="0" applyNumberFormat="1" applyFont="1"/>
    <xf numFmtId="0" fontId="17" fillId="0" borderId="51" xfId="0" applyFont="1" applyBorder="1" applyAlignment="1">
      <alignment horizontal="center" vertical="center"/>
    </xf>
    <xf numFmtId="0" fontId="22" fillId="0" borderId="51" xfId="0" applyFont="1" applyBorder="1" applyAlignment="1">
      <alignment horizontal="center" vertical="center" wrapText="1"/>
    </xf>
    <xf numFmtId="0" fontId="22" fillId="0" borderId="64" xfId="0" applyFont="1" applyBorder="1" applyAlignment="1">
      <alignment horizontal="center" vertical="center" wrapText="1"/>
    </xf>
    <xf numFmtId="167" fontId="16" fillId="2" borderId="51" xfId="15" applyFont="1" applyFill="1" applyBorder="1" applyAlignment="1">
      <alignment horizontal="justify" vertical="center" wrapText="1"/>
    </xf>
    <xf numFmtId="0" fontId="22" fillId="0" borderId="4" xfId="0" applyFont="1" applyBorder="1" applyAlignment="1">
      <alignment horizontal="center" vertical="center" wrapText="1"/>
    </xf>
    <xf numFmtId="167" fontId="23" fillId="3" borderId="2" xfId="0" applyNumberFormat="1" applyFont="1" applyFill="1" applyBorder="1"/>
    <xf numFmtId="0" fontId="17" fillId="0" borderId="0" xfId="0" applyFont="1" applyAlignment="1">
      <alignment horizontal="center"/>
    </xf>
    <xf numFmtId="0" fontId="23" fillId="3" borderId="2" xfId="0" applyFont="1" applyFill="1" applyBorder="1" applyAlignment="1">
      <alignment horizontal="center" vertical="center"/>
    </xf>
    <xf numFmtId="44" fontId="4" fillId="2" borderId="0" xfId="0" applyNumberFormat="1" applyFont="1" applyFill="1"/>
    <xf numFmtId="165" fontId="17" fillId="0" borderId="0" xfId="0" applyNumberFormat="1" applyFont="1"/>
    <xf numFmtId="0" fontId="3" fillId="0" borderId="2" xfId="0" applyFont="1" applyBorder="1" applyAlignment="1">
      <alignment horizontal="center" vertical="center" wrapText="1"/>
    </xf>
    <xf numFmtId="44" fontId="3" fillId="0" borderId="2" xfId="1" applyFont="1" applyBorder="1" applyAlignment="1">
      <alignment horizontal="center" vertical="center" wrapText="1"/>
    </xf>
    <xf numFmtId="166" fontId="3" fillId="0" borderId="2" xfId="4"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xf>
    <xf numFmtId="0" fontId="3" fillId="0" borderId="53" xfId="0" applyFont="1" applyBorder="1" applyAlignment="1">
      <alignment horizontal="center" vertical="center" wrapText="1"/>
    </xf>
    <xf numFmtId="0" fontId="3" fillId="0" borderId="0" xfId="0" applyFont="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2" xfId="0" applyFont="1" applyBorder="1" applyAlignment="1">
      <alignment vertical="center" wrapText="1"/>
    </xf>
    <xf numFmtId="0" fontId="4" fillId="0" borderId="25" xfId="0" applyFont="1" applyBorder="1" applyAlignment="1">
      <alignment vertical="center" wrapText="1"/>
    </xf>
    <xf numFmtId="0" fontId="3" fillId="0" borderId="2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3" fillId="0" borderId="22" xfId="0" applyFont="1" applyBorder="1" applyAlignment="1">
      <alignment horizontal="left" vertical="center"/>
    </xf>
    <xf numFmtId="0" fontId="3" fillId="0" borderId="37" xfId="0" applyFont="1" applyBorder="1" applyAlignment="1">
      <alignment horizontal="left" vertical="center"/>
    </xf>
    <xf numFmtId="0" fontId="3" fillId="0" borderId="25" xfId="0" applyFont="1" applyBorder="1" applyAlignment="1">
      <alignment horizontal="left" vertical="center"/>
    </xf>
    <xf numFmtId="0" fontId="4" fillId="2" borderId="22" xfId="0" applyFont="1" applyFill="1" applyBorder="1" applyAlignment="1">
      <alignment vertical="center" wrapText="1"/>
    </xf>
    <xf numFmtId="0" fontId="4" fillId="2" borderId="25" xfId="0" applyFont="1" applyFill="1" applyBorder="1" applyAlignment="1">
      <alignment vertical="center" wrapText="1"/>
    </xf>
    <xf numFmtId="0" fontId="0" fillId="0" borderId="25" xfId="0" applyBorder="1" applyAlignment="1">
      <alignmen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7" fillId="0" borderId="0" xfId="0" applyFont="1" applyAlignment="1">
      <alignment horizontal="justify" vertical="justify" wrapText="1"/>
    </xf>
    <xf numFmtId="0" fontId="4" fillId="0" borderId="14" xfId="0" applyFont="1" applyBorder="1" applyAlignment="1">
      <alignment horizontal="justify" vertical="center" shrinkToFit="1"/>
    </xf>
    <xf numFmtId="0" fontId="4" fillId="0" borderId="27" xfId="0" applyFont="1" applyBorder="1" applyAlignment="1">
      <alignment horizontal="justify" vertical="center" shrinkToFit="1"/>
    </xf>
    <xf numFmtId="0" fontId="4" fillId="0" borderId="16" xfId="0" applyFont="1" applyBorder="1" applyAlignment="1">
      <alignment horizontal="justify" vertical="center" shrinkToFit="1"/>
    </xf>
    <xf numFmtId="0" fontId="4" fillId="0" borderId="30"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37" xfId="0" applyFont="1" applyBorder="1" applyAlignment="1">
      <alignment horizontal="justify" vertical="center" shrinkToFit="1"/>
    </xf>
    <xf numFmtId="0" fontId="7" fillId="0" borderId="10" xfId="0" applyFont="1" applyBorder="1" applyAlignment="1">
      <alignment horizontal="left" vertical="center" wrapText="1"/>
    </xf>
    <xf numFmtId="0" fontId="4" fillId="0" borderId="33" xfId="0" applyFont="1" applyBorder="1" applyAlignment="1">
      <alignment horizontal="justify" vertical="center" shrinkToFit="1"/>
    </xf>
    <xf numFmtId="0" fontId="3" fillId="0" borderId="35" xfId="0" applyFont="1" applyBorder="1" applyAlignment="1">
      <alignment horizontal="justify" vertical="center" shrinkToFit="1"/>
    </xf>
    <xf numFmtId="0" fontId="3" fillId="0" borderId="36" xfId="0" applyFont="1" applyBorder="1" applyAlignment="1">
      <alignment horizontal="justify" vertical="center" shrinkToFit="1"/>
    </xf>
    <xf numFmtId="0" fontId="3" fillId="0" borderId="20" xfId="0" applyFont="1" applyBorder="1" applyAlignment="1">
      <alignment horizontal="justify" vertical="center"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37" xfId="0" applyFont="1" applyBorder="1" applyAlignment="1">
      <alignment horizontal="center" vertical="center" shrinkToFit="1"/>
    </xf>
    <xf numFmtId="0" fontId="4" fillId="0" borderId="7" xfId="0" applyFont="1" applyBorder="1" applyAlignment="1">
      <alignment horizontal="left" vertical="center" shrinkToFit="1"/>
    </xf>
    <xf numFmtId="0" fontId="3" fillId="0" borderId="57"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4" fillId="0" borderId="13" xfId="0" applyFont="1" applyBorder="1" applyAlignment="1">
      <alignment horizontal="justify" vertical="center" shrinkToFit="1"/>
    </xf>
    <xf numFmtId="0" fontId="4" fillId="0" borderId="19" xfId="0" applyFont="1" applyBorder="1" applyAlignment="1">
      <alignment horizontal="justify" vertical="center" shrinkToFit="1"/>
    </xf>
    <xf numFmtId="0" fontId="4" fillId="0" borderId="20" xfId="0" applyFont="1" applyBorder="1" applyAlignment="1">
      <alignment horizontal="justify" vertical="center" shrinkToFit="1"/>
    </xf>
    <xf numFmtId="0" fontId="3" fillId="0" borderId="47" xfId="0" applyFont="1" applyBorder="1" applyAlignment="1">
      <alignment horizontal="left" vertical="center"/>
    </xf>
    <xf numFmtId="0" fontId="3" fillId="0" borderId="52" xfId="0" applyFont="1" applyBorder="1" applyAlignment="1">
      <alignment horizontal="left" vertical="center"/>
    </xf>
    <xf numFmtId="0" fontId="3" fillId="0" borderId="23" xfId="0" applyFont="1" applyBorder="1" applyAlignment="1">
      <alignment horizontal="justify" vertical="center" shrinkToFit="1"/>
    </xf>
    <xf numFmtId="0" fontId="3" fillId="0" borderId="24" xfId="0" applyFont="1" applyBorder="1" applyAlignment="1">
      <alignment horizontal="justify" vertical="center" shrinkToFit="1"/>
    </xf>
    <xf numFmtId="0" fontId="3" fillId="0" borderId="4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4" fillId="0" borderId="5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justify" vertical="center" wrapText="1" shrinkToFit="1"/>
    </xf>
    <xf numFmtId="0" fontId="4" fillId="0" borderId="5" xfId="0" applyFont="1" applyBorder="1" applyAlignment="1">
      <alignment horizontal="justify" vertical="center" wrapText="1" shrinkToFit="1"/>
    </xf>
    <xf numFmtId="0" fontId="3" fillId="0" borderId="37" xfId="0" applyFont="1" applyBorder="1" applyAlignment="1">
      <alignment horizontal="left" vertical="center" wrapText="1"/>
    </xf>
    <xf numFmtId="0" fontId="3" fillId="0" borderId="35" xfId="0" applyFont="1" applyBorder="1" applyAlignment="1">
      <alignment horizontal="center" vertical="center" shrinkToFit="1"/>
    </xf>
    <xf numFmtId="0" fontId="3" fillId="0" borderId="20" xfId="0" applyFont="1" applyBorder="1" applyAlignment="1">
      <alignment horizontal="center" vertical="center" shrinkToFit="1"/>
    </xf>
    <xf numFmtId="0" fontId="7" fillId="0" borderId="0" xfId="0" applyFont="1" applyAlignment="1">
      <alignment vertical="center" wrapText="1"/>
    </xf>
    <xf numFmtId="0" fontId="3" fillId="0" borderId="23" xfId="0" applyFont="1" applyBorder="1" applyAlignment="1">
      <alignment horizontal="center" vertical="center" wrapText="1"/>
    </xf>
    <xf numFmtId="0" fontId="3" fillId="0" borderId="6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37" xfId="0" applyFont="1" applyBorder="1" applyAlignment="1">
      <alignment horizontal="left" vertical="center" shrinkToFit="1"/>
    </xf>
    <xf numFmtId="0" fontId="7" fillId="0" borderId="10" xfId="0" applyFont="1" applyBorder="1" applyAlignment="1">
      <alignment horizontal="justify" vertical="justify" wrapText="1"/>
    </xf>
    <xf numFmtId="0" fontId="7" fillId="0" borderId="0" xfId="0" applyFont="1" applyAlignment="1">
      <alignment wrapText="1"/>
    </xf>
    <xf numFmtId="0" fontId="3" fillId="2" borderId="22"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2" xfId="0" applyFont="1" applyFill="1" applyBorder="1" applyAlignment="1">
      <alignment horizontal="left" vertical="center"/>
    </xf>
    <xf numFmtId="0" fontId="3" fillId="2" borderId="37" xfId="0" applyFont="1" applyFill="1" applyBorder="1" applyAlignment="1">
      <alignment horizontal="left" vertical="center"/>
    </xf>
    <xf numFmtId="0" fontId="3" fillId="2" borderId="25" xfId="0" applyFont="1" applyFill="1" applyBorder="1" applyAlignment="1">
      <alignment horizontal="left" vertical="center"/>
    </xf>
    <xf numFmtId="0" fontId="7" fillId="2" borderId="0" xfId="0" applyFont="1" applyFill="1" applyAlignment="1">
      <alignment horizontal="justify" vertical="justify" wrapText="1"/>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3" fillId="2" borderId="35"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22" xfId="0" applyFont="1" applyFill="1" applyBorder="1" applyAlignment="1">
      <alignment horizontal="justify" vertical="center" shrinkToFit="1"/>
    </xf>
    <xf numFmtId="0" fontId="3" fillId="2" borderId="37" xfId="0" applyFont="1" applyFill="1" applyBorder="1" applyAlignment="1">
      <alignment horizontal="justify" vertical="center" shrinkToFit="1"/>
    </xf>
    <xf numFmtId="0" fontId="7" fillId="2" borderId="0" xfId="0" applyFont="1" applyFill="1" applyAlignment="1">
      <alignment vertical="center" wrapText="1"/>
    </xf>
    <xf numFmtId="0" fontId="4" fillId="2" borderId="51"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3" fillId="2" borderId="57" xfId="0" applyFont="1" applyFill="1" applyBorder="1" applyAlignment="1">
      <alignment horizontal="center" vertical="center" wrapText="1" shrinkToFit="1"/>
    </xf>
    <xf numFmtId="0" fontId="3" fillId="2" borderId="58" xfId="0" applyFont="1" applyFill="1" applyBorder="1" applyAlignment="1">
      <alignment horizontal="center" vertical="center" wrapText="1" shrinkToFit="1"/>
    </xf>
    <xf numFmtId="0" fontId="3" fillId="2" borderId="47" xfId="0" applyFont="1" applyFill="1" applyBorder="1" applyAlignment="1">
      <alignment horizontal="left" vertical="center"/>
    </xf>
    <xf numFmtId="0" fontId="3" fillId="2" borderId="52" xfId="0" applyFont="1" applyFill="1" applyBorder="1" applyAlignment="1">
      <alignment horizontal="left" vertical="center"/>
    </xf>
    <xf numFmtId="0" fontId="4" fillId="2" borderId="30" xfId="0" applyFont="1" applyFill="1" applyBorder="1" applyAlignment="1">
      <alignment horizontal="justify" vertical="center" shrinkToFit="1"/>
    </xf>
    <xf numFmtId="0" fontId="4" fillId="2" borderId="33" xfId="0" applyFont="1" applyFill="1" applyBorder="1" applyAlignment="1">
      <alignment horizontal="justify" vertical="center" shrinkToFit="1"/>
    </xf>
    <xf numFmtId="0" fontId="4" fillId="2" borderId="13" xfId="0" applyFont="1" applyFill="1" applyBorder="1" applyAlignment="1">
      <alignment horizontal="justify" vertical="center" shrinkToFit="1"/>
    </xf>
    <xf numFmtId="0" fontId="4" fillId="2" borderId="14" xfId="0" applyFont="1" applyFill="1" applyBorder="1" applyAlignment="1">
      <alignment horizontal="justify" vertical="center" shrinkToFit="1"/>
    </xf>
    <xf numFmtId="0" fontId="4" fillId="2" borderId="16" xfId="0" applyFont="1" applyFill="1" applyBorder="1" applyAlignment="1">
      <alignment horizontal="justify" vertical="center" shrinkToFit="1"/>
    </xf>
    <xf numFmtId="0" fontId="4" fillId="2" borderId="19" xfId="0" applyFont="1" applyFill="1" applyBorder="1" applyAlignment="1">
      <alignment horizontal="justify" vertical="center" shrinkToFit="1"/>
    </xf>
    <xf numFmtId="0" fontId="4" fillId="2" borderId="20" xfId="0" applyFont="1" applyFill="1" applyBorder="1" applyAlignment="1">
      <alignment horizontal="justify" vertical="center" shrinkToFit="1"/>
    </xf>
    <xf numFmtId="0" fontId="3" fillId="2" borderId="23" xfId="0" applyFont="1" applyFill="1" applyBorder="1" applyAlignment="1">
      <alignment horizontal="justify" vertical="center" shrinkToFit="1"/>
    </xf>
    <xf numFmtId="0" fontId="3" fillId="2" borderId="24" xfId="0" applyFont="1" applyFill="1" applyBorder="1" applyAlignment="1">
      <alignment horizontal="justify" vertical="center" shrinkToFit="1"/>
    </xf>
    <xf numFmtId="0" fontId="4" fillId="2" borderId="27" xfId="0" applyFont="1" applyFill="1" applyBorder="1" applyAlignment="1">
      <alignment horizontal="justify" vertical="center" shrinkToFit="1"/>
    </xf>
    <xf numFmtId="0" fontId="3" fillId="2" borderId="35" xfId="0" applyFont="1" applyFill="1" applyBorder="1" applyAlignment="1">
      <alignment horizontal="justify" vertical="center" shrinkToFit="1"/>
    </xf>
    <xf numFmtId="0" fontId="3" fillId="2" borderId="36" xfId="0" applyFont="1" applyFill="1" applyBorder="1" applyAlignment="1">
      <alignment horizontal="justify" vertical="center" shrinkToFit="1"/>
    </xf>
    <xf numFmtId="0" fontId="3" fillId="2" borderId="20" xfId="0" applyFont="1" applyFill="1" applyBorder="1" applyAlignment="1">
      <alignment horizontal="justify" vertical="center" shrinkToFit="1"/>
    </xf>
    <xf numFmtId="0" fontId="0" fillId="2" borderId="25" xfId="0" applyFill="1" applyBorder="1" applyAlignment="1">
      <alignment vertical="center" wrapText="1"/>
    </xf>
    <xf numFmtId="0" fontId="7" fillId="2" borderId="0" xfId="0" applyFont="1" applyFill="1" applyAlignment="1">
      <alignment wrapText="1"/>
    </xf>
    <xf numFmtId="0" fontId="3" fillId="2" borderId="22"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7"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7" fillId="2" borderId="10" xfId="0" applyFont="1" applyFill="1" applyBorder="1" applyAlignment="1">
      <alignment horizontal="justify" vertical="justify" wrapText="1"/>
    </xf>
    <xf numFmtId="0" fontId="3" fillId="2" borderId="22"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4" xfId="0" applyFont="1" applyFill="1" applyBorder="1" applyAlignment="1">
      <alignment horizontal="justify" vertical="center" wrapText="1" shrinkToFit="1"/>
    </xf>
    <xf numFmtId="0" fontId="4" fillId="2" borderId="5" xfId="0" applyFont="1" applyFill="1" applyBorder="1" applyAlignment="1">
      <alignment horizontal="justify" vertical="center" wrapText="1" shrinkToFit="1"/>
    </xf>
    <xf numFmtId="0" fontId="4" fillId="2" borderId="7" xfId="0" applyFont="1" applyFill="1" applyBorder="1" applyAlignment="1">
      <alignment horizontal="left" vertical="center" shrinkToFit="1"/>
    </xf>
    <xf numFmtId="0" fontId="18" fillId="3" borderId="2" xfId="7" applyFont="1" applyFill="1" applyBorder="1" applyAlignment="1">
      <alignment horizontal="right" vertical="center" wrapText="1"/>
    </xf>
    <xf numFmtId="0" fontId="18" fillId="3" borderId="2" xfId="7"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xf>
    <xf numFmtId="0" fontId="24" fillId="3" borderId="64" xfId="0" applyFont="1" applyFill="1" applyBorder="1" applyAlignment="1">
      <alignment horizontal="center" vertical="center" wrapText="1"/>
    </xf>
    <xf numFmtId="0" fontId="24" fillId="3" borderId="63" xfId="0" applyFont="1" applyFill="1" applyBorder="1" applyAlignment="1">
      <alignment horizontal="center" vertical="center" wrapText="1"/>
    </xf>
    <xf numFmtId="0" fontId="24" fillId="3" borderId="65" xfId="0" applyFont="1" applyFill="1" applyBorder="1" applyAlignment="1">
      <alignment horizontal="center" vertical="center" wrapText="1"/>
    </xf>
  </cellXfs>
  <cellStyles count="21">
    <cellStyle name="Moeda" xfId="1" builtinId="4"/>
    <cellStyle name="Moeda 2" xfId="6" xr:uid="{00000000-0005-0000-0000-000001000000}"/>
    <cellStyle name="Moeda 2 2" xfId="15" xr:uid="{00000000-0005-0000-0000-000002000000}"/>
    <cellStyle name="Moeda 3" xfId="13" xr:uid="{00000000-0005-0000-0000-000003000000}"/>
    <cellStyle name="Moeda 4" xfId="12" xr:uid="{00000000-0005-0000-0000-000004000000}"/>
    <cellStyle name="Moeda 5" xfId="9" xr:uid="{00000000-0005-0000-0000-000005000000}"/>
    <cellStyle name="Moeda 6" xfId="16" xr:uid="{00000000-0005-0000-0000-000006000000}"/>
    <cellStyle name="Moeda 9" xfId="3" xr:uid="{00000000-0005-0000-0000-000007000000}"/>
    <cellStyle name="Moeda 9 2" xfId="4" xr:uid="{00000000-0005-0000-0000-000008000000}"/>
    <cellStyle name="Normal" xfId="0" builtinId="0"/>
    <cellStyle name="Normal 2 2" xfId="7" xr:uid="{00000000-0005-0000-0000-00000A000000}"/>
    <cellStyle name="Normal 3" xfId="8" xr:uid="{00000000-0005-0000-0000-00000B000000}"/>
    <cellStyle name="Normal 4" xfId="19" xr:uid="{00000000-0005-0000-0000-00000C000000}"/>
    <cellStyle name="Normal 5" xfId="10" xr:uid="{00000000-0005-0000-0000-00000D000000}"/>
    <cellStyle name="Porcentagem" xfId="2" builtinId="5"/>
    <cellStyle name="Porcentagem 2" xfId="14" xr:uid="{00000000-0005-0000-0000-00000F000000}"/>
    <cellStyle name="Separador de milhares 2 2" xfId="18" xr:uid="{00000000-0005-0000-0000-000010000000}"/>
    <cellStyle name="Vírgula 2" xfId="17" xr:uid="{00000000-0005-0000-0000-000011000000}"/>
    <cellStyle name="Vírgula 3" xfId="11" xr:uid="{00000000-0005-0000-0000-000012000000}"/>
    <cellStyle name="Vírgula 4" xfId="20" xr:uid="{00000000-0005-0000-0000-000013000000}"/>
    <cellStyle name="Vírgula 5" xfId="5"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zoomScaleNormal="100" workbookViewId="0">
      <selection activeCell="D44" sqref="D44"/>
    </sheetView>
  </sheetViews>
  <sheetFormatPr defaultRowHeight="12.75"/>
  <cols>
    <col min="1" max="1" width="10.85546875" style="104" customWidth="1"/>
    <col min="2" max="2" width="35.5703125" style="104" bestFit="1" customWidth="1"/>
    <col min="3" max="3" width="16" style="104" bestFit="1" customWidth="1"/>
    <col min="4" max="4" width="16.5703125" style="104" customWidth="1"/>
    <col min="5" max="5" width="19.42578125" style="104" customWidth="1"/>
    <col min="6" max="6" width="10.85546875" style="104" customWidth="1"/>
    <col min="7" max="7" width="14.5703125" style="104" bestFit="1" customWidth="1"/>
    <col min="8" max="8" width="16.42578125" style="104" bestFit="1" customWidth="1"/>
    <col min="9" max="9" width="18.5703125" style="104" bestFit="1" customWidth="1"/>
    <col min="10" max="10" width="11.42578125" style="104" bestFit="1" customWidth="1"/>
    <col min="11" max="11" width="10.140625" style="104" customWidth="1"/>
    <col min="12" max="16384" width="9.140625" style="104"/>
  </cols>
  <sheetData>
    <row r="1" spans="1:11" ht="15" customHeight="1">
      <c r="A1" s="259" t="s">
        <v>0</v>
      </c>
      <c r="B1" s="260"/>
      <c r="C1" s="260"/>
      <c r="D1" s="260"/>
      <c r="E1" s="260"/>
      <c r="F1" s="260"/>
      <c r="G1" s="260"/>
      <c r="H1" s="260"/>
      <c r="I1" s="260"/>
    </row>
    <row r="2" spans="1:11" ht="15" customHeight="1">
      <c r="A2" s="259" t="s">
        <v>1</v>
      </c>
      <c r="B2" s="260"/>
      <c r="C2" s="260"/>
      <c r="D2" s="260"/>
      <c r="E2" s="260"/>
      <c r="F2" s="260"/>
      <c r="G2" s="260"/>
      <c r="H2" s="260"/>
      <c r="I2" s="260"/>
    </row>
    <row r="3" spans="1:11" ht="15" customHeight="1">
      <c r="A3" s="261" t="s">
        <v>2</v>
      </c>
      <c r="B3" s="262"/>
      <c r="C3" s="262"/>
      <c r="D3" s="262"/>
      <c r="E3" s="262"/>
      <c r="F3" s="262"/>
      <c r="G3" s="262"/>
      <c r="H3" s="262"/>
      <c r="I3" s="262"/>
    </row>
    <row r="4" spans="1:11" ht="38.25">
      <c r="A4" s="105" t="s">
        <v>3</v>
      </c>
      <c r="B4" s="106" t="s">
        <v>4</v>
      </c>
      <c r="C4" s="106" t="s">
        <v>5</v>
      </c>
      <c r="D4" s="106" t="s">
        <v>6</v>
      </c>
      <c r="E4" s="106" t="s">
        <v>7</v>
      </c>
      <c r="F4" s="106" t="s">
        <v>8</v>
      </c>
      <c r="G4" s="106" t="s">
        <v>9</v>
      </c>
      <c r="H4" s="106" t="s">
        <v>10</v>
      </c>
      <c r="I4" s="106" t="s">
        <v>11</v>
      </c>
      <c r="K4" s="107"/>
    </row>
    <row r="5" spans="1:11" ht="51">
      <c r="A5" s="108">
        <v>1</v>
      </c>
      <c r="B5" s="109" t="s">
        <v>12</v>
      </c>
      <c r="C5" s="110">
        <f>'VIGILÂNCIA 12X36 DIURNA ARMADA'!D136</f>
        <v>8900.0499999999993</v>
      </c>
      <c r="D5" s="108">
        <v>2</v>
      </c>
      <c r="E5" s="111">
        <f>'VIGILÂNCIA 12X36 DIURNA ARMADA'!D137</f>
        <v>17800.099999999999</v>
      </c>
      <c r="F5" s="108">
        <v>7</v>
      </c>
      <c r="G5" s="108">
        <f>D5*F5</f>
        <v>14</v>
      </c>
      <c r="H5" s="112">
        <f t="shared" ref="H5:H11" si="0">F5*E5</f>
        <v>124600.69999999998</v>
      </c>
      <c r="I5" s="113">
        <f>H5*12</f>
        <v>1495208.4</v>
      </c>
    </row>
    <row r="6" spans="1:11" ht="51">
      <c r="A6" s="108">
        <v>2</v>
      </c>
      <c r="B6" s="109" t="s">
        <v>13</v>
      </c>
      <c r="C6" s="110">
        <f>'VIGILÂNCIA 12X36 ARMADA NOTURNA'!D136</f>
        <v>9751.2800000000007</v>
      </c>
      <c r="D6" s="108">
        <v>2</v>
      </c>
      <c r="E6" s="111">
        <f>'VIGILÂNCIA 12X36 ARMADA NOTURNA'!D137</f>
        <v>19502.560000000001</v>
      </c>
      <c r="F6" s="108">
        <v>12</v>
      </c>
      <c r="G6" s="108">
        <f>D6*F6</f>
        <v>24</v>
      </c>
      <c r="H6" s="112">
        <f t="shared" si="0"/>
        <v>234030.72000000003</v>
      </c>
      <c r="I6" s="113">
        <f t="shared" ref="I6:I11" si="1">H6*12</f>
        <v>2808368.6400000006</v>
      </c>
    </row>
    <row r="7" spans="1:11" ht="51">
      <c r="A7" s="108">
        <v>3</v>
      </c>
      <c r="B7" s="109" t="s">
        <v>14</v>
      </c>
      <c r="C7" s="110">
        <f>'VIGILÂNCIA 12X36 DESARMADA DIUR'!D136</f>
        <v>8900.0499999999993</v>
      </c>
      <c r="D7" s="108">
        <v>2</v>
      </c>
      <c r="E7" s="111">
        <f>'VIGILÂNCIA 12X36 DESARMADA DIUR'!D137</f>
        <v>17800.099999999999</v>
      </c>
      <c r="F7" s="108">
        <v>14</v>
      </c>
      <c r="G7" s="108">
        <f>D7*F7</f>
        <v>28</v>
      </c>
      <c r="H7" s="112">
        <f t="shared" si="0"/>
        <v>249201.39999999997</v>
      </c>
      <c r="I7" s="113">
        <f t="shared" si="1"/>
        <v>2990416.8</v>
      </c>
    </row>
    <row r="8" spans="1:11" ht="51">
      <c r="A8" s="108">
        <v>4</v>
      </c>
      <c r="B8" s="109" t="s">
        <v>15</v>
      </c>
      <c r="C8" s="110">
        <f>'VIGILÂNCIA 12X36 DESARMADA NOTU'!D136</f>
        <v>9751.2800000000007</v>
      </c>
      <c r="D8" s="108">
        <v>2</v>
      </c>
      <c r="E8" s="111">
        <f>'VIGILÂNCIA 12X36 DESARMADA NOTU'!D137</f>
        <v>19502.560000000001</v>
      </c>
      <c r="F8" s="108">
        <v>7</v>
      </c>
      <c r="G8" s="108">
        <f>D8*F8</f>
        <v>14</v>
      </c>
      <c r="H8" s="112">
        <f t="shared" si="0"/>
        <v>136517.92000000001</v>
      </c>
      <c r="I8" s="113">
        <f t="shared" si="1"/>
        <v>1638215.04</v>
      </c>
    </row>
    <row r="9" spans="1:11" ht="38.25">
      <c r="A9" s="108">
        <v>5</v>
      </c>
      <c r="B9" s="109" t="s">
        <v>16</v>
      </c>
      <c r="C9" s="110">
        <f>'VIGILÂNCIA 44 HORAS'!D136</f>
        <v>9506.25</v>
      </c>
      <c r="D9" s="108">
        <v>1</v>
      </c>
      <c r="E9" s="111">
        <f>'VIGILÂNCIA 44 HORAS'!D137</f>
        <v>9506.25</v>
      </c>
      <c r="F9" s="108">
        <v>9</v>
      </c>
      <c r="G9" s="108">
        <f t="shared" ref="G9:G12" si="2">D9*F9</f>
        <v>9</v>
      </c>
      <c r="H9" s="112">
        <f t="shared" si="0"/>
        <v>85556.25</v>
      </c>
      <c r="I9" s="113">
        <f t="shared" si="1"/>
        <v>1026675</v>
      </c>
    </row>
    <row r="10" spans="1:11" ht="51">
      <c r="A10" s="108">
        <v>6</v>
      </c>
      <c r="B10" s="109" t="s">
        <v>17</v>
      </c>
      <c r="C10" s="110">
        <f>'CFTV 12 X 36 HORAS DIURNO'!D136</f>
        <v>8985.91</v>
      </c>
      <c r="D10" s="108">
        <v>2</v>
      </c>
      <c r="E10" s="111">
        <f>'CFTV 12 X 36 HORAS DIURNO'!D137</f>
        <v>17971.82</v>
      </c>
      <c r="F10" s="108">
        <v>4</v>
      </c>
      <c r="G10" s="108">
        <f t="shared" si="2"/>
        <v>8</v>
      </c>
      <c r="H10" s="112">
        <f t="shared" si="0"/>
        <v>71887.28</v>
      </c>
      <c r="I10" s="113">
        <f t="shared" si="1"/>
        <v>862647.36</v>
      </c>
    </row>
    <row r="11" spans="1:11" ht="51">
      <c r="A11" s="108">
        <v>7</v>
      </c>
      <c r="B11" s="109" t="s">
        <v>18</v>
      </c>
      <c r="C11" s="110">
        <f>'CFTV 12 X 36 HORAS NOTURNO'!D136</f>
        <v>9837.14</v>
      </c>
      <c r="D11" s="108">
        <v>2</v>
      </c>
      <c r="E11" s="111">
        <f>'CFTV 12 X 36 HORAS NOTURNO'!D137</f>
        <v>19674.28</v>
      </c>
      <c r="F11" s="108">
        <v>4</v>
      </c>
      <c r="G11" s="108">
        <f t="shared" si="2"/>
        <v>8</v>
      </c>
      <c r="H11" s="112">
        <f t="shared" si="0"/>
        <v>78697.119999999995</v>
      </c>
      <c r="I11" s="113">
        <f t="shared" si="1"/>
        <v>944365.44</v>
      </c>
    </row>
    <row r="12" spans="1:11" ht="38.25">
      <c r="A12" s="108">
        <v>8</v>
      </c>
      <c r="B12" s="109" t="s">
        <v>19</v>
      </c>
      <c r="C12" s="110">
        <f>SUPERVISOR!D136</f>
        <v>10907.3</v>
      </c>
      <c r="D12" s="108">
        <v>1</v>
      </c>
      <c r="E12" s="111">
        <f>SUPERVISOR!D137</f>
        <v>10907.3</v>
      </c>
      <c r="F12" s="108">
        <v>3</v>
      </c>
      <c r="G12" s="108">
        <f t="shared" si="2"/>
        <v>3</v>
      </c>
      <c r="H12" s="112">
        <f>E12*F12</f>
        <v>32721.899999999998</v>
      </c>
      <c r="I12" s="114">
        <f>H12*12</f>
        <v>392662.8</v>
      </c>
    </row>
    <row r="13" spans="1:11" ht="38.25">
      <c r="A13" s="108">
        <v>9</v>
      </c>
      <c r="B13" s="109" t="s">
        <v>20</v>
      </c>
      <c r="C13" s="110">
        <f>'SUPERVISOR GERAL'!D137</f>
        <v>13640.2</v>
      </c>
      <c r="D13" s="108">
        <v>1</v>
      </c>
      <c r="E13" s="111">
        <f>'SUPERVISOR GERAL'!D137</f>
        <v>13640.2</v>
      </c>
      <c r="F13" s="108">
        <v>1</v>
      </c>
      <c r="G13" s="108">
        <v>1</v>
      </c>
      <c r="H13" s="112">
        <f>E13*F13</f>
        <v>13640.2</v>
      </c>
      <c r="I13" s="114">
        <f>H13*12</f>
        <v>163682.40000000002</v>
      </c>
    </row>
    <row r="14" spans="1:11">
      <c r="A14" s="263" t="s">
        <v>21</v>
      </c>
      <c r="B14" s="264"/>
      <c r="C14" s="264"/>
      <c r="D14" s="264"/>
      <c r="E14" s="265"/>
      <c r="F14" s="254">
        <f>SUM(F5:F13)</f>
        <v>61</v>
      </c>
      <c r="G14" s="254">
        <f>SUM(G5:G13)</f>
        <v>109</v>
      </c>
      <c r="H14" s="255"/>
      <c r="I14" s="256"/>
    </row>
    <row r="15" spans="1:11">
      <c r="A15" s="257" t="s">
        <v>22</v>
      </c>
      <c r="B15" s="257"/>
      <c r="C15" s="257"/>
      <c r="D15" s="257"/>
      <c r="E15" s="257"/>
      <c r="F15" s="257"/>
      <c r="G15" s="257"/>
      <c r="H15" s="257"/>
      <c r="I15" s="115">
        <f>SUM(H5:H13)</f>
        <v>1026853.4900000001</v>
      </c>
    </row>
    <row r="16" spans="1:11">
      <c r="A16" s="258"/>
      <c r="B16" s="258"/>
      <c r="C16" s="258"/>
      <c r="D16" s="258"/>
      <c r="E16" s="258"/>
      <c r="F16" s="258"/>
      <c r="G16" s="258"/>
      <c r="H16" s="258"/>
      <c r="I16" s="258"/>
    </row>
    <row r="17" spans="1:10">
      <c r="A17" s="257" t="s">
        <v>23</v>
      </c>
      <c r="B17" s="257"/>
      <c r="C17" s="257"/>
      <c r="D17" s="257"/>
      <c r="E17" s="257"/>
      <c r="F17" s="257"/>
      <c r="G17" s="257"/>
      <c r="H17" s="257"/>
      <c r="I17" s="116">
        <f>SUM(I5:I13)</f>
        <v>12322241.880000001</v>
      </c>
    </row>
    <row r="18" spans="1:10">
      <c r="I18" s="253"/>
    </row>
    <row r="19" spans="1:10" hidden="1">
      <c r="I19" s="211">
        <f>I17-12331324.68</f>
        <v>-9082.7999999988824</v>
      </c>
      <c r="J19" s="211">
        <f>I19/12</f>
        <v>-756.89999999990687</v>
      </c>
    </row>
    <row r="20" spans="1:10" hidden="1">
      <c r="H20" s="211">
        <v>12331324.68</v>
      </c>
    </row>
    <row r="21" spans="1:10" hidden="1">
      <c r="H21" s="211">
        <f>H20-I17</f>
        <v>9082.7999999988824</v>
      </c>
      <c r="I21" s="211">
        <v>12330249.960000001</v>
      </c>
    </row>
    <row r="22" spans="1:10" hidden="1">
      <c r="I22" s="211">
        <f>I17-I21</f>
        <v>-8008.0800000000745</v>
      </c>
    </row>
    <row r="23" spans="1:10" hidden="1"/>
    <row r="24" spans="1:10" hidden="1"/>
    <row r="25" spans="1:10" hidden="1"/>
  </sheetData>
  <mergeCells count="7">
    <mergeCell ref="A15:H15"/>
    <mergeCell ref="A16:I16"/>
    <mergeCell ref="A17:H17"/>
    <mergeCell ref="A1:I1"/>
    <mergeCell ref="A2:I2"/>
    <mergeCell ref="A3:I3"/>
    <mergeCell ref="A14:E14"/>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3CD7F-3C61-475E-A799-317AA6629581}">
  <dimension ref="A1:F137"/>
  <sheetViews>
    <sheetView topLeftCell="A10" workbookViewId="0">
      <selection activeCell="G14" sqref="G14"/>
    </sheetView>
  </sheetViews>
  <sheetFormatPr defaultRowHeight="12.75"/>
  <cols>
    <col min="1" max="1" width="5" style="47" customWidth="1"/>
    <col min="2" max="2" width="47.7109375" style="47" customWidth="1"/>
    <col min="3" max="3" width="11.28515625" style="47" customWidth="1"/>
    <col min="4" max="4" width="24.28515625" style="47" customWidth="1"/>
    <col min="5" max="5" width="11.42578125" style="47" bestFit="1" customWidth="1"/>
    <col min="6"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168</v>
      </c>
      <c r="C15" s="352"/>
      <c r="D15" s="125">
        <f>3266.67*1.3</f>
        <v>4246.6710000000003</v>
      </c>
      <c r="E15" s="252"/>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4246.6710000000003</v>
      </c>
    </row>
    <row r="22" spans="1:4">
      <c r="A22" s="147" t="s">
        <v>31</v>
      </c>
      <c r="B22" s="148" t="s">
        <v>52</v>
      </c>
      <c r="C22" s="149">
        <v>0.3</v>
      </c>
      <c r="D22" s="150">
        <f t="shared" ref="D22" si="0">C22*D21</f>
        <v>1274.0013000000001</v>
      </c>
    </row>
    <row r="23" spans="1:4">
      <c r="A23" s="147" t="s">
        <v>34</v>
      </c>
      <c r="B23" s="349" t="s">
        <v>53</v>
      </c>
      <c r="C23" s="349"/>
      <c r="D23" s="150">
        <v>0</v>
      </c>
    </row>
    <row r="24" spans="1:4">
      <c r="A24" s="147" t="s">
        <v>54</v>
      </c>
      <c r="B24" s="148" t="s">
        <v>55</v>
      </c>
      <c r="C24" s="151">
        <v>0</v>
      </c>
      <c r="D24" s="150">
        <v>0</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5520.67</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459.87</v>
      </c>
    </row>
    <row r="34" spans="1:4">
      <c r="A34" s="136" t="s">
        <v>31</v>
      </c>
      <c r="B34" s="166" t="s">
        <v>70</v>
      </c>
      <c r="C34" s="49">
        <v>0.121</v>
      </c>
      <c r="D34" s="125">
        <f t="shared" ref="D34" si="3">ROUND(D$28*C34,2)</f>
        <v>668</v>
      </c>
    </row>
    <row r="35" spans="1:4" ht="13.5" thickBot="1">
      <c r="A35" s="335" t="s">
        <v>71</v>
      </c>
      <c r="B35" s="336"/>
      <c r="C35" s="167">
        <f>SUM(A33:C34)</f>
        <v>0.20429999999999998</v>
      </c>
      <c r="D35" s="125">
        <f>SUM(D33:D34)</f>
        <v>1127.8699999999999</v>
      </c>
    </row>
    <row r="36" spans="1:4" ht="25.5">
      <c r="A36" s="122" t="s">
        <v>72</v>
      </c>
      <c r="B36" s="123" t="s">
        <v>73</v>
      </c>
      <c r="C36" s="124">
        <f>C35*C51</f>
        <v>7.5182399999999996E-2</v>
      </c>
      <c r="D36" s="125">
        <f>ROUND(D$28*C36,2)</f>
        <v>415.06</v>
      </c>
    </row>
    <row r="37" spans="1:4">
      <c r="A37" s="337" t="s">
        <v>74</v>
      </c>
      <c r="B37" s="338"/>
      <c r="C37" s="168"/>
      <c r="D37" s="125">
        <f>SUM(D35:D36)</f>
        <v>1542.9299999999998</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1104.1300000000001</v>
      </c>
    </row>
    <row r="44" spans="1:4">
      <c r="A44" s="136" t="s">
        <v>31</v>
      </c>
      <c r="B44" s="166" t="s">
        <v>82</v>
      </c>
      <c r="C44" s="49">
        <v>2.5000000000000001E-2</v>
      </c>
      <c r="D44" s="125">
        <f t="shared" ref="D44:D50" si="4">ROUND(D$28*C44,2)</f>
        <v>138.02000000000001</v>
      </c>
    </row>
    <row r="45" spans="1:4">
      <c r="A45" s="136" t="s">
        <v>34</v>
      </c>
      <c r="B45" s="166" t="s">
        <v>83</v>
      </c>
      <c r="C45" s="49">
        <v>0.03</v>
      </c>
      <c r="D45" s="125">
        <f t="shared" si="4"/>
        <v>165.62</v>
      </c>
    </row>
    <row r="46" spans="1:4">
      <c r="A46" s="136" t="s">
        <v>54</v>
      </c>
      <c r="B46" s="166" t="s">
        <v>84</v>
      </c>
      <c r="C46" s="49">
        <v>1.4999999999999999E-2</v>
      </c>
      <c r="D46" s="125">
        <f t="shared" si="4"/>
        <v>82.81</v>
      </c>
    </row>
    <row r="47" spans="1:4">
      <c r="A47" s="136" t="s">
        <v>56</v>
      </c>
      <c r="B47" s="166" t="s">
        <v>85</v>
      </c>
      <c r="C47" s="49">
        <v>0.01</v>
      </c>
      <c r="D47" s="125">
        <f t="shared" si="4"/>
        <v>55.21</v>
      </c>
    </row>
    <row r="48" spans="1:4">
      <c r="A48" s="136" t="s">
        <v>86</v>
      </c>
      <c r="B48" s="166" t="s">
        <v>87</v>
      </c>
      <c r="C48" s="49">
        <v>6.0000000000000001E-3</v>
      </c>
      <c r="D48" s="125">
        <f t="shared" si="4"/>
        <v>33.119999999999997</v>
      </c>
    </row>
    <row r="49" spans="1:5">
      <c r="A49" s="136" t="s">
        <v>58</v>
      </c>
      <c r="B49" s="166" t="s">
        <v>88</v>
      </c>
      <c r="C49" s="49">
        <v>2E-3</v>
      </c>
      <c r="D49" s="125">
        <f t="shared" si="4"/>
        <v>11.04</v>
      </c>
    </row>
    <row r="50" spans="1:5">
      <c r="A50" s="122" t="s">
        <v>60</v>
      </c>
      <c r="B50" s="170" t="s">
        <v>89</v>
      </c>
      <c r="C50" s="49">
        <v>0.08</v>
      </c>
      <c r="D50" s="125">
        <f t="shared" si="4"/>
        <v>441.65</v>
      </c>
    </row>
    <row r="51" spans="1:5" ht="13.5" thickBot="1">
      <c r="A51" s="359" t="s">
        <v>90</v>
      </c>
      <c r="B51" s="361"/>
      <c r="C51" s="171">
        <f t="shared" ref="C51:D51" si="5">SUM(C43:C50)</f>
        <v>0.36800000000000005</v>
      </c>
      <c r="D51" s="172">
        <f t="shared" si="5"/>
        <v>2031.6</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22</v>
      </c>
      <c r="D57" s="125">
        <f>5.5*2*C57-6%*D21</f>
        <v>-12.800260000000009</v>
      </c>
    </row>
    <row r="58" spans="1:5">
      <c r="A58" s="129" t="s">
        <v>31</v>
      </c>
      <c r="B58" s="180" t="s">
        <v>98</v>
      </c>
      <c r="C58" s="181">
        <v>22</v>
      </c>
      <c r="D58" s="182">
        <f>C58*47.37</f>
        <v>1042.1399999999999</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1029.3397399999999</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1542.9299999999998</v>
      </c>
    </row>
    <row r="70" spans="1:4" ht="13.5" thickBot="1">
      <c r="A70" s="117" t="s">
        <v>79</v>
      </c>
      <c r="B70" s="333" t="s">
        <v>80</v>
      </c>
      <c r="C70" s="334"/>
      <c r="D70" s="121">
        <f>D51</f>
        <v>2031.6</v>
      </c>
    </row>
    <row r="71" spans="1:4" ht="13.5" thickBot="1">
      <c r="A71" s="117" t="s">
        <v>95</v>
      </c>
      <c r="B71" s="276" t="s">
        <v>96</v>
      </c>
      <c r="C71" s="277"/>
      <c r="D71" s="121">
        <f>D64</f>
        <v>1029.3397399999999</v>
      </c>
    </row>
    <row r="72" spans="1:4" ht="13.5" thickBot="1">
      <c r="A72" s="326" t="s">
        <v>112</v>
      </c>
      <c r="B72" s="327"/>
      <c r="C72" s="328"/>
      <c r="D72" s="192">
        <f>SUM(D69:D71)</f>
        <v>4603.8697400000001</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23.186813999999998</v>
      </c>
    </row>
    <row r="76" spans="1:4" ht="13.5" thickBot="1">
      <c r="A76" s="117" t="s">
        <v>118</v>
      </c>
      <c r="B76" s="118" t="s">
        <v>119</v>
      </c>
      <c r="C76" s="74">
        <f>8%*C75</f>
        <v>3.3599999999999998E-4</v>
      </c>
      <c r="D76" s="121">
        <f t="shared" si="6"/>
        <v>1.85494512</v>
      </c>
    </row>
    <row r="77" spans="1:4" ht="13.5" thickBot="1">
      <c r="A77" s="117" t="s">
        <v>72</v>
      </c>
      <c r="B77" s="118" t="s">
        <v>120</v>
      </c>
      <c r="C77" s="74">
        <v>3.9800000000000002E-2</v>
      </c>
      <c r="D77" s="121">
        <f t="shared" si="6"/>
        <v>219.722666</v>
      </c>
    </row>
    <row r="78" spans="1:4" ht="13.5" thickBot="1">
      <c r="A78" s="117" t="s">
        <v>37</v>
      </c>
      <c r="B78" s="118" t="s">
        <v>121</v>
      </c>
      <c r="C78" s="74">
        <v>1.9400000000000001E-2</v>
      </c>
      <c r="D78" s="121">
        <f t="shared" si="6"/>
        <v>107.100998</v>
      </c>
    </row>
    <row r="79" spans="1:4" ht="26.25" thickBot="1">
      <c r="A79" s="117" t="s">
        <v>101</v>
      </c>
      <c r="B79" s="118" t="s">
        <v>122</v>
      </c>
      <c r="C79" s="74">
        <f>1*36.8%*C78</f>
        <v>7.1392000000000001E-3</v>
      </c>
      <c r="D79" s="121">
        <f t="shared" si="6"/>
        <v>39.413167264000002</v>
      </c>
    </row>
    <row r="80" spans="1:4" ht="13.5" thickBot="1">
      <c r="A80" s="117" t="s">
        <v>123</v>
      </c>
      <c r="B80" s="118" t="s">
        <v>124</v>
      </c>
      <c r="C80" s="74">
        <v>2.0000000000000001E-4</v>
      </c>
      <c r="D80" s="121">
        <f t="shared" si="6"/>
        <v>1.1041340000000002</v>
      </c>
    </row>
    <row r="81" spans="1:6" ht="13.5" thickBot="1">
      <c r="A81" s="326" t="s">
        <v>112</v>
      </c>
      <c r="B81" s="328"/>
      <c r="C81" s="194">
        <f t="shared" ref="C81:D81" si="7">SUM(C75:C80)</f>
        <v>7.1075200000000005E-2</v>
      </c>
      <c r="D81" s="195">
        <f t="shared" si="7"/>
        <v>392.38272438399997</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23.186813999999998</v>
      </c>
    </row>
    <row r="88" spans="1:6" ht="13.5" thickBot="1">
      <c r="A88" s="117" t="s">
        <v>72</v>
      </c>
      <c r="B88" s="118" t="s">
        <v>132</v>
      </c>
      <c r="C88" s="197">
        <v>2.0000000000000001E-4</v>
      </c>
      <c r="D88" s="120">
        <f>C88*$D$28</f>
        <v>1.1041340000000002</v>
      </c>
    </row>
    <row r="89" spans="1:6" ht="26.25" thickBot="1">
      <c r="A89" s="117" t="s">
        <v>37</v>
      </c>
      <c r="B89" s="118" t="s">
        <v>133</v>
      </c>
      <c r="C89" s="197">
        <v>4.1999999999999997E-3</v>
      </c>
      <c r="D89" s="120">
        <f>C89*$D$28</f>
        <v>23.186813999999998</v>
      </c>
    </row>
    <row r="90" spans="1:6" ht="13.5" thickBot="1">
      <c r="A90" s="117" t="s">
        <v>101</v>
      </c>
      <c r="B90" s="118" t="s">
        <v>134</v>
      </c>
      <c r="C90" s="197">
        <v>2.0000000000000001E-4</v>
      </c>
      <c r="D90" s="120">
        <f>C90*$D$28</f>
        <v>1.1041340000000002</v>
      </c>
    </row>
    <row r="91" spans="1:6" ht="39" thickBot="1">
      <c r="A91" s="117" t="s">
        <v>123</v>
      </c>
      <c r="B91" s="118" t="s">
        <v>135</v>
      </c>
      <c r="C91" s="119">
        <f>SUM(C86:C90)*C51</f>
        <v>3.2384000000000007E-3</v>
      </c>
      <c r="D91" s="120">
        <f t="shared" ref="D91" si="8">C91*$D$28</f>
        <v>17.878137728000002</v>
      </c>
      <c r="E91" s="198" t="s">
        <v>136</v>
      </c>
    </row>
    <row r="92" spans="1:6" ht="13.5" thickBot="1">
      <c r="A92" s="326" t="s">
        <v>74</v>
      </c>
      <c r="B92" s="327"/>
      <c r="C92" s="199">
        <f t="shared" ref="C92:D92" si="9">SUM(C86:C91)</f>
        <v>1.2038400000000001E-2</v>
      </c>
      <c r="D92" s="195">
        <f t="shared" si="9"/>
        <v>66.460033727999999</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66.460033727999999</v>
      </c>
    </row>
    <row r="102" spans="1:4" ht="13.5" thickBot="1">
      <c r="A102" s="117" t="s">
        <v>139</v>
      </c>
      <c r="B102" s="276" t="s">
        <v>140</v>
      </c>
      <c r="C102" s="277"/>
      <c r="D102" s="121">
        <f>D97</f>
        <v>0</v>
      </c>
    </row>
    <row r="103" spans="1:4" ht="13.5" thickBot="1">
      <c r="A103" s="326" t="s">
        <v>112</v>
      </c>
      <c r="B103" s="327"/>
      <c r="C103" s="328"/>
      <c r="D103" s="195">
        <f>SUM(D101:D102)</f>
        <v>66.460033727999999</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UNIFORMES!G26</f>
        <v>127.42499999999998</v>
      </c>
    </row>
    <row r="108" spans="1:4" ht="13.5" thickBot="1">
      <c r="A108" s="117" t="s">
        <v>118</v>
      </c>
      <c r="B108" s="276" t="s">
        <v>147</v>
      </c>
      <c r="C108" s="277"/>
      <c r="D108" s="121">
        <v>0</v>
      </c>
    </row>
    <row r="109" spans="1:4" ht="13.5" thickBot="1">
      <c r="A109" s="117" t="s">
        <v>72</v>
      </c>
      <c r="B109" s="276" t="s">
        <v>148</v>
      </c>
      <c r="C109" s="277"/>
      <c r="D109" s="121">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127.42499999999998</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481.98633741504</v>
      </c>
    </row>
    <row r="117" spans="1:5" ht="13.5" thickBot="1">
      <c r="A117" s="117" t="s">
        <v>118</v>
      </c>
      <c r="B117" s="205" t="s">
        <v>154</v>
      </c>
      <c r="C117" s="197">
        <v>4.4999999999999998E-2</v>
      </c>
      <c r="D117" s="121">
        <f>(D134+D116)*C117</f>
        <v>503.67572259871685</v>
      </c>
    </row>
    <row r="118" spans="1:5" ht="13.5" thickBot="1">
      <c r="A118" s="117" t="s">
        <v>72</v>
      </c>
      <c r="B118" s="205" t="s">
        <v>155</v>
      </c>
      <c r="C118" s="197">
        <f>C119+C120+C121</f>
        <v>0.14250000000000002</v>
      </c>
      <c r="D118" s="121">
        <f>((D134+D116+D117)/(1-C118))*C118</f>
        <v>1943.728177297867</v>
      </c>
      <c r="E118" s="206"/>
    </row>
    <row r="119" spans="1:5" ht="13.5" thickBot="1">
      <c r="A119" s="117"/>
      <c r="B119" s="205" t="s">
        <v>156</v>
      </c>
      <c r="C119" s="197">
        <v>9.2499999999999999E-2</v>
      </c>
      <c r="D119" s="121">
        <f>C119*D136</f>
        <v>1261.7184999999999</v>
      </c>
    </row>
    <row r="120" spans="1:5" ht="13.5" thickBot="1">
      <c r="A120" s="117"/>
      <c r="B120" s="205" t="s">
        <v>157</v>
      </c>
      <c r="C120" s="207">
        <v>0.05</v>
      </c>
      <c r="D120" s="121">
        <f>C120*D136</f>
        <v>682.0100000000001</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2929.3902373116239</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5520.67</v>
      </c>
    </row>
    <row r="130" spans="1:4" ht="13.5" thickBot="1">
      <c r="A130" s="208" t="s">
        <v>118</v>
      </c>
      <c r="B130" s="276" t="s">
        <v>64</v>
      </c>
      <c r="C130" s="277"/>
      <c r="D130" s="121">
        <f>D72</f>
        <v>4603.8697400000001</v>
      </c>
    </row>
    <row r="131" spans="1:4" ht="13.5" thickBot="1">
      <c r="A131" s="208" t="s">
        <v>72</v>
      </c>
      <c r="B131" s="276" t="s">
        <v>113</v>
      </c>
      <c r="C131" s="277"/>
      <c r="D131" s="121">
        <f>D81</f>
        <v>392.38272438399997</v>
      </c>
    </row>
    <row r="132" spans="1:4" ht="13.5" thickBot="1">
      <c r="A132" s="208" t="s">
        <v>37</v>
      </c>
      <c r="B132" s="276" t="s">
        <v>126</v>
      </c>
      <c r="C132" s="277"/>
      <c r="D132" s="121">
        <f>D103</f>
        <v>66.460033727999999</v>
      </c>
    </row>
    <row r="133" spans="1:4" ht="13.5" thickBot="1">
      <c r="A133" s="208" t="s">
        <v>101</v>
      </c>
      <c r="B133" s="276" t="s">
        <v>144</v>
      </c>
      <c r="C133" s="277"/>
      <c r="D133" s="121">
        <f>D112</f>
        <v>127.42499999999998</v>
      </c>
    </row>
    <row r="134" spans="1:4" ht="13.5" thickBot="1">
      <c r="A134" s="326" t="s">
        <v>164</v>
      </c>
      <c r="B134" s="327"/>
      <c r="C134" s="328"/>
      <c r="D134" s="121">
        <f>SUM(D129:D133)</f>
        <v>10710.807498112001</v>
      </c>
    </row>
    <row r="135" spans="1:4" ht="13.5" thickBot="1">
      <c r="A135" s="208" t="s">
        <v>123</v>
      </c>
      <c r="B135" s="333" t="s">
        <v>165</v>
      </c>
      <c r="C135" s="334"/>
      <c r="D135" s="209">
        <f>D122</f>
        <v>2929.3902373116239</v>
      </c>
    </row>
    <row r="136" spans="1:4" ht="13.5" thickBot="1">
      <c r="A136" s="326" t="s">
        <v>166</v>
      </c>
      <c r="B136" s="327"/>
      <c r="C136" s="328"/>
      <c r="D136" s="210">
        <f>ROUND((D134+D135),2)</f>
        <v>13640.2</v>
      </c>
    </row>
    <row r="137" spans="1:4" ht="13.5" thickBot="1">
      <c r="A137" s="326" t="s">
        <v>167</v>
      </c>
      <c r="B137" s="327"/>
      <c r="C137" s="328"/>
      <c r="D137" s="210">
        <f>D136*1</f>
        <v>13640.2</v>
      </c>
    </row>
  </sheetData>
  <mergeCells count="84">
    <mergeCell ref="B12:C12"/>
    <mergeCell ref="A1:D1"/>
    <mergeCell ref="A2:D2"/>
    <mergeCell ref="A3:D3"/>
    <mergeCell ref="A4:D4"/>
    <mergeCell ref="A5:D5"/>
    <mergeCell ref="A6:D6"/>
    <mergeCell ref="A7:D7"/>
    <mergeCell ref="A8:D8"/>
    <mergeCell ref="B9:C9"/>
    <mergeCell ref="B10:C10"/>
    <mergeCell ref="B11:C11"/>
    <mergeCell ref="B27:C27"/>
    <mergeCell ref="A13:D13"/>
    <mergeCell ref="C14:D14"/>
    <mergeCell ref="B15:C15"/>
    <mergeCell ref="B16:C16"/>
    <mergeCell ref="B18:C18"/>
    <mergeCell ref="A19:D19"/>
    <mergeCell ref="B20:C20"/>
    <mergeCell ref="B21:C21"/>
    <mergeCell ref="B23:C23"/>
    <mergeCell ref="B25:C25"/>
    <mergeCell ref="B26:C26"/>
    <mergeCell ref="B56:C56"/>
    <mergeCell ref="A28:C28"/>
    <mergeCell ref="A30:D30"/>
    <mergeCell ref="A31:D31"/>
    <mergeCell ref="A35:B35"/>
    <mergeCell ref="A37:B37"/>
    <mergeCell ref="A38:D38"/>
    <mergeCell ref="A39:D39"/>
    <mergeCell ref="A40:D40"/>
    <mergeCell ref="A41:D41"/>
    <mergeCell ref="A51:B51"/>
    <mergeCell ref="A55:D55"/>
    <mergeCell ref="A81:B81"/>
    <mergeCell ref="B61:C61"/>
    <mergeCell ref="B62:C62"/>
    <mergeCell ref="A64:C64"/>
    <mergeCell ref="A66:D66"/>
    <mergeCell ref="A67:D67"/>
    <mergeCell ref="B68:C68"/>
    <mergeCell ref="B69:C69"/>
    <mergeCell ref="B70:C70"/>
    <mergeCell ref="B71:C71"/>
    <mergeCell ref="A72:C72"/>
    <mergeCell ref="A73:D73"/>
    <mergeCell ref="B101:C101"/>
    <mergeCell ref="A82:D82"/>
    <mergeCell ref="A83:D83"/>
    <mergeCell ref="A84:D84"/>
    <mergeCell ref="A92:B92"/>
    <mergeCell ref="A93:D93"/>
    <mergeCell ref="A94:D94"/>
    <mergeCell ref="B95:C95"/>
    <mergeCell ref="B96:C96"/>
    <mergeCell ref="A97:C97"/>
    <mergeCell ref="A99:D99"/>
    <mergeCell ref="B100:C100"/>
    <mergeCell ref="A122:B122"/>
    <mergeCell ref="B102:C102"/>
    <mergeCell ref="A103:C103"/>
    <mergeCell ref="A105:D105"/>
    <mergeCell ref="B106:C106"/>
    <mergeCell ref="B107:C107"/>
    <mergeCell ref="B108:C108"/>
    <mergeCell ref="B109:C109"/>
    <mergeCell ref="B110:C110"/>
    <mergeCell ref="B111:C111"/>
    <mergeCell ref="A112:C112"/>
    <mergeCell ref="A114:D114"/>
    <mergeCell ref="A137:C137"/>
    <mergeCell ref="A124:D124"/>
    <mergeCell ref="A127:D127"/>
    <mergeCell ref="B128:C128"/>
    <mergeCell ref="B129:C129"/>
    <mergeCell ref="B130:C130"/>
    <mergeCell ref="B131:C131"/>
    <mergeCell ref="B132:C132"/>
    <mergeCell ref="B133:C133"/>
    <mergeCell ref="A134:C134"/>
    <mergeCell ref="B135:C135"/>
    <mergeCell ref="A136:C136"/>
  </mergeCells>
  <pageMargins left="0.511811024" right="0.511811024" top="0.78740157499999996" bottom="0.78740157499999996" header="0.31496062000000002" footer="0.3149606200000000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zoomScale="90" zoomScaleNormal="90" workbookViewId="0">
      <selection activeCell="M7" sqref="M7"/>
    </sheetView>
  </sheetViews>
  <sheetFormatPr defaultRowHeight="15"/>
  <cols>
    <col min="2" max="2" width="52" customWidth="1"/>
    <col min="5" max="5" width="16.140625" customWidth="1"/>
    <col min="6" max="6" width="17.85546875" customWidth="1"/>
  </cols>
  <sheetData>
    <row r="1" spans="1:10">
      <c r="A1" s="212" t="s">
        <v>169</v>
      </c>
      <c r="B1" s="212" t="s">
        <v>170</v>
      </c>
      <c r="C1" s="212" t="s">
        <v>171</v>
      </c>
      <c r="D1" s="212" t="s">
        <v>172</v>
      </c>
      <c r="E1" s="213" t="s">
        <v>173</v>
      </c>
      <c r="F1" s="213" t="s">
        <v>174</v>
      </c>
      <c r="G1" s="103"/>
      <c r="H1" s="99"/>
      <c r="I1" s="99"/>
    </row>
    <row r="2" spans="1:10" ht="25.5">
      <c r="A2" s="214">
        <v>1</v>
      </c>
      <c r="B2" s="219" t="s">
        <v>175</v>
      </c>
      <c r="C2" s="214">
        <v>12</v>
      </c>
      <c r="D2" s="214">
        <v>12</v>
      </c>
      <c r="E2" s="215">
        <v>3000</v>
      </c>
      <c r="F2" s="216">
        <f t="shared" ref="F2:F7" si="0">(E2*D2)/C2</f>
        <v>3000</v>
      </c>
      <c r="G2" s="100"/>
    </row>
    <row r="3" spans="1:10" ht="51">
      <c r="A3" s="214">
        <v>2</v>
      </c>
      <c r="B3" s="219" t="s">
        <v>176</v>
      </c>
      <c r="C3" s="214">
        <v>12</v>
      </c>
      <c r="D3" s="214">
        <v>144</v>
      </c>
      <c r="E3" s="215">
        <v>6.68</v>
      </c>
      <c r="F3" s="216">
        <f t="shared" si="0"/>
        <v>80.16</v>
      </c>
      <c r="G3" s="100"/>
    </row>
    <row r="4" spans="1:10" ht="51">
      <c r="A4" s="214">
        <v>3</v>
      </c>
      <c r="B4" s="218" t="s">
        <v>177</v>
      </c>
      <c r="C4" s="214">
        <v>12</v>
      </c>
      <c r="D4" s="214">
        <v>59</v>
      </c>
      <c r="E4" s="215">
        <v>38</v>
      </c>
      <c r="F4" s="216">
        <f t="shared" si="0"/>
        <v>186.83333333333334</v>
      </c>
      <c r="G4" s="100"/>
      <c r="I4" s="101"/>
    </row>
    <row r="5" spans="1:10" ht="76.5">
      <c r="A5" s="214">
        <v>4</v>
      </c>
      <c r="B5" s="219" t="s">
        <v>178</v>
      </c>
      <c r="C5" s="214">
        <v>12</v>
      </c>
      <c r="D5" s="214">
        <v>59</v>
      </c>
      <c r="E5" s="215">
        <v>650</v>
      </c>
      <c r="F5" s="216">
        <f t="shared" si="0"/>
        <v>3195.8333333333335</v>
      </c>
      <c r="G5" s="100"/>
    </row>
    <row r="6" spans="1:10" ht="41.25" customHeight="1">
      <c r="A6" s="214">
        <v>10</v>
      </c>
      <c r="B6" s="219" t="s">
        <v>179</v>
      </c>
      <c r="C6" s="214">
        <v>12</v>
      </c>
      <c r="D6" s="214">
        <v>5</v>
      </c>
      <c r="E6" s="215">
        <v>850</v>
      </c>
      <c r="F6" s="216">
        <f t="shared" si="0"/>
        <v>354.16666666666669</v>
      </c>
      <c r="G6" s="100"/>
    </row>
    <row r="7" spans="1:10" ht="165.75">
      <c r="A7" s="214">
        <v>11</v>
      </c>
      <c r="B7" s="219" t="s">
        <v>180</v>
      </c>
      <c r="C7" s="214">
        <v>12</v>
      </c>
      <c r="D7" s="214">
        <v>59</v>
      </c>
      <c r="E7" s="215">
        <v>150</v>
      </c>
      <c r="F7" s="216">
        <f t="shared" si="0"/>
        <v>737.5</v>
      </c>
      <c r="G7" s="100"/>
    </row>
    <row r="8" spans="1:10" ht="25.5">
      <c r="A8" s="214">
        <v>1</v>
      </c>
      <c r="B8" s="218" t="s">
        <v>181</v>
      </c>
      <c r="C8" s="214">
        <v>12</v>
      </c>
      <c r="D8" s="214">
        <v>10</v>
      </c>
      <c r="E8" s="215">
        <v>49</v>
      </c>
      <c r="F8" s="216">
        <f t="shared" ref="F8:F13" si="1">(E8*D8)/C8</f>
        <v>40.833333333333336</v>
      </c>
      <c r="G8" s="100"/>
    </row>
    <row r="9" spans="1:10" ht="25.5">
      <c r="A9" s="214">
        <v>2</v>
      </c>
      <c r="B9" s="218" t="s">
        <v>182</v>
      </c>
      <c r="C9" s="214">
        <v>12</v>
      </c>
      <c r="D9" s="214">
        <v>30</v>
      </c>
      <c r="E9" s="215">
        <v>39.9</v>
      </c>
      <c r="F9" s="216">
        <f t="shared" si="1"/>
        <v>99.75</v>
      </c>
      <c r="G9" s="100"/>
    </row>
    <row r="10" spans="1:10">
      <c r="A10" s="214">
        <v>3</v>
      </c>
      <c r="B10" s="218" t="s">
        <v>183</v>
      </c>
      <c r="C10" s="214">
        <v>12</v>
      </c>
      <c r="D10" s="214">
        <v>30</v>
      </c>
      <c r="E10" s="215">
        <v>30</v>
      </c>
      <c r="F10" s="216">
        <f t="shared" si="1"/>
        <v>75</v>
      </c>
      <c r="G10" s="100"/>
    </row>
    <row r="11" spans="1:10" ht="102">
      <c r="A11" s="214">
        <v>4</v>
      </c>
      <c r="B11" s="218" t="s">
        <v>184</v>
      </c>
      <c r="C11" s="214">
        <v>12</v>
      </c>
      <c r="D11" s="214">
        <v>30</v>
      </c>
      <c r="E11" s="215">
        <v>588.54999999999995</v>
      </c>
      <c r="F11" s="216">
        <f t="shared" si="1"/>
        <v>1471.375</v>
      </c>
      <c r="G11" s="100"/>
    </row>
    <row r="12" spans="1:10">
      <c r="A12" s="214">
        <v>5</v>
      </c>
      <c r="B12" s="218" t="s">
        <v>185</v>
      </c>
      <c r="C12" s="214">
        <v>12</v>
      </c>
      <c r="D12" s="214">
        <v>4</v>
      </c>
      <c r="E12" s="215">
        <v>900</v>
      </c>
      <c r="F12" s="216">
        <f t="shared" si="1"/>
        <v>300</v>
      </c>
      <c r="G12" s="100"/>
    </row>
    <row r="13" spans="1:10" ht="51">
      <c r="A13" s="214">
        <v>6</v>
      </c>
      <c r="B13" s="218" t="s">
        <v>186</v>
      </c>
      <c r="C13" s="214">
        <v>12</v>
      </c>
      <c r="D13" s="214">
        <v>30</v>
      </c>
      <c r="E13" s="215">
        <v>12.5</v>
      </c>
      <c r="F13" s="216">
        <f t="shared" si="1"/>
        <v>31.25</v>
      </c>
      <c r="G13" s="100"/>
    </row>
    <row r="14" spans="1:10">
      <c r="A14" s="384" t="s">
        <v>187</v>
      </c>
      <c r="B14" s="384"/>
      <c r="C14" s="384"/>
      <c r="D14" s="384"/>
      <c r="E14" s="384"/>
      <c r="F14" s="217">
        <f>SUM(F2:F13)</f>
        <v>9572.7016666666677</v>
      </c>
      <c r="G14" s="100"/>
      <c r="I14" s="101"/>
      <c r="J14" s="101"/>
    </row>
    <row r="15" spans="1:10">
      <c r="A15" s="385" t="s">
        <v>188</v>
      </c>
      <c r="B15" s="385"/>
      <c r="C15" s="385"/>
      <c r="D15" s="385"/>
      <c r="E15" s="385"/>
      <c r="F15" s="217">
        <f>F14/107</f>
        <v>89.464501557632403</v>
      </c>
    </row>
    <row r="20" spans="2:6" ht="15.75">
      <c r="B20" s="102"/>
      <c r="C20" s="102"/>
      <c r="D20" s="102"/>
      <c r="E20" s="102"/>
      <c r="F20" s="102"/>
    </row>
    <row r="21" spans="2:6" ht="15.75">
      <c r="B21" s="102"/>
      <c r="C21" s="102"/>
      <c r="D21" s="102"/>
      <c r="E21" s="102"/>
      <c r="F21" s="102"/>
    </row>
    <row r="22" spans="2:6" ht="15.75">
      <c r="B22" s="102"/>
      <c r="C22" s="102"/>
      <c r="D22" s="102"/>
      <c r="E22" s="102"/>
      <c r="F22" s="102"/>
    </row>
    <row r="23" spans="2:6" ht="15.75">
      <c r="B23" s="102"/>
      <c r="C23" s="102"/>
      <c r="D23" s="102"/>
      <c r="E23" s="102"/>
      <c r="F23" s="102"/>
    </row>
    <row r="24" spans="2:6" ht="15.75">
      <c r="B24" s="102"/>
      <c r="C24" s="102"/>
      <c r="D24" s="102"/>
      <c r="E24" s="102"/>
      <c r="F24" s="102"/>
    </row>
    <row r="25" spans="2:6" ht="15.75">
      <c r="B25" s="102"/>
      <c r="C25" s="102"/>
      <c r="D25" s="102"/>
      <c r="E25" s="102"/>
      <c r="F25" s="102"/>
    </row>
    <row r="26" spans="2:6" ht="15.75">
      <c r="B26" s="102"/>
      <c r="C26" s="102"/>
      <c r="D26" s="102"/>
      <c r="E26" s="102"/>
      <c r="F26" s="102"/>
    </row>
    <row r="27" spans="2:6" ht="15.75">
      <c r="B27" s="102"/>
      <c r="C27" s="102"/>
      <c r="D27" s="102"/>
      <c r="E27" s="102"/>
      <c r="F27" s="102"/>
    </row>
    <row r="28" spans="2:6" ht="15.75">
      <c r="B28" s="102"/>
      <c r="C28" s="102"/>
      <c r="D28" s="102"/>
      <c r="E28" s="102"/>
      <c r="F28" s="102"/>
    </row>
    <row r="29" spans="2:6" ht="15.75">
      <c r="B29" s="102"/>
      <c r="C29" s="102"/>
      <c r="D29" s="102"/>
      <c r="E29" s="102"/>
      <c r="F29" s="102"/>
    </row>
    <row r="30" spans="2:6" ht="15.75">
      <c r="B30" s="102"/>
      <c r="C30" s="102"/>
      <c r="D30" s="102"/>
      <c r="E30" s="102"/>
      <c r="F30" s="102"/>
    </row>
    <row r="31" spans="2:6" ht="15.75">
      <c r="B31" s="102"/>
      <c r="C31" s="102"/>
      <c r="D31" s="102"/>
      <c r="E31" s="102"/>
      <c r="F31" s="102"/>
    </row>
    <row r="32" spans="2:6" ht="15.75">
      <c r="B32" s="102"/>
      <c r="C32" s="102"/>
      <c r="D32" s="102"/>
      <c r="E32" s="102"/>
      <c r="F32" s="102"/>
    </row>
    <row r="33" spans="2:6" ht="15.75">
      <c r="B33" s="102"/>
      <c r="C33" s="102"/>
      <c r="D33" s="102"/>
      <c r="E33" s="102"/>
      <c r="F33" s="102"/>
    </row>
  </sheetData>
  <mergeCells count="2">
    <mergeCell ref="A14:E14"/>
    <mergeCell ref="A15:E15"/>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6"/>
  <sheetViews>
    <sheetView workbookViewId="0">
      <selection activeCell="G26" sqref="G26"/>
    </sheetView>
  </sheetViews>
  <sheetFormatPr defaultRowHeight="12.75"/>
  <cols>
    <col min="1" max="1" width="9.140625" style="227"/>
    <col min="2" max="2" width="59.140625" style="104" customWidth="1"/>
    <col min="3" max="3" width="9.28515625" style="250" bestFit="1" customWidth="1"/>
    <col min="4" max="4" width="9" style="250" bestFit="1" customWidth="1"/>
    <col min="5" max="5" width="17" style="250" customWidth="1"/>
    <col min="6" max="6" width="20" style="104" customWidth="1"/>
    <col min="7" max="7" width="17.7109375" style="104" customWidth="1"/>
    <col min="8" max="16384" width="9.140625" style="104"/>
  </cols>
  <sheetData>
    <row r="1" spans="1:7" ht="28.5" customHeight="1">
      <c r="B1" s="388" t="s">
        <v>189</v>
      </c>
      <c r="C1" s="388"/>
      <c r="D1" s="388"/>
      <c r="E1" s="388"/>
      <c r="F1" s="388"/>
      <c r="G1" s="388"/>
    </row>
    <row r="2" spans="1:7" ht="25.5">
      <c r="A2" s="251" t="s">
        <v>169</v>
      </c>
      <c r="B2" s="229" t="s">
        <v>190</v>
      </c>
      <c r="C2" s="230" t="s">
        <v>191</v>
      </c>
      <c r="D2" s="231" t="s">
        <v>192</v>
      </c>
      <c r="E2" s="231" t="s">
        <v>193</v>
      </c>
      <c r="F2" s="232" t="s">
        <v>194</v>
      </c>
      <c r="G2" s="232" t="s">
        <v>195</v>
      </c>
    </row>
    <row r="3" spans="1:7">
      <c r="A3" s="233">
        <v>1</v>
      </c>
      <c r="B3" s="220" t="s">
        <v>196</v>
      </c>
      <c r="C3" s="234" t="s">
        <v>197</v>
      </c>
      <c r="D3" s="235">
        <v>6</v>
      </c>
      <c r="E3" s="235">
        <v>2</v>
      </c>
      <c r="F3" s="236">
        <v>52.79</v>
      </c>
      <c r="G3" s="236">
        <f t="shared" ref="G3:G11" si="0">(F3*E3)/D3</f>
        <v>17.596666666666668</v>
      </c>
    </row>
    <row r="4" spans="1:7" ht="25.5">
      <c r="A4" s="233">
        <v>2</v>
      </c>
      <c r="B4" s="220" t="s">
        <v>198</v>
      </c>
      <c r="C4" s="234" t="s">
        <v>197</v>
      </c>
      <c r="D4" s="235">
        <v>6</v>
      </c>
      <c r="E4" s="235">
        <v>2</v>
      </c>
      <c r="F4" s="236">
        <v>38.5</v>
      </c>
      <c r="G4" s="236">
        <f t="shared" si="0"/>
        <v>12.833333333333334</v>
      </c>
    </row>
    <row r="5" spans="1:7">
      <c r="A5" s="233">
        <v>3</v>
      </c>
      <c r="B5" s="220" t="s">
        <v>199</v>
      </c>
      <c r="C5" s="234" t="s">
        <v>197</v>
      </c>
      <c r="D5" s="235">
        <v>12</v>
      </c>
      <c r="E5" s="235">
        <v>1</v>
      </c>
      <c r="F5" s="236">
        <v>19</v>
      </c>
      <c r="G5" s="236">
        <f t="shared" si="0"/>
        <v>1.5833333333333333</v>
      </c>
    </row>
    <row r="6" spans="1:7">
      <c r="A6" s="233">
        <v>4</v>
      </c>
      <c r="B6" s="220" t="s">
        <v>200</v>
      </c>
      <c r="C6" s="234" t="s">
        <v>201</v>
      </c>
      <c r="D6" s="235">
        <v>6</v>
      </c>
      <c r="E6" s="235">
        <v>4</v>
      </c>
      <c r="F6" s="236">
        <v>8</v>
      </c>
      <c r="G6" s="236">
        <f t="shared" si="0"/>
        <v>5.333333333333333</v>
      </c>
    </row>
    <row r="7" spans="1:7">
      <c r="A7" s="233">
        <v>5</v>
      </c>
      <c r="B7" s="220" t="s">
        <v>202</v>
      </c>
      <c r="C7" s="234" t="s">
        <v>201</v>
      </c>
      <c r="D7" s="235">
        <v>12</v>
      </c>
      <c r="E7" s="235">
        <v>1</v>
      </c>
      <c r="F7" s="236">
        <v>76</v>
      </c>
      <c r="G7" s="236">
        <f t="shared" si="0"/>
        <v>6.333333333333333</v>
      </c>
    </row>
    <row r="8" spans="1:7">
      <c r="A8" s="233">
        <v>6</v>
      </c>
      <c r="B8" s="221" t="s">
        <v>203</v>
      </c>
      <c r="C8" s="234" t="s">
        <v>197</v>
      </c>
      <c r="D8" s="235">
        <v>12</v>
      </c>
      <c r="E8" s="235">
        <v>1</v>
      </c>
      <c r="F8" s="236">
        <v>13.28</v>
      </c>
      <c r="G8" s="236">
        <f t="shared" si="0"/>
        <v>1.1066666666666667</v>
      </c>
    </row>
    <row r="9" spans="1:7">
      <c r="A9" s="233">
        <v>7</v>
      </c>
      <c r="B9" s="220" t="s">
        <v>204</v>
      </c>
      <c r="C9" s="234" t="s">
        <v>197</v>
      </c>
      <c r="D9" s="235">
        <v>12</v>
      </c>
      <c r="E9" s="235">
        <v>1</v>
      </c>
      <c r="F9" s="236">
        <v>65</v>
      </c>
      <c r="G9" s="236">
        <f t="shared" si="0"/>
        <v>5.416666666666667</v>
      </c>
    </row>
    <row r="10" spans="1:7">
      <c r="A10" s="233">
        <v>8</v>
      </c>
      <c r="B10" s="222" t="s">
        <v>205</v>
      </c>
      <c r="C10" s="237" t="s">
        <v>197</v>
      </c>
      <c r="D10" s="238">
        <v>12</v>
      </c>
      <c r="E10" s="238">
        <v>1</v>
      </c>
      <c r="F10" s="236">
        <v>19.600000000000001</v>
      </c>
      <c r="G10" s="236">
        <f t="shared" si="0"/>
        <v>1.6333333333333335</v>
      </c>
    </row>
    <row r="11" spans="1:7">
      <c r="A11" s="233">
        <v>9</v>
      </c>
      <c r="B11" s="223" t="s">
        <v>206</v>
      </c>
      <c r="C11" s="237" t="s">
        <v>197</v>
      </c>
      <c r="D11" s="239">
        <v>12</v>
      </c>
      <c r="E11" s="239">
        <v>1</v>
      </c>
      <c r="F11" s="236">
        <v>3</v>
      </c>
      <c r="G11" s="236">
        <f t="shared" si="0"/>
        <v>0.25</v>
      </c>
    </row>
    <row r="12" spans="1:7">
      <c r="A12" s="233">
        <v>10</v>
      </c>
      <c r="B12" s="224" t="s">
        <v>207</v>
      </c>
      <c r="C12" s="237" t="s">
        <v>197</v>
      </c>
      <c r="D12" s="239">
        <v>12</v>
      </c>
      <c r="E12" s="239">
        <v>1</v>
      </c>
      <c r="F12" s="236">
        <v>45</v>
      </c>
      <c r="G12" s="236">
        <f t="shared" ref="G12:G14" si="1">(F12*E12)/D12</f>
        <v>3.75</v>
      </c>
    </row>
    <row r="13" spans="1:7">
      <c r="A13" s="233">
        <v>13</v>
      </c>
      <c r="B13" s="224" t="s">
        <v>208</v>
      </c>
      <c r="C13" s="237" t="s">
        <v>197</v>
      </c>
      <c r="D13" s="239">
        <v>12</v>
      </c>
      <c r="E13" s="239">
        <v>1</v>
      </c>
      <c r="F13" s="236">
        <v>15</v>
      </c>
      <c r="G13" s="236">
        <f t="shared" si="1"/>
        <v>1.25</v>
      </c>
    </row>
    <row r="14" spans="1:7">
      <c r="A14" s="233">
        <v>14</v>
      </c>
      <c r="B14" s="224" t="s">
        <v>209</v>
      </c>
      <c r="C14" s="237" t="s">
        <v>197</v>
      </c>
      <c r="D14" s="239">
        <v>12</v>
      </c>
      <c r="E14" s="239">
        <v>1</v>
      </c>
      <c r="F14" s="236">
        <v>35</v>
      </c>
      <c r="G14" s="236">
        <f t="shared" si="1"/>
        <v>2.9166666666666665</v>
      </c>
    </row>
    <row r="15" spans="1:7" ht="15.75" customHeight="1">
      <c r="A15" s="228"/>
      <c r="B15" s="386" t="s">
        <v>210</v>
      </c>
      <c r="C15" s="386"/>
      <c r="D15" s="386"/>
      <c r="E15" s="386"/>
      <c r="F15" s="240"/>
      <c r="G15" s="241">
        <f>SUM(G3:G14)</f>
        <v>60.003333333333337</v>
      </c>
    </row>
    <row r="16" spans="1:7">
      <c r="B16" s="242"/>
      <c r="C16" s="242"/>
      <c r="D16" s="242"/>
      <c r="E16" s="242"/>
      <c r="G16" s="243"/>
    </row>
    <row r="17" spans="1:7">
      <c r="B17" s="387" t="s">
        <v>211</v>
      </c>
      <c r="C17" s="387"/>
      <c r="D17" s="387"/>
      <c r="E17" s="387"/>
      <c r="F17" s="387"/>
      <c r="G17" s="387"/>
    </row>
    <row r="18" spans="1:7" ht="25.5">
      <c r="A18" s="251" t="s">
        <v>169</v>
      </c>
      <c r="B18" s="232" t="s">
        <v>190</v>
      </c>
      <c r="C18" s="232" t="s">
        <v>191</v>
      </c>
      <c r="D18" s="232" t="s">
        <v>192</v>
      </c>
      <c r="E18" s="232" t="s">
        <v>212</v>
      </c>
      <c r="F18" s="232" t="s">
        <v>194</v>
      </c>
      <c r="G18" s="232" t="s">
        <v>195</v>
      </c>
    </row>
    <row r="19" spans="1:7" ht="114.75">
      <c r="A19" s="244">
        <v>1</v>
      </c>
      <c r="B19" s="225" t="s">
        <v>213</v>
      </c>
      <c r="C19" s="245" t="s">
        <v>197</v>
      </c>
      <c r="D19" s="244">
        <v>12</v>
      </c>
      <c r="E19" s="246">
        <v>2</v>
      </c>
      <c r="F19" s="247">
        <v>340</v>
      </c>
      <c r="G19" s="247">
        <f t="shared" ref="G19:G25" si="2">(F19*E19)/D19</f>
        <v>56.666666666666664</v>
      </c>
    </row>
    <row r="20" spans="1:7">
      <c r="A20" s="233">
        <v>2</v>
      </c>
      <c r="B20" s="226" t="s">
        <v>214</v>
      </c>
      <c r="C20" s="239" t="s">
        <v>197</v>
      </c>
      <c r="D20" s="233">
        <v>12</v>
      </c>
      <c r="E20" s="248">
        <v>1</v>
      </c>
      <c r="F20" s="236">
        <v>13.9</v>
      </c>
      <c r="G20" s="236">
        <f t="shared" si="2"/>
        <v>1.1583333333333334</v>
      </c>
    </row>
    <row r="21" spans="1:7">
      <c r="A21" s="233">
        <v>3</v>
      </c>
      <c r="B21" s="226" t="s">
        <v>215</v>
      </c>
      <c r="C21" s="239" t="s">
        <v>197</v>
      </c>
      <c r="D21" s="233">
        <v>12</v>
      </c>
      <c r="E21" s="248">
        <v>3</v>
      </c>
      <c r="F21" s="236">
        <v>60</v>
      </c>
      <c r="G21" s="236">
        <f t="shared" si="2"/>
        <v>15</v>
      </c>
    </row>
    <row r="22" spans="1:7">
      <c r="A22" s="233">
        <v>4</v>
      </c>
      <c r="B22" s="226" t="s">
        <v>216</v>
      </c>
      <c r="C22" s="239" t="s">
        <v>201</v>
      </c>
      <c r="D22" s="233">
        <v>6</v>
      </c>
      <c r="E22" s="248">
        <v>4</v>
      </c>
      <c r="F22" s="236">
        <v>6.5</v>
      </c>
      <c r="G22" s="236">
        <f t="shared" si="2"/>
        <v>4.333333333333333</v>
      </c>
    </row>
    <row r="23" spans="1:7">
      <c r="A23" s="233">
        <v>5</v>
      </c>
      <c r="B23" s="226" t="s">
        <v>217</v>
      </c>
      <c r="C23" s="239" t="s">
        <v>197</v>
      </c>
      <c r="D23" s="233">
        <v>12</v>
      </c>
      <c r="E23" s="248">
        <v>1</v>
      </c>
      <c r="F23" s="236">
        <v>1</v>
      </c>
      <c r="G23" s="236">
        <f t="shared" si="2"/>
        <v>8.3333333333333329E-2</v>
      </c>
    </row>
    <row r="24" spans="1:7">
      <c r="A24" s="233">
        <v>6</v>
      </c>
      <c r="B24" s="226" t="s">
        <v>218</v>
      </c>
      <c r="C24" s="239" t="s">
        <v>201</v>
      </c>
      <c r="D24" s="233">
        <v>6</v>
      </c>
      <c r="E24" s="248">
        <v>2</v>
      </c>
      <c r="F24" s="236">
        <v>149.80000000000001</v>
      </c>
      <c r="G24" s="236">
        <f t="shared" si="2"/>
        <v>49.933333333333337</v>
      </c>
    </row>
    <row r="25" spans="1:7">
      <c r="A25" s="233">
        <v>7</v>
      </c>
      <c r="B25" s="226" t="s">
        <v>206</v>
      </c>
      <c r="C25" s="239" t="s">
        <v>197</v>
      </c>
      <c r="D25" s="233">
        <v>12</v>
      </c>
      <c r="E25" s="248">
        <v>1</v>
      </c>
      <c r="F25" s="236">
        <v>3</v>
      </c>
      <c r="G25" s="236">
        <f t="shared" si="2"/>
        <v>0.25</v>
      </c>
    </row>
    <row r="26" spans="1:7" ht="15" customHeight="1">
      <c r="A26" s="389" t="s">
        <v>210</v>
      </c>
      <c r="B26" s="390"/>
      <c r="C26" s="390"/>
      <c r="D26" s="390"/>
      <c r="E26" s="391"/>
      <c r="F26" s="240"/>
      <c r="G26" s="249">
        <f>SUM(G19:G25)</f>
        <v>127.42499999999998</v>
      </c>
    </row>
  </sheetData>
  <mergeCells count="4">
    <mergeCell ref="B15:E15"/>
    <mergeCell ref="B17:G17"/>
    <mergeCell ref="B1:G1"/>
    <mergeCell ref="A26:E26"/>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7"/>
  <sheetViews>
    <sheetView topLeftCell="A109" zoomScaleNormal="100" workbookViewId="0">
      <selection activeCell="C118" sqref="C118"/>
    </sheetView>
  </sheetViews>
  <sheetFormatPr defaultRowHeight="12.75"/>
  <cols>
    <col min="1" max="1" width="5" style="1" customWidth="1"/>
    <col min="2" max="2" width="47.7109375" style="1" customWidth="1"/>
    <col min="3" max="3" width="11.28515625" style="1" customWidth="1"/>
    <col min="4" max="4" width="24.28515625" style="1" customWidth="1"/>
    <col min="5" max="16384" width="9.140625" style="1"/>
  </cols>
  <sheetData>
    <row r="1" spans="1:6">
      <c r="A1" s="259" t="s">
        <v>0</v>
      </c>
      <c r="B1" s="260"/>
      <c r="C1" s="260"/>
      <c r="D1" s="260"/>
    </row>
    <row r="2" spans="1:6">
      <c r="A2" s="259" t="s">
        <v>1</v>
      </c>
      <c r="B2" s="260"/>
      <c r="C2" s="260"/>
      <c r="D2" s="260"/>
    </row>
    <row r="3" spans="1:6">
      <c r="A3" s="259" t="s">
        <v>2</v>
      </c>
      <c r="B3" s="260"/>
      <c r="C3" s="260"/>
      <c r="D3" s="260"/>
    </row>
    <row r="4" spans="1:6">
      <c r="A4" s="259"/>
      <c r="B4" s="260"/>
      <c r="C4" s="260"/>
      <c r="D4" s="260"/>
    </row>
    <row r="5" spans="1:6" ht="13.5" thickBot="1">
      <c r="A5" s="308" t="s">
        <v>24</v>
      </c>
      <c r="B5" s="309"/>
      <c r="C5" s="309"/>
      <c r="D5" s="309"/>
    </row>
    <row r="6" spans="1:6">
      <c r="A6" s="293" t="s">
        <v>25</v>
      </c>
      <c r="B6" s="294"/>
      <c r="C6" s="294"/>
      <c r="D6" s="295"/>
    </row>
    <row r="7" spans="1:6" ht="13.5" thickBot="1">
      <c r="A7" s="308" t="s">
        <v>26</v>
      </c>
      <c r="B7" s="309"/>
      <c r="C7" s="309"/>
      <c r="D7" s="310"/>
    </row>
    <row r="8" spans="1:6" ht="13.5" thickBot="1">
      <c r="A8" s="296" t="s">
        <v>27</v>
      </c>
      <c r="B8" s="297"/>
      <c r="C8" s="297"/>
      <c r="D8" s="297"/>
    </row>
    <row r="9" spans="1:6">
      <c r="A9" s="3" t="s">
        <v>28</v>
      </c>
      <c r="B9" s="311" t="s">
        <v>29</v>
      </c>
      <c r="C9" s="311"/>
      <c r="D9" s="4" t="s">
        <v>30</v>
      </c>
    </row>
    <row r="10" spans="1:6">
      <c r="A10" s="5" t="s">
        <v>31</v>
      </c>
      <c r="B10" s="312" t="s">
        <v>32</v>
      </c>
      <c r="C10" s="312"/>
      <c r="D10" s="6" t="s">
        <v>33</v>
      </c>
    </row>
    <row r="11" spans="1:6" ht="25.5">
      <c r="A11" s="5" t="s">
        <v>34</v>
      </c>
      <c r="B11" s="313" t="s">
        <v>35</v>
      </c>
      <c r="C11" s="314"/>
      <c r="D11" s="7" t="s">
        <v>36</v>
      </c>
    </row>
    <row r="12" spans="1:6" ht="13.5" thickBot="1">
      <c r="A12" s="8" t="s">
        <v>37</v>
      </c>
      <c r="B12" s="298" t="s">
        <v>38</v>
      </c>
      <c r="C12" s="298"/>
      <c r="D12" s="9">
        <v>12</v>
      </c>
    </row>
    <row r="13" spans="1:6" ht="13.5" thickBot="1">
      <c r="A13" s="322" t="s">
        <v>39</v>
      </c>
      <c r="B13" s="323"/>
      <c r="C13" s="323"/>
      <c r="D13" s="323"/>
    </row>
    <row r="14" spans="1:6" ht="25.5">
      <c r="A14" s="10">
        <v>1</v>
      </c>
      <c r="B14" s="11" t="s">
        <v>40</v>
      </c>
      <c r="C14" s="299" t="s">
        <v>41</v>
      </c>
      <c r="D14" s="300"/>
    </row>
    <row r="15" spans="1:6">
      <c r="A15" s="12">
        <v>2</v>
      </c>
      <c r="B15" s="301" t="s">
        <v>42</v>
      </c>
      <c r="C15" s="282"/>
      <c r="D15" s="13">
        <v>2723.41</v>
      </c>
      <c r="F15" s="14"/>
    </row>
    <row r="16" spans="1:6">
      <c r="A16" s="12">
        <v>3</v>
      </c>
      <c r="B16" s="301" t="s">
        <v>43</v>
      </c>
      <c r="C16" s="284"/>
      <c r="D16" s="15" t="s">
        <v>44</v>
      </c>
    </row>
    <row r="17" spans="1:4">
      <c r="A17" s="16">
        <v>4</v>
      </c>
      <c r="B17" s="17" t="s">
        <v>45</v>
      </c>
      <c r="C17" s="18"/>
      <c r="D17" s="19" t="s">
        <v>46</v>
      </c>
    </row>
    <row r="18" spans="1:4" ht="13.5" thickBot="1">
      <c r="A18" s="20">
        <v>5</v>
      </c>
      <c r="B18" s="302" t="s">
        <v>47</v>
      </c>
      <c r="C18" s="303"/>
      <c r="D18" s="21">
        <v>45292</v>
      </c>
    </row>
    <row r="19" spans="1:4" ht="13.5" thickBot="1">
      <c r="A19" s="304" t="s">
        <v>48</v>
      </c>
      <c r="B19" s="305"/>
      <c r="C19" s="305"/>
      <c r="D19" s="305"/>
    </row>
    <row r="20" spans="1:4" ht="13.5" thickBot="1">
      <c r="A20" s="2">
        <v>1</v>
      </c>
      <c r="B20" s="306" t="s">
        <v>49</v>
      </c>
      <c r="C20" s="307"/>
      <c r="D20" s="22" t="s">
        <v>50</v>
      </c>
    </row>
    <row r="21" spans="1:4">
      <c r="A21" s="23" t="s">
        <v>28</v>
      </c>
      <c r="B21" s="283" t="s">
        <v>51</v>
      </c>
      <c r="C21" s="283"/>
      <c r="D21" s="24">
        <f>D15</f>
        <v>2723.41</v>
      </c>
    </row>
    <row r="22" spans="1:4">
      <c r="A22" s="25" t="s">
        <v>31</v>
      </c>
      <c r="B22" s="26" t="s">
        <v>52</v>
      </c>
      <c r="C22" s="27">
        <v>0.3</v>
      </c>
      <c r="D22" s="28">
        <f t="shared" ref="D22" si="0">C22*D21</f>
        <v>817.02299999999991</v>
      </c>
    </row>
    <row r="23" spans="1:4">
      <c r="A23" s="25" t="s">
        <v>34</v>
      </c>
      <c r="B23" s="285" t="s">
        <v>53</v>
      </c>
      <c r="C23" s="285"/>
      <c r="D23" s="28">
        <v>0</v>
      </c>
    </row>
    <row r="24" spans="1:4">
      <c r="A24" s="25" t="s">
        <v>54</v>
      </c>
      <c r="B24" s="26" t="s">
        <v>55</v>
      </c>
      <c r="C24" s="29">
        <v>0</v>
      </c>
      <c r="D24" s="28">
        <v>0</v>
      </c>
    </row>
    <row r="25" spans="1:4">
      <c r="A25" s="25" t="s">
        <v>56</v>
      </c>
      <c r="B25" s="285" t="s">
        <v>57</v>
      </c>
      <c r="C25" s="285"/>
      <c r="D25" s="28">
        <f t="shared" ref="D25" si="1">D21/220*0.2*0*15</f>
        <v>0</v>
      </c>
    </row>
    <row r="26" spans="1:4">
      <c r="A26" s="25" t="s">
        <v>58</v>
      </c>
      <c r="B26" s="285" t="s">
        <v>59</v>
      </c>
      <c r="C26" s="285"/>
      <c r="D26" s="28">
        <v>0</v>
      </c>
    </row>
    <row r="27" spans="1:4">
      <c r="A27" s="30" t="s">
        <v>60</v>
      </c>
      <c r="B27" s="289" t="s">
        <v>61</v>
      </c>
      <c r="C27" s="289"/>
      <c r="D27" s="31">
        <v>0</v>
      </c>
    </row>
    <row r="28" spans="1:4" ht="13.5" thickBot="1">
      <c r="A28" s="290" t="s">
        <v>62</v>
      </c>
      <c r="B28" s="291"/>
      <c r="C28" s="292"/>
      <c r="D28" s="32">
        <f t="shared" ref="D28" si="2">ROUND(SUM(D21:D27),2)</f>
        <v>3540.43</v>
      </c>
    </row>
    <row r="29" spans="1:4" ht="13.5" thickBot="1">
      <c r="A29" s="33" t="s">
        <v>63</v>
      </c>
      <c r="B29" s="34"/>
      <c r="C29" s="35"/>
      <c r="D29" s="36"/>
    </row>
    <row r="30" spans="1:4" ht="13.5" thickBot="1">
      <c r="A30" s="273" t="s">
        <v>64</v>
      </c>
      <c r="B30" s="274"/>
      <c r="C30" s="274"/>
      <c r="D30" s="275"/>
    </row>
    <row r="31" spans="1:4" ht="13.5" thickBot="1">
      <c r="A31" s="273" t="s">
        <v>65</v>
      </c>
      <c r="B31" s="274"/>
      <c r="C31" s="274"/>
      <c r="D31" s="275"/>
    </row>
    <row r="32" spans="1:4" ht="13.5" thickBot="1">
      <c r="A32" s="37" t="s">
        <v>66</v>
      </c>
      <c r="B32" s="38" t="s">
        <v>67</v>
      </c>
      <c r="C32" s="39" t="s">
        <v>68</v>
      </c>
      <c r="D32" s="40" t="s">
        <v>50</v>
      </c>
    </row>
    <row r="33" spans="1:5">
      <c r="A33" s="41" t="s">
        <v>28</v>
      </c>
      <c r="B33" s="42" t="s">
        <v>69</v>
      </c>
      <c r="C33" s="43">
        <v>8.3299999999999999E-2</v>
      </c>
      <c r="D33" s="13">
        <f>ROUND(D$28*C33,2)</f>
        <v>294.92</v>
      </c>
    </row>
    <row r="34" spans="1:5">
      <c r="A34" s="12" t="s">
        <v>31</v>
      </c>
      <c r="B34" s="44" t="s">
        <v>70</v>
      </c>
      <c r="C34" s="45">
        <v>0.121</v>
      </c>
      <c r="D34" s="13">
        <f t="shared" ref="D34" si="3">ROUND(D$28*C34,2)</f>
        <v>428.39</v>
      </c>
    </row>
    <row r="35" spans="1:5" ht="13.5" thickBot="1">
      <c r="A35" s="316" t="s">
        <v>71</v>
      </c>
      <c r="B35" s="317"/>
      <c r="C35" s="46">
        <f>SUM(A33:C34)</f>
        <v>0.20429999999999998</v>
      </c>
      <c r="D35" s="13">
        <f>SUM(D33:D34)</f>
        <v>723.31</v>
      </c>
    </row>
    <row r="36" spans="1:5" ht="25.5">
      <c r="A36" s="122" t="s">
        <v>72</v>
      </c>
      <c r="B36" s="123" t="s">
        <v>73</v>
      </c>
      <c r="C36" s="124">
        <f>C35*C51</f>
        <v>7.5182399999999996E-2</v>
      </c>
      <c r="D36" s="125">
        <f>ROUND(D$28*C36,2)</f>
        <v>266.18</v>
      </c>
      <c r="E36" s="47"/>
    </row>
    <row r="37" spans="1:5">
      <c r="A37" s="320" t="s">
        <v>74</v>
      </c>
      <c r="B37" s="321"/>
      <c r="C37" s="97"/>
      <c r="D37" s="13">
        <f>SUM(D35:D36)</f>
        <v>989.49</v>
      </c>
    </row>
    <row r="38" spans="1:5" ht="36.75" customHeight="1">
      <c r="A38" s="318" t="s">
        <v>75</v>
      </c>
      <c r="B38" s="318"/>
      <c r="C38" s="318"/>
      <c r="D38" s="318"/>
    </row>
    <row r="39" spans="1:5" ht="27.75" customHeight="1">
      <c r="A39" s="318" t="s">
        <v>76</v>
      </c>
      <c r="B39" s="318"/>
      <c r="C39" s="318"/>
      <c r="D39" s="318"/>
    </row>
    <row r="40" spans="1:5" ht="36" customHeight="1" thickBot="1">
      <c r="A40" s="325" t="s">
        <v>77</v>
      </c>
      <c r="B40" s="325"/>
      <c r="C40" s="325"/>
      <c r="D40" s="325"/>
    </row>
    <row r="41" spans="1:5" ht="13.5" thickBot="1">
      <c r="A41" s="279" t="s">
        <v>78</v>
      </c>
      <c r="B41" s="315"/>
      <c r="C41" s="315"/>
      <c r="D41" s="280"/>
    </row>
    <row r="42" spans="1:5" ht="13.5" thickBot="1">
      <c r="A42" s="37" t="s">
        <v>79</v>
      </c>
      <c r="B42" s="48" t="s">
        <v>80</v>
      </c>
      <c r="C42" s="39" t="s">
        <v>68</v>
      </c>
      <c r="D42" s="40" t="s">
        <v>50</v>
      </c>
    </row>
    <row r="43" spans="1:5">
      <c r="A43" s="41" t="s">
        <v>28</v>
      </c>
      <c r="B43" s="42" t="s">
        <v>81</v>
      </c>
      <c r="C43" s="43">
        <v>0.2</v>
      </c>
      <c r="D43" s="13">
        <f>ROUND(D$28*C43,2)</f>
        <v>708.09</v>
      </c>
    </row>
    <row r="44" spans="1:5">
      <c r="A44" s="12" t="s">
        <v>31</v>
      </c>
      <c r="B44" s="44" t="s">
        <v>82</v>
      </c>
      <c r="C44" s="45">
        <v>2.5000000000000001E-2</v>
      </c>
      <c r="D44" s="13">
        <f t="shared" ref="D44:D50" si="4">ROUND(D$28*C44,2)</f>
        <v>88.51</v>
      </c>
    </row>
    <row r="45" spans="1:5">
      <c r="A45" s="12" t="s">
        <v>34</v>
      </c>
      <c r="B45" s="44" t="s">
        <v>83</v>
      </c>
      <c r="C45" s="49">
        <v>0.03</v>
      </c>
      <c r="D45" s="13">
        <f t="shared" si="4"/>
        <v>106.21</v>
      </c>
    </row>
    <row r="46" spans="1:5">
      <c r="A46" s="12" t="s">
        <v>54</v>
      </c>
      <c r="B46" s="44" t="s">
        <v>84</v>
      </c>
      <c r="C46" s="45">
        <v>1.4999999999999999E-2</v>
      </c>
      <c r="D46" s="13">
        <f t="shared" si="4"/>
        <v>53.11</v>
      </c>
    </row>
    <row r="47" spans="1:5">
      <c r="A47" s="12" t="s">
        <v>56</v>
      </c>
      <c r="B47" s="44" t="s">
        <v>85</v>
      </c>
      <c r="C47" s="45">
        <v>0.01</v>
      </c>
      <c r="D47" s="13">
        <f t="shared" si="4"/>
        <v>35.4</v>
      </c>
    </row>
    <row r="48" spans="1:5">
      <c r="A48" s="12" t="s">
        <v>86</v>
      </c>
      <c r="B48" s="44" t="s">
        <v>87</v>
      </c>
      <c r="C48" s="45">
        <v>6.0000000000000001E-3</v>
      </c>
      <c r="D48" s="13">
        <f t="shared" si="4"/>
        <v>21.24</v>
      </c>
    </row>
    <row r="49" spans="1:5">
      <c r="A49" s="12" t="s">
        <v>58</v>
      </c>
      <c r="B49" s="44" t="s">
        <v>88</v>
      </c>
      <c r="C49" s="45">
        <v>2E-3</v>
      </c>
      <c r="D49" s="13">
        <f t="shared" si="4"/>
        <v>7.08</v>
      </c>
    </row>
    <row r="50" spans="1:5">
      <c r="A50" s="16" t="s">
        <v>60</v>
      </c>
      <c r="B50" s="50" t="s">
        <v>89</v>
      </c>
      <c r="C50" s="45">
        <v>0.08</v>
      </c>
      <c r="D50" s="13">
        <f t="shared" si="4"/>
        <v>283.23</v>
      </c>
    </row>
    <row r="51" spans="1:5" ht="13.5" thickBot="1">
      <c r="A51" s="290" t="s">
        <v>90</v>
      </c>
      <c r="B51" s="292"/>
      <c r="C51" s="51">
        <f t="shared" ref="C51:D51" si="5">SUM(C43:C50)</f>
        <v>0.36800000000000005</v>
      </c>
      <c r="D51" s="52">
        <f t="shared" si="5"/>
        <v>1302.8700000000001</v>
      </c>
    </row>
    <row r="52" spans="1:5">
      <c r="A52" s="53" t="s">
        <v>91</v>
      </c>
      <c r="B52" s="54"/>
      <c r="C52" s="55"/>
      <c r="D52" s="56"/>
      <c r="E52" s="33"/>
    </row>
    <row r="53" spans="1:5">
      <c r="A53" s="53" t="s">
        <v>92</v>
      </c>
      <c r="B53" s="54"/>
      <c r="C53" s="55"/>
      <c r="D53" s="56"/>
      <c r="E53" s="33"/>
    </row>
    <row r="54" spans="1:5" ht="13.5" thickBot="1">
      <c r="A54" s="33" t="s">
        <v>93</v>
      </c>
      <c r="B54" s="54"/>
      <c r="C54" s="55"/>
      <c r="D54" s="56"/>
      <c r="E54" s="33"/>
    </row>
    <row r="55" spans="1:5" ht="13.5" thickBot="1">
      <c r="A55" s="273" t="s">
        <v>94</v>
      </c>
      <c r="B55" s="274"/>
      <c r="C55" s="274"/>
      <c r="D55" s="275"/>
    </row>
    <row r="56" spans="1:5" ht="13.5" thickBot="1">
      <c r="A56" s="37" t="s">
        <v>95</v>
      </c>
      <c r="B56" s="319" t="s">
        <v>96</v>
      </c>
      <c r="C56" s="270"/>
      <c r="D56" s="57" t="s">
        <v>50</v>
      </c>
    </row>
    <row r="57" spans="1:5">
      <c r="A57" s="3" t="s">
        <v>28</v>
      </c>
      <c r="B57" s="94" t="s">
        <v>97</v>
      </c>
      <c r="C57" s="95">
        <v>15</v>
      </c>
      <c r="D57" s="13">
        <f>5.5*2*C57-6%*D21</f>
        <v>1.5954000000000121</v>
      </c>
    </row>
    <row r="58" spans="1:5">
      <c r="A58" s="5" t="s">
        <v>31</v>
      </c>
      <c r="B58" s="93" t="s">
        <v>98</v>
      </c>
      <c r="C58" s="96">
        <v>15</v>
      </c>
      <c r="D58" s="58">
        <f>C58*47.37</f>
        <v>710.55</v>
      </c>
    </row>
    <row r="59" spans="1:5">
      <c r="A59" s="5" t="s">
        <v>72</v>
      </c>
      <c r="B59" s="59" t="s">
        <v>99</v>
      </c>
      <c r="C59" s="60"/>
      <c r="D59" s="58">
        <v>0</v>
      </c>
    </row>
    <row r="60" spans="1:5">
      <c r="A60" s="5" t="s">
        <v>54</v>
      </c>
      <c r="B60" s="61" t="s">
        <v>100</v>
      </c>
      <c r="C60" s="60"/>
      <c r="D60" s="58">
        <v>0</v>
      </c>
    </row>
    <row r="61" spans="1:5">
      <c r="A61" s="3" t="s">
        <v>101</v>
      </c>
      <c r="B61" s="282" t="s">
        <v>102</v>
      </c>
      <c r="C61" s="283"/>
      <c r="D61" s="13">
        <v>0</v>
      </c>
    </row>
    <row r="62" spans="1:5">
      <c r="A62" s="5" t="s">
        <v>86</v>
      </c>
      <c r="B62" s="284" t="s">
        <v>103</v>
      </c>
      <c r="C62" s="285"/>
      <c r="D62" s="58">
        <v>0</v>
      </c>
    </row>
    <row r="63" spans="1:5" ht="13.5" thickBot="1">
      <c r="A63" s="5" t="s">
        <v>104</v>
      </c>
      <c r="B63" s="59" t="s">
        <v>105</v>
      </c>
      <c r="C63" s="60"/>
      <c r="D63" s="58">
        <v>0</v>
      </c>
    </row>
    <row r="64" spans="1:5" ht="13.5" thickBot="1">
      <c r="A64" s="286" t="s">
        <v>106</v>
      </c>
      <c r="B64" s="287" t="s">
        <v>106</v>
      </c>
      <c r="C64" s="287"/>
      <c r="D64" s="62">
        <f>SUM(D57:D63)</f>
        <v>712.1454</v>
      </c>
    </row>
    <row r="65" spans="1:4">
      <c r="A65" s="53" t="s">
        <v>107</v>
      </c>
      <c r="B65" s="63"/>
      <c r="C65" s="63"/>
      <c r="D65" s="64"/>
    </row>
    <row r="66" spans="1:4" ht="13.5" thickBot="1">
      <c r="A66" s="281" t="s">
        <v>108</v>
      </c>
      <c r="B66" s="281"/>
      <c r="C66" s="281"/>
      <c r="D66" s="281"/>
    </row>
    <row r="67" spans="1:4" ht="13.5" thickBot="1">
      <c r="A67" s="273" t="s">
        <v>109</v>
      </c>
      <c r="B67" s="274"/>
      <c r="C67" s="274"/>
      <c r="D67" s="275"/>
    </row>
    <row r="68" spans="1:4" ht="13.5" thickBot="1">
      <c r="A68" s="65">
        <v>2</v>
      </c>
      <c r="B68" s="268" t="s">
        <v>110</v>
      </c>
      <c r="C68" s="270"/>
      <c r="D68" s="67" t="s">
        <v>111</v>
      </c>
    </row>
    <row r="69" spans="1:4" ht="13.5" thickBot="1">
      <c r="A69" s="68" t="s">
        <v>66</v>
      </c>
      <c r="B69" s="271" t="s">
        <v>67</v>
      </c>
      <c r="C69" s="272"/>
      <c r="D69" s="121">
        <f>D37</f>
        <v>989.49</v>
      </c>
    </row>
    <row r="70" spans="1:4" ht="13.5" thickBot="1">
      <c r="A70" s="68" t="s">
        <v>79</v>
      </c>
      <c r="B70" s="271" t="s">
        <v>80</v>
      </c>
      <c r="C70" s="272"/>
      <c r="D70" s="69">
        <f>D51</f>
        <v>1302.8700000000001</v>
      </c>
    </row>
    <row r="71" spans="1:4" ht="13.5" thickBot="1">
      <c r="A71" s="68" t="s">
        <v>95</v>
      </c>
      <c r="B71" s="266" t="s">
        <v>96</v>
      </c>
      <c r="C71" s="267"/>
      <c r="D71" s="69">
        <f>D64</f>
        <v>712.1454</v>
      </c>
    </row>
    <row r="72" spans="1:4" ht="13.5" thickBot="1">
      <c r="A72" s="268" t="s">
        <v>112</v>
      </c>
      <c r="B72" s="269"/>
      <c r="C72" s="270"/>
      <c r="D72" s="70">
        <f>SUM(D69:D71)</f>
        <v>3004.5054</v>
      </c>
    </row>
    <row r="73" spans="1:4" ht="13.5" thickBot="1">
      <c r="A73" s="273" t="s">
        <v>113</v>
      </c>
      <c r="B73" s="274"/>
      <c r="C73" s="274"/>
      <c r="D73" s="275"/>
    </row>
    <row r="74" spans="1:4" ht="13.5" thickBot="1">
      <c r="A74" s="65">
        <v>3</v>
      </c>
      <c r="B74" s="48" t="s">
        <v>114</v>
      </c>
      <c r="C74" s="71" t="s">
        <v>115</v>
      </c>
      <c r="D74" s="67" t="s">
        <v>111</v>
      </c>
    </row>
    <row r="75" spans="1:4" ht="13.5" thickBot="1">
      <c r="A75" s="68" t="s">
        <v>116</v>
      </c>
      <c r="B75" s="72" t="s">
        <v>117</v>
      </c>
      <c r="C75" s="73">
        <v>4.1999999999999997E-3</v>
      </c>
      <c r="D75" s="69">
        <f t="shared" ref="D75:D80" si="6">C75*$D$28</f>
        <v>14.869805999999999</v>
      </c>
    </row>
    <row r="76" spans="1:4" ht="13.5" thickBot="1">
      <c r="A76" s="68" t="s">
        <v>118</v>
      </c>
      <c r="B76" s="72" t="s">
        <v>119</v>
      </c>
      <c r="C76" s="73">
        <f>8%*C75</f>
        <v>3.3599999999999998E-4</v>
      </c>
      <c r="D76" s="69">
        <f t="shared" si="6"/>
        <v>1.1895844799999999</v>
      </c>
    </row>
    <row r="77" spans="1:4" ht="13.5" thickBot="1">
      <c r="A77" s="68" t="s">
        <v>72</v>
      </c>
      <c r="B77" s="72" t="s">
        <v>120</v>
      </c>
      <c r="C77" s="74">
        <v>3.9800000000000002E-2</v>
      </c>
      <c r="D77" s="69">
        <f t="shared" si="6"/>
        <v>140.90911399999999</v>
      </c>
    </row>
    <row r="78" spans="1:4" ht="13.5" thickBot="1">
      <c r="A78" s="68" t="s">
        <v>37</v>
      </c>
      <c r="B78" s="72" t="s">
        <v>121</v>
      </c>
      <c r="C78" s="73">
        <v>1.9400000000000001E-2</v>
      </c>
      <c r="D78" s="69">
        <f t="shared" si="6"/>
        <v>68.684342000000001</v>
      </c>
    </row>
    <row r="79" spans="1:4" ht="26.25" thickBot="1">
      <c r="A79" s="68" t="s">
        <v>101</v>
      </c>
      <c r="B79" s="72" t="s">
        <v>122</v>
      </c>
      <c r="C79" s="73">
        <f>1*36.8%*C78</f>
        <v>7.1392000000000001E-3</v>
      </c>
      <c r="D79" s="69">
        <f t="shared" si="6"/>
        <v>25.275837855999999</v>
      </c>
    </row>
    <row r="80" spans="1:4" ht="13.5" thickBot="1">
      <c r="A80" s="68" t="s">
        <v>123</v>
      </c>
      <c r="B80" s="72" t="s">
        <v>124</v>
      </c>
      <c r="C80" s="74">
        <v>2.0000000000000001E-4</v>
      </c>
      <c r="D80" s="69">
        <f t="shared" si="6"/>
        <v>0.70808599999999999</v>
      </c>
    </row>
    <row r="81" spans="1:6" ht="13.5" thickBot="1">
      <c r="A81" s="268" t="s">
        <v>112</v>
      </c>
      <c r="B81" s="270"/>
      <c r="C81" s="75">
        <f t="shared" ref="C81:D81" si="7">SUM(C75:C80)</f>
        <v>7.1075200000000005E-2</v>
      </c>
      <c r="D81" s="76">
        <f t="shared" si="7"/>
        <v>251.63677033600001</v>
      </c>
    </row>
    <row r="82" spans="1:6" ht="36.75" customHeight="1" thickBot="1">
      <c r="A82" s="288" t="s">
        <v>125</v>
      </c>
      <c r="B82" s="288"/>
      <c r="C82" s="288"/>
      <c r="D82" s="288"/>
      <c r="F82" s="98"/>
    </row>
    <row r="83" spans="1:6" ht="13.5" thickBot="1">
      <c r="A83" s="273" t="s">
        <v>126</v>
      </c>
      <c r="B83" s="274"/>
      <c r="C83" s="274"/>
      <c r="D83" s="275"/>
    </row>
    <row r="84" spans="1:6" ht="13.5" thickBot="1">
      <c r="A84" s="268" t="s">
        <v>127</v>
      </c>
      <c r="B84" s="269"/>
      <c r="C84" s="269"/>
      <c r="D84" s="270"/>
    </row>
    <row r="85" spans="1:6" ht="13.5" thickBot="1">
      <c r="A85" s="65" t="s">
        <v>128</v>
      </c>
      <c r="B85" s="66" t="s">
        <v>129</v>
      </c>
      <c r="C85" s="65" t="s">
        <v>115</v>
      </c>
      <c r="D85" s="67" t="s">
        <v>111</v>
      </c>
    </row>
    <row r="86" spans="1:6" ht="13.5" thickBot="1">
      <c r="A86" s="68" t="s">
        <v>116</v>
      </c>
      <c r="B86" s="72" t="s">
        <v>130</v>
      </c>
      <c r="C86" s="77">
        <v>0</v>
      </c>
      <c r="D86" s="78">
        <f>C86*$D$28</f>
        <v>0</v>
      </c>
    </row>
    <row r="87" spans="1:6" ht="13.5" thickBot="1">
      <c r="A87" s="68" t="s">
        <v>118</v>
      </c>
      <c r="B87" s="72" t="s">
        <v>131</v>
      </c>
      <c r="C87" s="79">
        <v>4.1999999999999997E-3</v>
      </c>
      <c r="D87" s="78">
        <f>C87*$D$28</f>
        <v>14.869805999999999</v>
      </c>
    </row>
    <row r="88" spans="1:6" ht="13.5" thickBot="1">
      <c r="A88" s="68" t="s">
        <v>72</v>
      </c>
      <c r="B88" s="72" t="s">
        <v>132</v>
      </c>
      <c r="C88" s="79">
        <v>2.0000000000000001E-4</v>
      </c>
      <c r="D88" s="78">
        <f>C88*$D$28</f>
        <v>0.70808599999999999</v>
      </c>
    </row>
    <row r="89" spans="1:6" ht="26.25" thickBot="1">
      <c r="A89" s="68" t="s">
        <v>37</v>
      </c>
      <c r="B89" s="72" t="s">
        <v>133</v>
      </c>
      <c r="C89" s="79">
        <v>4.1999999999999997E-3</v>
      </c>
      <c r="D89" s="78">
        <f>C89*$D$28</f>
        <v>14.869805999999999</v>
      </c>
    </row>
    <row r="90" spans="1:6" ht="13.5" thickBot="1">
      <c r="A90" s="68" t="s">
        <v>101</v>
      </c>
      <c r="B90" s="72" t="s">
        <v>134</v>
      </c>
      <c r="C90" s="79">
        <v>2.0000000000000001E-4</v>
      </c>
      <c r="D90" s="78">
        <f>C90*$D$28</f>
        <v>0.70808599999999999</v>
      </c>
    </row>
    <row r="91" spans="1:6" ht="39" thickBot="1">
      <c r="A91" s="117" t="s">
        <v>123</v>
      </c>
      <c r="B91" s="118" t="s">
        <v>135</v>
      </c>
      <c r="C91" s="119">
        <f>SUM(C86:C90)*C51</f>
        <v>3.2384000000000007E-3</v>
      </c>
      <c r="D91" s="120">
        <f t="shared" ref="D91" si="8">C91*$D$28</f>
        <v>11.465328512000001</v>
      </c>
      <c r="E91" s="80" t="s">
        <v>136</v>
      </c>
    </row>
    <row r="92" spans="1:6" ht="13.5" thickBot="1">
      <c r="A92" s="268" t="s">
        <v>74</v>
      </c>
      <c r="B92" s="269"/>
      <c r="C92" s="81">
        <f t="shared" ref="C92:D92" si="9">SUM(C86:C91)</f>
        <v>1.2038400000000001E-2</v>
      </c>
      <c r="D92" s="76">
        <f t="shared" si="9"/>
        <v>42.621112511999996</v>
      </c>
    </row>
    <row r="93" spans="1:6" ht="33.75" customHeight="1" thickBot="1">
      <c r="A93" s="324" t="s">
        <v>137</v>
      </c>
      <c r="B93" s="324"/>
      <c r="C93" s="324"/>
      <c r="D93" s="324"/>
    </row>
    <row r="94" spans="1:6" ht="13.5" thickBot="1">
      <c r="A94" s="273" t="s">
        <v>138</v>
      </c>
      <c r="B94" s="274"/>
      <c r="C94" s="274"/>
      <c r="D94" s="275"/>
    </row>
    <row r="95" spans="1:6" ht="13.5" thickBot="1">
      <c r="A95" s="65" t="s">
        <v>139</v>
      </c>
      <c r="B95" s="268" t="s">
        <v>140</v>
      </c>
      <c r="C95" s="270"/>
      <c r="D95" s="67" t="s">
        <v>111</v>
      </c>
    </row>
    <row r="96" spans="1:6" ht="13.5" thickBot="1">
      <c r="A96" s="68" t="s">
        <v>116</v>
      </c>
      <c r="B96" s="266" t="s">
        <v>141</v>
      </c>
      <c r="C96" s="267"/>
      <c r="D96" s="69">
        <v>0</v>
      </c>
    </row>
    <row r="97" spans="1:4" ht="13.5" thickBot="1">
      <c r="A97" s="268" t="s">
        <v>112</v>
      </c>
      <c r="B97" s="269"/>
      <c r="C97" s="270"/>
      <c r="D97" s="69">
        <f>SUM(D96)</f>
        <v>0</v>
      </c>
    </row>
    <row r="98" spans="1:4" ht="13.5" thickBot="1">
      <c r="A98" s="82"/>
      <c r="C98" s="83"/>
      <c r="D98" s="84"/>
    </row>
    <row r="99" spans="1:4" ht="13.5" thickBot="1">
      <c r="A99" s="273" t="s">
        <v>142</v>
      </c>
      <c r="B99" s="274"/>
      <c r="C99" s="274"/>
      <c r="D99" s="275"/>
    </row>
    <row r="100" spans="1:4" ht="13.5" thickBot="1">
      <c r="A100" s="65">
        <v>4</v>
      </c>
      <c r="B100" s="268" t="s">
        <v>143</v>
      </c>
      <c r="C100" s="270"/>
      <c r="D100" s="67" t="s">
        <v>111</v>
      </c>
    </row>
    <row r="101" spans="1:4" ht="13.5" thickBot="1">
      <c r="A101" s="68" t="s">
        <v>128</v>
      </c>
      <c r="B101" s="266" t="s">
        <v>129</v>
      </c>
      <c r="C101" s="267"/>
      <c r="D101" s="69">
        <f>D92</f>
        <v>42.621112511999996</v>
      </c>
    </row>
    <row r="102" spans="1:4" ht="13.5" thickBot="1">
      <c r="A102" s="68" t="s">
        <v>139</v>
      </c>
      <c r="B102" s="266" t="s">
        <v>140</v>
      </c>
      <c r="C102" s="267"/>
      <c r="D102" s="69">
        <f>D97</f>
        <v>0</v>
      </c>
    </row>
    <row r="103" spans="1:4" ht="13.5" thickBot="1">
      <c r="A103" s="268" t="s">
        <v>112</v>
      </c>
      <c r="B103" s="269"/>
      <c r="C103" s="270"/>
      <c r="D103" s="76">
        <f>SUM(D101:D102)</f>
        <v>42.621112511999996</v>
      </c>
    </row>
    <row r="104" spans="1:4" ht="13.5" thickBot="1">
      <c r="A104" s="82"/>
      <c r="C104" s="83"/>
      <c r="D104" s="84"/>
    </row>
    <row r="105" spans="1:4" ht="13.5" thickBot="1">
      <c r="A105" s="273" t="s">
        <v>144</v>
      </c>
      <c r="B105" s="274"/>
      <c r="C105" s="274"/>
      <c r="D105" s="275"/>
    </row>
    <row r="106" spans="1:4" ht="13.5" thickBot="1">
      <c r="A106" s="65">
        <v>5</v>
      </c>
      <c r="B106" s="268" t="s">
        <v>145</v>
      </c>
      <c r="C106" s="270"/>
      <c r="D106" s="67" t="s">
        <v>111</v>
      </c>
    </row>
    <row r="107" spans="1:4" ht="13.5" thickBot="1">
      <c r="A107" s="68" t="s">
        <v>116</v>
      </c>
      <c r="B107" s="266" t="s">
        <v>146</v>
      </c>
      <c r="C107" s="267"/>
      <c r="D107" s="69">
        <f>UNIFORMES!G15</f>
        <v>60.003333333333337</v>
      </c>
    </row>
    <row r="108" spans="1:4" ht="13.5" thickBot="1">
      <c r="A108" s="68" t="s">
        <v>118</v>
      </c>
      <c r="B108" s="276" t="s">
        <v>147</v>
      </c>
      <c r="C108" s="277"/>
      <c r="D108" s="69">
        <f>MATERIAIS!F15</f>
        <v>89.464501557632403</v>
      </c>
    </row>
    <row r="109" spans="1:4" ht="13.5" thickBot="1">
      <c r="A109" s="68" t="s">
        <v>72</v>
      </c>
      <c r="B109" s="276" t="s">
        <v>148</v>
      </c>
      <c r="C109" s="277"/>
      <c r="D109" s="69">
        <v>0</v>
      </c>
    </row>
    <row r="110" spans="1:4" ht="13.5" thickBot="1">
      <c r="A110" s="68" t="s">
        <v>37</v>
      </c>
      <c r="B110" s="266" t="s">
        <v>149</v>
      </c>
      <c r="C110" s="267"/>
      <c r="D110" s="69">
        <v>0</v>
      </c>
    </row>
    <row r="111" spans="1:4" ht="15.75" thickBot="1">
      <c r="A111" s="85" t="s">
        <v>101</v>
      </c>
      <c r="B111" s="266" t="s">
        <v>150</v>
      </c>
      <c r="C111" s="278"/>
      <c r="D111" s="69">
        <v>0</v>
      </c>
    </row>
    <row r="112" spans="1:4" ht="13.5" thickBot="1">
      <c r="A112" s="268" t="s">
        <v>74</v>
      </c>
      <c r="B112" s="269"/>
      <c r="C112" s="270"/>
      <c r="D112" s="70">
        <f>SUM(D107:D111)</f>
        <v>149.46783489096575</v>
      </c>
    </row>
    <row r="113" spans="1:5" ht="13.5" thickBot="1">
      <c r="A113" s="82"/>
      <c r="C113" s="83"/>
      <c r="D113" s="84"/>
    </row>
    <row r="114" spans="1:5" ht="13.5" thickBot="1">
      <c r="A114" s="273" t="s">
        <v>151</v>
      </c>
      <c r="B114" s="274"/>
      <c r="C114" s="274"/>
      <c r="D114" s="275"/>
    </row>
    <row r="115" spans="1:5" ht="13.5" thickBot="1">
      <c r="A115" s="65">
        <v>6</v>
      </c>
      <c r="B115" s="86" t="s">
        <v>152</v>
      </c>
      <c r="C115" s="48" t="s">
        <v>115</v>
      </c>
      <c r="D115" s="67" t="s">
        <v>111</v>
      </c>
    </row>
    <row r="116" spans="1:5" ht="13.5" thickBot="1">
      <c r="A116" s="68" t="s">
        <v>116</v>
      </c>
      <c r="B116" s="87" t="s">
        <v>153</v>
      </c>
      <c r="C116" s="79">
        <v>4.4999999999999998E-2</v>
      </c>
      <c r="D116" s="69">
        <f>C116*D134</f>
        <v>314.48975029825345</v>
      </c>
    </row>
    <row r="117" spans="1:5" ht="13.5" thickBot="1">
      <c r="A117" s="68" t="s">
        <v>118</v>
      </c>
      <c r="B117" s="87" t="s">
        <v>154</v>
      </c>
      <c r="C117" s="79">
        <v>4.4999999999999998E-2</v>
      </c>
      <c r="D117" s="69">
        <f>(D134+D116)*C117</f>
        <v>328.64178906167484</v>
      </c>
    </row>
    <row r="118" spans="1:5" ht="13.5" thickBot="1">
      <c r="A118" s="68" t="s">
        <v>72</v>
      </c>
      <c r="B118" s="87" t="s">
        <v>155</v>
      </c>
      <c r="C118" s="79">
        <f>C119+C120+C121</f>
        <v>0.14250000000000002</v>
      </c>
      <c r="D118" s="69">
        <f>((D134+D116+D117)/(1-C118))*C118</f>
        <v>1268.2570887890292</v>
      </c>
      <c r="E118" s="88"/>
    </row>
    <row r="119" spans="1:5" ht="13.5" thickBot="1">
      <c r="A119" s="68"/>
      <c r="B119" s="87" t="s">
        <v>156</v>
      </c>
      <c r="C119" s="79">
        <v>9.2499999999999999E-2</v>
      </c>
      <c r="D119" s="69">
        <f>C119*D136</f>
        <v>823.25462499999992</v>
      </c>
    </row>
    <row r="120" spans="1:5" ht="13.5" thickBot="1">
      <c r="A120" s="68"/>
      <c r="B120" s="87" t="s">
        <v>157</v>
      </c>
      <c r="C120" s="89">
        <v>0.05</v>
      </c>
      <c r="D120" s="69">
        <f>C120*D136</f>
        <v>445.0025</v>
      </c>
    </row>
    <row r="121" spans="1:5" ht="13.5" thickBot="1">
      <c r="A121" s="68"/>
      <c r="B121" s="87" t="s">
        <v>158</v>
      </c>
      <c r="C121" s="89">
        <v>0</v>
      </c>
      <c r="D121" s="69">
        <f>C121*D136</f>
        <v>0</v>
      </c>
    </row>
    <row r="122" spans="1:5" ht="13.5" thickBot="1">
      <c r="A122" s="268" t="s">
        <v>74</v>
      </c>
      <c r="B122" s="270"/>
      <c r="C122" s="81">
        <f>C118+C116+C117</f>
        <v>0.23249999999999998</v>
      </c>
      <c r="D122" s="67">
        <f>SUM(D116,D117,D118)</f>
        <v>1911.3886281489577</v>
      </c>
    </row>
    <row r="123" spans="1:5">
      <c r="A123" s="53" t="s">
        <v>159</v>
      </c>
      <c r="C123" s="83"/>
      <c r="D123" s="84"/>
    </row>
    <row r="124" spans="1:5">
      <c r="A124" s="281" t="s">
        <v>160</v>
      </c>
      <c r="B124" s="281"/>
      <c r="C124" s="281"/>
      <c r="D124" s="281"/>
    </row>
    <row r="125" spans="1:5">
      <c r="A125" s="53" t="s">
        <v>161</v>
      </c>
      <c r="C125" s="83"/>
      <c r="D125" s="84"/>
    </row>
    <row r="126" spans="1:5" ht="13.5" thickBot="1">
      <c r="A126" s="82"/>
      <c r="C126" s="83"/>
      <c r="D126" s="84"/>
    </row>
    <row r="127" spans="1:5" ht="13.5" thickBot="1">
      <c r="A127" s="273" t="s">
        <v>162</v>
      </c>
      <c r="B127" s="274"/>
      <c r="C127" s="274"/>
      <c r="D127" s="275"/>
    </row>
    <row r="128" spans="1:5" ht="13.5" thickBot="1">
      <c r="A128" s="65"/>
      <c r="B128" s="279" t="s">
        <v>163</v>
      </c>
      <c r="C128" s="280"/>
      <c r="D128" s="67" t="s">
        <v>111</v>
      </c>
    </row>
    <row r="129" spans="1:4" ht="13.5" thickBot="1">
      <c r="A129" s="90" t="s">
        <v>116</v>
      </c>
      <c r="B129" s="271" t="s">
        <v>48</v>
      </c>
      <c r="C129" s="272"/>
      <c r="D129" s="69">
        <f>D28</f>
        <v>3540.43</v>
      </c>
    </row>
    <row r="130" spans="1:4" ht="13.5" thickBot="1">
      <c r="A130" s="90" t="s">
        <v>118</v>
      </c>
      <c r="B130" s="266" t="s">
        <v>64</v>
      </c>
      <c r="C130" s="267"/>
      <c r="D130" s="69">
        <f>D72</f>
        <v>3004.5054</v>
      </c>
    </row>
    <row r="131" spans="1:4" ht="13.5" thickBot="1">
      <c r="A131" s="90" t="s">
        <v>72</v>
      </c>
      <c r="B131" s="266" t="s">
        <v>113</v>
      </c>
      <c r="C131" s="267"/>
      <c r="D131" s="69">
        <f>D81</f>
        <v>251.63677033600001</v>
      </c>
    </row>
    <row r="132" spans="1:4" ht="13.5" thickBot="1">
      <c r="A132" s="90" t="s">
        <v>37</v>
      </c>
      <c r="B132" s="266" t="s">
        <v>126</v>
      </c>
      <c r="C132" s="267"/>
      <c r="D132" s="69">
        <f>D103</f>
        <v>42.621112511999996</v>
      </c>
    </row>
    <row r="133" spans="1:4" ht="13.5" thickBot="1">
      <c r="A133" s="90" t="s">
        <v>101</v>
      </c>
      <c r="B133" s="266" t="s">
        <v>144</v>
      </c>
      <c r="C133" s="267"/>
      <c r="D133" s="69">
        <f>D112</f>
        <v>149.46783489096575</v>
      </c>
    </row>
    <row r="134" spans="1:4" ht="13.5" thickBot="1">
      <c r="A134" s="268" t="s">
        <v>164</v>
      </c>
      <c r="B134" s="269"/>
      <c r="C134" s="270"/>
      <c r="D134" s="69">
        <f>SUM(D129:D133)</f>
        <v>6988.6611177389659</v>
      </c>
    </row>
    <row r="135" spans="1:4" ht="13.5" thickBot="1">
      <c r="A135" s="90" t="s">
        <v>123</v>
      </c>
      <c r="B135" s="271" t="s">
        <v>165</v>
      </c>
      <c r="C135" s="272"/>
      <c r="D135" s="91">
        <f>D122</f>
        <v>1911.3886281489577</v>
      </c>
    </row>
    <row r="136" spans="1:4" ht="13.5" thickBot="1">
      <c r="A136" s="268" t="s">
        <v>166</v>
      </c>
      <c r="B136" s="269"/>
      <c r="C136" s="270"/>
      <c r="D136" s="92">
        <f>ROUND((D134+D135),2)</f>
        <v>8900.0499999999993</v>
      </c>
    </row>
    <row r="137" spans="1:4" ht="15" customHeight="1" thickBot="1">
      <c r="A137" s="268" t="s">
        <v>167</v>
      </c>
      <c r="B137" s="269"/>
      <c r="C137" s="270"/>
      <c r="D137" s="92">
        <f>D136*2</f>
        <v>17800.099999999999</v>
      </c>
    </row>
  </sheetData>
  <mergeCells count="84">
    <mergeCell ref="A137:C137"/>
    <mergeCell ref="A13:D13"/>
    <mergeCell ref="A1:D1"/>
    <mergeCell ref="A2:D2"/>
    <mergeCell ref="A3:D3"/>
    <mergeCell ref="A4:D4"/>
    <mergeCell ref="A5:D5"/>
    <mergeCell ref="B102:C102"/>
    <mergeCell ref="B95:C95"/>
    <mergeCell ref="B100:C100"/>
    <mergeCell ref="B101:C101"/>
    <mergeCell ref="A66:D66"/>
    <mergeCell ref="A67:D67"/>
    <mergeCell ref="A93:D93"/>
    <mergeCell ref="A94:D94"/>
    <mergeCell ref="A40:D40"/>
    <mergeCell ref="A41:D41"/>
    <mergeCell ref="A35:B35"/>
    <mergeCell ref="A38:D38"/>
    <mergeCell ref="A39:D39"/>
    <mergeCell ref="B56:C56"/>
    <mergeCell ref="A55:D55"/>
    <mergeCell ref="A51:B51"/>
    <mergeCell ref="A37:B37"/>
    <mergeCell ref="A31:D31"/>
    <mergeCell ref="A6:D6"/>
    <mergeCell ref="A8:D8"/>
    <mergeCell ref="B12:C12"/>
    <mergeCell ref="C14:D14"/>
    <mergeCell ref="B16:C16"/>
    <mergeCell ref="B18:C18"/>
    <mergeCell ref="A19:D19"/>
    <mergeCell ref="B23:C23"/>
    <mergeCell ref="B15:C15"/>
    <mergeCell ref="B20:C20"/>
    <mergeCell ref="B21:C21"/>
    <mergeCell ref="A7:D7"/>
    <mergeCell ref="B9:C9"/>
    <mergeCell ref="B10:C10"/>
    <mergeCell ref="B11:C11"/>
    <mergeCell ref="B25:C25"/>
    <mergeCell ref="B26:C26"/>
    <mergeCell ref="B27:C27"/>
    <mergeCell ref="A28:C28"/>
    <mergeCell ref="A30:D30"/>
    <mergeCell ref="A92:B92"/>
    <mergeCell ref="B61:C61"/>
    <mergeCell ref="B62:C62"/>
    <mergeCell ref="A64:C64"/>
    <mergeCell ref="B68:C68"/>
    <mergeCell ref="B69:C69"/>
    <mergeCell ref="B70:C70"/>
    <mergeCell ref="A83:D83"/>
    <mergeCell ref="A84:D84"/>
    <mergeCell ref="B71:C71"/>
    <mergeCell ref="A72:C72"/>
    <mergeCell ref="A73:D73"/>
    <mergeCell ref="A81:B81"/>
    <mergeCell ref="A82:D82"/>
    <mergeCell ref="A136:C136"/>
    <mergeCell ref="B107:C107"/>
    <mergeCell ref="B108:C108"/>
    <mergeCell ref="B109:C109"/>
    <mergeCell ref="B110:C110"/>
    <mergeCell ref="B111:C111"/>
    <mergeCell ref="A112:C112"/>
    <mergeCell ref="B128:C128"/>
    <mergeCell ref="B130:C130"/>
    <mergeCell ref="B131:C131"/>
    <mergeCell ref="B132:C132"/>
    <mergeCell ref="A114:D114"/>
    <mergeCell ref="A124:D124"/>
    <mergeCell ref="A122:B122"/>
    <mergeCell ref="B129:C129"/>
    <mergeCell ref="A127:D127"/>
    <mergeCell ref="B133:C133"/>
    <mergeCell ref="A134:C134"/>
    <mergeCell ref="B135:C135"/>
    <mergeCell ref="B96:C96"/>
    <mergeCell ref="A97:C97"/>
    <mergeCell ref="A99:D99"/>
    <mergeCell ref="A103:C103"/>
    <mergeCell ref="A105:D105"/>
    <mergeCell ref="B106:C106"/>
  </mergeCells>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7"/>
  <sheetViews>
    <sheetView topLeftCell="A112" workbookViewId="0">
      <selection activeCell="C118" sqref="C118"/>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f>'VIGILÂNCIA 12X36 DIURNA ARMADA'!D15</f>
        <v>2723.41</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2723.41</v>
      </c>
    </row>
    <row r="22" spans="1:4">
      <c r="A22" s="147" t="s">
        <v>31</v>
      </c>
      <c r="B22" s="148" t="s">
        <v>52</v>
      </c>
      <c r="C22" s="149">
        <v>0.3</v>
      </c>
      <c r="D22" s="150">
        <f t="shared" ref="D22" si="0">C22*D21</f>
        <v>817.02299999999991</v>
      </c>
    </row>
    <row r="23" spans="1:4">
      <c r="A23" s="147" t="s">
        <v>34</v>
      </c>
      <c r="B23" s="349" t="s">
        <v>53</v>
      </c>
      <c r="C23" s="349"/>
      <c r="D23" s="150">
        <v>0</v>
      </c>
    </row>
    <row r="24" spans="1:4">
      <c r="A24" s="147" t="s">
        <v>54</v>
      </c>
      <c r="B24" s="148" t="s">
        <v>55</v>
      </c>
      <c r="C24" s="151">
        <v>0.2</v>
      </c>
      <c r="D24" s="150">
        <f>(D21+D22)/(220)*(20%)*(120)</f>
        <v>386.22905454545457</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3926.66</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327.08999999999997</v>
      </c>
    </row>
    <row r="34" spans="1:4">
      <c r="A34" s="136" t="s">
        <v>31</v>
      </c>
      <c r="B34" s="166" t="s">
        <v>70</v>
      </c>
      <c r="C34" s="49">
        <v>0.121</v>
      </c>
      <c r="D34" s="125">
        <f t="shared" ref="D34" si="3">ROUND(D$28*C34,2)</f>
        <v>475.13</v>
      </c>
    </row>
    <row r="35" spans="1:4" ht="13.5" thickBot="1">
      <c r="A35" s="335" t="s">
        <v>71</v>
      </c>
      <c r="B35" s="336"/>
      <c r="C35" s="167">
        <f>SUM(A33:C34)</f>
        <v>0.20429999999999998</v>
      </c>
      <c r="D35" s="125">
        <f>SUM(D33:D34)</f>
        <v>802.22</v>
      </c>
    </row>
    <row r="36" spans="1:4" ht="25.5">
      <c r="A36" s="122" t="s">
        <v>72</v>
      </c>
      <c r="B36" s="123" t="s">
        <v>73</v>
      </c>
      <c r="C36" s="124">
        <f>C35*C51</f>
        <v>7.5182399999999996E-2</v>
      </c>
      <c r="D36" s="125">
        <f>ROUND(D$28*C36,2)</f>
        <v>295.22000000000003</v>
      </c>
    </row>
    <row r="37" spans="1:4">
      <c r="A37" s="337" t="s">
        <v>74</v>
      </c>
      <c r="B37" s="338"/>
      <c r="C37" s="168"/>
      <c r="D37" s="125">
        <f>SUM(D35:D36)</f>
        <v>1097.44</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785.33</v>
      </c>
    </row>
    <row r="44" spans="1:4">
      <c r="A44" s="136" t="s">
        <v>31</v>
      </c>
      <c r="B44" s="166" t="s">
        <v>82</v>
      </c>
      <c r="C44" s="49">
        <v>2.5000000000000001E-2</v>
      </c>
      <c r="D44" s="125">
        <f t="shared" ref="D44:D50" si="4">ROUND(D$28*C44,2)</f>
        <v>98.17</v>
      </c>
    </row>
    <row r="45" spans="1:4">
      <c r="A45" s="136" t="s">
        <v>34</v>
      </c>
      <c r="B45" s="166" t="s">
        <v>83</v>
      </c>
      <c r="C45" s="49">
        <v>0.03</v>
      </c>
      <c r="D45" s="125">
        <f t="shared" si="4"/>
        <v>117.8</v>
      </c>
    </row>
    <row r="46" spans="1:4">
      <c r="A46" s="136" t="s">
        <v>54</v>
      </c>
      <c r="B46" s="166" t="s">
        <v>84</v>
      </c>
      <c r="C46" s="49">
        <v>1.4999999999999999E-2</v>
      </c>
      <c r="D46" s="125">
        <f t="shared" si="4"/>
        <v>58.9</v>
      </c>
    </row>
    <row r="47" spans="1:4">
      <c r="A47" s="136" t="s">
        <v>56</v>
      </c>
      <c r="B47" s="166" t="s">
        <v>85</v>
      </c>
      <c r="C47" s="49">
        <v>0.01</v>
      </c>
      <c r="D47" s="125">
        <f t="shared" si="4"/>
        <v>39.270000000000003</v>
      </c>
    </row>
    <row r="48" spans="1:4">
      <c r="A48" s="136" t="s">
        <v>86</v>
      </c>
      <c r="B48" s="166" t="s">
        <v>87</v>
      </c>
      <c r="C48" s="49">
        <v>6.0000000000000001E-3</v>
      </c>
      <c r="D48" s="125">
        <f t="shared" si="4"/>
        <v>23.56</v>
      </c>
    </row>
    <row r="49" spans="1:5">
      <c r="A49" s="136" t="s">
        <v>58</v>
      </c>
      <c r="B49" s="166" t="s">
        <v>88</v>
      </c>
      <c r="C49" s="49">
        <v>2E-3</v>
      </c>
      <c r="D49" s="125">
        <f t="shared" si="4"/>
        <v>7.85</v>
      </c>
    </row>
    <row r="50" spans="1:5">
      <c r="A50" s="122" t="s">
        <v>60</v>
      </c>
      <c r="B50" s="170" t="s">
        <v>89</v>
      </c>
      <c r="C50" s="49">
        <v>0.08</v>
      </c>
      <c r="D50" s="125">
        <f t="shared" si="4"/>
        <v>314.13</v>
      </c>
    </row>
    <row r="51" spans="1:5" ht="13.5" thickBot="1">
      <c r="A51" s="359" t="s">
        <v>90</v>
      </c>
      <c r="B51" s="361"/>
      <c r="C51" s="171">
        <f t="shared" ref="C51:D51" si="5">SUM(C43:C50)</f>
        <v>0.36800000000000005</v>
      </c>
      <c r="D51" s="172">
        <f t="shared" si="5"/>
        <v>1445.0099999999998</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15</v>
      </c>
      <c r="D57" s="125">
        <f>5.5*2*C57-6%*D21</f>
        <v>1.5954000000000121</v>
      </c>
    </row>
    <row r="58" spans="1:5">
      <c r="A58" s="129" t="s">
        <v>31</v>
      </c>
      <c r="B58" s="180" t="s">
        <v>98</v>
      </c>
      <c r="C58" s="181">
        <v>15</v>
      </c>
      <c r="D58" s="182">
        <f>C58*47.37</f>
        <v>710.55</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712.1454</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1097.44</v>
      </c>
    </row>
    <row r="70" spans="1:4" ht="13.5" thickBot="1">
      <c r="A70" s="117" t="s">
        <v>79</v>
      </c>
      <c r="B70" s="333" t="s">
        <v>80</v>
      </c>
      <c r="C70" s="334"/>
      <c r="D70" s="121">
        <f>D51</f>
        <v>1445.0099999999998</v>
      </c>
    </row>
    <row r="71" spans="1:4" ht="13.5" thickBot="1">
      <c r="A71" s="117" t="s">
        <v>95</v>
      </c>
      <c r="B71" s="276" t="s">
        <v>96</v>
      </c>
      <c r="C71" s="277"/>
      <c r="D71" s="121">
        <f>D64</f>
        <v>712.1454</v>
      </c>
    </row>
    <row r="72" spans="1:4" ht="13.5" thickBot="1">
      <c r="A72" s="326" t="s">
        <v>112</v>
      </c>
      <c r="B72" s="327"/>
      <c r="C72" s="328"/>
      <c r="D72" s="192">
        <f>SUM(D69:D71)</f>
        <v>3254.5953999999997</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16.491971999999997</v>
      </c>
    </row>
    <row r="76" spans="1:4" ht="13.5" thickBot="1">
      <c r="A76" s="117" t="s">
        <v>118</v>
      </c>
      <c r="B76" s="118" t="s">
        <v>119</v>
      </c>
      <c r="C76" s="74">
        <f>8%*C75</f>
        <v>3.3599999999999998E-4</v>
      </c>
      <c r="D76" s="121">
        <f t="shared" si="6"/>
        <v>1.3193577599999999</v>
      </c>
    </row>
    <row r="77" spans="1:4" ht="13.5" thickBot="1">
      <c r="A77" s="117" t="s">
        <v>72</v>
      </c>
      <c r="B77" s="118" t="s">
        <v>120</v>
      </c>
      <c r="C77" s="74">
        <v>3.9800000000000002E-2</v>
      </c>
      <c r="D77" s="121">
        <f t="shared" si="6"/>
        <v>156.281068</v>
      </c>
    </row>
    <row r="78" spans="1:4" ht="13.5" thickBot="1">
      <c r="A78" s="117" t="s">
        <v>37</v>
      </c>
      <c r="B78" s="118" t="s">
        <v>121</v>
      </c>
      <c r="C78" s="74">
        <v>1.9400000000000001E-2</v>
      </c>
      <c r="D78" s="121">
        <f t="shared" si="6"/>
        <v>76.177204000000003</v>
      </c>
    </row>
    <row r="79" spans="1:4" ht="26.25" thickBot="1">
      <c r="A79" s="117" t="s">
        <v>101</v>
      </c>
      <c r="B79" s="118" t="s">
        <v>122</v>
      </c>
      <c r="C79" s="74">
        <f>1*36.8%*C78</f>
        <v>7.1392000000000001E-3</v>
      </c>
      <c r="D79" s="121">
        <f t="shared" si="6"/>
        <v>28.033211072</v>
      </c>
    </row>
    <row r="80" spans="1:4" ht="13.5" thickBot="1">
      <c r="A80" s="117" t="s">
        <v>123</v>
      </c>
      <c r="B80" s="118" t="s">
        <v>124</v>
      </c>
      <c r="C80" s="74">
        <v>2.0000000000000001E-4</v>
      </c>
      <c r="D80" s="121">
        <f t="shared" si="6"/>
        <v>0.78533200000000003</v>
      </c>
    </row>
    <row r="81" spans="1:6" ht="13.5" thickBot="1">
      <c r="A81" s="326" t="s">
        <v>112</v>
      </c>
      <c r="B81" s="328"/>
      <c r="C81" s="194">
        <f t="shared" ref="C81:D81" si="7">SUM(C75:C80)</f>
        <v>7.1075200000000005E-2</v>
      </c>
      <c r="D81" s="195">
        <f t="shared" si="7"/>
        <v>279.08814483199995</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16.491971999999997</v>
      </c>
    </row>
    <row r="88" spans="1:6" ht="13.5" thickBot="1">
      <c r="A88" s="117" t="s">
        <v>72</v>
      </c>
      <c r="B88" s="118" t="s">
        <v>132</v>
      </c>
      <c r="C88" s="197">
        <v>2.0000000000000001E-4</v>
      </c>
      <c r="D88" s="120">
        <f>C88*$D$28</f>
        <v>0.78533200000000003</v>
      </c>
    </row>
    <row r="89" spans="1:6" ht="26.25" thickBot="1">
      <c r="A89" s="117" t="s">
        <v>37</v>
      </c>
      <c r="B89" s="118" t="s">
        <v>133</v>
      </c>
      <c r="C89" s="197">
        <v>4.1999999999999997E-3</v>
      </c>
      <c r="D89" s="120">
        <f>C89*$D$28</f>
        <v>16.491971999999997</v>
      </c>
    </row>
    <row r="90" spans="1:6" ht="13.5" thickBot="1">
      <c r="A90" s="117" t="s">
        <v>101</v>
      </c>
      <c r="B90" s="118" t="s">
        <v>134</v>
      </c>
      <c r="C90" s="197">
        <v>2.0000000000000001E-4</v>
      </c>
      <c r="D90" s="120">
        <f>C90*$D$28</f>
        <v>0.78533200000000003</v>
      </c>
    </row>
    <row r="91" spans="1:6" ht="39" thickBot="1">
      <c r="A91" s="117" t="s">
        <v>123</v>
      </c>
      <c r="B91" s="118" t="s">
        <v>135</v>
      </c>
      <c r="C91" s="119">
        <f>SUM(C86:C90)*C51</f>
        <v>3.2384000000000007E-3</v>
      </c>
      <c r="D91" s="120">
        <f t="shared" ref="D91" si="8">C91*$D$28</f>
        <v>12.716095744000002</v>
      </c>
      <c r="E91" s="198" t="s">
        <v>136</v>
      </c>
    </row>
    <row r="92" spans="1:6" ht="13.5" thickBot="1">
      <c r="A92" s="326" t="s">
        <v>74</v>
      </c>
      <c r="B92" s="327"/>
      <c r="C92" s="199">
        <f t="shared" ref="C92:D92" si="9">SUM(C86:C91)</f>
        <v>1.2038400000000001E-2</v>
      </c>
      <c r="D92" s="195">
        <f t="shared" si="9"/>
        <v>47.270703743999988</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47.270703743999988</v>
      </c>
    </row>
    <row r="102" spans="1:4" ht="13.5" thickBot="1">
      <c r="A102" s="117" t="s">
        <v>139</v>
      </c>
      <c r="B102" s="276" t="s">
        <v>140</v>
      </c>
      <c r="C102" s="277"/>
      <c r="D102" s="121">
        <f>D97</f>
        <v>0</v>
      </c>
    </row>
    <row r="103" spans="1:4" ht="13.5" thickBot="1">
      <c r="A103" s="326" t="s">
        <v>112</v>
      </c>
      <c r="B103" s="327"/>
      <c r="C103" s="328"/>
      <c r="D103" s="195">
        <f>SUM(D101:D102)</f>
        <v>47.270703743999988</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UNIFORMES!G15</f>
        <v>60.003333333333337</v>
      </c>
    </row>
    <row r="108" spans="1:4" ht="13.5" thickBot="1">
      <c r="A108" s="117" t="s">
        <v>118</v>
      </c>
      <c r="B108" s="276" t="s">
        <v>147</v>
      </c>
      <c r="C108" s="277"/>
      <c r="D108" s="121">
        <f>'VIGILÂNCIA 12X36 DIURNA ARMADA'!D108</f>
        <v>89.464501557632403</v>
      </c>
    </row>
    <row r="109" spans="1:4" ht="13.5" thickBot="1">
      <c r="A109" s="117" t="s">
        <v>72</v>
      </c>
      <c r="B109" s="276" t="s">
        <v>148</v>
      </c>
      <c r="C109" s="277"/>
      <c r="D109" s="121">
        <f>'VIGILÂNCIA 12X36 DIURNA ARMADA'!D109</f>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149.46783489096575</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344.56869375601343</v>
      </c>
    </row>
    <row r="117" spans="1:5" ht="13.5" thickBot="1">
      <c r="A117" s="117" t="s">
        <v>118</v>
      </c>
      <c r="B117" s="205" t="s">
        <v>154</v>
      </c>
      <c r="C117" s="197">
        <v>4.4999999999999998E-2</v>
      </c>
      <c r="D117" s="121">
        <f>(D134+D116)*C117</f>
        <v>360.074284975034</v>
      </c>
    </row>
    <row r="118" spans="1:5" ht="13.5" thickBot="1">
      <c r="A118" s="117" t="s">
        <v>72</v>
      </c>
      <c r="B118" s="205" t="s">
        <v>155</v>
      </c>
      <c r="C118" s="197">
        <f>C119+C120+C121</f>
        <v>0.14250000000000002</v>
      </c>
      <c r="D118" s="121">
        <f>((D134+D116+D117)/(1-C118))*C118</f>
        <v>1389.5578091699322</v>
      </c>
      <c r="E118" s="206"/>
    </row>
    <row r="119" spans="1:5" ht="13.5" thickBot="1">
      <c r="A119" s="117"/>
      <c r="B119" s="205" t="s">
        <v>156</v>
      </c>
      <c r="C119" s="197">
        <v>9.2499999999999999E-2</v>
      </c>
      <c r="D119" s="121">
        <f>C119*D136</f>
        <v>901.99340000000007</v>
      </c>
    </row>
    <row r="120" spans="1:5" ht="13.5" thickBot="1">
      <c r="A120" s="117"/>
      <c r="B120" s="205" t="s">
        <v>157</v>
      </c>
      <c r="C120" s="207">
        <v>0.05</v>
      </c>
      <c r="D120" s="121">
        <f>C120*D136</f>
        <v>487.56400000000008</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2094.2007879009798</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3926.66</v>
      </c>
    </row>
    <row r="130" spans="1:4" ht="13.5" thickBot="1">
      <c r="A130" s="208" t="s">
        <v>118</v>
      </c>
      <c r="B130" s="276" t="s">
        <v>64</v>
      </c>
      <c r="C130" s="277"/>
      <c r="D130" s="121">
        <f>D72</f>
        <v>3254.5953999999997</v>
      </c>
    </row>
    <row r="131" spans="1:4" ht="13.5" thickBot="1">
      <c r="A131" s="208" t="s">
        <v>72</v>
      </c>
      <c r="B131" s="276" t="s">
        <v>113</v>
      </c>
      <c r="C131" s="277"/>
      <c r="D131" s="121">
        <f>D81</f>
        <v>279.08814483199995</v>
      </c>
    </row>
    <row r="132" spans="1:4" ht="13.5" thickBot="1">
      <c r="A132" s="208" t="s">
        <v>37</v>
      </c>
      <c r="B132" s="276" t="s">
        <v>126</v>
      </c>
      <c r="C132" s="277"/>
      <c r="D132" s="121">
        <f>D103</f>
        <v>47.270703743999988</v>
      </c>
    </row>
    <row r="133" spans="1:4" ht="13.5" thickBot="1">
      <c r="A133" s="208" t="s">
        <v>101</v>
      </c>
      <c r="B133" s="276" t="s">
        <v>144</v>
      </c>
      <c r="C133" s="277"/>
      <c r="D133" s="121">
        <f>D112</f>
        <v>149.46783489096575</v>
      </c>
    </row>
    <row r="134" spans="1:4" ht="13.5" thickBot="1">
      <c r="A134" s="326" t="s">
        <v>164</v>
      </c>
      <c r="B134" s="327"/>
      <c r="C134" s="328"/>
      <c r="D134" s="121">
        <f>SUM(D129:D133)</f>
        <v>7657.0820834669648</v>
      </c>
    </row>
    <row r="135" spans="1:4" ht="13.5" thickBot="1">
      <c r="A135" s="208" t="s">
        <v>123</v>
      </c>
      <c r="B135" s="333" t="s">
        <v>165</v>
      </c>
      <c r="C135" s="334"/>
      <c r="D135" s="209">
        <f>D122</f>
        <v>2094.2007879009798</v>
      </c>
    </row>
    <row r="136" spans="1:4" ht="13.5" thickBot="1">
      <c r="A136" s="326" t="s">
        <v>166</v>
      </c>
      <c r="B136" s="327"/>
      <c r="C136" s="328"/>
      <c r="D136" s="210">
        <f>ROUND((D134+D135),2)</f>
        <v>9751.2800000000007</v>
      </c>
    </row>
    <row r="137" spans="1:4" ht="13.5" thickBot="1">
      <c r="A137" s="326" t="s">
        <v>167</v>
      </c>
      <c r="B137" s="327"/>
      <c r="C137" s="328"/>
      <c r="D137" s="210">
        <f>D136*2</f>
        <v>19502.560000000001</v>
      </c>
    </row>
  </sheetData>
  <mergeCells count="84">
    <mergeCell ref="A8:D8"/>
    <mergeCell ref="B10:C10"/>
    <mergeCell ref="B11:C11"/>
    <mergeCell ref="B12:C12"/>
    <mergeCell ref="A1:D1"/>
    <mergeCell ref="A2:D2"/>
    <mergeCell ref="A39:D39"/>
    <mergeCell ref="B129:C129"/>
    <mergeCell ref="B131:C131"/>
    <mergeCell ref="A3:D3"/>
    <mergeCell ref="A4:D4"/>
    <mergeCell ref="A5:D5"/>
    <mergeCell ref="A6:D6"/>
    <mergeCell ref="A7:D7"/>
    <mergeCell ref="B128:C128"/>
    <mergeCell ref="B106:C106"/>
    <mergeCell ref="B108:C108"/>
    <mergeCell ref="B109:C109"/>
    <mergeCell ref="B96:C96"/>
    <mergeCell ref="B102:C102"/>
    <mergeCell ref="A93:D93"/>
    <mergeCell ref="B95:C95"/>
    <mergeCell ref="B111:C111"/>
    <mergeCell ref="A134:C134"/>
    <mergeCell ref="A40:D40"/>
    <mergeCell ref="A41:D41"/>
    <mergeCell ref="B62:C62"/>
    <mergeCell ref="A51:B51"/>
    <mergeCell ref="B56:C56"/>
    <mergeCell ref="B61:C61"/>
    <mergeCell ref="A55:D55"/>
    <mergeCell ref="B70:C70"/>
    <mergeCell ref="B71:C71"/>
    <mergeCell ref="A82:D82"/>
    <mergeCell ref="A92:B92"/>
    <mergeCell ref="A97:C97"/>
    <mergeCell ref="A38:D38"/>
    <mergeCell ref="B9:C9"/>
    <mergeCell ref="A13:D13"/>
    <mergeCell ref="C14:D14"/>
    <mergeCell ref="A19:D19"/>
    <mergeCell ref="B23:C23"/>
    <mergeCell ref="A31:D31"/>
    <mergeCell ref="B26:C26"/>
    <mergeCell ref="B27:C27"/>
    <mergeCell ref="B15:C15"/>
    <mergeCell ref="B16:C16"/>
    <mergeCell ref="B18:C18"/>
    <mergeCell ref="B20:C20"/>
    <mergeCell ref="B21:C21"/>
    <mergeCell ref="B25:C25"/>
    <mergeCell ref="A28:C28"/>
    <mergeCell ref="A30:D30"/>
    <mergeCell ref="A35:B35"/>
    <mergeCell ref="A37:B37"/>
    <mergeCell ref="A103:C103"/>
    <mergeCell ref="A64:C64"/>
    <mergeCell ref="A66:D66"/>
    <mergeCell ref="B68:C68"/>
    <mergeCell ref="A72:C72"/>
    <mergeCell ref="A73:D73"/>
    <mergeCell ref="A81:B81"/>
    <mergeCell ref="B101:C101"/>
    <mergeCell ref="A67:D67"/>
    <mergeCell ref="B69:C69"/>
    <mergeCell ref="A84:D84"/>
    <mergeCell ref="A83:D83"/>
    <mergeCell ref="A94:D94"/>
    <mergeCell ref="A137:C137"/>
    <mergeCell ref="A99:D99"/>
    <mergeCell ref="B100:C100"/>
    <mergeCell ref="A122:B122"/>
    <mergeCell ref="A124:D124"/>
    <mergeCell ref="A127:D127"/>
    <mergeCell ref="B107:C107"/>
    <mergeCell ref="A105:D105"/>
    <mergeCell ref="A112:C112"/>
    <mergeCell ref="A114:D114"/>
    <mergeCell ref="A136:C136"/>
    <mergeCell ref="B130:C130"/>
    <mergeCell ref="B132:C132"/>
    <mergeCell ref="B133:C133"/>
    <mergeCell ref="B135:C135"/>
    <mergeCell ref="B110:C110"/>
  </mergeCells>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7"/>
  <sheetViews>
    <sheetView topLeftCell="A103" workbookViewId="0">
      <selection activeCell="C118" sqref="C118"/>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f>'VIGILÂNCIA 12X36 DIURNA ARMADA'!D15</f>
        <v>2723.41</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2723.41</v>
      </c>
    </row>
    <row r="22" spans="1:4">
      <c r="A22" s="147" t="s">
        <v>31</v>
      </c>
      <c r="B22" s="148" t="s">
        <v>52</v>
      </c>
      <c r="C22" s="149">
        <v>0.3</v>
      </c>
      <c r="D22" s="150">
        <f t="shared" ref="D22" si="0">C22*D21</f>
        <v>817.02299999999991</v>
      </c>
    </row>
    <row r="23" spans="1:4">
      <c r="A23" s="147" t="s">
        <v>34</v>
      </c>
      <c r="B23" s="349" t="s">
        <v>53</v>
      </c>
      <c r="C23" s="349"/>
      <c r="D23" s="150">
        <v>0</v>
      </c>
    </row>
    <row r="24" spans="1:4">
      <c r="A24" s="147" t="s">
        <v>54</v>
      </c>
      <c r="B24" s="148" t="s">
        <v>55</v>
      </c>
      <c r="C24" s="151">
        <v>0</v>
      </c>
      <c r="D24" s="150">
        <v>0</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3540.43</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294.92</v>
      </c>
    </row>
    <row r="34" spans="1:4">
      <c r="A34" s="136" t="s">
        <v>31</v>
      </c>
      <c r="B34" s="166" t="s">
        <v>70</v>
      </c>
      <c r="C34" s="49">
        <v>0.121</v>
      </c>
      <c r="D34" s="125">
        <f t="shared" ref="D34" si="3">ROUND(D$28*C34,2)</f>
        <v>428.39</v>
      </c>
    </row>
    <row r="35" spans="1:4" ht="13.5" thickBot="1">
      <c r="A35" s="335" t="s">
        <v>71</v>
      </c>
      <c r="B35" s="336"/>
      <c r="C35" s="167">
        <f>SUM(A33:C34)</f>
        <v>0.20429999999999998</v>
      </c>
      <c r="D35" s="125">
        <f>SUM(D33:D34)</f>
        <v>723.31</v>
      </c>
    </row>
    <row r="36" spans="1:4" ht="25.5">
      <c r="A36" s="122" t="s">
        <v>72</v>
      </c>
      <c r="B36" s="123" t="s">
        <v>73</v>
      </c>
      <c r="C36" s="124">
        <f>C35*C51</f>
        <v>7.5182399999999996E-2</v>
      </c>
      <c r="D36" s="125">
        <f>ROUND(D$28*C36,2)</f>
        <v>266.18</v>
      </c>
    </row>
    <row r="37" spans="1:4">
      <c r="A37" s="337" t="s">
        <v>74</v>
      </c>
      <c r="B37" s="338"/>
      <c r="C37" s="168"/>
      <c r="D37" s="125">
        <f>SUM(D35:D36)</f>
        <v>989.49</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708.09</v>
      </c>
    </row>
    <row r="44" spans="1:4">
      <c r="A44" s="136" t="s">
        <v>31</v>
      </c>
      <c r="B44" s="166" t="s">
        <v>82</v>
      </c>
      <c r="C44" s="49">
        <v>2.5000000000000001E-2</v>
      </c>
      <c r="D44" s="125">
        <f t="shared" ref="D44:D50" si="4">ROUND(D$28*C44,2)</f>
        <v>88.51</v>
      </c>
    </row>
    <row r="45" spans="1:4">
      <c r="A45" s="136" t="s">
        <v>34</v>
      </c>
      <c r="B45" s="166" t="s">
        <v>83</v>
      </c>
      <c r="C45" s="49">
        <v>0.03</v>
      </c>
      <c r="D45" s="125">
        <f t="shared" si="4"/>
        <v>106.21</v>
      </c>
    </row>
    <row r="46" spans="1:4">
      <c r="A46" s="136" t="s">
        <v>54</v>
      </c>
      <c r="B46" s="166" t="s">
        <v>84</v>
      </c>
      <c r="C46" s="49">
        <v>1.4999999999999999E-2</v>
      </c>
      <c r="D46" s="125">
        <f t="shared" si="4"/>
        <v>53.11</v>
      </c>
    </row>
    <row r="47" spans="1:4">
      <c r="A47" s="136" t="s">
        <v>56</v>
      </c>
      <c r="B47" s="166" t="s">
        <v>85</v>
      </c>
      <c r="C47" s="49">
        <v>0.01</v>
      </c>
      <c r="D47" s="125">
        <f t="shared" si="4"/>
        <v>35.4</v>
      </c>
    </row>
    <row r="48" spans="1:4">
      <c r="A48" s="136" t="s">
        <v>86</v>
      </c>
      <c r="B48" s="166" t="s">
        <v>87</v>
      </c>
      <c r="C48" s="49">
        <v>6.0000000000000001E-3</v>
      </c>
      <c r="D48" s="125">
        <f t="shared" si="4"/>
        <v>21.24</v>
      </c>
    </row>
    <row r="49" spans="1:5">
      <c r="A49" s="136" t="s">
        <v>58</v>
      </c>
      <c r="B49" s="166" t="s">
        <v>88</v>
      </c>
      <c r="C49" s="49">
        <v>2E-3</v>
      </c>
      <c r="D49" s="125">
        <f t="shared" si="4"/>
        <v>7.08</v>
      </c>
    </row>
    <row r="50" spans="1:5">
      <c r="A50" s="122" t="s">
        <v>60</v>
      </c>
      <c r="B50" s="170" t="s">
        <v>89</v>
      </c>
      <c r="C50" s="49">
        <v>0.08</v>
      </c>
      <c r="D50" s="125">
        <f t="shared" si="4"/>
        <v>283.23</v>
      </c>
    </row>
    <row r="51" spans="1:5" ht="13.5" thickBot="1">
      <c r="A51" s="359" t="s">
        <v>90</v>
      </c>
      <c r="B51" s="361"/>
      <c r="C51" s="171">
        <f t="shared" ref="C51:D51" si="5">SUM(C43:C50)</f>
        <v>0.36800000000000005</v>
      </c>
      <c r="D51" s="172">
        <f t="shared" si="5"/>
        <v>1302.8700000000001</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15</v>
      </c>
      <c r="D57" s="125">
        <f>5.5*2*C57-6%*D21</f>
        <v>1.5954000000000121</v>
      </c>
    </row>
    <row r="58" spans="1:5">
      <c r="A58" s="129" t="s">
        <v>31</v>
      </c>
      <c r="B58" s="180" t="s">
        <v>98</v>
      </c>
      <c r="C58" s="181">
        <v>15</v>
      </c>
      <c r="D58" s="182">
        <f>C58*47.37</f>
        <v>710.55</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712.1454</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989.49</v>
      </c>
    </row>
    <row r="70" spans="1:4" ht="13.5" thickBot="1">
      <c r="A70" s="117" t="s">
        <v>79</v>
      </c>
      <c r="B70" s="333" t="s">
        <v>80</v>
      </c>
      <c r="C70" s="334"/>
      <c r="D70" s="121">
        <f>D51</f>
        <v>1302.8700000000001</v>
      </c>
    </row>
    <row r="71" spans="1:4" ht="13.5" thickBot="1">
      <c r="A71" s="117" t="s">
        <v>95</v>
      </c>
      <c r="B71" s="276" t="s">
        <v>96</v>
      </c>
      <c r="C71" s="277"/>
      <c r="D71" s="121">
        <f>D64</f>
        <v>712.1454</v>
      </c>
    </row>
    <row r="72" spans="1:4" ht="13.5" thickBot="1">
      <c r="A72" s="326" t="s">
        <v>112</v>
      </c>
      <c r="B72" s="327"/>
      <c r="C72" s="328"/>
      <c r="D72" s="192">
        <f>SUM(D69:D71)</f>
        <v>3004.5054</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14.869805999999999</v>
      </c>
    </row>
    <row r="76" spans="1:4" ht="13.5" thickBot="1">
      <c r="A76" s="117" t="s">
        <v>118</v>
      </c>
      <c r="B76" s="118" t="s">
        <v>119</v>
      </c>
      <c r="C76" s="74">
        <f>8%*C75</f>
        <v>3.3599999999999998E-4</v>
      </c>
      <c r="D76" s="121">
        <f t="shared" si="6"/>
        <v>1.1895844799999999</v>
      </c>
    </row>
    <row r="77" spans="1:4" ht="13.5" thickBot="1">
      <c r="A77" s="117" t="s">
        <v>72</v>
      </c>
      <c r="B77" s="118" t="s">
        <v>120</v>
      </c>
      <c r="C77" s="74">
        <v>3.9800000000000002E-2</v>
      </c>
      <c r="D77" s="121">
        <f t="shared" si="6"/>
        <v>140.90911399999999</v>
      </c>
    </row>
    <row r="78" spans="1:4" ht="13.5" thickBot="1">
      <c r="A78" s="117" t="s">
        <v>37</v>
      </c>
      <c r="B78" s="118" t="s">
        <v>121</v>
      </c>
      <c r="C78" s="74">
        <v>1.9400000000000001E-2</v>
      </c>
      <c r="D78" s="121">
        <f t="shared" si="6"/>
        <v>68.684342000000001</v>
      </c>
    </row>
    <row r="79" spans="1:4" ht="26.25" thickBot="1">
      <c r="A79" s="117" t="s">
        <v>101</v>
      </c>
      <c r="B79" s="118" t="s">
        <v>122</v>
      </c>
      <c r="C79" s="74">
        <f>1*36.8%*C78</f>
        <v>7.1392000000000001E-3</v>
      </c>
      <c r="D79" s="121">
        <f t="shared" si="6"/>
        <v>25.275837855999999</v>
      </c>
    </row>
    <row r="80" spans="1:4" ht="13.5" thickBot="1">
      <c r="A80" s="117" t="s">
        <v>123</v>
      </c>
      <c r="B80" s="118" t="s">
        <v>124</v>
      </c>
      <c r="C80" s="74">
        <v>2.0000000000000001E-4</v>
      </c>
      <c r="D80" s="121">
        <f t="shared" si="6"/>
        <v>0.70808599999999999</v>
      </c>
    </row>
    <row r="81" spans="1:6" ht="13.5" thickBot="1">
      <c r="A81" s="326" t="s">
        <v>112</v>
      </c>
      <c r="B81" s="328"/>
      <c r="C81" s="194">
        <f t="shared" ref="C81:D81" si="7">SUM(C75:C80)</f>
        <v>7.1075200000000005E-2</v>
      </c>
      <c r="D81" s="195">
        <f t="shared" si="7"/>
        <v>251.63677033600001</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14.869805999999999</v>
      </c>
    </row>
    <row r="88" spans="1:6" ht="13.5" thickBot="1">
      <c r="A88" s="117" t="s">
        <v>72</v>
      </c>
      <c r="B88" s="118" t="s">
        <v>132</v>
      </c>
      <c r="C88" s="197">
        <v>2.0000000000000001E-4</v>
      </c>
      <c r="D88" s="120">
        <f>C88*$D$28</f>
        <v>0.70808599999999999</v>
      </c>
    </row>
    <row r="89" spans="1:6" ht="26.25" thickBot="1">
      <c r="A89" s="117" t="s">
        <v>37</v>
      </c>
      <c r="B89" s="118" t="s">
        <v>133</v>
      </c>
      <c r="C89" s="197">
        <v>4.1999999999999997E-3</v>
      </c>
      <c r="D89" s="120">
        <f>C89*$D$28</f>
        <v>14.869805999999999</v>
      </c>
    </row>
    <row r="90" spans="1:6" ht="13.5" thickBot="1">
      <c r="A90" s="117" t="s">
        <v>101</v>
      </c>
      <c r="B90" s="118" t="s">
        <v>134</v>
      </c>
      <c r="C90" s="197">
        <v>2.0000000000000001E-4</v>
      </c>
      <c r="D90" s="120">
        <f>C90*$D$28</f>
        <v>0.70808599999999999</v>
      </c>
    </row>
    <row r="91" spans="1:6" ht="39" thickBot="1">
      <c r="A91" s="117" t="s">
        <v>123</v>
      </c>
      <c r="B91" s="118" t="s">
        <v>135</v>
      </c>
      <c r="C91" s="119">
        <f>SUM(C86:C90)*C51</f>
        <v>3.2384000000000007E-3</v>
      </c>
      <c r="D91" s="120">
        <f t="shared" ref="D91" si="8">C91*$D$28</f>
        <v>11.465328512000001</v>
      </c>
      <c r="E91" s="198" t="s">
        <v>136</v>
      </c>
    </row>
    <row r="92" spans="1:6" ht="13.5" thickBot="1">
      <c r="A92" s="326" t="s">
        <v>74</v>
      </c>
      <c r="B92" s="327"/>
      <c r="C92" s="199">
        <f t="shared" ref="C92:D92" si="9">SUM(C86:C91)</f>
        <v>1.2038400000000001E-2</v>
      </c>
      <c r="D92" s="195">
        <f t="shared" si="9"/>
        <v>42.621112511999996</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42.621112511999996</v>
      </c>
    </row>
    <row r="102" spans="1:4" ht="13.5" thickBot="1">
      <c r="A102" s="117" t="s">
        <v>139</v>
      </c>
      <c r="B102" s="276" t="s">
        <v>140</v>
      </c>
      <c r="C102" s="277"/>
      <c r="D102" s="121">
        <f>D97</f>
        <v>0</v>
      </c>
    </row>
    <row r="103" spans="1:4" ht="13.5" thickBot="1">
      <c r="A103" s="326" t="s">
        <v>112</v>
      </c>
      <c r="B103" s="327"/>
      <c r="C103" s="328"/>
      <c r="D103" s="195">
        <f>SUM(D101:D102)</f>
        <v>42.621112511999996</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UNIFORMES!G15</f>
        <v>60.003333333333337</v>
      </c>
    </row>
    <row r="108" spans="1:4" ht="13.5" thickBot="1">
      <c r="A108" s="117" t="s">
        <v>118</v>
      </c>
      <c r="B108" s="276" t="s">
        <v>147</v>
      </c>
      <c r="C108" s="277"/>
      <c r="D108" s="121">
        <f>'VIGILÂNCIA 12X36 DIURNA ARMADA'!D108</f>
        <v>89.464501557632403</v>
      </c>
    </row>
    <row r="109" spans="1:4" ht="13.5" thickBot="1">
      <c r="A109" s="117" t="s">
        <v>72</v>
      </c>
      <c r="B109" s="276" t="s">
        <v>148</v>
      </c>
      <c r="C109" s="277"/>
      <c r="D109" s="121">
        <f>'VIGILÂNCIA 12X36 DIURNA ARMADA'!D109</f>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149.46783489096575</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314.48975029825345</v>
      </c>
    </row>
    <row r="117" spans="1:5" ht="13.5" thickBot="1">
      <c r="A117" s="117" t="s">
        <v>118</v>
      </c>
      <c r="B117" s="205" t="s">
        <v>154</v>
      </c>
      <c r="C117" s="197">
        <v>4.4999999999999998E-2</v>
      </c>
      <c r="D117" s="121">
        <f>(D134+D116)*C117</f>
        <v>328.64178906167484</v>
      </c>
    </row>
    <row r="118" spans="1:5" ht="13.5" thickBot="1">
      <c r="A118" s="117" t="s">
        <v>72</v>
      </c>
      <c r="B118" s="205" t="s">
        <v>155</v>
      </c>
      <c r="C118" s="197">
        <f>C119+C120+C121</f>
        <v>0.14250000000000002</v>
      </c>
      <c r="D118" s="121">
        <f>((D134+D116+D117)/(1-C118))*C118</f>
        <v>1268.2570887890292</v>
      </c>
      <c r="E118" s="206"/>
    </row>
    <row r="119" spans="1:5" ht="13.5" thickBot="1">
      <c r="A119" s="117"/>
      <c r="B119" s="205" t="s">
        <v>156</v>
      </c>
      <c r="C119" s="197">
        <v>9.2499999999999999E-2</v>
      </c>
      <c r="D119" s="121">
        <f>C119*D136</f>
        <v>823.25462499999992</v>
      </c>
    </row>
    <row r="120" spans="1:5" ht="13.5" thickBot="1">
      <c r="A120" s="117"/>
      <c r="B120" s="205" t="s">
        <v>157</v>
      </c>
      <c r="C120" s="207">
        <v>0.05</v>
      </c>
      <c r="D120" s="121">
        <f>C120*D136</f>
        <v>445.0025</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1911.3886281489577</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3540.43</v>
      </c>
    </row>
    <row r="130" spans="1:4" ht="13.5" thickBot="1">
      <c r="A130" s="208" t="s">
        <v>118</v>
      </c>
      <c r="B130" s="276" t="s">
        <v>64</v>
      </c>
      <c r="C130" s="277"/>
      <c r="D130" s="121">
        <f>D72</f>
        <v>3004.5054</v>
      </c>
    </row>
    <row r="131" spans="1:4" ht="13.5" thickBot="1">
      <c r="A131" s="208" t="s">
        <v>72</v>
      </c>
      <c r="B131" s="276" t="s">
        <v>113</v>
      </c>
      <c r="C131" s="277"/>
      <c r="D131" s="121">
        <f>D81</f>
        <v>251.63677033600001</v>
      </c>
    </row>
    <row r="132" spans="1:4" ht="13.5" thickBot="1">
      <c r="A132" s="208" t="s">
        <v>37</v>
      </c>
      <c r="B132" s="276" t="s">
        <v>126</v>
      </c>
      <c r="C132" s="277"/>
      <c r="D132" s="121">
        <f>D103</f>
        <v>42.621112511999996</v>
      </c>
    </row>
    <row r="133" spans="1:4" ht="13.5" thickBot="1">
      <c r="A133" s="208" t="s">
        <v>101</v>
      </c>
      <c r="B133" s="276" t="s">
        <v>144</v>
      </c>
      <c r="C133" s="277"/>
      <c r="D133" s="121">
        <f>D112</f>
        <v>149.46783489096575</v>
      </c>
    </row>
    <row r="134" spans="1:4" ht="13.5" thickBot="1">
      <c r="A134" s="326" t="s">
        <v>164</v>
      </c>
      <c r="B134" s="327"/>
      <c r="C134" s="328"/>
      <c r="D134" s="121">
        <f>SUM(D129:D133)</f>
        <v>6988.6611177389659</v>
      </c>
    </row>
    <row r="135" spans="1:4" ht="13.5" thickBot="1">
      <c r="A135" s="208" t="s">
        <v>123</v>
      </c>
      <c r="B135" s="333" t="s">
        <v>165</v>
      </c>
      <c r="C135" s="334"/>
      <c r="D135" s="209">
        <f>D122</f>
        <v>1911.3886281489577</v>
      </c>
    </row>
    <row r="136" spans="1:4" ht="13.5" thickBot="1">
      <c r="A136" s="326" t="s">
        <v>166</v>
      </c>
      <c r="B136" s="327"/>
      <c r="C136" s="328"/>
      <c r="D136" s="210">
        <f>ROUND((D134+D135),2)</f>
        <v>8900.0499999999993</v>
      </c>
    </row>
    <row r="137" spans="1:4" ht="13.5" thickBot="1">
      <c r="A137" s="326" t="s">
        <v>167</v>
      </c>
      <c r="B137" s="327"/>
      <c r="C137" s="328"/>
      <c r="D137" s="210">
        <f>D136*2</f>
        <v>17800.099999999999</v>
      </c>
    </row>
  </sheetData>
  <mergeCells count="84">
    <mergeCell ref="A1:D1"/>
    <mergeCell ref="A7:D7"/>
    <mergeCell ref="A137:C137"/>
    <mergeCell ref="B20:C20"/>
    <mergeCell ref="B21:C21"/>
    <mergeCell ref="B16:C16"/>
    <mergeCell ref="B9:C9"/>
    <mergeCell ref="B10:C10"/>
    <mergeCell ref="B11:C11"/>
    <mergeCell ref="A13:D13"/>
    <mergeCell ref="B12:C12"/>
    <mergeCell ref="A8:D8"/>
    <mergeCell ref="B128:C128"/>
    <mergeCell ref="B108:C108"/>
    <mergeCell ref="B109:C109"/>
    <mergeCell ref="B96:C96"/>
    <mergeCell ref="A97:C97"/>
    <mergeCell ref="A99:D99"/>
    <mergeCell ref="B101:C101"/>
    <mergeCell ref="B102:C102"/>
    <mergeCell ref="B100:C100"/>
    <mergeCell ref="B95:C95"/>
    <mergeCell ref="A73:D73"/>
    <mergeCell ref="B56:C56"/>
    <mergeCell ref="B26:C26"/>
    <mergeCell ref="B27:C27"/>
    <mergeCell ref="A31:D31"/>
    <mergeCell ref="A39:D39"/>
    <mergeCell ref="A30:D30"/>
    <mergeCell ref="A35:B35"/>
    <mergeCell ref="A37:B37"/>
    <mergeCell ref="A38:D38"/>
    <mergeCell ref="A40:D40"/>
    <mergeCell ref="A41:D41"/>
    <mergeCell ref="B62:C62"/>
    <mergeCell ref="A51:B51"/>
    <mergeCell ref="A55:D55"/>
    <mergeCell ref="B15:C15"/>
    <mergeCell ref="A2:D2"/>
    <mergeCell ref="A3:D3"/>
    <mergeCell ref="A4:D4"/>
    <mergeCell ref="A5:D5"/>
    <mergeCell ref="A6:D6"/>
    <mergeCell ref="B61:C61"/>
    <mergeCell ref="A93:D93"/>
    <mergeCell ref="A94:D94"/>
    <mergeCell ref="B70:C70"/>
    <mergeCell ref="B71:C71"/>
    <mergeCell ref="A81:B81"/>
    <mergeCell ref="A82:D82"/>
    <mergeCell ref="A83:D83"/>
    <mergeCell ref="A72:C72"/>
    <mergeCell ref="A66:D66"/>
    <mergeCell ref="A67:D67"/>
    <mergeCell ref="B68:C68"/>
    <mergeCell ref="B69:C69"/>
    <mergeCell ref="A136:C136"/>
    <mergeCell ref="C14:D14"/>
    <mergeCell ref="B18:C18"/>
    <mergeCell ref="A19:D19"/>
    <mergeCell ref="B23:C23"/>
    <mergeCell ref="B25:C25"/>
    <mergeCell ref="A28:C28"/>
    <mergeCell ref="B131:C131"/>
    <mergeCell ref="B132:C132"/>
    <mergeCell ref="B133:C133"/>
    <mergeCell ref="B135:C135"/>
    <mergeCell ref="B110:C110"/>
    <mergeCell ref="B111:C111"/>
    <mergeCell ref="A84:D84"/>
    <mergeCell ref="A92:B92"/>
    <mergeCell ref="A64:C64"/>
    <mergeCell ref="A103:C103"/>
    <mergeCell ref="A105:D105"/>
    <mergeCell ref="B106:C106"/>
    <mergeCell ref="B107:C107"/>
    <mergeCell ref="A112:C112"/>
    <mergeCell ref="A134:C134"/>
    <mergeCell ref="A114:D114"/>
    <mergeCell ref="B130:C130"/>
    <mergeCell ref="A122:B122"/>
    <mergeCell ref="A124:D124"/>
    <mergeCell ref="A127:D127"/>
    <mergeCell ref="B129:C129"/>
  </mergeCells>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7"/>
  <sheetViews>
    <sheetView topLeftCell="A100" workbookViewId="0">
      <selection activeCell="C118" sqref="C118"/>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f>'VIGILÂNCIA 12X36 DIURNA ARMADA'!D15</f>
        <v>2723.41</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2723.41</v>
      </c>
    </row>
    <row r="22" spans="1:4">
      <c r="A22" s="147" t="s">
        <v>31</v>
      </c>
      <c r="B22" s="148" t="s">
        <v>52</v>
      </c>
      <c r="C22" s="149">
        <v>0.3</v>
      </c>
      <c r="D22" s="150">
        <f t="shared" ref="D22" si="0">C22*D21</f>
        <v>817.02299999999991</v>
      </c>
    </row>
    <row r="23" spans="1:4">
      <c r="A23" s="147" t="s">
        <v>34</v>
      </c>
      <c r="B23" s="349" t="s">
        <v>53</v>
      </c>
      <c r="C23" s="349"/>
      <c r="D23" s="150">
        <v>0</v>
      </c>
    </row>
    <row r="24" spans="1:4">
      <c r="A24" s="147" t="s">
        <v>54</v>
      </c>
      <c r="B24" s="148" t="s">
        <v>55</v>
      </c>
      <c r="C24" s="151">
        <v>0.2</v>
      </c>
      <c r="D24" s="150">
        <f>(D21+D22)/(220)*(20%)*(120)</f>
        <v>386.22905454545457</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3926.66</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327.08999999999997</v>
      </c>
    </row>
    <row r="34" spans="1:4">
      <c r="A34" s="136" t="s">
        <v>31</v>
      </c>
      <c r="B34" s="166" t="s">
        <v>70</v>
      </c>
      <c r="C34" s="49">
        <v>0.121</v>
      </c>
      <c r="D34" s="125">
        <f t="shared" ref="D34" si="3">ROUND(D$28*C34,2)</f>
        <v>475.13</v>
      </c>
    </row>
    <row r="35" spans="1:4" ht="13.5" thickBot="1">
      <c r="A35" s="335" t="s">
        <v>71</v>
      </c>
      <c r="B35" s="336"/>
      <c r="C35" s="167">
        <f>SUM(A33:C34)</f>
        <v>0.20429999999999998</v>
      </c>
      <c r="D35" s="125">
        <f>SUM(D33:D34)</f>
        <v>802.22</v>
      </c>
    </row>
    <row r="36" spans="1:4" ht="25.5">
      <c r="A36" s="122" t="s">
        <v>72</v>
      </c>
      <c r="B36" s="123" t="s">
        <v>73</v>
      </c>
      <c r="C36" s="124">
        <f>C35*C51</f>
        <v>7.5182399999999996E-2</v>
      </c>
      <c r="D36" s="125">
        <f>ROUND(D$28*C36,2)</f>
        <v>295.22000000000003</v>
      </c>
    </row>
    <row r="37" spans="1:4">
      <c r="A37" s="337" t="s">
        <v>74</v>
      </c>
      <c r="B37" s="338"/>
      <c r="C37" s="168"/>
      <c r="D37" s="125">
        <f>SUM(D35:D36)</f>
        <v>1097.44</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785.33</v>
      </c>
    </row>
    <row r="44" spans="1:4">
      <c r="A44" s="136" t="s">
        <v>31</v>
      </c>
      <c r="B44" s="166" t="s">
        <v>82</v>
      </c>
      <c r="C44" s="49">
        <v>2.5000000000000001E-2</v>
      </c>
      <c r="D44" s="125">
        <f t="shared" ref="D44:D50" si="4">ROUND(D$28*C44,2)</f>
        <v>98.17</v>
      </c>
    </row>
    <row r="45" spans="1:4">
      <c r="A45" s="136" t="s">
        <v>34</v>
      </c>
      <c r="B45" s="166" t="s">
        <v>83</v>
      </c>
      <c r="C45" s="49">
        <v>0.03</v>
      </c>
      <c r="D45" s="125">
        <f t="shared" si="4"/>
        <v>117.8</v>
      </c>
    </row>
    <row r="46" spans="1:4">
      <c r="A46" s="136" t="s">
        <v>54</v>
      </c>
      <c r="B46" s="166" t="s">
        <v>84</v>
      </c>
      <c r="C46" s="49">
        <v>1.4999999999999999E-2</v>
      </c>
      <c r="D46" s="125">
        <f t="shared" si="4"/>
        <v>58.9</v>
      </c>
    </row>
    <row r="47" spans="1:4">
      <c r="A47" s="136" t="s">
        <v>56</v>
      </c>
      <c r="B47" s="166" t="s">
        <v>85</v>
      </c>
      <c r="C47" s="49">
        <v>0.01</v>
      </c>
      <c r="D47" s="125">
        <f t="shared" si="4"/>
        <v>39.270000000000003</v>
      </c>
    </row>
    <row r="48" spans="1:4">
      <c r="A48" s="136" t="s">
        <v>86</v>
      </c>
      <c r="B48" s="166" t="s">
        <v>87</v>
      </c>
      <c r="C48" s="49">
        <v>6.0000000000000001E-3</v>
      </c>
      <c r="D48" s="125">
        <f t="shared" si="4"/>
        <v>23.56</v>
      </c>
    </row>
    <row r="49" spans="1:5">
      <c r="A49" s="136" t="s">
        <v>58</v>
      </c>
      <c r="B49" s="166" t="s">
        <v>88</v>
      </c>
      <c r="C49" s="49">
        <v>2E-3</v>
      </c>
      <c r="D49" s="125">
        <f t="shared" si="4"/>
        <v>7.85</v>
      </c>
    </row>
    <row r="50" spans="1:5">
      <c r="A50" s="122" t="s">
        <v>60</v>
      </c>
      <c r="B50" s="170" t="s">
        <v>89</v>
      </c>
      <c r="C50" s="49">
        <v>0.08</v>
      </c>
      <c r="D50" s="125">
        <f t="shared" si="4"/>
        <v>314.13</v>
      </c>
    </row>
    <row r="51" spans="1:5" ht="13.5" thickBot="1">
      <c r="A51" s="359" t="s">
        <v>90</v>
      </c>
      <c r="B51" s="361"/>
      <c r="C51" s="171">
        <f t="shared" ref="C51:D51" si="5">SUM(C43:C50)</f>
        <v>0.36800000000000005</v>
      </c>
      <c r="D51" s="172">
        <f t="shared" si="5"/>
        <v>1445.0099999999998</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15</v>
      </c>
      <c r="D57" s="125">
        <f>5.5*2*C57-6%*D21</f>
        <v>1.5954000000000121</v>
      </c>
    </row>
    <row r="58" spans="1:5">
      <c r="A58" s="129" t="s">
        <v>31</v>
      </c>
      <c r="B58" s="180" t="s">
        <v>98</v>
      </c>
      <c r="C58" s="181">
        <v>15</v>
      </c>
      <c r="D58" s="182">
        <f>C58*47.37</f>
        <v>710.55</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712.1454</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1097.44</v>
      </c>
    </row>
    <row r="70" spans="1:4" ht="13.5" thickBot="1">
      <c r="A70" s="117" t="s">
        <v>79</v>
      </c>
      <c r="B70" s="333" t="s">
        <v>80</v>
      </c>
      <c r="C70" s="334"/>
      <c r="D70" s="121">
        <f>D51</f>
        <v>1445.0099999999998</v>
      </c>
    </row>
    <row r="71" spans="1:4" ht="13.5" thickBot="1">
      <c r="A71" s="117" t="s">
        <v>95</v>
      </c>
      <c r="B71" s="276" t="s">
        <v>96</v>
      </c>
      <c r="C71" s="277"/>
      <c r="D71" s="121">
        <f>D64</f>
        <v>712.1454</v>
      </c>
    </row>
    <row r="72" spans="1:4" ht="13.5" thickBot="1">
      <c r="A72" s="326" t="s">
        <v>112</v>
      </c>
      <c r="B72" s="327"/>
      <c r="C72" s="328"/>
      <c r="D72" s="192">
        <f>SUM(D69:D71)</f>
        <v>3254.5953999999997</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16.491971999999997</v>
      </c>
    </row>
    <row r="76" spans="1:4" ht="13.5" thickBot="1">
      <c r="A76" s="117" t="s">
        <v>118</v>
      </c>
      <c r="B76" s="118" t="s">
        <v>119</v>
      </c>
      <c r="C76" s="74">
        <f>8%*C75</f>
        <v>3.3599999999999998E-4</v>
      </c>
      <c r="D76" s="121">
        <f t="shared" si="6"/>
        <v>1.3193577599999999</v>
      </c>
    </row>
    <row r="77" spans="1:4" ht="13.5" thickBot="1">
      <c r="A77" s="117" t="s">
        <v>72</v>
      </c>
      <c r="B77" s="118" t="s">
        <v>120</v>
      </c>
      <c r="C77" s="74">
        <v>3.9800000000000002E-2</v>
      </c>
      <c r="D77" s="121">
        <f t="shared" si="6"/>
        <v>156.281068</v>
      </c>
    </row>
    <row r="78" spans="1:4" ht="13.5" thickBot="1">
      <c r="A78" s="117" t="s">
        <v>37</v>
      </c>
      <c r="B78" s="118" t="s">
        <v>121</v>
      </c>
      <c r="C78" s="74">
        <v>1.9400000000000001E-2</v>
      </c>
      <c r="D78" s="121">
        <f t="shared" si="6"/>
        <v>76.177204000000003</v>
      </c>
    </row>
    <row r="79" spans="1:4" ht="26.25" thickBot="1">
      <c r="A79" s="117" t="s">
        <v>101</v>
      </c>
      <c r="B79" s="118" t="s">
        <v>122</v>
      </c>
      <c r="C79" s="74">
        <f>1*36.8%*C78</f>
        <v>7.1392000000000001E-3</v>
      </c>
      <c r="D79" s="121">
        <f t="shared" si="6"/>
        <v>28.033211072</v>
      </c>
    </row>
    <row r="80" spans="1:4" ht="13.5" thickBot="1">
      <c r="A80" s="117" t="s">
        <v>123</v>
      </c>
      <c r="B80" s="118" t="s">
        <v>124</v>
      </c>
      <c r="C80" s="74">
        <v>2.0000000000000001E-4</v>
      </c>
      <c r="D80" s="121">
        <f t="shared" si="6"/>
        <v>0.78533200000000003</v>
      </c>
    </row>
    <row r="81" spans="1:6" ht="13.5" thickBot="1">
      <c r="A81" s="326" t="s">
        <v>112</v>
      </c>
      <c r="B81" s="328"/>
      <c r="C81" s="194">
        <f t="shared" ref="C81:D81" si="7">SUM(C75:C80)</f>
        <v>7.1075200000000005E-2</v>
      </c>
      <c r="D81" s="195">
        <f t="shared" si="7"/>
        <v>279.08814483199995</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16.491971999999997</v>
      </c>
    </row>
    <row r="88" spans="1:6" ht="13.5" thickBot="1">
      <c r="A88" s="117" t="s">
        <v>72</v>
      </c>
      <c r="B88" s="118" t="s">
        <v>132</v>
      </c>
      <c r="C88" s="197">
        <v>2.0000000000000001E-4</v>
      </c>
      <c r="D88" s="120">
        <f>C88*$D$28</f>
        <v>0.78533200000000003</v>
      </c>
    </row>
    <row r="89" spans="1:6" ht="26.25" thickBot="1">
      <c r="A89" s="117" t="s">
        <v>37</v>
      </c>
      <c r="B89" s="118" t="s">
        <v>133</v>
      </c>
      <c r="C89" s="197">
        <v>4.1999999999999997E-3</v>
      </c>
      <c r="D89" s="120">
        <f>C89*$D$28</f>
        <v>16.491971999999997</v>
      </c>
    </row>
    <row r="90" spans="1:6" ht="13.5" thickBot="1">
      <c r="A90" s="117" t="s">
        <v>101</v>
      </c>
      <c r="B90" s="118" t="s">
        <v>134</v>
      </c>
      <c r="C90" s="197">
        <v>2.0000000000000001E-4</v>
      </c>
      <c r="D90" s="120">
        <f>C90*$D$28</f>
        <v>0.78533200000000003</v>
      </c>
    </row>
    <row r="91" spans="1:6" ht="39" thickBot="1">
      <c r="A91" s="117" t="s">
        <v>123</v>
      </c>
      <c r="B91" s="118" t="s">
        <v>135</v>
      </c>
      <c r="C91" s="119">
        <f>SUM(C86:C90)*C51</f>
        <v>3.2384000000000007E-3</v>
      </c>
      <c r="D91" s="120">
        <f t="shared" ref="D91" si="8">C91*$D$28</f>
        <v>12.716095744000002</v>
      </c>
      <c r="E91" s="198" t="s">
        <v>136</v>
      </c>
    </row>
    <row r="92" spans="1:6" ht="13.5" thickBot="1">
      <c r="A92" s="326" t="s">
        <v>74</v>
      </c>
      <c r="B92" s="327"/>
      <c r="C92" s="199">
        <f t="shared" ref="C92:D92" si="9">SUM(C86:C91)</f>
        <v>1.2038400000000001E-2</v>
      </c>
      <c r="D92" s="195">
        <f t="shared" si="9"/>
        <v>47.270703743999988</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47.270703743999988</v>
      </c>
    </row>
    <row r="102" spans="1:4" ht="13.5" thickBot="1">
      <c r="A102" s="117" t="s">
        <v>139</v>
      </c>
      <c r="B102" s="276" t="s">
        <v>140</v>
      </c>
      <c r="C102" s="277"/>
      <c r="D102" s="121">
        <f>D97</f>
        <v>0</v>
      </c>
    </row>
    <row r="103" spans="1:4" ht="13.5" thickBot="1">
      <c r="A103" s="326" t="s">
        <v>112</v>
      </c>
      <c r="B103" s="327"/>
      <c r="C103" s="328"/>
      <c r="D103" s="195">
        <f>SUM(D101:D102)</f>
        <v>47.270703743999988</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UNIFORMES!G15</f>
        <v>60.003333333333337</v>
      </c>
    </row>
    <row r="108" spans="1:4" ht="13.5" thickBot="1">
      <c r="A108" s="117" t="s">
        <v>118</v>
      </c>
      <c r="B108" s="276" t="s">
        <v>147</v>
      </c>
      <c r="C108" s="277"/>
      <c r="D108" s="121">
        <f>'VIGILÂNCIA 12X36 DIURNA ARMADA'!D108</f>
        <v>89.464501557632403</v>
      </c>
    </row>
    <row r="109" spans="1:4" ht="13.5" thickBot="1">
      <c r="A109" s="117" t="s">
        <v>72</v>
      </c>
      <c r="B109" s="276" t="s">
        <v>148</v>
      </c>
      <c r="C109" s="277"/>
      <c r="D109" s="121">
        <f>'VIGILÂNCIA 12X36 DIURNA ARMADA'!D109</f>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149.46783489096575</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344.56869375601343</v>
      </c>
    </row>
    <row r="117" spans="1:5" ht="13.5" thickBot="1">
      <c r="A117" s="117" t="s">
        <v>118</v>
      </c>
      <c r="B117" s="205" t="s">
        <v>154</v>
      </c>
      <c r="C117" s="197">
        <v>4.4999999999999998E-2</v>
      </c>
      <c r="D117" s="121">
        <f>(D134+D116)*C117</f>
        <v>360.074284975034</v>
      </c>
    </row>
    <row r="118" spans="1:5" ht="13.5" thickBot="1">
      <c r="A118" s="117" t="s">
        <v>72</v>
      </c>
      <c r="B118" s="205" t="s">
        <v>155</v>
      </c>
      <c r="C118" s="197">
        <f>C119+C120+C121</f>
        <v>0.14250000000000002</v>
      </c>
      <c r="D118" s="121">
        <f>((D134+D116+D117)/(1-C118))*C118</f>
        <v>1389.5578091699322</v>
      </c>
      <c r="E118" s="206"/>
    </row>
    <row r="119" spans="1:5" ht="13.5" thickBot="1">
      <c r="A119" s="117"/>
      <c r="B119" s="205" t="s">
        <v>156</v>
      </c>
      <c r="C119" s="197">
        <v>9.2499999999999999E-2</v>
      </c>
      <c r="D119" s="121">
        <f>C119*D136</f>
        <v>901.99340000000007</v>
      </c>
    </row>
    <row r="120" spans="1:5" ht="13.5" thickBot="1">
      <c r="A120" s="117"/>
      <c r="B120" s="205" t="s">
        <v>157</v>
      </c>
      <c r="C120" s="207">
        <v>0.05</v>
      </c>
      <c r="D120" s="121">
        <f>C120*D136</f>
        <v>487.56400000000008</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2094.2007879009798</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3926.66</v>
      </c>
    </row>
    <row r="130" spans="1:4" ht="13.5" thickBot="1">
      <c r="A130" s="208" t="s">
        <v>118</v>
      </c>
      <c r="B130" s="276" t="s">
        <v>64</v>
      </c>
      <c r="C130" s="277"/>
      <c r="D130" s="121">
        <f>D72</f>
        <v>3254.5953999999997</v>
      </c>
    </row>
    <row r="131" spans="1:4" ht="13.5" thickBot="1">
      <c r="A131" s="208" t="s">
        <v>72</v>
      </c>
      <c r="B131" s="276" t="s">
        <v>113</v>
      </c>
      <c r="C131" s="277"/>
      <c r="D131" s="121">
        <f>D81</f>
        <v>279.08814483199995</v>
      </c>
    </row>
    <row r="132" spans="1:4" ht="13.5" thickBot="1">
      <c r="A132" s="208" t="s">
        <v>37</v>
      </c>
      <c r="B132" s="276" t="s">
        <v>126</v>
      </c>
      <c r="C132" s="277"/>
      <c r="D132" s="121">
        <f>D103</f>
        <v>47.270703743999988</v>
      </c>
    </row>
    <row r="133" spans="1:4" ht="13.5" thickBot="1">
      <c r="A133" s="208" t="s">
        <v>101</v>
      </c>
      <c r="B133" s="276" t="s">
        <v>144</v>
      </c>
      <c r="C133" s="277"/>
      <c r="D133" s="121">
        <f>D112</f>
        <v>149.46783489096575</v>
      </c>
    </row>
    <row r="134" spans="1:4" ht="13.5" thickBot="1">
      <c r="A134" s="326" t="s">
        <v>164</v>
      </c>
      <c r="B134" s="327"/>
      <c r="C134" s="328"/>
      <c r="D134" s="121">
        <f>SUM(D129:D133)</f>
        <v>7657.0820834669648</v>
      </c>
    </row>
    <row r="135" spans="1:4" ht="13.5" thickBot="1">
      <c r="A135" s="208" t="s">
        <v>123</v>
      </c>
      <c r="B135" s="333" t="s">
        <v>165</v>
      </c>
      <c r="C135" s="334"/>
      <c r="D135" s="209">
        <f>D122</f>
        <v>2094.2007879009798</v>
      </c>
    </row>
    <row r="136" spans="1:4" ht="13.5" thickBot="1">
      <c r="A136" s="326" t="s">
        <v>166</v>
      </c>
      <c r="B136" s="327"/>
      <c r="C136" s="328"/>
      <c r="D136" s="210">
        <f>ROUND((D134+D135),2)</f>
        <v>9751.2800000000007</v>
      </c>
    </row>
    <row r="137" spans="1:4" ht="13.5" thickBot="1">
      <c r="A137" s="326" t="s">
        <v>167</v>
      </c>
      <c r="B137" s="327"/>
      <c r="C137" s="328"/>
      <c r="D137" s="210">
        <f>D136*2</f>
        <v>19502.560000000001</v>
      </c>
    </row>
  </sheetData>
  <mergeCells count="84">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B9:C9"/>
    <mergeCell ref="A13:D13"/>
    <mergeCell ref="C14:D14"/>
    <mergeCell ref="B15:C15"/>
    <mergeCell ref="B18:C18"/>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70:C70"/>
    <mergeCell ref="B71:C71"/>
    <mergeCell ref="A92:B92"/>
    <mergeCell ref="A93:D93"/>
    <mergeCell ref="A94:D94"/>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7"/>
  <sheetViews>
    <sheetView topLeftCell="A4" workbookViewId="0">
      <selection activeCell="G14" sqref="G14"/>
    </sheetView>
  </sheetViews>
  <sheetFormatPr defaultRowHeight="12.75"/>
  <cols>
    <col min="1" max="1" width="5" style="1" customWidth="1"/>
    <col min="2" max="2" width="47.7109375" style="1" customWidth="1"/>
    <col min="3" max="3" width="11.28515625" style="1" customWidth="1"/>
    <col min="4" max="4" width="24.28515625" style="1" customWidth="1"/>
    <col min="5" max="16384" width="9.140625" style="1"/>
  </cols>
  <sheetData>
    <row r="1" spans="1:6">
      <c r="A1" s="259" t="s">
        <v>0</v>
      </c>
      <c r="B1" s="260"/>
      <c r="C1" s="260"/>
      <c r="D1" s="260"/>
    </row>
    <row r="2" spans="1:6">
      <c r="A2" s="259" t="s">
        <v>1</v>
      </c>
      <c r="B2" s="260"/>
      <c r="C2" s="260"/>
      <c r="D2" s="260"/>
    </row>
    <row r="3" spans="1:6">
      <c r="A3" s="259" t="s">
        <v>2</v>
      </c>
      <c r="B3" s="260"/>
      <c r="C3" s="260"/>
      <c r="D3" s="260"/>
    </row>
    <row r="4" spans="1:6">
      <c r="A4" s="259"/>
      <c r="B4" s="260"/>
      <c r="C4" s="260"/>
      <c r="D4" s="260"/>
    </row>
    <row r="5" spans="1:6" ht="13.5" thickBot="1">
      <c r="A5" s="308" t="s">
        <v>24</v>
      </c>
      <c r="B5" s="309"/>
      <c r="C5" s="309"/>
      <c r="D5" s="309"/>
    </row>
    <row r="6" spans="1:6">
      <c r="A6" s="293" t="s">
        <v>25</v>
      </c>
      <c r="B6" s="294"/>
      <c r="C6" s="294"/>
      <c r="D6" s="295"/>
    </row>
    <row r="7" spans="1:6" ht="13.5" thickBot="1">
      <c r="A7" s="308" t="s">
        <v>26</v>
      </c>
      <c r="B7" s="309"/>
      <c r="C7" s="309"/>
      <c r="D7" s="310"/>
    </row>
    <row r="8" spans="1:6" ht="13.5" thickBot="1">
      <c r="A8" s="296" t="s">
        <v>27</v>
      </c>
      <c r="B8" s="297"/>
      <c r="C8" s="297"/>
      <c r="D8" s="297"/>
    </row>
    <row r="9" spans="1:6">
      <c r="A9" s="3" t="s">
        <v>28</v>
      </c>
      <c r="B9" s="311" t="s">
        <v>29</v>
      </c>
      <c r="C9" s="311"/>
      <c r="D9" s="4" t="s">
        <v>30</v>
      </c>
    </row>
    <row r="10" spans="1:6">
      <c r="A10" s="5" t="s">
        <v>31</v>
      </c>
      <c r="B10" s="312" t="s">
        <v>32</v>
      </c>
      <c r="C10" s="312"/>
      <c r="D10" s="6" t="s">
        <v>33</v>
      </c>
    </row>
    <row r="11" spans="1:6" ht="25.5">
      <c r="A11" s="5" t="s">
        <v>34</v>
      </c>
      <c r="B11" s="313" t="s">
        <v>35</v>
      </c>
      <c r="C11" s="314"/>
      <c r="D11" s="7" t="str">
        <f>'VIGILÂNCIA 12X36 DIURNA ARMADA'!D11</f>
        <v>DF000333/2024 - SINDESV/DF</v>
      </c>
    </row>
    <row r="12" spans="1:6" ht="13.5" thickBot="1">
      <c r="A12" s="8" t="s">
        <v>37</v>
      </c>
      <c r="B12" s="298" t="s">
        <v>38</v>
      </c>
      <c r="C12" s="298"/>
      <c r="D12" s="9">
        <v>12</v>
      </c>
    </row>
    <row r="13" spans="1:6" ht="13.5" thickBot="1">
      <c r="A13" s="322" t="s">
        <v>39</v>
      </c>
      <c r="B13" s="323"/>
      <c r="C13" s="323"/>
      <c r="D13" s="323"/>
    </row>
    <row r="14" spans="1:6" ht="25.5">
      <c r="A14" s="10">
        <v>1</v>
      </c>
      <c r="B14" s="11" t="s">
        <v>40</v>
      </c>
      <c r="C14" s="299" t="s">
        <v>41</v>
      </c>
      <c r="D14" s="300"/>
    </row>
    <row r="15" spans="1:6">
      <c r="A15" s="12">
        <v>2</v>
      </c>
      <c r="B15" s="301" t="s">
        <v>42</v>
      </c>
      <c r="C15" s="282"/>
      <c r="D15" s="13">
        <f>'VIGILÂNCIA 12X36 DESARMADA DIUR'!D15</f>
        <v>2723.41</v>
      </c>
      <c r="F15" s="14"/>
    </row>
    <row r="16" spans="1:6">
      <c r="A16" s="12">
        <v>3</v>
      </c>
      <c r="B16" s="301" t="s">
        <v>43</v>
      </c>
      <c r="C16" s="284"/>
      <c r="D16" s="15" t="s">
        <v>44</v>
      </c>
    </row>
    <row r="17" spans="1:4">
      <c r="A17" s="16">
        <v>4</v>
      </c>
      <c r="B17" s="17" t="s">
        <v>45</v>
      </c>
      <c r="C17" s="18"/>
      <c r="D17" s="19" t="s">
        <v>46</v>
      </c>
    </row>
    <row r="18" spans="1:4" ht="13.5" thickBot="1">
      <c r="A18" s="20">
        <v>5</v>
      </c>
      <c r="B18" s="302" t="s">
        <v>47</v>
      </c>
      <c r="C18" s="303"/>
      <c r="D18" s="21">
        <v>45292</v>
      </c>
    </row>
    <row r="19" spans="1:4" ht="13.5" thickBot="1">
      <c r="A19" s="304" t="s">
        <v>48</v>
      </c>
      <c r="B19" s="305"/>
      <c r="C19" s="305"/>
      <c r="D19" s="305"/>
    </row>
    <row r="20" spans="1:4" ht="13.5" thickBot="1">
      <c r="A20" s="2">
        <v>1</v>
      </c>
      <c r="B20" s="306" t="s">
        <v>49</v>
      </c>
      <c r="C20" s="307"/>
      <c r="D20" s="22" t="s">
        <v>50</v>
      </c>
    </row>
    <row r="21" spans="1:4">
      <c r="A21" s="23" t="s">
        <v>28</v>
      </c>
      <c r="B21" s="283" t="s">
        <v>51</v>
      </c>
      <c r="C21" s="283"/>
      <c r="D21" s="24">
        <f>D15</f>
        <v>2723.41</v>
      </c>
    </row>
    <row r="22" spans="1:4">
      <c r="A22" s="25" t="s">
        <v>31</v>
      </c>
      <c r="B22" s="26" t="s">
        <v>52</v>
      </c>
      <c r="C22" s="27">
        <v>0.3</v>
      </c>
      <c r="D22" s="28">
        <f t="shared" ref="D22" si="0">C22*D21</f>
        <v>817.02299999999991</v>
      </c>
    </row>
    <row r="23" spans="1:4">
      <c r="A23" s="25" t="s">
        <v>34</v>
      </c>
      <c r="B23" s="285" t="s">
        <v>53</v>
      </c>
      <c r="C23" s="285"/>
      <c r="D23" s="28">
        <v>0</v>
      </c>
    </row>
    <row r="24" spans="1:4">
      <c r="A24" s="25" t="s">
        <v>54</v>
      </c>
      <c r="B24" s="26" t="s">
        <v>55</v>
      </c>
      <c r="C24" s="29">
        <v>0</v>
      </c>
      <c r="D24" s="28">
        <v>0</v>
      </c>
    </row>
    <row r="25" spans="1:4">
      <c r="A25" s="25" t="s">
        <v>56</v>
      </c>
      <c r="B25" s="285" t="s">
        <v>57</v>
      </c>
      <c r="C25" s="285"/>
      <c r="D25" s="28">
        <f t="shared" ref="D25" si="1">D21/220*0.2*0*15</f>
        <v>0</v>
      </c>
    </row>
    <row r="26" spans="1:4">
      <c r="A26" s="25" t="s">
        <v>58</v>
      </c>
      <c r="B26" s="285" t="s">
        <v>59</v>
      </c>
      <c r="C26" s="285"/>
      <c r="D26" s="28">
        <v>0</v>
      </c>
    </row>
    <row r="27" spans="1:4">
      <c r="A27" s="30" t="s">
        <v>60</v>
      </c>
      <c r="B27" s="289" t="s">
        <v>61</v>
      </c>
      <c r="C27" s="289"/>
      <c r="D27" s="31">
        <v>0</v>
      </c>
    </row>
    <row r="28" spans="1:4" ht="13.5" thickBot="1">
      <c r="A28" s="290" t="s">
        <v>62</v>
      </c>
      <c r="B28" s="291"/>
      <c r="C28" s="292"/>
      <c r="D28" s="32">
        <f t="shared" ref="D28" si="2">ROUND(SUM(D21:D27),2)</f>
        <v>3540.43</v>
      </c>
    </row>
    <row r="29" spans="1:4" ht="13.5" thickBot="1">
      <c r="A29" s="33" t="s">
        <v>63</v>
      </c>
      <c r="B29" s="34"/>
      <c r="C29" s="35"/>
      <c r="D29" s="36"/>
    </row>
    <row r="30" spans="1:4" ht="13.5" thickBot="1">
      <c r="A30" s="273" t="s">
        <v>64</v>
      </c>
      <c r="B30" s="274"/>
      <c r="C30" s="274"/>
      <c r="D30" s="275"/>
    </row>
    <row r="31" spans="1:4" ht="13.5" thickBot="1">
      <c r="A31" s="273" t="s">
        <v>65</v>
      </c>
      <c r="B31" s="274"/>
      <c r="C31" s="274"/>
      <c r="D31" s="275"/>
    </row>
    <row r="32" spans="1:4" ht="13.5" thickBot="1">
      <c r="A32" s="37" t="s">
        <v>66</v>
      </c>
      <c r="B32" s="38" t="s">
        <v>67</v>
      </c>
      <c r="C32" s="39" t="s">
        <v>68</v>
      </c>
      <c r="D32" s="40" t="s">
        <v>50</v>
      </c>
    </row>
    <row r="33" spans="1:5">
      <c r="A33" s="41" t="s">
        <v>28</v>
      </c>
      <c r="B33" s="42" t="s">
        <v>69</v>
      </c>
      <c r="C33" s="43">
        <v>8.3299999999999999E-2</v>
      </c>
      <c r="D33" s="13">
        <f>ROUND(D$28*C33,2)</f>
        <v>294.92</v>
      </c>
    </row>
    <row r="34" spans="1:5">
      <c r="A34" s="12" t="s">
        <v>31</v>
      </c>
      <c r="B34" s="44" t="s">
        <v>70</v>
      </c>
      <c r="C34" s="45">
        <v>0.121</v>
      </c>
      <c r="D34" s="13">
        <f t="shared" ref="D34" si="3">ROUND(D$28*C34,2)</f>
        <v>428.39</v>
      </c>
    </row>
    <row r="35" spans="1:5" ht="13.5" thickBot="1">
      <c r="A35" s="316" t="s">
        <v>71</v>
      </c>
      <c r="B35" s="317"/>
      <c r="C35" s="46">
        <f>SUM(A33:C34)</f>
        <v>0.20429999999999998</v>
      </c>
      <c r="D35" s="13">
        <f>SUM(D33:D34)</f>
        <v>723.31</v>
      </c>
    </row>
    <row r="36" spans="1:5" ht="25.5">
      <c r="A36" s="122" t="s">
        <v>72</v>
      </c>
      <c r="B36" s="123" t="s">
        <v>73</v>
      </c>
      <c r="C36" s="124">
        <f>C35*C51</f>
        <v>7.5182399999999996E-2</v>
      </c>
      <c r="D36" s="125">
        <f>ROUND(D$28*C36,2)</f>
        <v>266.18</v>
      </c>
      <c r="E36" s="47"/>
    </row>
    <row r="37" spans="1:5">
      <c r="A37" s="320" t="s">
        <v>74</v>
      </c>
      <c r="B37" s="321"/>
      <c r="C37" s="97"/>
      <c r="D37" s="13">
        <f>SUM(D35:D36)</f>
        <v>989.49</v>
      </c>
    </row>
    <row r="38" spans="1:5" ht="36.75" customHeight="1">
      <c r="A38" s="318" t="s">
        <v>75</v>
      </c>
      <c r="B38" s="318"/>
      <c r="C38" s="318"/>
      <c r="D38" s="318"/>
    </row>
    <row r="39" spans="1:5" ht="27.75" customHeight="1">
      <c r="A39" s="318" t="s">
        <v>76</v>
      </c>
      <c r="B39" s="318"/>
      <c r="C39" s="318"/>
      <c r="D39" s="318"/>
    </row>
    <row r="40" spans="1:5" ht="36" customHeight="1" thickBot="1">
      <c r="A40" s="325" t="s">
        <v>77</v>
      </c>
      <c r="B40" s="325"/>
      <c r="C40" s="325"/>
      <c r="D40" s="325"/>
    </row>
    <row r="41" spans="1:5" ht="13.5" thickBot="1">
      <c r="A41" s="279" t="s">
        <v>78</v>
      </c>
      <c r="B41" s="315"/>
      <c r="C41" s="315"/>
      <c r="D41" s="280"/>
    </row>
    <row r="42" spans="1:5" ht="13.5" thickBot="1">
      <c r="A42" s="37" t="s">
        <v>79</v>
      </c>
      <c r="B42" s="48" t="s">
        <v>80</v>
      </c>
      <c r="C42" s="39" t="s">
        <v>68</v>
      </c>
      <c r="D42" s="40" t="s">
        <v>50</v>
      </c>
    </row>
    <row r="43" spans="1:5">
      <c r="A43" s="41" t="s">
        <v>28</v>
      </c>
      <c r="B43" s="42" t="s">
        <v>81</v>
      </c>
      <c r="C43" s="43">
        <v>0.2</v>
      </c>
      <c r="D43" s="13">
        <f>ROUND(D$28*C43,2)</f>
        <v>708.09</v>
      </c>
    </row>
    <row r="44" spans="1:5">
      <c r="A44" s="12" t="s">
        <v>31</v>
      </c>
      <c r="B44" s="44" t="s">
        <v>82</v>
      </c>
      <c r="C44" s="45">
        <v>2.5000000000000001E-2</v>
      </c>
      <c r="D44" s="13">
        <f t="shared" ref="D44:D50" si="4">ROUND(D$28*C44,2)</f>
        <v>88.51</v>
      </c>
    </row>
    <row r="45" spans="1:5">
      <c r="A45" s="12" t="s">
        <v>34</v>
      </c>
      <c r="B45" s="44" t="s">
        <v>83</v>
      </c>
      <c r="C45" s="49">
        <v>0.03</v>
      </c>
      <c r="D45" s="13">
        <f t="shared" si="4"/>
        <v>106.21</v>
      </c>
    </row>
    <row r="46" spans="1:5">
      <c r="A46" s="12" t="s">
        <v>54</v>
      </c>
      <c r="B46" s="44" t="s">
        <v>84</v>
      </c>
      <c r="C46" s="45">
        <v>1.4999999999999999E-2</v>
      </c>
      <c r="D46" s="13">
        <f t="shared" si="4"/>
        <v>53.11</v>
      </c>
    </row>
    <row r="47" spans="1:5">
      <c r="A47" s="12" t="s">
        <v>56</v>
      </c>
      <c r="B47" s="44" t="s">
        <v>85</v>
      </c>
      <c r="C47" s="45">
        <v>0.01</v>
      </c>
      <c r="D47" s="13">
        <f t="shared" si="4"/>
        <v>35.4</v>
      </c>
    </row>
    <row r="48" spans="1:5">
      <c r="A48" s="12" t="s">
        <v>86</v>
      </c>
      <c r="B48" s="44" t="s">
        <v>87</v>
      </c>
      <c r="C48" s="45">
        <v>6.0000000000000001E-3</v>
      </c>
      <c r="D48" s="13">
        <f t="shared" si="4"/>
        <v>21.24</v>
      </c>
    </row>
    <row r="49" spans="1:5">
      <c r="A49" s="12" t="s">
        <v>58</v>
      </c>
      <c r="B49" s="44" t="s">
        <v>88</v>
      </c>
      <c r="C49" s="45">
        <v>2E-3</v>
      </c>
      <c r="D49" s="13">
        <f t="shared" si="4"/>
        <v>7.08</v>
      </c>
    </row>
    <row r="50" spans="1:5">
      <c r="A50" s="16" t="s">
        <v>60</v>
      </c>
      <c r="B50" s="50" t="s">
        <v>89</v>
      </c>
      <c r="C50" s="45">
        <v>0.08</v>
      </c>
      <c r="D50" s="13">
        <f t="shared" si="4"/>
        <v>283.23</v>
      </c>
    </row>
    <row r="51" spans="1:5" ht="13.5" thickBot="1">
      <c r="A51" s="290" t="s">
        <v>90</v>
      </c>
      <c r="B51" s="292"/>
      <c r="C51" s="51">
        <f t="shared" ref="C51:D51" si="5">SUM(C43:C50)</f>
        <v>0.36800000000000005</v>
      </c>
      <c r="D51" s="52">
        <f t="shared" si="5"/>
        <v>1302.8700000000001</v>
      </c>
    </row>
    <row r="52" spans="1:5">
      <c r="A52" s="53" t="s">
        <v>91</v>
      </c>
      <c r="B52" s="54"/>
      <c r="C52" s="55"/>
      <c r="D52" s="56"/>
      <c r="E52" s="33"/>
    </row>
    <row r="53" spans="1:5">
      <c r="A53" s="53" t="s">
        <v>92</v>
      </c>
      <c r="B53" s="54"/>
      <c r="C53" s="55"/>
      <c r="D53" s="56"/>
      <c r="E53" s="33"/>
    </row>
    <row r="54" spans="1:5" ht="13.5" thickBot="1">
      <c r="A54" s="33" t="s">
        <v>93</v>
      </c>
      <c r="B54" s="54"/>
      <c r="C54" s="55"/>
      <c r="D54" s="56"/>
      <c r="E54" s="33"/>
    </row>
    <row r="55" spans="1:5" ht="13.5" thickBot="1">
      <c r="A55" s="273" t="s">
        <v>94</v>
      </c>
      <c r="B55" s="274"/>
      <c r="C55" s="274"/>
      <c r="D55" s="275"/>
    </row>
    <row r="56" spans="1:5" ht="13.5" thickBot="1">
      <c r="A56" s="37" t="s">
        <v>95</v>
      </c>
      <c r="B56" s="319" t="s">
        <v>96</v>
      </c>
      <c r="C56" s="270"/>
      <c r="D56" s="57" t="s">
        <v>50</v>
      </c>
    </row>
    <row r="57" spans="1:5">
      <c r="A57" s="3" t="s">
        <v>28</v>
      </c>
      <c r="B57" s="94" t="s">
        <v>97</v>
      </c>
      <c r="C57" s="95">
        <v>22</v>
      </c>
      <c r="D57" s="13">
        <f>5.5*2*C57-6%*D21</f>
        <v>78.595400000000012</v>
      </c>
    </row>
    <row r="58" spans="1:5">
      <c r="A58" s="5" t="s">
        <v>31</v>
      </c>
      <c r="B58" s="93" t="s">
        <v>98</v>
      </c>
      <c r="C58" s="96">
        <v>22</v>
      </c>
      <c r="D58" s="58">
        <f>C58*47.37</f>
        <v>1042.1399999999999</v>
      </c>
    </row>
    <row r="59" spans="1:5">
      <c r="A59" s="5" t="s">
        <v>72</v>
      </c>
      <c r="B59" s="59" t="s">
        <v>99</v>
      </c>
      <c r="C59" s="60"/>
      <c r="D59" s="58">
        <v>0</v>
      </c>
    </row>
    <row r="60" spans="1:5">
      <c r="A60" s="5" t="s">
        <v>54</v>
      </c>
      <c r="B60" s="61" t="s">
        <v>100</v>
      </c>
      <c r="C60" s="60"/>
      <c r="D60" s="58">
        <v>0</v>
      </c>
    </row>
    <row r="61" spans="1:5">
      <c r="A61" s="3" t="s">
        <v>101</v>
      </c>
      <c r="B61" s="282" t="s">
        <v>102</v>
      </c>
      <c r="C61" s="283"/>
      <c r="D61" s="13">
        <v>0</v>
      </c>
    </row>
    <row r="62" spans="1:5">
      <c r="A62" s="5" t="s">
        <v>86</v>
      </c>
      <c r="B62" s="284" t="s">
        <v>103</v>
      </c>
      <c r="C62" s="285"/>
      <c r="D62" s="58">
        <v>0</v>
      </c>
    </row>
    <row r="63" spans="1:5" ht="13.5" thickBot="1">
      <c r="A63" s="5" t="s">
        <v>104</v>
      </c>
      <c r="B63" s="59" t="s">
        <v>105</v>
      </c>
      <c r="C63" s="60"/>
      <c r="D63" s="58">
        <v>0</v>
      </c>
    </row>
    <row r="64" spans="1:5" ht="13.5" thickBot="1">
      <c r="A64" s="286" t="s">
        <v>106</v>
      </c>
      <c r="B64" s="287" t="s">
        <v>106</v>
      </c>
      <c r="C64" s="287"/>
      <c r="D64" s="62">
        <f>SUM(D57:D63)</f>
        <v>1120.7353999999998</v>
      </c>
    </row>
    <row r="65" spans="1:4">
      <c r="A65" s="53" t="s">
        <v>107</v>
      </c>
      <c r="B65" s="63"/>
      <c r="C65" s="63"/>
      <c r="D65" s="64"/>
    </row>
    <row r="66" spans="1:4" ht="13.5" thickBot="1">
      <c r="A66" s="281" t="s">
        <v>108</v>
      </c>
      <c r="B66" s="281"/>
      <c r="C66" s="281"/>
      <c r="D66" s="281"/>
    </row>
    <row r="67" spans="1:4" ht="13.5" thickBot="1">
      <c r="A67" s="273" t="s">
        <v>109</v>
      </c>
      <c r="B67" s="274"/>
      <c r="C67" s="274"/>
      <c r="D67" s="275"/>
    </row>
    <row r="68" spans="1:4" ht="13.5" thickBot="1">
      <c r="A68" s="65">
        <v>2</v>
      </c>
      <c r="B68" s="268" t="s">
        <v>110</v>
      </c>
      <c r="C68" s="270"/>
      <c r="D68" s="67" t="s">
        <v>111</v>
      </c>
    </row>
    <row r="69" spans="1:4" ht="13.5" thickBot="1">
      <c r="A69" s="68" t="s">
        <v>66</v>
      </c>
      <c r="B69" s="271" t="s">
        <v>67</v>
      </c>
      <c r="C69" s="272"/>
      <c r="D69" s="121">
        <f>D37</f>
        <v>989.49</v>
      </c>
    </row>
    <row r="70" spans="1:4" ht="13.5" thickBot="1">
      <c r="A70" s="68" t="s">
        <v>79</v>
      </c>
      <c r="B70" s="271" t="s">
        <v>80</v>
      </c>
      <c r="C70" s="272"/>
      <c r="D70" s="69">
        <f>D51</f>
        <v>1302.8700000000001</v>
      </c>
    </row>
    <row r="71" spans="1:4" ht="13.5" thickBot="1">
      <c r="A71" s="68" t="s">
        <v>95</v>
      </c>
      <c r="B71" s="266" t="s">
        <v>96</v>
      </c>
      <c r="C71" s="267"/>
      <c r="D71" s="69">
        <f>D64</f>
        <v>1120.7353999999998</v>
      </c>
    </row>
    <row r="72" spans="1:4" ht="13.5" thickBot="1">
      <c r="A72" s="268" t="s">
        <v>112</v>
      </c>
      <c r="B72" s="269"/>
      <c r="C72" s="270"/>
      <c r="D72" s="70">
        <f>SUM(D69:D71)</f>
        <v>3413.0954000000002</v>
      </c>
    </row>
    <row r="73" spans="1:4" ht="13.5" thickBot="1">
      <c r="A73" s="273" t="s">
        <v>113</v>
      </c>
      <c r="B73" s="274"/>
      <c r="C73" s="274"/>
      <c r="D73" s="275"/>
    </row>
    <row r="74" spans="1:4" ht="13.5" thickBot="1">
      <c r="A74" s="65">
        <v>3</v>
      </c>
      <c r="B74" s="48" t="s">
        <v>114</v>
      </c>
      <c r="C74" s="71" t="s">
        <v>115</v>
      </c>
      <c r="D74" s="67" t="s">
        <v>111</v>
      </c>
    </row>
    <row r="75" spans="1:4" ht="13.5" thickBot="1">
      <c r="A75" s="68" t="s">
        <v>116</v>
      </c>
      <c r="B75" s="72" t="s">
        <v>117</v>
      </c>
      <c r="C75" s="73">
        <v>4.1999999999999997E-3</v>
      </c>
      <c r="D75" s="69">
        <f t="shared" ref="D75:D80" si="6">C75*$D$28</f>
        <v>14.869805999999999</v>
      </c>
    </row>
    <row r="76" spans="1:4" ht="13.5" thickBot="1">
      <c r="A76" s="68" t="s">
        <v>118</v>
      </c>
      <c r="B76" s="72" t="s">
        <v>119</v>
      </c>
      <c r="C76" s="73">
        <f>8%*C75</f>
        <v>3.3599999999999998E-4</v>
      </c>
      <c r="D76" s="69">
        <f t="shared" si="6"/>
        <v>1.1895844799999999</v>
      </c>
    </row>
    <row r="77" spans="1:4" ht="13.5" thickBot="1">
      <c r="A77" s="68" t="s">
        <v>72</v>
      </c>
      <c r="B77" s="72" t="s">
        <v>120</v>
      </c>
      <c r="C77" s="74">
        <v>3.9800000000000002E-2</v>
      </c>
      <c r="D77" s="69">
        <f t="shared" si="6"/>
        <v>140.90911399999999</v>
      </c>
    </row>
    <row r="78" spans="1:4" ht="13.5" thickBot="1">
      <c r="A78" s="68" t="s">
        <v>37</v>
      </c>
      <c r="B78" s="72" t="s">
        <v>121</v>
      </c>
      <c r="C78" s="73">
        <v>1.9400000000000001E-2</v>
      </c>
      <c r="D78" s="69">
        <f t="shared" si="6"/>
        <v>68.684342000000001</v>
      </c>
    </row>
    <row r="79" spans="1:4" ht="26.25" thickBot="1">
      <c r="A79" s="68" t="s">
        <v>101</v>
      </c>
      <c r="B79" s="72" t="s">
        <v>122</v>
      </c>
      <c r="C79" s="73">
        <f>1*36.8%*C78</f>
        <v>7.1392000000000001E-3</v>
      </c>
      <c r="D79" s="69">
        <f t="shared" si="6"/>
        <v>25.275837855999999</v>
      </c>
    </row>
    <row r="80" spans="1:4" ht="13.5" thickBot="1">
      <c r="A80" s="68" t="s">
        <v>123</v>
      </c>
      <c r="B80" s="72" t="s">
        <v>124</v>
      </c>
      <c r="C80" s="74">
        <v>2.0000000000000001E-4</v>
      </c>
      <c r="D80" s="69">
        <f t="shared" si="6"/>
        <v>0.70808599999999999</v>
      </c>
    </row>
    <row r="81" spans="1:6" ht="13.5" thickBot="1">
      <c r="A81" s="268" t="s">
        <v>112</v>
      </c>
      <c r="B81" s="270"/>
      <c r="C81" s="75">
        <f t="shared" ref="C81:D81" si="7">SUM(C75:C80)</f>
        <v>7.1075200000000005E-2</v>
      </c>
      <c r="D81" s="76">
        <f t="shared" si="7"/>
        <v>251.63677033600001</v>
      </c>
    </row>
    <row r="82" spans="1:6" ht="36.75" customHeight="1" thickBot="1">
      <c r="A82" s="288" t="s">
        <v>125</v>
      </c>
      <c r="B82" s="288"/>
      <c r="C82" s="288"/>
      <c r="D82" s="288"/>
      <c r="F82" s="98"/>
    </row>
    <row r="83" spans="1:6" ht="13.5" thickBot="1">
      <c r="A83" s="273" t="s">
        <v>126</v>
      </c>
      <c r="B83" s="274"/>
      <c r="C83" s="274"/>
      <c r="D83" s="275"/>
    </row>
    <row r="84" spans="1:6" ht="13.5" thickBot="1">
      <c r="A84" s="268" t="s">
        <v>127</v>
      </c>
      <c r="B84" s="269"/>
      <c r="C84" s="269"/>
      <c r="D84" s="270"/>
    </row>
    <row r="85" spans="1:6" ht="13.5" thickBot="1">
      <c r="A85" s="65" t="s">
        <v>128</v>
      </c>
      <c r="B85" s="66" t="s">
        <v>129</v>
      </c>
      <c r="C85" s="65" t="s">
        <v>115</v>
      </c>
      <c r="D85" s="67" t="s">
        <v>111</v>
      </c>
    </row>
    <row r="86" spans="1:6" ht="13.5" thickBot="1">
      <c r="A86" s="68" t="s">
        <v>116</v>
      </c>
      <c r="B86" s="72" t="s">
        <v>130</v>
      </c>
      <c r="C86" s="77">
        <v>0</v>
      </c>
      <c r="D86" s="78">
        <f>C86*$D$28</f>
        <v>0</v>
      </c>
    </row>
    <row r="87" spans="1:6" ht="13.5" thickBot="1">
      <c r="A87" s="68" t="s">
        <v>118</v>
      </c>
      <c r="B87" s="72" t="s">
        <v>131</v>
      </c>
      <c r="C87" s="79">
        <v>4.1999999999999997E-3</v>
      </c>
      <c r="D87" s="78">
        <f>C87*$D$28</f>
        <v>14.869805999999999</v>
      </c>
    </row>
    <row r="88" spans="1:6" ht="13.5" thickBot="1">
      <c r="A88" s="68" t="s">
        <v>72</v>
      </c>
      <c r="B88" s="72" t="s">
        <v>132</v>
      </c>
      <c r="C88" s="79">
        <v>2.0000000000000001E-4</v>
      </c>
      <c r="D88" s="78">
        <f>C88*$D$28</f>
        <v>0.70808599999999999</v>
      </c>
    </row>
    <row r="89" spans="1:6" ht="26.25" thickBot="1">
      <c r="A89" s="68" t="s">
        <v>37</v>
      </c>
      <c r="B89" s="72" t="s">
        <v>133</v>
      </c>
      <c r="C89" s="79">
        <v>4.1999999999999997E-3</v>
      </c>
      <c r="D89" s="78">
        <f>C89*$D$28</f>
        <v>14.869805999999999</v>
      </c>
    </row>
    <row r="90" spans="1:6" ht="13.5" thickBot="1">
      <c r="A90" s="68" t="s">
        <v>101</v>
      </c>
      <c r="B90" s="72" t="s">
        <v>134</v>
      </c>
      <c r="C90" s="79">
        <v>2.0000000000000001E-4</v>
      </c>
      <c r="D90" s="78">
        <f>C90*$D$28</f>
        <v>0.70808599999999999</v>
      </c>
    </row>
    <row r="91" spans="1:6" ht="39" thickBot="1">
      <c r="A91" s="117" t="s">
        <v>123</v>
      </c>
      <c r="B91" s="118" t="s">
        <v>135</v>
      </c>
      <c r="C91" s="119">
        <f>SUM(C86:C90)*C51</f>
        <v>3.2384000000000007E-3</v>
      </c>
      <c r="D91" s="120">
        <f t="shared" ref="D91" si="8">C91*$D$28</f>
        <v>11.465328512000001</v>
      </c>
      <c r="E91" s="80" t="s">
        <v>136</v>
      </c>
    </row>
    <row r="92" spans="1:6" ht="13.5" thickBot="1">
      <c r="A92" s="268" t="s">
        <v>74</v>
      </c>
      <c r="B92" s="269"/>
      <c r="C92" s="81">
        <f t="shared" ref="C92:D92" si="9">SUM(C86:C91)</f>
        <v>1.2038400000000001E-2</v>
      </c>
      <c r="D92" s="76">
        <f t="shared" si="9"/>
        <v>42.621112511999996</v>
      </c>
    </row>
    <row r="93" spans="1:6" ht="33.75" customHeight="1" thickBot="1">
      <c r="A93" s="324" t="s">
        <v>137</v>
      </c>
      <c r="B93" s="324"/>
      <c r="C93" s="324"/>
      <c r="D93" s="324"/>
    </row>
    <row r="94" spans="1:6" ht="13.5" thickBot="1">
      <c r="A94" s="273" t="s">
        <v>138</v>
      </c>
      <c r="B94" s="274"/>
      <c r="C94" s="274"/>
      <c r="D94" s="275"/>
    </row>
    <row r="95" spans="1:6" ht="13.5" thickBot="1">
      <c r="A95" s="65" t="s">
        <v>139</v>
      </c>
      <c r="B95" s="268" t="s">
        <v>140</v>
      </c>
      <c r="C95" s="270"/>
      <c r="D95" s="67" t="s">
        <v>111</v>
      </c>
    </row>
    <row r="96" spans="1:6" ht="13.5" thickBot="1">
      <c r="A96" s="68" t="s">
        <v>116</v>
      </c>
      <c r="B96" s="266" t="s">
        <v>141</v>
      </c>
      <c r="C96" s="267"/>
      <c r="D96" s="69">
        <v>0</v>
      </c>
    </row>
    <row r="97" spans="1:4" ht="13.5" thickBot="1">
      <c r="A97" s="268" t="s">
        <v>112</v>
      </c>
      <c r="B97" s="269"/>
      <c r="C97" s="270"/>
      <c r="D97" s="69">
        <f>SUM(D96)</f>
        <v>0</v>
      </c>
    </row>
    <row r="98" spans="1:4" ht="13.5" thickBot="1">
      <c r="A98" s="82"/>
      <c r="C98" s="83"/>
      <c r="D98" s="84"/>
    </row>
    <row r="99" spans="1:4" ht="13.5" thickBot="1">
      <c r="A99" s="273" t="s">
        <v>142</v>
      </c>
      <c r="B99" s="274"/>
      <c r="C99" s="274"/>
      <c r="D99" s="275"/>
    </row>
    <row r="100" spans="1:4" ht="13.5" thickBot="1">
      <c r="A100" s="65">
        <v>4</v>
      </c>
      <c r="B100" s="268" t="s">
        <v>143</v>
      </c>
      <c r="C100" s="270"/>
      <c r="D100" s="67" t="s">
        <v>111</v>
      </c>
    </row>
    <row r="101" spans="1:4" ht="13.5" thickBot="1">
      <c r="A101" s="68" t="s">
        <v>128</v>
      </c>
      <c r="B101" s="266" t="s">
        <v>129</v>
      </c>
      <c r="C101" s="267"/>
      <c r="D101" s="69">
        <f>D92</f>
        <v>42.621112511999996</v>
      </c>
    </row>
    <row r="102" spans="1:4" ht="13.5" thickBot="1">
      <c r="A102" s="68" t="s">
        <v>139</v>
      </c>
      <c r="B102" s="266" t="s">
        <v>140</v>
      </c>
      <c r="C102" s="267"/>
      <c r="D102" s="69">
        <f>D97</f>
        <v>0</v>
      </c>
    </row>
    <row r="103" spans="1:4" ht="13.5" thickBot="1">
      <c r="A103" s="268" t="s">
        <v>112</v>
      </c>
      <c r="B103" s="269"/>
      <c r="C103" s="270"/>
      <c r="D103" s="76">
        <f>SUM(D101:D102)</f>
        <v>42.621112511999996</v>
      </c>
    </row>
    <row r="104" spans="1:4" ht="13.5" thickBot="1">
      <c r="A104" s="82"/>
      <c r="C104" s="83"/>
      <c r="D104" s="84"/>
    </row>
    <row r="105" spans="1:4" ht="13.5" thickBot="1">
      <c r="A105" s="273" t="s">
        <v>144</v>
      </c>
      <c r="B105" s="274"/>
      <c r="C105" s="274"/>
      <c r="D105" s="275"/>
    </row>
    <row r="106" spans="1:4" ht="13.5" thickBot="1">
      <c r="A106" s="65">
        <v>5</v>
      </c>
      <c r="B106" s="268" t="s">
        <v>145</v>
      </c>
      <c r="C106" s="270"/>
      <c r="D106" s="67" t="s">
        <v>111</v>
      </c>
    </row>
    <row r="107" spans="1:4" ht="13.5" thickBot="1">
      <c r="A107" s="68" t="s">
        <v>116</v>
      </c>
      <c r="B107" s="266" t="s">
        <v>146</v>
      </c>
      <c r="C107" s="267"/>
      <c r="D107" s="69">
        <f>UNIFORMES!G26</f>
        <v>127.42499999999998</v>
      </c>
    </row>
    <row r="108" spans="1:4" ht="13.5" thickBot="1">
      <c r="A108" s="68" t="s">
        <v>118</v>
      </c>
      <c r="B108" s="266" t="s">
        <v>147</v>
      </c>
      <c r="C108" s="267"/>
      <c r="D108" s="69">
        <f>'VIGILÂNCIA 12X36 DIURNA ARMADA'!D108</f>
        <v>89.464501557632403</v>
      </c>
    </row>
    <row r="109" spans="1:4" ht="13.5" thickBot="1">
      <c r="A109" s="68" t="s">
        <v>72</v>
      </c>
      <c r="B109" s="266" t="s">
        <v>148</v>
      </c>
      <c r="C109" s="267"/>
      <c r="D109" s="69">
        <f>'VIGILÂNCIA 12X36 DIURNA ARMADA'!D109</f>
        <v>0</v>
      </c>
    </row>
    <row r="110" spans="1:4" ht="13.5" thickBot="1">
      <c r="A110" s="68" t="s">
        <v>37</v>
      </c>
      <c r="B110" s="266" t="s">
        <v>149</v>
      </c>
      <c r="C110" s="267"/>
      <c r="D110" s="69">
        <v>0</v>
      </c>
    </row>
    <row r="111" spans="1:4" ht="15.75" thickBot="1">
      <c r="A111" s="85" t="s">
        <v>101</v>
      </c>
      <c r="B111" s="266" t="s">
        <v>150</v>
      </c>
      <c r="C111" s="278"/>
      <c r="D111" s="69">
        <v>0</v>
      </c>
    </row>
    <row r="112" spans="1:4" ht="13.5" thickBot="1">
      <c r="A112" s="268" t="s">
        <v>74</v>
      </c>
      <c r="B112" s="269"/>
      <c r="C112" s="270"/>
      <c r="D112" s="70">
        <f>SUM(D107:D111)</f>
        <v>216.8895015576324</v>
      </c>
    </row>
    <row r="113" spans="1:5" ht="13.5" thickBot="1">
      <c r="A113" s="82"/>
      <c r="C113" s="83"/>
      <c r="D113" s="84"/>
    </row>
    <row r="114" spans="1:5" ht="13.5" thickBot="1">
      <c r="A114" s="273" t="s">
        <v>151</v>
      </c>
      <c r="B114" s="274"/>
      <c r="C114" s="274"/>
      <c r="D114" s="275"/>
    </row>
    <row r="115" spans="1:5" ht="13.5" thickBot="1">
      <c r="A115" s="65">
        <v>6</v>
      </c>
      <c r="B115" s="86" t="s">
        <v>152</v>
      </c>
      <c r="C115" s="48" t="s">
        <v>115</v>
      </c>
      <c r="D115" s="67" t="s">
        <v>111</v>
      </c>
    </row>
    <row r="116" spans="1:5" ht="13.5" thickBot="1">
      <c r="A116" s="68" t="s">
        <v>116</v>
      </c>
      <c r="B116" s="87" t="s">
        <v>153</v>
      </c>
      <c r="C116" s="79">
        <v>4.4999999999999998E-2</v>
      </c>
      <c r="D116" s="69">
        <f>C116*D134</f>
        <v>335.91027529825345</v>
      </c>
    </row>
    <row r="117" spans="1:5" ht="13.5" thickBot="1">
      <c r="A117" s="68" t="s">
        <v>118</v>
      </c>
      <c r="B117" s="87" t="s">
        <v>154</v>
      </c>
      <c r="C117" s="79">
        <v>4.4999999999999998E-2</v>
      </c>
      <c r="D117" s="69">
        <f>(D134+D116)*C117</f>
        <v>351.0262376866749</v>
      </c>
    </row>
    <row r="118" spans="1:5" ht="13.5" thickBot="1">
      <c r="A118" s="68" t="s">
        <v>72</v>
      </c>
      <c r="B118" s="87" t="s">
        <v>155</v>
      </c>
      <c r="C118" s="79">
        <f>C119+C120+C121</f>
        <v>0.14250000000000002</v>
      </c>
      <c r="D118" s="69">
        <f>((D134+D116+D117)/(1-C118))*C118</f>
        <v>1354.6406121028049</v>
      </c>
      <c r="E118" s="88"/>
    </row>
    <row r="119" spans="1:5" ht="13.5" thickBot="1">
      <c r="A119" s="68"/>
      <c r="B119" s="87" t="s">
        <v>156</v>
      </c>
      <c r="C119" s="79">
        <v>9.2499999999999999E-2</v>
      </c>
      <c r="D119" s="69">
        <f>C119*D136</f>
        <v>879.328125</v>
      </c>
    </row>
    <row r="120" spans="1:5" ht="13.5" thickBot="1">
      <c r="A120" s="68"/>
      <c r="B120" s="87" t="s">
        <v>157</v>
      </c>
      <c r="C120" s="89">
        <v>0.05</v>
      </c>
      <c r="D120" s="69">
        <f>C120*D136</f>
        <v>475.3125</v>
      </c>
    </row>
    <row r="121" spans="1:5" ht="13.5" thickBot="1">
      <c r="A121" s="68"/>
      <c r="B121" s="87" t="s">
        <v>158</v>
      </c>
      <c r="C121" s="89">
        <v>0</v>
      </c>
      <c r="D121" s="69">
        <f>C121*D136</f>
        <v>0</v>
      </c>
    </row>
    <row r="122" spans="1:5" ht="13.5" thickBot="1">
      <c r="A122" s="268" t="s">
        <v>74</v>
      </c>
      <c r="B122" s="270"/>
      <c r="C122" s="81">
        <f>C118+C116+C117</f>
        <v>0.23249999999999998</v>
      </c>
      <c r="D122" s="67">
        <f>SUM(D116,D117,D118)</f>
        <v>2041.5771250877333</v>
      </c>
    </row>
    <row r="123" spans="1:5">
      <c r="A123" s="53" t="s">
        <v>159</v>
      </c>
      <c r="C123" s="83"/>
      <c r="D123" s="84"/>
    </row>
    <row r="124" spans="1:5">
      <c r="A124" s="281" t="s">
        <v>160</v>
      </c>
      <c r="B124" s="281"/>
      <c r="C124" s="281"/>
      <c r="D124" s="281"/>
    </row>
    <row r="125" spans="1:5">
      <c r="A125" s="53" t="s">
        <v>161</v>
      </c>
      <c r="C125" s="83"/>
      <c r="D125" s="84"/>
    </row>
    <row r="126" spans="1:5" ht="13.5" thickBot="1">
      <c r="A126" s="82"/>
      <c r="C126" s="83"/>
      <c r="D126" s="84"/>
    </row>
    <row r="127" spans="1:5" ht="13.5" thickBot="1">
      <c r="A127" s="273" t="s">
        <v>162</v>
      </c>
      <c r="B127" s="274"/>
      <c r="C127" s="274"/>
      <c r="D127" s="275"/>
    </row>
    <row r="128" spans="1:5" ht="13.5" thickBot="1">
      <c r="A128" s="65"/>
      <c r="B128" s="279" t="s">
        <v>163</v>
      </c>
      <c r="C128" s="280"/>
      <c r="D128" s="67" t="s">
        <v>111</v>
      </c>
    </row>
    <row r="129" spans="1:4" ht="13.5" thickBot="1">
      <c r="A129" s="90" t="s">
        <v>116</v>
      </c>
      <c r="B129" s="271" t="s">
        <v>48</v>
      </c>
      <c r="C129" s="272"/>
      <c r="D129" s="69">
        <f>D28</f>
        <v>3540.43</v>
      </c>
    </row>
    <row r="130" spans="1:4" ht="13.5" thickBot="1">
      <c r="A130" s="90" t="s">
        <v>118</v>
      </c>
      <c r="B130" s="266" t="s">
        <v>64</v>
      </c>
      <c r="C130" s="267"/>
      <c r="D130" s="69">
        <f>D72</f>
        <v>3413.0954000000002</v>
      </c>
    </row>
    <row r="131" spans="1:4" ht="13.5" thickBot="1">
      <c r="A131" s="90" t="s">
        <v>72</v>
      </c>
      <c r="B131" s="266" t="s">
        <v>113</v>
      </c>
      <c r="C131" s="267"/>
      <c r="D131" s="69">
        <f>D81</f>
        <v>251.63677033600001</v>
      </c>
    </row>
    <row r="132" spans="1:4" ht="13.5" thickBot="1">
      <c r="A132" s="90" t="s">
        <v>37</v>
      </c>
      <c r="B132" s="266" t="s">
        <v>126</v>
      </c>
      <c r="C132" s="267"/>
      <c r="D132" s="69">
        <f>D103</f>
        <v>42.621112511999996</v>
      </c>
    </row>
    <row r="133" spans="1:4" ht="13.5" thickBot="1">
      <c r="A133" s="90" t="s">
        <v>101</v>
      </c>
      <c r="B133" s="266" t="s">
        <v>144</v>
      </c>
      <c r="C133" s="267"/>
      <c r="D133" s="69">
        <f>D112</f>
        <v>216.8895015576324</v>
      </c>
    </row>
    <row r="134" spans="1:4" ht="13.5" thickBot="1">
      <c r="A134" s="268" t="s">
        <v>164</v>
      </c>
      <c r="B134" s="269"/>
      <c r="C134" s="270"/>
      <c r="D134" s="69">
        <f>SUM(D129:D133)</f>
        <v>7464.6727844056331</v>
      </c>
    </row>
    <row r="135" spans="1:4" ht="13.5" thickBot="1">
      <c r="A135" s="90" t="s">
        <v>123</v>
      </c>
      <c r="B135" s="271" t="s">
        <v>165</v>
      </c>
      <c r="C135" s="272"/>
      <c r="D135" s="91">
        <f>D122</f>
        <v>2041.5771250877333</v>
      </c>
    </row>
    <row r="136" spans="1:4" ht="13.5" thickBot="1">
      <c r="A136" s="268" t="s">
        <v>166</v>
      </c>
      <c r="B136" s="269"/>
      <c r="C136" s="270"/>
      <c r="D136" s="92">
        <f>ROUND((D134+D135),2)</f>
        <v>9506.25</v>
      </c>
    </row>
    <row r="137" spans="1:4" ht="13.5" thickBot="1">
      <c r="A137" s="268" t="s">
        <v>167</v>
      </c>
      <c r="B137" s="269"/>
      <c r="C137" s="270"/>
      <c r="D137" s="92">
        <f>D136*1</f>
        <v>9506.25</v>
      </c>
    </row>
  </sheetData>
  <mergeCells count="84">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B9:C9"/>
    <mergeCell ref="A13:D13"/>
    <mergeCell ref="C14:D14"/>
    <mergeCell ref="B15:C15"/>
    <mergeCell ref="B18:C18"/>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70:C70"/>
    <mergeCell ref="B71:C71"/>
    <mergeCell ref="A92:B92"/>
    <mergeCell ref="A93:D93"/>
    <mergeCell ref="A94:D94"/>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s>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7"/>
  <sheetViews>
    <sheetView workbookViewId="0">
      <selection activeCell="D15" sqref="D15"/>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f>'VIGILÂNCIA 12X36 DIURNA ARMADA'!D15</f>
        <v>2723.41</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2723.41</v>
      </c>
    </row>
    <row r="22" spans="1:4">
      <c r="A22" s="147" t="s">
        <v>31</v>
      </c>
      <c r="B22" s="148" t="s">
        <v>52</v>
      </c>
      <c r="C22" s="149">
        <v>0.3</v>
      </c>
      <c r="D22" s="150">
        <f t="shared" ref="D22" si="0">C22*D21</f>
        <v>817.02299999999991</v>
      </c>
    </row>
    <row r="23" spans="1:4">
      <c r="A23" s="147" t="s">
        <v>34</v>
      </c>
      <c r="B23" s="349" t="s">
        <v>53</v>
      </c>
      <c r="C23" s="349"/>
      <c r="D23" s="150">
        <v>0</v>
      </c>
    </row>
    <row r="24" spans="1:4">
      <c r="A24" s="147" t="s">
        <v>54</v>
      </c>
      <c r="B24" s="148" t="s">
        <v>55</v>
      </c>
      <c r="C24" s="151">
        <v>0</v>
      </c>
      <c r="D24" s="150">
        <v>0</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3540.43</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294.92</v>
      </c>
    </row>
    <row r="34" spans="1:4">
      <c r="A34" s="136" t="s">
        <v>31</v>
      </c>
      <c r="B34" s="166" t="s">
        <v>70</v>
      </c>
      <c r="C34" s="49">
        <v>0.121</v>
      </c>
      <c r="D34" s="125">
        <f t="shared" ref="D34" si="3">ROUND(D$28*C34,2)</f>
        <v>428.39</v>
      </c>
    </row>
    <row r="35" spans="1:4" ht="13.5" thickBot="1">
      <c r="A35" s="335" t="s">
        <v>71</v>
      </c>
      <c r="B35" s="336"/>
      <c r="C35" s="167">
        <f>SUM(A33:C34)</f>
        <v>0.20429999999999998</v>
      </c>
      <c r="D35" s="125">
        <f>SUM(D33:D34)</f>
        <v>723.31</v>
      </c>
    </row>
    <row r="36" spans="1:4" ht="25.5">
      <c r="A36" s="122" t="s">
        <v>72</v>
      </c>
      <c r="B36" s="123" t="s">
        <v>73</v>
      </c>
      <c r="C36" s="124">
        <f>C35*C51</f>
        <v>7.5182399999999996E-2</v>
      </c>
      <c r="D36" s="125">
        <f>ROUND(D$28*C36,2)</f>
        <v>266.18</v>
      </c>
    </row>
    <row r="37" spans="1:4">
      <c r="A37" s="337" t="s">
        <v>74</v>
      </c>
      <c r="B37" s="338"/>
      <c r="C37" s="168"/>
      <c r="D37" s="125">
        <f>SUM(D35:D36)</f>
        <v>989.49</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708.09</v>
      </c>
    </row>
    <row r="44" spans="1:4">
      <c r="A44" s="136" t="s">
        <v>31</v>
      </c>
      <c r="B44" s="166" t="s">
        <v>82</v>
      </c>
      <c r="C44" s="49">
        <v>2.5000000000000001E-2</v>
      </c>
      <c r="D44" s="125">
        <f t="shared" ref="D44:D50" si="4">ROUND(D$28*C44,2)</f>
        <v>88.51</v>
      </c>
    </row>
    <row r="45" spans="1:4">
      <c r="A45" s="136" t="s">
        <v>34</v>
      </c>
      <c r="B45" s="166" t="s">
        <v>83</v>
      </c>
      <c r="C45" s="49">
        <v>0.03</v>
      </c>
      <c r="D45" s="125">
        <f t="shared" si="4"/>
        <v>106.21</v>
      </c>
    </row>
    <row r="46" spans="1:4">
      <c r="A46" s="136" t="s">
        <v>54</v>
      </c>
      <c r="B46" s="166" t="s">
        <v>84</v>
      </c>
      <c r="C46" s="49">
        <v>1.4999999999999999E-2</v>
      </c>
      <c r="D46" s="125">
        <f t="shared" si="4"/>
        <v>53.11</v>
      </c>
    </row>
    <row r="47" spans="1:4">
      <c r="A47" s="136" t="s">
        <v>56</v>
      </c>
      <c r="B47" s="166" t="s">
        <v>85</v>
      </c>
      <c r="C47" s="49">
        <v>0.01</v>
      </c>
      <c r="D47" s="125">
        <f t="shared" si="4"/>
        <v>35.4</v>
      </c>
    </row>
    <row r="48" spans="1:4">
      <c r="A48" s="136" t="s">
        <v>86</v>
      </c>
      <c r="B48" s="166" t="s">
        <v>87</v>
      </c>
      <c r="C48" s="49">
        <v>6.0000000000000001E-3</v>
      </c>
      <c r="D48" s="125">
        <f t="shared" si="4"/>
        <v>21.24</v>
      </c>
    </row>
    <row r="49" spans="1:5">
      <c r="A49" s="136" t="s">
        <v>58</v>
      </c>
      <c r="B49" s="166" t="s">
        <v>88</v>
      </c>
      <c r="C49" s="49">
        <v>2E-3</v>
      </c>
      <c r="D49" s="125">
        <f t="shared" si="4"/>
        <v>7.08</v>
      </c>
    </row>
    <row r="50" spans="1:5">
      <c r="A50" s="122" t="s">
        <v>60</v>
      </c>
      <c r="B50" s="170" t="s">
        <v>89</v>
      </c>
      <c r="C50" s="49">
        <v>0.08</v>
      </c>
      <c r="D50" s="125">
        <f t="shared" si="4"/>
        <v>283.23</v>
      </c>
    </row>
    <row r="51" spans="1:5" ht="13.5" thickBot="1">
      <c r="A51" s="359" t="s">
        <v>90</v>
      </c>
      <c r="B51" s="361"/>
      <c r="C51" s="171">
        <f t="shared" ref="C51:D51" si="5">SUM(C43:C50)</f>
        <v>0.36800000000000005</v>
      </c>
      <c r="D51" s="172">
        <f t="shared" si="5"/>
        <v>1302.8700000000001</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15</v>
      </c>
      <c r="D57" s="125">
        <f>5.5*2*C57-6%*D21</f>
        <v>1.5954000000000121</v>
      </c>
    </row>
    <row r="58" spans="1:5">
      <c r="A58" s="129" t="s">
        <v>31</v>
      </c>
      <c r="B58" s="180" t="s">
        <v>98</v>
      </c>
      <c r="C58" s="181">
        <v>15</v>
      </c>
      <c r="D58" s="182">
        <f>C58*47.37</f>
        <v>710.55</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712.1454</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989.49</v>
      </c>
    </row>
    <row r="70" spans="1:4" ht="13.5" thickBot="1">
      <c r="A70" s="117" t="s">
        <v>79</v>
      </c>
      <c r="B70" s="333" t="s">
        <v>80</v>
      </c>
      <c r="C70" s="334"/>
      <c r="D70" s="121">
        <f>D51</f>
        <v>1302.8700000000001</v>
      </c>
    </row>
    <row r="71" spans="1:4" ht="13.5" thickBot="1">
      <c r="A71" s="117" t="s">
        <v>95</v>
      </c>
      <c r="B71" s="276" t="s">
        <v>96</v>
      </c>
      <c r="C71" s="277"/>
      <c r="D71" s="121">
        <f>D64</f>
        <v>712.1454</v>
      </c>
    </row>
    <row r="72" spans="1:4" ht="13.5" thickBot="1">
      <c r="A72" s="326" t="s">
        <v>112</v>
      </c>
      <c r="B72" s="327"/>
      <c r="C72" s="328"/>
      <c r="D72" s="192">
        <f>SUM(D69:D71)</f>
        <v>3004.5054</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14.869805999999999</v>
      </c>
    </row>
    <row r="76" spans="1:4" ht="13.5" thickBot="1">
      <c r="A76" s="117" t="s">
        <v>118</v>
      </c>
      <c r="B76" s="118" t="s">
        <v>119</v>
      </c>
      <c r="C76" s="74">
        <f>8%*C75</f>
        <v>3.3599999999999998E-4</v>
      </c>
      <c r="D76" s="121">
        <f t="shared" si="6"/>
        <v>1.1895844799999999</v>
      </c>
    </row>
    <row r="77" spans="1:4" ht="13.5" thickBot="1">
      <c r="A77" s="117" t="s">
        <v>72</v>
      </c>
      <c r="B77" s="118" t="s">
        <v>120</v>
      </c>
      <c r="C77" s="74">
        <v>3.9800000000000002E-2</v>
      </c>
      <c r="D77" s="121">
        <f t="shared" si="6"/>
        <v>140.90911399999999</v>
      </c>
    </row>
    <row r="78" spans="1:4" ht="13.5" thickBot="1">
      <c r="A78" s="117" t="s">
        <v>37</v>
      </c>
      <c r="B78" s="118" t="s">
        <v>121</v>
      </c>
      <c r="C78" s="74">
        <v>1.9400000000000001E-2</v>
      </c>
      <c r="D78" s="121">
        <f t="shared" si="6"/>
        <v>68.684342000000001</v>
      </c>
    </row>
    <row r="79" spans="1:4" ht="26.25" thickBot="1">
      <c r="A79" s="117" t="s">
        <v>101</v>
      </c>
      <c r="B79" s="118" t="s">
        <v>122</v>
      </c>
      <c r="C79" s="74">
        <f>1*36.8%*C78</f>
        <v>7.1392000000000001E-3</v>
      </c>
      <c r="D79" s="121">
        <f t="shared" si="6"/>
        <v>25.275837855999999</v>
      </c>
    </row>
    <row r="80" spans="1:4" ht="13.5" thickBot="1">
      <c r="A80" s="117" t="s">
        <v>123</v>
      </c>
      <c r="B80" s="118" t="s">
        <v>124</v>
      </c>
      <c r="C80" s="74">
        <v>2.0000000000000001E-4</v>
      </c>
      <c r="D80" s="121">
        <f t="shared" si="6"/>
        <v>0.70808599999999999</v>
      </c>
    </row>
    <row r="81" spans="1:6" ht="13.5" thickBot="1">
      <c r="A81" s="326" t="s">
        <v>112</v>
      </c>
      <c r="B81" s="328"/>
      <c r="C81" s="194">
        <f t="shared" ref="C81:D81" si="7">SUM(C75:C80)</f>
        <v>7.1075200000000005E-2</v>
      </c>
      <c r="D81" s="195">
        <f t="shared" si="7"/>
        <v>251.63677033600001</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14.869805999999999</v>
      </c>
    </row>
    <row r="88" spans="1:6" ht="13.5" thickBot="1">
      <c r="A88" s="117" t="s">
        <v>72</v>
      </c>
      <c r="B88" s="118" t="s">
        <v>132</v>
      </c>
      <c r="C88" s="197">
        <v>2.0000000000000001E-4</v>
      </c>
      <c r="D88" s="120">
        <f>C88*$D$28</f>
        <v>0.70808599999999999</v>
      </c>
    </row>
    <row r="89" spans="1:6" ht="26.25" thickBot="1">
      <c r="A89" s="117" t="s">
        <v>37</v>
      </c>
      <c r="B89" s="118" t="s">
        <v>133</v>
      </c>
      <c r="C89" s="197">
        <v>4.1999999999999997E-3</v>
      </c>
      <c r="D89" s="120">
        <f>C89*$D$28</f>
        <v>14.869805999999999</v>
      </c>
    </row>
    <row r="90" spans="1:6" ht="13.5" thickBot="1">
      <c r="A90" s="117" t="s">
        <v>101</v>
      </c>
      <c r="B90" s="118" t="s">
        <v>134</v>
      </c>
      <c r="C90" s="197">
        <v>2.0000000000000001E-4</v>
      </c>
      <c r="D90" s="120">
        <f>C90*$D$28</f>
        <v>0.70808599999999999</v>
      </c>
    </row>
    <row r="91" spans="1:6" ht="39" thickBot="1">
      <c r="A91" s="117" t="s">
        <v>123</v>
      </c>
      <c r="B91" s="118" t="s">
        <v>135</v>
      </c>
      <c r="C91" s="119">
        <f>SUM(C86:C90)*C51</f>
        <v>3.2384000000000007E-3</v>
      </c>
      <c r="D91" s="120">
        <f t="shared" ref="D91" si="8">C91*$D$28</f>
        <v>11.465328512000001</v>
      </c>
      <c r="E91" s="198" t="s">
        <v>136</v>
      </c>
    </row>
    <row r="92" spans="1:6" ht="13.5" thickBot="1">
      <c r="A92" s="326" t="s">
        <v>74</v>
      </c>
      <c r="B92" s="327"/>
      <c r="C92" s="199">
        <f t="shared" ref="C92:D92" si="9">SUM(C86:C91)</f>
        <v>1.2038400000000001E-2</v>
      </c>
      <c r="D92" s="195">
        <f t="shared" si="9"/>
        <v>42.621112511999996</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42.621112511999996</v>
      </c>
    </row>
    <row r="102" spans="1:4" ht="13.5" thickBot="1">
      <c r="A102" s="117" t="s">
        <v>139</v>
      </c>
      <c r="B102" s="276" t="s">
        <v>140</v>
      </c>
      <c r="C102" s="277"/>
      <c r="D102" s="121">
        <f>D97</f>
        <v>0</v>
      </c>
    </row>
    <row r="103" spans="1:4" ht="13.5" thickBot="1">
      <c r="A103" s="326" t="s">
        <v>112</v>
      </c>
      <c r="B103" s="327"/>
      <c r="C103" s="328"/>
      <c r="D103" s="195">
        <f>SUM(D101:D102)</f>
        <v>42.621112511999996</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UNIFORMES!G26</f>
        <v>127.42499999999998</v>
      </c>
    </row>
    <row r="108" spans="1:4" ht="13.5" thickBot="1">
      <c r="A108" s="117" t="s">
        <v>118</v>
      </c>
      <c r="B108" s="276" t="s">
        <v>147</v>
      </c>
      <c r="C108" s="277"/>
      <c r="D108" s="121">
        <f>'VIGILÂNCIA 12X36 DIURNA ARMADA'!D108</f>
        <v>89.464501557632403</v>
      </c>
    </row>
    <row r="109" spans="1:4" ht="13.5" thickBot="1">
      <c r="A109" s="117" t="s">
        <v>72</v>
      </c>
      <c r="B109" s="276" t="s">
        <v>148</v>
      </c>
      <c r="C109" s="277"/>
      <c r="D109" s="121">
        <f>'VIGILÂNCIA 12X36 DIURNA ARMADA'!D109</f>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216.8895015576324</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317.52372529825345</v>
      </c>
    </row>
    <row r="117" spans="1:5" ht="13.5" thickBot="1">
      <c r="A117" s="117" t="s">
        <v>118</v>
      </c>
      <c r="B117" s="205" t="s">
        <v>154</v>
      </c>
      <c r="C117" s="197">
        <v>4.4999999999999998E-2</v>
      </c>
      <c r="D117" s="121">
        <f>(D134+D116)*C117</f>
        <v>331.81229293667485</v>
      </c>
    </row>
    <row r="118" spans="1:5" ht="13.5" thickBot="1">
      <c r="A118" s="117" t="s">
        <v>72</v>
      </c>
      <c r="B118" s="205" t="s">
        <v>155</v>
      </c>
      <c r="C118" s="197">
        <f>C119+C120+C121</f>
        <v>0.14250000000000002</v>
      </c>
      <c r="D118" s="121">
        <f>((D134+D116+D117)/(1-C118))*C118</f>
        <v>1280.4923374650496</v>
      </c>
      <c r="E118" s="206"/>
    </row>
    <row r="119" spans="1:5" ht="13.5" thickBot="1">
      <c r="A119" s="117"/>
      <c r="B119" s="205" t="s">
        <v>156</v>
      </c>
      <c r="C119" s="197">
        <v>9.2499999999999999E-2</v>
      </c>
      <c r="D119" s="121">
        <f>C119*D136</f>
        <v>831.19667500000003</v>
      </c>
    </row>
    <row r="120" spans="1:5" ht="13.5" thickBot="1">
      <c r="A120" s="117"/>
      <c r="B120" s="205" t="s">
        <v>157</v>
      </c>
      <c r="C120" s="207">
        <v>0.05</v>
      </c>
      <c r="D120" s="121">
        <f>C120*D136</f>
        <v>449.2955</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1929.8283556999779</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3540.43</v>
      </c>
    </row>
    <row r="130" spans="1:4" ht="13.5" thickBot="1">
      <c r="A130" s="208" t="s">
        <v>118</v>
      </c>
      <c r="B130" s="276" t="s">
        <v>64</v>
      </c>
      <c r="C130" s="277"/>
      <c r="D130" s="121">
        <f>D72</f>
        <v>3004.5054</v>
      </c>
    </row>
    <row r="131" spans="1:4" ht="13.5" thickBot="1">
      <c r="A131" s="208" t="s">
        <v>72</v>
      </c>
      <c r="B131" s="276" t="s">
        <v>113</v>
      </c>
      <c r="C131" s="277"/>
      <c r="D131" s="121">
        <f>D81</f>
        <v>251.63677033600001</v>
      </c>
    </row>
    <row r="132" spans="1:4" ht="13.5" thickBot="1">
      <c r="A132" s="208" t="s">
        <v>37</v>
      </c>
      <c r="B132" s="276" t="s">
        <v>126</v>
      </c>
      <c r="C132" s="277"/>
      <c r="D132" s="121">
        <f>D103</f>
        <v>42.621112511999996</v>
      </c>
    </row>
    <row r="133" spans="1:4" ht="13.5" thickBot="1">
      <c r="A133" s="208" t="s">
        <v>101</v>
      </c>
      <c r="B133" s="276" t="s">
        <v>144</v>
      </c>
      <c r="C133" s="277"/>
      <c r="D133" s="121">
        <f>D112</f>
        <v>216.8895015576324</v>
      </c>
    </row>
    <row r="134" spans="1:4" ht="13.5" thickBot="1">
      <c r="A134" s="326" t="s">
        <v>164</v>
      </c>
      <c r="B134" s="327"/>
      <c r="C134" s="328"/>
      <c r="D134" s="121">
        <f>SUM(D129:D133)</f>
        <v>7056.082784405633</v>
      </c>
    </row>
    <row r="135" spans="1:4" ht="13.5" thickBot="1">
      <c r="A135" s="208" t="s">
        <v>123</v>
      </c>
      <c r="B135" s="333" t="s">
        <v>165</v>
      </c>
      <c r="C135" s="334"/>
      <c r="D135" s="209">
        <f>D122</f>
        <v>1929.8283556999779</v>
      </c>
    </row>
    <row r="136" spans="1:4" ht="13.5" thickBot="1">
      <c r="A136" s="326" t="s">
        <v>166</v>
      </c>
      <c r="B136" s="327"/>
      <c r="C136" s="328"/>
      <c r="D136" s="210">
        <f>ROUND((D134+D135),2)</f>
        <v>8985.91</v>
      </c>
    </row>
    <row r="137" spans="1:4" ht="13.5" thickBot="1">
      <c r="A137" s="326" t="s">
        <v>167</v>
      </c>
      <c r="B137" s="327"/>
      <c r="C137" s="328"/>
      <c r="D137" s="210">
        <f>D136*2</f>
        <v>17971.82</v>
      </c>
    </row>
  </sheetData>
  <mergeCells count="84">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B9:C9"/>
    <mergeCell ref="A13:D13"/>
    <mergeCell ref="C14:D14"/>
    <mergeCell ref="B15:C15"/>
    <mergeCell ref="B18:C18"/>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70:C70"/>
    <mergeCell ref="B71:C71"/>
    <mergeCell ref="A92:B92"/>
    <mergeCell ref="A93:D93"/>
    <mergeCell ref="A94:D94"/>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s>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7"/>
  <sheetViews>
    <sheetView workbookViewId="0">
      <selection activeCell="D15" sqref="D15"/>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f>'VIGILÂNCIA 12X36 DIURNA ARMADA'!D15</f>
        <v>2723.41</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2723.41</v>
      </c>
    </row>
    <row r="22" spans="1:4">
      <c r="A22" s="147" t="s">
        <v>31</v>
      </c>
      <c r="B22" s="148" t="s">
        <v>52</v>
      </c>
      <c r="C22" s="149">
        <v>0.3</v>
      </c>
      <c r="D22" s="150">
        <f t="shared" ref="D22" si="0">C22*D21</f>
        <v>817.02299999999991</v>
      </c>
    </row>
    <row r="23" spans="1:4">
      <c r="A23" s="147" t="s">
        <v>34</v>
      </c>
      <c r="B23" s="349" t="s">
        <v>53</v>
      </c>
      <c r="C23" s="349"/>
      <c r="D23" s="150">
        <v>0</v>
      </c>
    </row>
    <row r="24" spans="1:4">
      <c r="A24" s="147" t="s">
        <v>54</v>
      </c>
      <c r="B24" s="148" t="s">
        <v>55</v>
      </c>
      <c r="C24" s="151">
        <v>0.2</v>
      </c>
      <c r="D24" s="150">
        <f>(D21+D22)/(220)*(20%)*(120)</f>
        <v>386.22905454545457</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3926.66</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327.08999999999997</v>
      </c>
    </row>
    <row r="34" spans="1:4">
      <c r="A34" s="136" t="s">
        <v>31</v>
      </c>
      <c r="B34" s="166" t="s">
        <v>70</v>
      </c>
      <c r="C34" s="49">
        <v>0.121</v>
      </c>
      <c r="D34" s="125">
        <f t="shared" ref="D34" si="3">ROUND(D$28*C34,2)</f>
        <v>475.13</v>
      </c>
    </row>
    <row r="35" spans="1:4" ht="13.5" thickBot="1">
      <c r="A35" s="335" t="s">
        <v>71</v>
      </c>
      <c r="B35" s="336"/>
      <c r="C35" s="167">
        <f>SUM(A33:C34)</f>
        <v>0.20429999999999998</v>
      </c>
      <c r="D35" s="125">
        <f>SUM(D33:D34)</f>
        <v>802.22</v>
      </c>
    </row>
    <row r="36" spans="1:4" ht="25.5">
      <c r="A36" s="122" t="s">
        <v>72</v>
      </c>
      <c r="B36" s="123" t="s">
        <v>73</v>
      </c>
      <c r="C36" s="124">
        <f>C35*C51</f>
        <v>7.5182399999999996E-2</v>
      </c>
      <c r="D36" s="125">
        <f>ROUND(D$28*C36,2)</f>
        <v>295.22000000000003</v>
      </c>
    </row>
    <row r="37" spans="1:4">
      <c r="A37" s="337" t="s">
        <v>74</v>
      </c>
      <c r="B37" s="338"/>
      <c r="C37" s="168"/>
      <c r="D37" s="125">
        <f>SUM(D35:D36)</f>
        <v>1097.44</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785.33</v>
      </c>
    </row>
    <row r="44" spans="1:4">
      <c r="A44" s="136" t="s">
        <v>31</v>
      </c>
      <c r="B44" s="166" t="s">
        <v>82</v>
      </c>
      <c r="C44" s="49">
        <v>2.5000000000000001E-2</v>
      </c>
      <c r="D44" s="125">
        <f t="shared" ref="D44:D50" si="4">ROUND(D$28*C44,2)</f>
        <v>98.17</v>
      </c>
    </row>
    <row r="45" spans="1:4">
      <c r="A45" s="136" t="s">
        <v>34</v>
      </c>
      <c r="B45" s="166" t="s">
        <v>83</v>
      </c>
      <c r="C45" s="49">
        <v>0.03</v>
      </c>
      <c r="D45" s="125">
        <f t="shared" si="4"/>
        <v>117.8</v>
      </c>
    </row>
    <row r="46" spans="1:4">
      <c r="A46" s="136" t="s">
        <v>54</v>
      </c>
      <c r="B46" s="166" t="s">
        <v>84</v>
      </c>
      <c r="C46" s="49">
        <v>1.4999999999999999E-2</v>
      </c>
      <c r="D46" s="125">
        <f t="shared" si="4"/>
        <v>58.9</v>
      </c>
    </row>
    <row r="47" spans="1:4">
      <c r="A47" s="136" t="s">
        <v>56</v>
      </c>
      <c r="B47" s="166" t="s">
        <v>85</v>
      </c>
      <c r="C47" s="49">
        <v>0.01</v>
      </c>
      <c r="D47" s="125">
        <f t="shared" si="4"/>
        <v>39.270000000000003</v>
      </c>
    </row>
    <row r="48" spans="1:4">
      <c r="A48" s="136" t="s">
        <v>86</v>
      </c>
      <c r="B48" s="166" t="s">
        <v>87</v>
      </c>
      <c r="C48" s="49">
        <v>6.0000000000000001E-3</v>
      </c>
      <c r="D48" s="125">
        <f t="shared" si="4"/>
        <v>23.56</v>
      </c>
    </row>
    <row r="49" spans="1:5">
      <c r="A49" s="136" t="s">
        <v>58</v>
      </c>
      <c r="B49" s="166" t="s">
        <v>88</v>
      </c>
      <c r="C49" s="49">
        <v>2E-3</v>
      </c>
      <c r="D49" s="125">
        <f t="shared" si="4"/>
        <v>7.85</v>
      </c>
    </row>
    <row r="50" spans="1:5">
      <c r="A50" s="122" t="s">
        <v>60</v>
      </c>
      <c r="B50" s="170" t="s">
        <v>89</v>
      </c>
      <c r="C50" s="49">
        <v>0.08</v>
      </c>
      <c r="D50" s="125">
        <f t="shared" si="4"/>
        <v>314.13</v>
      </c>
    </row>
    <row r="51" spans="1:5" ht="13.5" thickBot="1">
      <c r="A51" s="359" t="s">
        <v>90</v>
      </c>
      <c r="B51" s="361"/>
      <c r="C51" s="171">
        <f t="shared" ref="C51:D51" si="5">SUM(C43:C50)</f>
        <v>0.36800000000000005</v>
      </c>
      <c r="D51" s="172">
        <f t="shared" si="5"/>
        <v>1445.0099999999998</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15</v>
      </c>
      <c r="D57" s="125">
        <f>5.5*2*C57-6%*D21</f>
        <v>1.5954000000000121</v>
      </c>
    </row>
    <row r="58" spans="1:5">
      <c r="A58" s="129" t="s">
        <v>31</v>
      </c>
      <c r="B58" s="180" t="s">
        <v>98</v>
      </c>
      <c r="C58" s="181">
        <v>15</v>
      </c>
      <c r="D58" s="182">
        <f>C58*47.37</f>
        <v>710.55</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712.1454</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1097.44</v>
      </c>
    </row>
    <row r="70" spans="1:4" ht="13.5" thickBot="1">
      <c r="A70" s="117" t="s">
        <v>79</v>
      </c>
      <c r="B70" s="333" t="s">
        <v>80</v>
      </c>
      <c r="C70" s="334"/>
      <c r="D70" s="121">
        <f>D51</f>
        <v>1445.0099999999998</v>
      </c>
    </row>
    <row r="71" spans="1:4" ht="13.5" thickBot="1">
      <c r="A71" s="117" t="s">
        <v>95</v>
      </c>
      <c r="B71" s="276" t="s">
        <v>96</v>
      </c>
      <c r="C71" s="277"/>
      <c r="D71" s="121">
        <f>D64</f>
        <v>712.1454</v>
      </c>
    </row>
    <row r="72" spans="1:4" ht="13.5" thickBot="1">
      <c r="A72" s="326" t="s">
        <v>112</v>
      </c>
      <c r="B72" s="327"/>
      <c r="C72" s="328"/>
      <c r="D72" s="192">
        <f>SUM(D69:D71)</f>
        <v>3254.5953999999997</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16.491971999999997</v>
      </c>
    </row>
    <row r="76" spans="1:4" ht="13.5" thickBot="1">
      <c r="A76" s="117" t="s">
        <v>118</v>
      </c>
      <c r="B76" s="118" t="s">
        <v>119</v>
      </c>
      <c r="C76" s="74">
        <f>8%*C75</f>
        <v>3.3599999999999998E-4</v>
      </c>
      <c r="D76" s="121">
        <f t="shared" si="6"/>
        <v>1.3193577599999999</v>
      </c>
    </row>
    <row r="77" spans="1:4" ht="13.5" thickBot="1">
      <c r="A77" s="117" t="s">
        <v>72</v>
      </c>
      <c r="B77" s="118" t="s">
        <v>120</v>
      </c>
      <c r="C77" s="74">
        <v>3.9800000000000002E-2</v>
      </c>
      <c r="D77" s="121">
        <f t="shared" si="6"/>
        <v>156.281068</v>
      </c>
    </row>
    <row r="78" spans="1:4" ht="13.5" thickBot="1">
      <c r="A78" s="117" t="s">
        <v>37</v>
      </c>
      <c r="B78" s="118" t="s">
        <v>121</v>
      </c>
      <c r="C78" s="74">
        <v>1.9400000000000001E-2</v>
      </c>
      <c r="D78" s="121">
        <f t="shared" si="6"/>
        <v>76.177204000000003</v>
      </c>
    </row>
    <row r="79" spans="1:4" ht="26.25" thickBot="1">
      <c r="A79" s="117" t="s">
        <v>101</v>
      </c>
      <c r="B79" s="118" t="s">
        <v>122</v>
      </c>
      <c r="C79" s="74">
        <f>1*36.8%*C78</f>
        <v>7.1392000000000001E-3</v>
      </c>
      <c r="D79" s="121">
        <f t="shared" si="6"/>
        <v>28.033211072</v>
      </c>
    </row>
    <row r="80" spans="1:4" ht="13.5" thickBot="1">
      <c r="A80" s="117" t="s">
        <v>123</v>
      </c>
      <c r="B80" s="118" t="s">
        <v>124</v>
      </c>
      <c r="C80" s="74">
        <v>2.0000000000000001E-4</v>
      </c>
      <c r="D80" s="121">
        <f t="shared" si="6"/>
        <v>0.78533200000000003</v>
      </c>
    </row>
    <row r="81" spans="1:6" ht="13.5" thickBot="1">
      <c r="A81" s="326" t="s">
        <v>112</v>
      </c>
      <c r="B81" s="328"/>
      <c r="C81" s="194">
        <f t="shared" ref="C81:D81" si="7">SUM(C75:C80)</f>
        <v>7.1075200000000005E-2</v>
      </c>
      <c r="D81" s="195">
        <f t="shared" si="7"/>
        <v>279.08814483199995</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16.491971999999997</v>
      </c>
    </row>
    <row r="88" spans="1:6" ht="13.5" thickBot="1">
      <c r="A88" s="117" t="s">
        <v>72</v>
      </c>
      <c r="B88" s="118" t="s">
        <v>132</v>
      </c>
      <c r="C88" s="197">
        <v>2.0000000000000001E-4</v>
      </c>
      <c r="D88" s="120">
        <f>C88*$D$28</f>
        <v>0.78533200000000003</v>
      </c>
    </row>
    <row r="89" spans="1:6" ht="26.25" thickBot="1">
      <c r="A89" s="117" t="s">
        <v>37</v>
      </c>
      <c r="B89" s="118" t="s">
        <v>133</v>
      </c>
      <c r="C89" s="197">
        <v>4.1999999999999997E-3</v>
      </c>
      <c r="D89" s="120">
        <f>C89*$D$28</f>
        <v>16.491971999999997</v>
      </c>
    </row>
    <row r="90" spans="1:6" ht="13.5" thickBot="1">
      <c r="A90" s="117" t="s">
        <v>101</v>
      </c>
      <c r="B90" s="118" t="s">
        <v>134</v>
      </c>
      <c r="C90" s="197">
        <v>2.0000000000000001E-4</v>
      </c>
      <c r="D90" s="120">
        <f>C90*$D$28</f>
        <v>0.78533200000000003</v>
      </c>
    </row>
    <row r="91" spans="1:6" ht="39" thickBot="1">
      <c r="A91" s="117" t="s">
        <v>123</v>
      </c>
      <c r="B91" s="118" t="s">
        <v>135</v>
      </c>
      <c r="C91" s="119">
        <f>SUM(C86:C90)*C51</f>
        <v>3.2384000000000007E-3</v>
      </c>
      <c r="D91" s="120">
        <f t="shared" ref="D91" si="8">C91*$D$28</f>
        <v>12.716095744000002</v>
      </c>
      <c r="E91" s="198" t="s">
        <v>136</v>
      </c>
    </row>
    <row r="92" spans="1:6" ht="13.5" thickBot="1">
      <c r="A92" s="326" t="s">
        <v>74</v>
      </c>
      <c r="B92" s="327"/>
      <c r="C92" s="199">
        <f t="shared" ref="C92:D92" si="9">SUM(C86:C91)</f>
        <v>1.2038400000000001E-2</v>
      </c>
      <c r="D92" s="195">
        <f t="shared" si="9"/>
        <v>47.270703743999988</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47.270703743999988</v>
      </c>
    </row>
    <row r="102" spans="1:4" ht="13.5" thickBot="1">
      <c r="A102" s="117" t="s">
        <v>139</v>
      </c>
      <c r="B102" s="276" t="s">
        <v>140</v>
      </c>
      <c r="C102" s="277"/>
      <c r="D102" s="121">
        <f>D97</f>
        <v>0</v>
      </c>
    </row>
    <row r="103" spans="1:4" ht="13.5" thickBot="1">
      <c r="A103" s="326" t="s">
        <v>112</v>
      </c>
      <c r="B103" s="327"/>
      <c r="C103" s="328"/>
      <c r="D103" s="195">
        <f>SUM(D101:D102)</f>
        <v>47.270703743999988</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UNIFORMES!G26</f>
        <v>127.42499999999998</v>
      </c>
    </row>
    <row r="108" spans="1:4" ht="13.5" thickBot="1">
      <c r="A108" s="117" t="s">
        <v>118</v>
      </c>
      <c r="B108" s="276" t="s">
        <v>147</v>
      </c>
      <c r="C108" s="277"/>
      <c r="D108" s="121">
        <f>'VIGILÂNCIA 12X36 DIURNA ARMADA'!D108</f>
        <v>89.464501557632403</v>
      </c>
    </row>
    <row r="109" spans="1:4" ht="13.5" thickBot="1">
      <c r="A109" s="117" t="s">
        <v>72</v>
      </c>
      <c r="B109" s="276" t="s">
        <v>148</v>
      </c>
      <c r="C109" s="277"/>
      <c r="D109" s="121">
        <f>'VIGILÂNCIA 12X36 DIURNA ARMADA'!D109</f>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216.8895015576324</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347.60266875601343</v>
      </c>
    </row>
    <row r="117" spans="1:5" ht="13.5" thickBot="1">
      <c r="A117" s="117" t="s">
        <v>118</v>
      </c>
      <c r="B117" s="205" t="s">
        <v>154</v>
      </c>
      <c r="C117" s="197">
        <v>4.4999999999999998E-2</v>
      </c>
      <c r="D117" s="121">
        <f>(D134+D116)*C117</f>
        <v>363.24478885003401</v>
      </c>
    </row>
    <row r="118" spans="1:5" ht="13.5" thickBot="1">
      <c r="A118" s="117" t="s">
        <v>72</v>
      </c>
      <c r="B118" s="205" t="s">
        <v>155</v>
      </c>
      <c r="C118" s="197">
        <f>C119+C120+C121</f>
        <v>0.14250000000000002</v>
      </c>
      <c r="D118" s="121">
        <f>((D134+D116+D117)/(1-C118))*C118</f>
        <v>1401.7930578459527</v>
      </c>
      <c r="E118" s="206"/>
    </row>
    <row r="119" spans="1:5" ht="13.5" thickBot="1">
      <c r="A119" s="117"/>
      <c r="B119" s="205" t="s">
        <v>156</v>
      </c>
      <c r="C119" s="197">
        <v>9.2499999999999999E-2</v>
      </c>
      <c r="D119" s="121">
        <f>C119*D136</f>
        <v>909.93544999999995</v>
      </c>
    </row>
    <row r="120" spans="1:5" ht="13.5" thickBot="1">
      <c r="A120" s="117"/>
      <c r="B120" s="205" t="s">
        <v>157</v>
      </c>
      <c r="C120" s="207">
        <v>0.05</v>
      </c>
      <c r="D120" s="121">
        <f>C120*D136</f>
        <v>491.85699999999997</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2112.6405154520003</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3926.66</v>
      </c>
    </row>
    <row r="130" spans="1:4" ht="13.5" thickBot="1">
      <c r="A130" s="208" t="s">
        <v>118</v>
      </c>
      <c r="B130" s="276" t="s">
        <v>64</v>
      </c>
      <c r="C130" s="277"/>
      <c r="D130" s="121">
        <f>D72</f>
        <v>3254.5953999999997</v>
      </c>
    </row>
    <row r="131" spans="1:4" ht="13.5" thickBot="1">
      <c r="A131" s="208" t="s">
        <v>72</v>
      </c>
      <c r="B131" s="276" t="s">
        <v>113</v>
      </c>
      <c r="C131" s="277"/>
      <c r="D131" s="121">
        <f>D81</f>
        <v>279.08814483199995</v>
      </c>
    </row>
    <row r="132" spans="1:4" ht="13.5" thickBot="1">
      <c r="A132" s="208" t="s">
        <v>37</v>
      </c>
      <c r="B132" s="276" t="s">
        <v>126</v>
      </c>
      <c r="C132" s="277"/>
      <c r="D132" s="121">
        <f>D103</f>
        <v>47.270703743999988</v>
      </c>
    </row>
    <row r="133" spans="1:4" ht="13.5" thickBot="1">
      <c r="A133" s="208" t="s">
        <v>101</v>
      </c>
      <c r="B133" s="276" t="s">
        <v>144</v>
      </c>
      <c r="C133" s="277"/>
      <c r="D133" s="121">
        <f>D112</f>
        <v>216.8895015576324</v>
      </c>
    </row>
    <row r="134" spans="1:4" ht="13.5" thickBot="1">
      <c r="A134" s="326" t="s">
        <v>164</v>
      </c>
      <c r="B134" s="327"/>
      <c r="C134" s="328"/>
      <c r="D134" s="121">
        <f>SUM(D129:D133)</f>
        <v>7724.5037501336319</v>
      </c>
    </row>
    <row r="135" spans="1:4" ht="13.5" thickBot="1">
      <c r="A135" s="208" t="s">
        <v>123</v>
      </c>
      <c r="B135" s="333" t="s">
        <v>165</v>
      </c>
      <c r="C135" s="334"/>
      <c r="D135" s="209">
        <f>D122</f>
        <v>2112.6405154520003</v>
      </c>
    </row>
    <row r="136" spans="1:4" ht="13.5" thickBot="1">
      <c r="A136" s="326" t="s">
        <v>166</v>
      </c>
      <c r="B136" s="327"/>
      <c r="C136" s="328"/>
      <c r="D136" s="210">
        <f>ROUND((D134+D135),2)</f>
        <v>9837.14</v>
      </c>
    </row>
    <row r="137" spans="1:4" ht="13.5" thickBot="1">
      <c r="A137" s="326" t="s">
        <v>167</v>
      </c>
      <c r="B137" s="327"/>
      <c r="C137" s="328"/>
      <c r="D137" s="210">
        <f>D136*2</f>
        <v>19674.28</v>
      </c>
    </row>
  </sheetData>
  <mergeCells count="84">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B9:C9"/>
    <mergeCell ref="A13:D13"/>
    <mergeCell ref="C14:D14"/>
    <mergeCell ref="B15:C15"/>
    <mergeCell ref="B18:C18"/>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70:C70"/>
    <mergeCell ref="B71:C71"/>
    <mergeCell ref="A92:B92"/>
    <mergeCell ref="A93:D93"/>
    <mergeCell ref="A94:D94"/>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s>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7"/>
  <sheetViews>
    <sheetView workbookViewId="0">
      <selection activeCell="D15" sqref="D15"/>
    </sheetView>
  </sheetViews>
  <sheetFormatPr defaultRowHeight="12.75"/>
  <cols>
    <col min="1" max="1" width="5" style="47" customWidth="1"/>
    <col min="2" max="2" width="47.7109375" style="47" customWidth="1"/>
    <col min="3" max="3" width="11.28515625" style="47" customWidth="1"/>
    <col min="4" max="4" width="24.28515625" style="47" customWidth="1"/>
    <col min="5" max="16384" width="9.140625" style="47"/>
  </cols>
  <sheetData>
    <row r="1" spans="1:6">
      <c r="A1" s="369" t="s">
        <v>0</v>
      </c>
      <c r="B1" s="370"/>
      <c r="C1" s="370"/>
      <c r="D1" s="370"/>
    </row>
    <row r="2" spans="1:6">
      <c r="A2" s="369" t="s">
        <v>1</v>
      </c>
      <c r="B2" s="370"/>
      <c r="C2" s="370"/>
      <c r="D2" s="370"/>
    </row>
    <row r="3" spans="1:6">
      <c r="A3" s="369" t="s">
        <v>2</v>
      </c>
      <c r="B3" s="370"/>
      <c r="C3" s="370"/>
      <c r="D3" s="370"/>
    </row>
    <row r="4" spans="1:6">
      <c r="A4" s="369"/>
      <c r="B4" s="370"/>
      <c r="C4" s="370"/>
      <c r="D4" s="370"/>
    </row>
    <row r="5" spans="1:6" ht="13.5" thickBot="1">
      <c r="A5" s="371" t="s">
        <v>24</v>
      </c>
      <c r="B5" s="372"/>
      <c r="C5" s="372"/>
      <c r="D5" s="372"/>
    </row>
    <row r="6" spans="1:6">
      <c r="A6" s="373" t="s">
        <v>25</v>
      </c>
      <c r="B6" s="374"/>
      <c r="C6" s="374"/>
      <c r="D6" s="375"/>
    </row>
    <row r="7" spans="1:6" ht="13.5" thickBot="1">
      <c r="A7" s="371" t="s">
        <v>26</v>
      </c>
      <c r="B7" s="372"/>
      <c r="C7" s="372"/>
      <c r="D7" s="376"/>
    </row>
    <row r="8" spans="1:6" ht="13.5" thickBot="1">
      <c r="A8" s="378" t="s">
        <v>27</v>
      </c>
      <c r="B8" s="379"/>
      <c r="C8" s="379"/>
      <c r="D8" s="379"/>
    </row>
    <row r="9" spans="1:6">
      <c r="A9" s="127" t="s">
        <v>28</v>
      </c>
      <c r="B9" s="342" t="s">
        <v>29</v>
      </c>
      <c r="C9" s="342"/>
      <c r="D9" s="128" t="s">
        <v>30</v>
      </c>
    </row>
    <row r="10" spans="1:6">
      <c r="A10" s="129" t="s">
        <v>31</v>
      </c>
      <c r="B10" s="380" t="s">
        <v>32</v>
      </c>
      <c r="C10" s="380"/>
      <c r="D10" s="130" t="s">
        <v>33</v>
      </c>
    </row>
    <row r="11" spans="1:6" ht="25.5">
      <c r="A11" s="129" t="s">
        <v>34</v>
      </c>
      <c r="B11" s="381" t="s">
        <v>35</v>
      </c>
      <c r="C11" s="382"/>
      <c r="D11" s="131" t="str">
        <f>'VIGILÂNCIA 12X36 DIURNA ARMADA'!D11</f>
        <v>DF000333/2024 - SINDESV/DF</v>
      </c>
    </row>
    <row r="12" spans="1:6" ht="13.5" thickBot="1">
      <c r="A12" s="132" t="s">
        <v>37</v>
      </c>
      <c r="B12" s="383" t="s">
        <v>38</v>
      </c>
      <c r="C12" s="383"/>
      <c r="D12" s="133">
        <v>12</v>
      </c>
    </row>
    <row r="13" spans="1:6" ht="13.5" thickBot="1">
      <c r="A13" s="343" t="s">
        <v>39</v>
      </c>
      <c r="B13" s="344"/>
      <c r="C13" s="344"/>
      <c r="D13" s="344"/>
    </row>
    <row r="14" spans="1:6" ht="25.5">
      <c r="A14" s="134">
        <v>1</v>
      </c>
      <c r="B14" s="135" t="s">
        <v>40</v>
      </c>
      <c r="C14" s="345" t="s">
        <v>41</v>
      </c>
      <c r="D14" s="346"/>
    </row>
    <row r="15" spans="1:6">
      <c r="A15" s="136">
        <v>2</v>
      </c>
      <c r="B15" s="351" t="s">
        <v>42</v>
      </c>
      <c r="C15" s="352"/>
      <c r="D15" s="125">
        <v>3266.67</v>
      </c>
      <c r="F15" s="137"/>
    </row>
    <row r="16" spans="1:6">
      <c r="A16" s="136">
        <v>3</v>
      </c>
      <c r="B16" s="351" t="s">
        <v>43</v>
      </c>
      <c r="C16" s="353"/>
      <c r="D16" s="138" t="s">
        <v>44</v>
      </c>
    </row>
    <row r="17" spans="1:4">
      <c r="A17" s="122">
        <v>4</v>
      </c>
      <c r="B17" s="139" t="s">
        <v>45</v>
      </c>
      <c r="C17" s="140"/>
      <c r="D17" s="141" t="s">
        <v>46</v>
      </c>
    </row>
    <row r="18" spans="1:4" ht="13.5" thickBot="1">
      <c r="A18" s="142">
        <v>5</v>
      </c>
      <c r="B18" s="354" t="s">
        <v>47</v>
      </c>
      <c r="C18" s="355"/>
      <c r="D18" s="143">
        <v>45292</v>
      </c>
    </row>
    <row r="19" spans="1:4" ht="13.5" thickBot="1">
      <c r="A19" s="347" t="s">
        <v>48</v>
      </c>
      <c r="B19" s="348"/>
      <c r="C19" s="348"/>
      <c r="D19" s="348"/>
    </row>
    <row r="20" spans="1:4" ht="13.5" thickBot="1">
      <c r="A20" s="126">
        <v>1</v>
      </c>
      <c r="B20" s="356" t="s">
        <v>49</v>
      </c>
      <c r="C20" s="357"/>
      <c r="D20" s="144" t="s">
        <v>50</v>
      </c>
    </row>
    <row r="21" spans="1:4">
      <c r="A21" s="145" t="s">
        <v>28</v>
      </c>
      <c r="B21" s="358" t="s">
        <v>51</v>
      </c>
      <c r="C21" s="358"/>
      <c r="D21" s="146">
        <f>D15</f>
        <v>3266.67</v>
      </c>
    </row>
    <row r="22" spans="1:4">
      <c r="A22" s="147" t="s">
        <v>31</v>
      </c>
      <c r="B22" s="148" t="s">
        <v>52</v>
      </c>
      <c r="C22" s="149">
        <v>0.3</v>
      </c>
      <c r="D22" s="150">
        <f t="shared" ref="D22" si="0">C22*D21</f>
        <v>980.00099999999998</v>
      </c>
    </row>
    <row r="23" spans="1:4">
      <c r="A23" s="147" t="s">
        <v>34</v>
      </c>
      <c r="B23" s="349" t="s">
        <v>53</v>
      </c>
      <c r="C23" s="349"/>
      <c r="D23" s="150">
        <v>0</v>
      </c>
    </row>
    <row r="24" spans="1:4">
      <c r="A24" s="147" t="s">
        <v>54</v>
      </c>
      <c r="B24" s="148" t="s">
        <v>55</v>
      </c>
      <c r="C24" s="151">
        <v>0</v>
      </c>
      <c r="D24" s="150">
        <v>0</v>
      </c>
    </row>
    <row r="25" spans="1:4">
      <c r="A25" s="147" t="s">
        <v>56</v>
      </c>
      <c r="B25" s="349" t="s">
        <v>57</v>
      </c>
      <c r="C25" s="349"/>
      <c r="D25" s="150">
        <f t="shared" ref="D25" si="1">D21/220*0.2*0*15</f>
        <v>0</v>
      </c>
    </row>
    <row r="26" spans="1:4">
      <c r="A26" s="147" t="s">
        <v>58</v>
      </c>
      <c r="B26" s="349" t="s">
        <v>59</v>
      </c>
      <c r="C26" s="349"/>
      <c r="D26" s="150">
        <v>0</v>
      </c>
    </row>
    <row r="27" spans="1:4">
      <c r="A27" s="152" t="s">
        <v>60</v>
      </c>
      <c r="B27" s="350" t="s">
        <v>61</v>
      </c>
      <c r="C27" s="350"/>
      <c r="D27" s="153">
        <v>0</v>
      </c>
    </row>
    <row r="28" spans="1:4" ht="13.5" thickBot="1">
      <c r="A28" s="359" t="s">
        <v>62</v>
      </c>
      <c r="B28" s="360"/>
      <c r="C28" s="361"/>
      <c r="D28" s="154">
        <f t="shared" ref="D28" si="2">ROUND(SUM(D21:D27),2)</f>
        <v>4246.67</v>
      </c>
    </row>
    <row r="29" spans="1:4" ht="13.5" thickBot="1">
      <c r="A29" s="155" t="s">
        <v>63</v>
      </c>
      <c r="B29" s="156"/>
      <c r="C29" s="157"/>
      <c r="D29" s="158"/>
    </row>
    <row r="30" spans="1:4" ht="13.5" thickBot="1">
      <c r="A30" s="329" t="s">
        <v>64</v>
      </c>
      <c r="B30" s="330"/>
      <c r="C30" s="330"/>
      <c r="D30" s="331"/>
    </row>
    <row r="31" spans="1:4" ht="13.5" thickBot="1">
      <c r="A31" s="329" t="s">
        <v>65</v>
      </c>
      <c r="B31" s="330"/>
      <c r="C31" s="330"/>
      <c r="D31" s="331"/>
    </row>
    <row r="32" spans="1:4" ht="13.5" thickBot="1">
      <c r="A32" s="159" t="s">
        <v>66</v>
      </c>
      <c r="B32" s="160" t="s">
        <v>67</v>
      </c>
      <c r="C32" s="161" t="s">
        <v>68</v>
      </c>
      <c r="D32" s="162" t="s">
        <v>50</v>
      </c>
    </row>
    <row r="33" spans="1:4">
      <c r="A33" s="163" t="s">
        <v>28</v>
      </c>
      <c r="B33" s="164" t="s">
        <v>69</v>
      </c>
      <c r="C33" s="165">
        <v>8.3299999999999999E-2</v>
      </c>
      <c r="D33" s="125">
        <f>ROUND(D$28*C33,2)</f>
        <v>353.75</v>
      </c>
    </row>
    <row r="34" spans="1:4">
      <c r="A34" s="136" t="s">
        <v>31</v>
      </c>
      <c r="B34" s="166" t="s">
        <v>70</v>
      </c>
      <c r="C34" s="49">
        <v>0.121</v>
      </c>
      <c r="D34" s="125">
        <f t="shared" ref="D34" si="3">ROUND(D$28*C34,2)</f>
        <v>513.85</v>
      </c>
    </row>
    <row r="35" spans="1:4" ht="13.5" thickBot="1">
      <c r="A35" s="335" t="s">
        <v>71</v>
      </c>
      <c r="B35" s="336"/>
      <c r="C35" s="167">
        <f>SUM(A33:C34)</f>
        <v>0.20429999999999998</v>
      </c>
      <c r="D35" s="125">
        <f>SUM(D33:D34)</f>
        <v>867.6</v>
      </c>
    </row>
    <row r="36" spans="1:4" ht="25.5">
      <c r="A36" s="122" t="s">
        <v>72</v>
      </c>
      <c r="B36" s="123" t="s">
        <v>73</v>
      </c>
      <c r="C36" s="124">
        <f>C35*C51</f>
        <v>7.5182399999999996E-2</v>
      </c>
      <c r="D36" s="125">
        <f>ROUND(D$28*C36,2)</f>
        <v>319.27</v>
      </c>
    </row>
    <row r="37" spans="1:4">
      <c r="A37" s="337" t="s">
        <v>74</v>
      </c>
      <c r="B37" s="338"/>
      <c r="C37" s="168"/>
      <c r="D37" s="125">
        <f>SUM(D35:D36)</f>
        <v>1186.8699999999999</v>
      </c>
    </row>
    <row r="38" spans="1:4" ht="36.75" customHeight="1">
      <c r="A38" s="341" t="s">
        <v>75</v>
      </c>
      <c r="B38" s="341"/>
      <c r="C38" s="341"/>
      <c r="D38" s="341"/>
    </row>
    <row r="39" spans="1:4" ht="27.75" customHeight="1">
      <c r="A39" s="341" t="s">
        <v>76</v>
      </c>
      <c r="B39" s="341"/>
      <c r="C39" s="341"/>
      <c r="D39" s="341"/>
    </row>
    <row r="40" spans="1:4" ht="36" customHeight="1" thickBot="1">
      <c r="A40" s="363" t="s">
        <v>77</v>
      </c>
      <c r="B40" s="363"/>
      <c r="C40" s="363"/>
      <c r="D40" s="363"/>
    </row>
    <row r="41" spans="1:4" ht="13.5" thickBot="1">
      <c r="A41" s="364" t="s">
        <v>78</v>
      </c>
      <c r="B41" s="365"/>
      <c r="C41" s="365"/>
      <c r="D41" s="366"/>
    </row>
    <row r="42" spans="1:4" ht="13.5" thickBot="1">
      <c r="A42" s="159" t="s">
        <v>79</v>
      </c>
      <c r="B42" s="169" t="s">
        <v>80</v>
      </c>
      <c r="C42" s="161" t="s">
        <v>68</v>
      </c>
      <c r="D42" s="162" t="s">
        <v>50</v>
      </c>
    </row>
    <row r="43" spans="1:4">
      <c r="A43" s="163" t="s">
        <v>28</v>
      </c>
      <c r="B43" s="164" t="s">
        <v>81</v>
      </c>
      <c r="C43" s="165">
        <v>0.2</v>
      </c>
      <c r="D43" s="125">
        <f>ROUND(D$28*C43,2)</f>
        <v>849.33</v>
      </c>
    </row>
    <row r="44" spans="1:4">
      <c r="A44" s="136" t="s">
        <v>31</v>
      </c>
      <c r="B44" s="166" t="s">
        <v>82</v>
      </c>
      <c r="C44" s="49">
        <v>2.5000000000000001E-2</v>
      </c>
      <c r="D44" s="125">
        <f t="shared" ref="D44:D50" si="4">ROUND(D$28*C44,2)</f>
        <v>106.17</v>
      </c>
    </row>
    <row r="45" spans="1:4">
      <c r="A45" s="136" t="s">
        <v>34</v>
      </c>
      <c r="B45" s="166" t="s">
        <v>83</v>
      </c>
      <c r="C45" s="49">
        <v>0.03</v>
      </c>
      <c r="D45" s="125">
        <f t="shared" si="4"/>
        <v>127.4</v>
      </c>
    </row>
    <row r="46" spans="1:4">
      <c r="A46" s="136" t="s">
        <v>54</v>
      </c>
      <c r="B46" s="166" t="s">
        <v>84</v>
      </c>
      <c r="C46" s="49">
        <v>1.4999999999999999E-2</v>
      </c>
      <c r="D46" s="125">
        <f t="shared" si="4"/>
        <v>63.7</v>
      </c>
    </row>
    <row r="47" spans="1:4">
      <c r="A47" s="136" t="s">
        <v>56</v>
      </c>
      <c r="B47" s="166" t="s">
        <v>85</v>
      </c>
      <c r="C47" s="49">
        <v>0.01</v>
      </c>
      <c r="D47" s="125">
        <f t="shared" si="4"/>
        <v>42.47</v>
      </c>
    </row>
    <row r="48" spans="1:4">
      <c r="A48" s="136" t="s">
        <v>86</v>
      </c>
      <c r="B48" s="166" t="s">
        <v>87</v>
      </c>
      <c r="C48" s="49">
        <v>6.0000000000000001E-3</v>
      </c>
      <c r="D48" s="125">
        <f t="shared" si="4"/>
        <v>25.48</v>
      </c>
    </row>
    <row r="49" spans="1:5">
      <c r="A49" s="136" t="s">
        <v>58</v>
      </c>
      <c r="B49" s="166" t="s">
        <v>88</v>
      </c>
      <c r="C49" s="49">
        <v>2E-3</v>
      </c>
      <c r="D49" s="125">
        <f t="shared" si="4"/>
        <v>8.49</v>
      </c>
    </row>
    <row r="50" spans="1:5">
      <c r="A50" s="122" t="s">
        <v>60</v>
      </c>
      <c r="B50" s="170" t="s">
        <v>89</v>
      </c>
      <c r="C50" s="49">
        <v>0.08</v>
      </c>
      <c r="D50" s="125">
        <f t="shared" si="4"/>
        <v>339.73</v>
      </c>
    </row>
    <row r="51" spans="1:5" ht="13.5" thickBot="1">
      <c r="A51" s="359" t="s">
        <v>90</v>
      </c>
      <c r="B51" s="361"/>
      <c r="C51" s="171">
        <f t="shared" ref="C51:D51" si="5">SUM(C43:C50)</f>
        <v>0.36800000000000005</v>
      </c>
      <c r="D51" s="172">
        <f t="shared" si="5"/>
        <v>1562.7700000000002</v>
      </c>
    </row>
    <row r="52" spans="1:5">
      <c r="A52" s="173" t="s">
        <v>91</v>
      </c>
      <c r="B52" s="174"/>
      <c r="C52" s="175"/>
      <c r="D52" s="176"/>
      <c r="E52" s="155"/>
    </row>
    <row r="53" spans="1:5">
      <c r="A53" s="173" t="s">
        <v>92</v>
      </c>
      <c r="B53" s="174"/>
      <c r="C53" s="175"/>
      <c r="D53" s="176"/>
      <c r="E53" s="155"/>
    </row>
    <row r="54" spans="1:5" ht="13.5" thickBot="1">
      <c r="A54" s="155" t="s">
        <v>93</v>
      </c>
      <c r="B54" s="174"/>
      <c r="C54" s="175"/>
      <c r="D54" s="176"/>
      <c r="E54" s="155"/>
    </row>
    <row r="55" spans="1:5" ht="13.5" thickBot="1">
      <c r="A55" s="329" t="s">
        <v>94</v>
      </c>
      <c r="B55" s="330"/>
      <c r="C55" s="330"/>
      <c r="D55" s="331"/>
    </row>
    <row r="56" spans="1:5" ht="13.5" thickBot="1">
      <c r="A56" s="159" t="s">
        <v>95</v>
      </c>
      <c r="B56" s="367" t="s">
        <v>96</v>
      </c>
      <c r="C56" s="328"/>
      <c r="D56" s="177" t="s">
        <v>50</v>
      </c>
    </row>
    <row r="57" spans="1:5">
      <c r="A57" s="127" t="s">
        <v>28</v>
      </c>
      <c r="B57" s="178" t="s">
        <v>97</v>
      </c>
      <c r="C57" s="179">
        <v>22</v>
      </c>
      <c r="D57" s="125">
        <f>5.5*2*C57-6%*D21</f>
        <v>45.999799999999993</v>
      </c>
    </row>
    <row r="58" spans="1:5">
      <c r="A58" s="129" t="s">
        <v>31</v>
      </c>
      <c r="B58" s="180" t="s">
        <v>98</v>
      </c>
      <c r="C58" s="181">
        <v>22</v>
      </c>
      <c r="D58" s="182">
        <f>C58*47.37</f>
        <v>1042.1399999999999</v>
      </c>
    </row>
    <row r="59" spans="1:5">
      <c r="A59" s="129" t="s">
        <v>72</v>
      </c>
      <c r="B59" s="183" t="s">
        <v>99</v>
      </c>
      <c r="C59" s="184"/>
      <c r="D59" s="182">
        <v>0</v>
      </c>
    </row>
    <row r="60" spans="1:5">
      <c r="A60" s="129" t="s">
        <v>54</v>
      </c>
      <c r="B60" s="185" t="s">
        <v>100</v>
      </c>
      <c r="C60" s="184"/>
      <c r="D60" s="182">
        <v>0</v>
      </c>
    </row>
    <row r="61" spans="1:5">
      <c r="A61" s="127" t="s">
        <v>101</v>
      </c>
      <c r="B61" s="352" t="s">
        <v>102</v>
      </c>
      <c r="C61" s="358"/>
      <c r="D61" s="125">
        <v>0</v>
      </c>
    </row>
    <row r="62" spans="1:5">
      <c r="A62" s="129" t="s">
        <v>86</v>
      </c>
      <c r="B62" s="353" t="s">
        <v>103</v>
      </c>
      <c r="C62" s="349"/>
      <c r="D62" s="182">
        <v>0</v>
      </c>
    </row>
    <row r="63" spans="1:5" ht="13.5" thickBot="1">
      <c r="A63" s="129" t="s">
        <v>104</v>
      </c>
      <c r="B63" s="183" t="s">
        <v>105</v>
      </c>
      <c r="C63" s="184"/>
      <c r="D63" s="182">
        <v>0</v>
      </c>
    </row>
    <row r="64" spans="1:5" ht="13.5" thickBot="1">
      <c r="A64" s="339" t="s">
        <v>106</v>
      </c>
      <c r="B64" s="340" t="s">
        <v>106</v>
      </c>
      <c r="C64" s="340"/>
      <c r="D64" s="186">
        <f>SUM(D57:D63)</f>
        <v>1088.1397999999999</v>
      </c>
    </row>
    <row r="65" spans="1:4">
      <c r="A65" s="173" t="s">
        <v>107</v>
      </c>
      <c r="B65" s="187"/>
      <c r="C65" s="187"/>
      <c r="D65" s="188"/>
    </row>
    <row r="66" spans="1:4" ht="13.5" thickBot="1">
      <c r="A66" s="332" t="s">
        <v>108</v>
      </c>
      <c r="B66" s="332"/>
      <c r="C66" s="332"/>
      <c r="D66" s="332"/>
    </row>
    <row r="67" spans="1:4" ht="13.5" thickBot="1">
      <c r="A67" s="329" t="s">
        <v>109</v>
      </c>
      <c r="B67" s="330"/>
      <c r="C67" s="330"/>
      <c r="D67" s="331"/>
    </row>
    <row r="68" spans="1:4" ht="13.5" thickBot="1">
      <c r="A68" s="189">
        <v>2</v>
      </c>
      <c r="B68" s="326" t="s">
        <v>110</v>
      </c>
      <c r="C68" s="328"/>
      <c r="D68" s="191" t="s">
        <v>111</v>
      </c>
    </row>
    <row r="69" spans="1:4" ht="13.5" thickBot="1">
      <c r="A69" s="117" t="s">
        <v>66</v>
      </c>
      <c r="B69" s="333" t="s">
        <v>67</v>
      </c>
      <c r="C69" s="334"/>
      <c r="D69" s="121">
        <f>D37</f>
        <v>1186.8699999999999</v>
      </c>
    </row>
    <row r="70" spans="1:4" ht="13.5" thickBot="1">
      <c r="A70" s="117" t="s">
        <v>79</v>
      </c>
      <c r="B70" s="333" t="s">
        <v>80</v>
      </c>
      <c r="C70" s="334"/>
      <c r="D70" s="121">
        <f>D51</f>
        <v>1562.7700000000002</v>
      </c>
    </row>
    <row r="71" spans="1:4" ht="13.5" thickBot="1">
      <c r="A71" s="117" t="s">
        <v>95</v>
      </c>
      <c r="B71" s="276" t="s">
        <v>96</v>
      </c>
      <c r="C71" s="277"/>
      <c r="D71" s="121">
        <f>D64</f>
        <v>1088.1397999999999</v>
      </c>
    </row>
    <row r="72" spans="1:4" ht="13.5" thickBot="1">
      <c r="A72" s="326" t="s">
        <v>112</v>
      </c>
      <c r="B72" s="327"/>
      <c r="C72" s="328"/>
      <c r="D72" s="192">
        <f>SUM(D69:D71)</f>
        <v>3837.7798000000003</v>
      </c>
    </row>
    <row r="73" spans="1:4" ht="13.5" thickBot="1">
      <c r="A73" s="329" t="s">
        <v>113</v>
      </c>
      <c r="B73" s="330"/>
      <c r="C73" s="330"/>
      <c r="D73" s="331"/>
    </row>
    <row r="74" spans="1:4" ht="13.5" thickBot="1">
      <c r="A74" s="189">
        <v>3</v>
      </c>
      <c r="B74" s="169" t="s">
        <v>114</v>
      </c>
      <c r="C74" s="193" t="s">
        <v>115</v>
      </c>
      <c r="D74" s="191" t="s">
        <v>111</v>
      </c>
    </row>
    <row r="75" spans="1:4" ht="13.5" thickBot="1">
      <c r="A75" s="117" t="s">
        <v>116</v>
      </c>
      <c r="B75" s="118" t="s">
        <v>117</v>
      </c>
      <c r="C75" s="74">
        <v>4.1999999999999997E-3</v>
      </c>
      <c r="D75" s="121">
        <f t="shared" ref="D75:D80" si="6">C75*$D$28</f>
        <v>17.836013999999999</v>
      </c>
    </row>
    <row r="76" spans="1:4" ht="13.5" thickBot="1">
      <c r="A76" s="117" t="s">
        <v>118</v>
      </c>
      <c r="B76" s="118" t="s">
        <v>119</v>
      </c>
      <c r="C76" s="74">
        <f>8%*C75</f>
        <v>3.3599999999999998E-4</v>
      </c>
      <c r="D76" s="121">
        <f t="shared" si="6"/>
        <v>1.42688112</v>
      </c>
    </row>
    <row r="77" spans="1:4" ht="13.5" thickBot="1">
      <c r="A77" s="117" t="s">
        <v>72</v>
      </c>
      <c r="B77" s="118" t="s">
        <v>120</v>
      </c>
      <c r="C77" s="74">
        <v>3.9800000000000002E-2</v>
      </c>
      <c r="D77" s="121">
        <f t="shared" si="6"/>
        <v>169.01746600000001</v>
      </c>
    </row>
    <row r="78" spans="1:4" ht="13.5" thickBot="1">
      <c r="A78" s="117" t="s">
        <v>37</v>
      </c>
      <c r="B78" s="118" t="s">
        <v>121</v>
      </c>
      <c r="C78" s="74">
        <v>1.9400000000000001E-2</v>
      </c>
      <c r="D78" s="121">
        <f t="shared" si="6"/>
        <v>82.385398000000009</v>
      </c>
    </row>
    <row r="79" spans="1:4" ht="26.25" thickBot="1">
      <c r="A79" s="117" t="s">
        <v>101</v>
      </c>
      <c r="B79" s="118" t="s">
        <v>122</v>
      </c>
      <c r="C79" s="74">
        <f>1*36.8%*C78</f>
        <v>7.1392000000000001E-3</v>
      </c>
      <c r="D79" s="121">
        <f t="shared" si="6"/>
        <v>30.317826463999999</v>
      </c>
    </row>
    <row r="80" spans="1:4" ht="13.5" thickBot="1">
      <c r="A80" s="117" t="s">
        <v>123</v>
      </c>
      <c r="B80" s="118" t="s">
        <v>124</v>
      </c>
      <c r="C80" s="74">
        <v>2.0000000000000001E-4</v>
      </c>
      <c r="D80" s="121">
        <f t="shared" si="6"/>
        <v>0.84933400000000003</v>
      </c>
    </row>
    <row r="81" spans="1:6" ht="13.5" thickBot="1">
      <c r="A81" s="326" t="s">
        <v>112</v>
      </c>
      <c r="B81" s="328"/>
      <c r="C81" s="194">
        <f t="shared" ref="C81:D81" si="7">SUM(C75:C80)</f>
        <v>7.1075200000000005E-2</v>
      </c>
      <c r="D81" s="195">
        <f t="shared" si="7"/>
        <v>301.83291958400002</v>
      </c>
    </row>
    <row r="82" spans="1:6" ht="36.75" customHeight="1" thickBot="1">
      <c r="A82" s="368" t="s">
        <v>125</v>
      </c>
      <c r="B82" s="368"/>
      <c r="C82" s="368"/>
      <c r="D82" s="368"/>
      <c r="F82" s="196"/>
    </row>
    <row r="83" spans="1:6" ht="13.5" thickBot="1">
      <c r="A83" s="329" t="s">
        <v>126</v>
      </c>
      <c r="B83" s="330"/>
      <c r="C83" s="330"/>
      <c r="D83" s="331"/>
    </row>
    <row r="84" spans="1:6" ht="13.5" thickBot="1">
      <c r="A84" s="326" t="s">
        <v>127</v>
      </c>
      <c r="B84" s="327"/>
      <c r="C84" s="327"/>
      <c r="D84" s="328"/>
    </row>
    <row r="85" spans="1:6" ht="13.5" thickBot="1">
      <c r="A85" s="189" t="s">
        <v>128</v>
      </c>
      <c r="B85" s="190" t="s">
        <v>129</v>
      </c>
      <c r="C85" s="189" t="s">
        <v>115</v>
      </c>
      <c r="D85" s="191" t="s">
        <v>111</v>
      </c>
    </row>
    <row r="86" spans="1:6" ht="13.5" thickBot="1">
      <c r="A86" s="117" t="s">
        <v>116</v>
      </c>
      <c r="B86" s="118" t="s">
        <v>130</v>
      </c>
      <c r="C86" s="119">
        <v>0</v>
      </c>
      <c r="D86" s="120">
        <f>C86*$D$28</f>
        <v>0</v>
      </c>
    </row>
    <row r="87" spans="1:6" ht="13.5" thickBot="1">
      <c r="A87" s="117" t="s">
        <v>118</v>
      </c>
      <c r="B87" s="118" t="s">
        <v>131</v>
      </c>
      <c r="C87" s="197">
        <v>4.1999999999999997E-3</v>
      </c>
      <c r="D87" s="120">
        <f>C87*$D$28</f>
        <v>17.836013999999999</v>
      </c>
    </row>
    <row r="88" spans="1:6" ht="13.5" thickBot="1">
      <c r="A88" s="117" t="s">
        <v>72</v>
      </c>
      <c r="B88" s="118" t="s">
        <v>132</v>
      </c>
      <c r="C88" s="197">
        <v>2.0000000000000001E-4</v>
      </c>
      <c r="D88" s="120">
        <f>C88*$D$28</f>
        <v>0.84933400000000003</v>
      </c>
    </row>
    <row r="89" spans="1:6" ht="26.25" thickBot="1">
      <c r="A89" s="117" t="s">
        <v>37</v>
      </c>
      <c r="B89" s="118" t="s">
        <v>133</v>
      </c>
      <c r="C89" s="197">
        <v>4.1999999999999997E-3</v>
      </c>
      <c r="D89" s="120">
        <f>C89*$D$28</f>
        <v>17.836013999999999</v>
      </c>
    </row>
    <row r="90" spans="1:6" ht="13.5" thickBot="1">
      <c r="A90" s="117" t="s">
        <v>101</v>
      </c>
      <c r="B90" s="118" t="s">
        <v>134</v>
      </c>
      <c r="C90" s="197">
        <v>2.0000000000000001E-4</v>
      </c>
      <c r="D90" s="120">
        <f>C90*$D$28</f>
        <v>0.84933400000000003</v>
      </c>
    </row>
    <row r="91" spans="1:6" ht="39" thickBot="1">
      <c r="A91" s="117" t="s">
        <v>123</v>
      </c>
      <c r="B91" s="118" t="s">
        <v>135</v>
      </c>
      <c r="C91" s="119">
        <f>SUM(C86:C90)*C51</f>
        <v>3.2384000000000007E-3</v>
      </c>
      <c r="D91" s="120">
        <f t="shared" ref="D91" si="8">C91*$D$28</f>
        <v>13.752416128000004</v>
      </c>
      <c r="E91" s="198" t="s">
        <v>136</v>
      </c>
    </row>
    <row r="92" spans="1:6" ht="13.5" thickBot="1">
      <c r="A92" s="326" t="s">
        <v>74</v>
      </c>
      <c r="B92" s="327"/>
      <c r="C92" s="199">
        <f t="shared" ref="C92:D92" si="9">SUM(C86:C91)</f>
        <v>1.2038400000000001E-2</v>
      </c>
      <c r="D92" s="195">
        <f t="shared" si="9"/>
        <v>51.123112128000002</v>
      </c>
    </row>
    <row r="93" spans="1:6" ht="33.75" customHeight="1" thickBot="1">
      <c r="A93" s="377" t="s">
        <v>137</v>
      </c>
      <c r="B93" s="377"/>
      <c r="C93" s="377"/>
      <c r="D93" s="377"/>
    </row>
    <row r="94" spans="1:6" ht="13.5" thickBot="1">
      <c r="A94" s="329" t="s">
        <v>138</v>
      </c>
      <c r="B94" s="330"/>
      <c r="C94" s="330"/>
      <c r="D94" s="331"/>
    </row>
    <row r="95" spans="1:6" ht="13.5" thickBot="1">
      <c r="A95" s="189" t="s">
        <v>139</v>
      </c>
      <c r="B95" s="326" t="s">
        <v>140</v>
      </c>
      <c r="C95" s="328"/>
      <c r="D95" s="191" t="s">
        <v>111</v>
      </c>
    </row>
    <row r="96" spans="1:6" ht="13.5" thickBot="1">
      <c r="A96" s="117" t="s">
        <v>116</v>
      </c>
      <c r="B96" s="276" t="s">
        <v>141</v>
      </c>
      <c r="C96" s="277"/>
      <c r="D96" s="121">
        <v>0</v>
      </c>
    </row>
    <row r="97" spans="1:4" ht="13.5" thickBot="1">
      <c r="A97" s="326" t="s">
        <v>112</v>
      </c>
      <c r="B97" s="327"/>
      <c r="C97" s="328"/>
      <c r="D97" s="121">
        <f>SUM(D96)</f>
        <v>0</v>
      </c>
    </row>
    <row r="98" spans="1:4" ht="13.5" thickBot="1">
      <c r="A98" s="200"/>
      <c r="C98" s="201"/>
      <c r="D98" s="202"/>
    </row>
    <row r="99" spans="1:4" ht="13.5" thickBot="1">
      <c r="A99" s="329" t="s">
        <v>142</v>
      </c>
      <c r="B99" s="330"/>
      <c r="C99" s="330"/>
      <c r="D99" s="331"/>
    </row>
    <row r="100" spans="1:4" ht="13.5" thickBot="1">
      <c r="A100" s="189">
        <v>4</v>
      </c>
      <c r="B100" s="326" t="s">
        <v>143</v>
      </c>
      <c r="C100" s="328"/>
      <c r="D100" s="191" t="s">
        <v>111</v>
      </c>
    </row>
    <row r="101" spans="1:4" ht="13.5" thickBot="1">
      <c r="A101" s="117" t="s">
        <v>128</v>
      </c>
      <c r="B101" s="276" t="s">
        <v>129</v>
      </c>
      <c r="C101" s="277"/>
      <c r="D101" s="121">
        <f>D92</f>
        <v>51.123112128000002</v>
      </c>
    </row>
    <row r="102" spans="1:4" ht="13.5" thickBot="1">
      <c r="A102" s="117" t="s">
        <v>139</v>
      </c>
      <c r="B102" s="276" t="s">
        <v>140</v>
      </c>
      <c r="C102" s="277"/>
      <c r="D102" s="121">
        <f>D97</f>
        <v>0</v>
      </c>
    </row>
    <row r="103" spans="1:4" ht="13.5" thickBot="1">
      <c r="A103" s="326" t="s">
        <v>112</v>
      </c>
      <c r="B103" s="327"/>
      <c r="C103" s="328"/>
      <c r="D103" s="195">
        <f>SUM(D101:D102)</f>
        <v>51.123112128000002</v>
      </c>
    </row>
    <row r="104" spans="1:4" ht="13.5" thickBot="1">
      <c r="A104" s="200"/>
      <c r="C104" s="201"/>
      <c r="D104" s="202"/>
    </row>
    <row r="105" spans="1:4" ht="13.5" thickBot="1">
      <c r="A105" s="329" t="s">
        <v>144</v>
      </c>
      <c r="B105" s="330"/>
      <c r="C105" s="330"/>
      <c r="D105" s="331"/>
    </row>
    <row r="106" spans="1:4" ht="13.5" thickBot="1">
      <c r="A106" s="189">
        <v>5</v>
      </c>
      <c r="B106" s="326" t="s">
        <v>145</v>
      </c>
      <c r="C106" s="328"/>
      <c r="D106" s="191" t="s">
        <v>111</v>
      </c>
    </row>
    <row r="107" spans="1:4" ht="13.5" thickBot="1">
      <c r="A107" s="117" t="s">
        <v>116</v>
      </c>
      <c r="B107" s="276" t="s">
        <v>146</v>
      </c>
      <c r="C107" s="277"/>
      <c r="D107" s="121">
        <f>UNIFORMES!G26</f>
        <v>127.42499999999998</v>
      </c>
    </row>
    <row r="108" spans="1:4" ht="13.5" thickBot="1">
      <c r="A108" s="117" t="s">
        <v>118</v>
      </c>
      <c r="B108" s="276" t="s">
        <v>147</v>
      </c>
      <c r="C108" s="277"/>
      <c r="D108" s="121">
        <v>0</v>
      </c>
    </row>
    <row r="109" spans="1:4" ht="13.5" thickBot="1">
      <c r="A109" s="117" t="s">
        <v>72</v>
      </c>
      <c r="B109" s="276" t="s">
        <v>148</v>
      </c>
      <c r="C109" s="277"/>
      <c r="D109" s="121">
        <v>0</v>
      </c>
    </row>
    <row r="110" spans="1:4" ht="13.5" thickBot="1">
      <c r="A110" s="117" t="s">
        <v>37</v>
      </c>
      <c r="B110" s="276" t="s">
        <v>149</v>
      </c>
      <c r="C110" s="277"/>
      <c r="D110" s="121">
        <v>0</v>
      </c>
    </row>
    <row r="111" spans="1:4" ht="15.75" thickBot="1">
      <c r="A111" s="203" t="s">
        <v>101</v>
      </c>
      <c r="B111" s="276" t="s">
        <v>150</v>
      </c>
      <c r="C111" s="362"/>
      <c r="D111" s="121">
        <v>0</v>
      </c>
    </row>
    <row r="112" spans="1:4" ht="13.5" thickBot="1">
      <c r="A112" s="326" t="s">
        <v>74</v>
      </c>
      <c r="B112" s="327"/>
      <c r="C112" s="328"/>
      <c r="D112" s="192">
        <f>SUM(D107:D111)</f>
        <v>127.42499999999998</v>
      </c>
    </row>
    <row r="113" spans="1:5" ht="13.5" thickBot="1">
      <c r="A113" s="200"/>
      <c r="C113" s="201"/>
      <c r="D113" s="202"/>
    </row>
    <row r="114" spans="1:5" ht="13.5" thickBot="1">
      <c r="A114" s="329" t="s">
        <v>151</v>
      </c>
      <c r="B114" s="330"/>
      <c r="C114" s="330"/>
      <c r="D114" s="331"/>
    </row>
    <row r="115" spans="1:5" ht="13.5" thickBot="1">
      <c r="A115" s="189">
        <v>6</v>
      </c>
      <c r="B115" s="204" t="s">
        <v>152</v>
      </c>
      <c r="C115" s="169" t="s">
        <v>115</v>
      </c>
      <c r="D115" s="191" t="s">
        <v>111</v>
      </c>
    </row>
    <row r="116" spans="1:5" ht="13.5" thickBot="1">
      <c r="A116" s="117" t="s">
        <v>116</v>
      </c>
      <c r="B116" s="205" t="s">
        <v>153</v>
      </c>
      <c r="C116" s="197">
        <v>4.4999999999999998E-2</v>
      </c>
      <c r="D116" s="121">
        <f>C116*D134</f>
        <v>385.41738742703996</v>
      </c>
    </row>
    <row r="117" spans="1:5" ht="13.5" thickBot="1">
      <c r="A117" s="117" t="s">
        <v>118</v>
      </c>
      <c r="B117" s="205" t="s">
        <v>154</v>
      </c>
      <c r="C117" s="197">
        <v>4.4999999999999998E-2</v>
      </c>
      <c r="D117" s="121">
        <f>(D134+D116)*C117</f>
        <v>402.76116986125675</v>
      </c>
    </row>
    <row r="118" spans="1:5" ht="13.5" thickBot="1">
      <c r="A118" s="117" t="s">
        <v>72</v>
      </c>
      <c r="B118" s="205" t="s">
        <v>155</v>
      </c>
      <c r="C118" s="197">
        <f>C119+C120+C121</f>
        <v>0.14250000000000002</v>
      </c>
      <c r="D118" s="121">
        <f>((D134+D116+D117)/(1-C118))*C118</f>
        <v>1554.2901900087957</v>
      </c>
      <c r="E118" s="206"/>
    </row>
    <row r="119" spans="1:5" ht="13.5" thickBot="1">
      <c r="A119" s="117"/>
      <c r="B119" s="205" t="s">
        <v>156</v>
      </c>
      <c r="C119" s="197">
        <v>9.2499999999999999E-2</v>
      </c>
      <c r="D119" s="121">
        <f>C119*D136</f>
        <v>1008.9252499999999</v>
      </c>
    </row>
    <row r="120" spans="1:5" ht="13.5" thickBot="1">
      <c r="A120" s="117"/>
      <c r="B120" s="205" t="s">
        <v>157</v>
      </c>
      <c r="C120" s="207">
        <v>0.05</v>
      </c>
      <c r="D120" s="121">
        <f>C120*D136</f>
        <v>545.36500000000001</v>
      </c>
    </row>
    <row r="121" spans="1:5" ht="13.5" thickBot="1">
      <c r="A121" s="117"/>
      <c r="B121" s="205" t="s">
        <v>158</v>
      </c>
      <c r="C121" s="207">
        <v>0</v>
      </c>
      <c r="D121" s="121">
        <f>C121*D136</f>
        <v>0</v>
      </c>
    </row>
    <row r="122" spans="1:5" ht="13.5" thickBot="1">
      <c r="A122" s="326" t="s">
        <v>74</v>
      </c>
      <c r="B122" s="328"/>
      <c r="C122" s="199">
        <f>C118+C116+C117</f>
        <v>0.23249999999999998</v>
      </c>
      <c r="D122" s="191">
        <f>SUM(D116,D117,D118)</f>
        <v>2342.4687472970922</v>
      </c>
    </row>
    <row r="123" spans="1:5">
      <c r="A123" s="173" t="s">
        <v>159</v>
      </c>
      <c r="C123" s="201"/>
      <c r="D123" s="202"/>
    </row>
    <row r="124" spans="1:5">
      <c r="A124" s="332" t="s">
        <v>160</v>
      </c>
      <c r="B124" s="332"/>
      <c r="C124" s="332"/>
      <c r="D124" s="332"/>
    </row>
    <row r="125" spans="1:5">
      <c r="A125" s="173" t="s">
        <v>161</v>
      </c>
      <c r="C125" s="201"/>
      <c r="D125" s="202"/>
    </row>
    <row r="126" spans="1:5" ht="13.5" thickBot="1">
      <c r="A126" s="200"/>
      <c r="C126" s="201"/>
      <c r="D126" s="202"/>
    </row>
    <row r="127" spans="1:5" ht="13.5" thickBot="1">
      <c r="A127" s="329" t="s">
        <v>162</v>
      </c>
      <c r="B127" s="330"/>
      <c r="C127" s="330"/>
      <c r="D127" s="331"/>
    </row>
    <row r="128" spans="1:5" ht="13.5" thickBot="1">
      <c r="A128" s="189"/>
      <c r="B128" s="364" t="s">
        <v>163</v>
      </c>
      <c r="C128" s="366"/>
      <c r="D128" s="191" t="s">
        <v>111</v>
      </c>
    </row>
    <row r="129" spans="1:4" ht="13.5" thickBot="1">
      <c r="A129" s="208" t="s">
        <v>116</v>
      </c>
      <c r="B129" s="333" t="s">
        <v>48</v>
      </c>
      <c r="C129" s="334"/>
      <c r="D129" s="121">
        <f>D28</f>
        <v>4246.67</v>
      </c>
    </row>
    <row r="130" spans="1:4" ht="13.5" thickBot="1">
      <c r="A130" s="208" t="s">
        <v>118</v>
      </c>
      <c r="B130" s="276" t="s">
        <v>64</v>
      </c>
      <c r="C130" s="277"/>
      <c r="D130" s="121">
        <f>D72</f>
        <v>3837.7798000000003</v>
      </c>
    </row>
    <row r="131" spans="1:4" ht="13.5" thickBot="1">
      <c r="A131" s="208" t="s">
        <v>72</v>
      </c>
      <c r="B131" s="276" t="s">
        <v>113</v>
      </c>
      <c r="C131" s="277"/>
      <c r="D131" s="121">
        <f>D81</f>
        <v>301.83291958400002</v>
      </c>
    </row>
    <row r="132" spans="1:4" ht="13.5" thickBot="1">
      <c r="A132" s="208" t="s">
        <v>37</v>
      </c>
      <c r="B132" s="276" t="s">
        <v>126</v>
      </c>
      <c r="C132" s="277"/>
      <c r="D132" s="121">
        <f>D103</f>
        <v>51.123112128000002</v>
      </c>
    </row>
    <row r="133" spans="1:4" ht="13.5" thickBot="1">
      <c r="A133" s="208" t="s">
        <v>101</v>
      </c>
      <c r="B133" s="276" t="s">
        <v>144</v>
      </c>
      <c r="C133" s="277"/>
      <c r="D133" s="121">
        <f>D112</f>
        <v>127.42499999999998</v>
      </c>
    </row>
    <row r="134" spans="1:4" ht="13.5" thickBot="1">
      <c r="A134" s="326" t="s">
        <v>164</v>
      </c>
      <c r="B134" s="327"/>
      <c r="C134" s="328"/>
      <c r="D134" s="121">
        <f>SUM(D129:D133)</f>
        <v>8564.8308317119991</v>
      </c>
    </row>
    <row r="135" spans="1:4" ht="13.5" thickBot="1">
      <c r="A135" s="208" t="s">
        <v>123</v>
      </c>
      <c r="B135" s="333" t="s">
        <v>165</v>
      </c>
      <c r="C135" s="334"/>
      <c r="D135" s="209">
        <f>D122</f>
        <v>2342.4687472970922</v>
      </c>
    </row>
    <row r="136" spans="1:4" ht="13.5" thickBot="1">
      <c r="A136" s="326" t="s">
        <v>166</v>
      </c>
      <c r="B136" s="327"/>
      <c r="C136" s="328"/>
      <c r="D136" s="210">
        <f>ROUND((D134+D135),2)</f>
        <v>10907.3</v>
      </c>
    </row>
    <row r="137" spans="1:4" ht="13.5" thickBot="1">
      <c r="A137" s="326" t="s">
        <v>167</v>
      </c>
      <c r="B137" s="327"/>
      <c r="C137" s="328"/>
      <c r="D137" s="210">
        <f>D136*1</f>
        <v>10907.3</v>
      </c>
    </row>
  </sheetData>
  <mergeCells count="84">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B9:C9"/>
    <mergeCell ref="A13:D13"/>
    <mergeCell ref="C14:D14"/>
    <mergeCell ref="B15:C15"/>
    <mergeCell ref="B18:C18"/>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70:C70"/>
    <mergeCell ref="B71:C71"/>
    <mergeCell ref="A92:B92"/>
    <mergeCell ref="A93:D93"/>
    <mergeCell ref="A94:D94"/>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s>
  <pageMargins left="0.511811024" right="0.511811024" top="0.78740157499999996" bottom="0.78740157499999996" header="0.31496062000000002" footer="0.31496062000000002"/>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ACEC0-7492-46CF-A015-317EFA83C52A}"/>
</file>

<file path=customXml/itemProps2.xml><?xml version="1.0" encoding="utf-8"?>
<ds:datastoreItem xmlns:ds="http://schemas.openxmlformats.org/officeDocument/2006/customXml" ds:itemID="{93D90D2E-ECAD-4718-94BF-BD913EA9866D}"/>
</file>

<file path=customXml/itemProps3.xml><?xml version="1.0" encoding="utf-8"?>
<ds:datastoreItem xmlns:ds="http://schemas.openxmlformats.org/officeDocument/2006/customXml" ds:itemID="{726BB2A4-BB09-4BE8-B706-52F59EDD6E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Esrom Goncalves Rodrigues</dc:creator>
  <cp:keywords/>
  <dc:description/>
  <cp:lastModifiedBy/>
  <cp:revision/>
  <dcterms:created xsi:type="dcterms:W3CDTF">2024-04-24T16:31:23Z</dcterms:created>
  <dcterms:modified xsi:type="dcterms:W3CDTF">2025-02-06T12:43:52Z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ies>
</file>