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cessos\Limpeza e conservação\"/>
    </mc:Choice>
  </mc:AlternateContent>
  <bookViews>
    <workbookView xWindow="0" yWindow="0" windowWidth="11880" windowHeight="6030" tabRatio="770"/>
  </bookViews>
  <sheets>
    <sheet name="VALOR MENSAL DOS SERVIÇOS" sheetId="36" r:id="rId1"/>
    <sheet name="PLANILHA DE CUSTOS E FORMAÇÃO" sheetId="33" r:id="rId2"/>
    <sheet name="Encarregado DF" sheetId="29" r:id="rId3"/>
    <sheet name="Servente DF" sheetId="14" r:id="rId4"/>
    <sheet name="Jardineiro DF" sheetId="35" r:id="rId5"/>
    <sheet name="Jauzeiro DF" sheetId="34" r:id="rId6"/>
    <sheet name="Uniformes" sheetId="28" r:id="rId7"/>
    <sheet name="Equipamentos" sheetId="25" r:id="rId8"/>
    <sheet name="Materiais Uso Excepcional" sheetId="26" r:id="rId9"/>
    <sheet name="Materiais Uso Contín Mensal" sheetId="27" r:id="rId10"/>
  </sheets>
  <definedNames>
    <definedName name="_xlnm.Print_Area" localSheetId="1">'PLANILHA DE CUSTOS E FORMAÇÃO'!$C$1:$F$19</definedName>
    <definedName name="_xlnm.Print_Area" localSheetId="0">'VALOR MENSAL DOS SERVIÇOS'!$C$1:$F$14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6" l="1"/>
  <c r="F15" i="36" l="1"/>
  <c r="H21" i="33" l="1"/>
  <c r="AH35" i="28" l="1"/>
  <c r="I19" i="33" l="1"/>
  <c r="G6" i="33"/>
  <c r="G5" i="33"/>
  <c r="AN42" i="27" l="1"/>
  <c r="BX50" i="26"/>
  <c r="AP21" i="25"/>
  <c r="AH36" i="28"/>
  <c r="K117" i="35" s="1"/>
  <c r="AG33" i="28"/>
  <c r="AE33" i="28"/>
  <c r="AD33" i="28"/>
  <c r="AC33" i="28"/>
  <c r="AB33" i="28"/>
  <c r="AA33" i="28"/>
  <c r="Z33" i="28"/>
  <c r="Y33" i="28"/>
  <c r="X33" i="28"/>
  <c r="X32" i="28"/>
  <c r="W33" i="28"/>
  <c r="BM48" i="26"/>
  <c r="BS48" i="26"/>
  <c r="BR48" i="26"/>
  <c r="BQ48" i="26"/>
  <c r="BS46" i="26"/>
  <c r="BR46" i="26"/>
  <c r="BQ46" i="26"/>
  <c r="BS44" i="26"/>
  <c r="BR44" i="26"/>
  <c r="BQ44" i="26"/>
  <c r="BS43" i="26"/>
  <c r="BR43" i="26"/>
  <c r="BQ43" i="26"/>
  <c r="BS14" i="26"/>
  <c r="BR14" i="26"/>
  <c r="BQ14" i="26"/>
  <c r="BS11" i="26"/>
  <c r="BR11" i="26"/>
  <c r="BQ11" i="26"/>
  <c r="AI33" i="27"/>
  <c r="AH33" i="27"/>
  <c r="AG33" i="27"/>
  <c r="AI28" i="27"/>
  <c r="AH28" i="27"/>
  <c r="AG28" i="27"/>
  <c r="AG24" i="27"/>
  <c r="AI20" i="27"/>
  <c r="AH20" i="27"/>
  <c r="AG20" i="27"/>
  <c r="AJ18" i="27"/>
  <c r="AI18" i="27"/>
  <c r="AH18" i="27"/>
  <c r="AG18" i="27"/>
  <c r="AI17" i="27"/>
  <c r="AH17" i="27"/>
  <c r="AG17" i="27"/>
  <c r="AI10" i="27"/>
  <c r="AH10" i="27"/>
  <c r="AG10" i="27"/>
  <c r="M79" i="33" l="1"/>
  <c r="M81" i="33"/>
  <c r="M59" i="33"/>
  <c r="M71" i="33"/>
  <c r="M69" i="33"/>
  <c r="M61" i="33"/>
  <c r="AH16" i="28"/>
  <c r="AH15" i="28"/>
  <c r="AH14" i="28"/>
  <c r="AH13" i="28"/>
  <c r="AH12" i="28"/>
  <c r="G7" i="33"/>
  <c r="L81" i="33" l="1"/>
  <c r="F81" i="33"/>
  <c r="L79" i="33"/>
  <c r="F79" i="33"/>
  <c r="F69" i="33"/>
  <c r="L71" i="33"/>
  <c r="F71" i="33"/>
  <c r="L69" i="33"/>
  <c r="F39" i="33"/>
  <c r="F12" i="33" l="1"/>
  <c r="F13" i="33"/>
  <c r="H13" i="33" s="1"/>
  <c r="F14" i="33"/>
  <c r="H14" i="33" s="1"/>
  <c r="F15" i="33"/>
  <c r="F16" i="33"/>
  <c r="H16" i="33" s="1"/>
  <c r="F17" i="33"/>
  <c r="F18" i="33"/>
  <c r="H18" i="33" s="1"/>
  <c r="F19" i="33"/>
  <c r="F20" i="33"/>
  <c r="J20" i="33" l="1"/>
  <c r="J21" i="33" s="1"/>
  <c r="E31" i="33"/>
  <c r="H17" i="33"/>
  <c r="E29" i="33"/>
  <c r="H12" i="33"/>
  <c r="E27" i="33"/>
  <c r="I21" i="33"/>
  <c r="E30" i="33"/>
  <c r="H15" i="33"/>
  <c r="E28" i="33"/>
  <c r="K21" i="33" l="1"/>
  <c r="G8" i="33" s="1"/>
  <c r="F59" i="33"/>
  <c r="L59" i="33" l="1"/>
  <c r="F49" i="33"/>
  <c r="AH32" i="28" l="1"/>
  <c r="AF32" i="28"/>
  <c r="AG32" i="28"/>
  <c r="AF33" i="28"/>
  <c r="AC32" i="28"/>
  <c r="AB32" i="28"/>
  <c r="AA32" i="28"/>
  <c r="AD32" i="28" s="1"/>
  <c r="AE32" i="28" s="1"/>
  <c r="W32" i="28"/>
  <c r="Z32" i="28" s="1"/>
  <c r="AF31" i="28"/>
  <c r="AC31" i="28"/>
  <c r="AD31" i="28" s="1"/>
  <c r="AE31" i="28" s="1"/>
  <c r="AG31" i="28" s="1"/>
  <c r="AH31" i="28" s="1"/>
  <c r="AB31" i="28"/>
  <c r="AA31" i="28"/>
  <c r="X31" i="28"/>
  <c r="W31" i="28"/>
  <c r="Z31" i="28" s="1"/>
  <c r="AF30" i="28"/>
  <c r="AC30" i="28"/>
  <c r="AD30" i="28" s="1"/>
  <c r="AE30" i="28" s="1"/>
  <c r="AG30" i="28" s="1"/>
  <c r="AH30" i="28" s="1"/>
  <c r="AB30" i="28"/>
  <c r="AA30" i="28"/>
  <c r="X30" i="28"/>
  <c r="W30" i="28"/>
  <c r="Z30" i="28" s="1"/>
  <c r="AF29" i="28"/>
  <c r="AC29" i="28"/>
  <c r="AD29" i="28" s="1"/>
  <c r="AE29" i="28" s="1"/>
  <c r="AG29" i="28" s="1"/>
  <c r="AH29" i="28" s="1"/>
  <c r="AB29" i="28"/>
  <c r="AA29" i="28"/>
  <c r="X29" i="28"/>
  <c r="W29" i="28"/>
  <c r="Z29" i="28" s="1"/>
  <c r="K27" i="29"/>
  <c r="AH33" i="28" l="1"/>
  <c r="Y32" i="28"/>
  <c r="Y29" i="28"/>
  <c r="Y30" i="28"/>
  <c r="Y31" i="28"/>
  <c r="L61" i="33" l="1"/>
  <c r="F61" i="33"/>
  <c r="F51" i="33"/>
  <c r="F41" i="33"/>
  <c r="K114" i="14" l="1"/>
  <c r="E32" i="33" l="1"/>
  <c r="K26" i="35" l="1"/>
  <c r="J127" i="35"/>
  <c r="J126" i="35" s="1"/>
  <c r="Y96" i="35"/>
  <c r="J96" i="35"/>
  <c r="Y95" i="35"/>
  <c r="J95" i="35" s="1"/>
  <c r="Y94" i="35"/>
  <c r="J94" i="35" s="1"/>
  <c r="Y93" i="35"/>
  <c r="J93" i="35"/>
  <c r="Y92" i="35"/>
  <c r="J92" i="35"/>
  <c r="J97" i="35" s="1"/>
  <c r="J107" i="35" s="1"/>
  <c r="J81" i="35"/>
  <c r="K64" i="35"/>
  <c r="J58" i="35"/>
  <c r="J84" i="35" s="1"/>
  <c r="J86" i="35" s="1"/>
  <c r="K32" i="35"/>
  <c r="K62" i="35" s="1"/>
  <c r="K69" i="35" s="1"/>
  <c r="K75" i="35" s="1"/>
  <c r="J127" i="34"/>
  <c r="J126" i="34" s="1"/>
  <c r="K117" i="34"/>
  <c r="Y96" i="34"/>
  <c r="J96" i="34"/>
  <c r="Y95" i="34"/>
  <c r="J95" i="34" s="1"/>
  <c r="Y94" i="34"/>
  <c r="J94" i="34" s="1"/>
  <c r="Y93" i="34"/>
  <c r="J93" i="34"/>
  <c r="Y92" i="34"/>
  <c r="J92" i="34"/>
  <c r="J81" i="34"/>
  <c r="K64" i="34"/>
  <c r="J58" i="34"/>
  <c r="J84" i="34" s="1"/>
  <c r="J86" i="34" s="1"/>
  <c r="K32" i="34"/>
  <c r="K39" i="34" s="1"/>
  <c r="K26" i="34"/>
  <c r="K39" i="35" l="1"/>
  <c r="K45" i="35"/>
  <c r="K44" i="35"/>
  <c r="K46" i="35" s="1"/>
  <c r="K73" i="35" s="1"/>
  <c r="K135" i="35"/>
  <c r="K52" i="34"/>
  <c r="K45" i="34"/>
  <c r="K135" i="34"/>
  <c r="K44" i="34"/>
  <c r="K46" i="34" s="1"/>
  <c r="K73" i="34" s="1"/>
  <c r="J97" i="34"/>
  <c r="J107" i="34" s="1"/>
  <c r="K62" i="34"/>
  <c r="K69" i="34" s="1"/>
  <c r="K75" i="34" s="1"/>
  <c r="K50" i="35" l="1"/>
  <c r="K53" i="35"/>
  <c r="K56" i="35"/>
  <c r="K54" i="35"/>
  <c r="K57" i="35"/>
  <c r="K52" i="35"/>
  <c r="K51" i="35"/>
  <c r="K55" i="35"/>
  <c r="K56" i="34"/>
  <c r="K51" i="34"/>
  <c r="K53" i="34"/>
  <c r="K50" i="34"/>
  <c r="K55" i="34"/>
  <c r="K57" i="34"/>
  <c r="K54" i="34"/>
  <c r="K62" i="14"/>
  <c r="K65" i="29"/>
  <c r="K64" i="14"/>
  <c r="K58" i="35" l="1"/>
  <c r="K58" i="34"/>
  <c r="Y96" i="14"/>
  <c r="Y95" i="14"/>
  <c r="Y94" i="14"/>
  <c r="Y93" i="14"/>
  <c r="Y92" i="14"/>
  <c r="Y97" i="29"/>
  <c r="J97" i="29" s="1"/>
  <c r="Y96" i="29"/>
  <c r="Y95" i="29"/>
  <c r="Y94" i="29"/>
  <c r="Y93" i="29"/>
  <c r="BS29" i="26"/>
  <c r="BR29" i="26"/>
  <c r="BQ29" i="26"/>
  <c r="K94" i="35" l="1"/>
  <c r="K91" i="35"/>
  <c r="K95" i="35"/>
  <c r="K93" i="35"/>
  <c r="K96" i="35"/>
  <c r="K92" i="35"/>
  <c r="K74" i="35"/>
  <c r="K76" i="35" s="1"/>
  <c r="K94" i="34"/>
  <c r="K91" i="34"/>
  <c r="K95" i="34"/>
  <c r="K96" i="34"/>
  <c r="K92" i="34"/>
  <c r="K74" i="34"/>
  <c r="K76" i="34" s="1"/>
  <c r="K93" i="34"/>
  <c r="AI40" i="27"/>
  <c r="AH40" i="27"/>
  <c r="AG40" i="27"/>
  <c r="AI39" i="27"/>
  <c r="AH39" i="27"/>
  <c r="AG39" i="27"/>
  <c r="AI38" i="27"/>
  <c r="AH38" i="27"/>
  <c r="AG38" i="27"/>
  <c r="AI37" i="27"/>
  <c r="AH37" i="27"/>
  <c r="AG37" i="27"/>
  <c r="AI36" i="27"/>
  <c r="AH36" i="27"/>
  <c r="AG36" i="27"/>
  <c r="AI35" i="27"/>
  <c r="AH35" i="27"/>
  <c r="AG35" i="27"/>
  <c r="AI34" i="27"/>
  <c r="AH34" i="27"/>
  <c r="AG34" i="27"/>
  <c r="AI32" i="27"/>
  <c r="AH32" i="27"/>
  <c r="AG32" i="27"/>
  <c r="AI31" i="27"/>
  <c r="AH31" i="27"/>
  <c r="AG31" i="27"/>
  <c r="AI30" i="27"/>
  <c r="AH30" i="27"/>
  <c r="AG30" i="27"/>
  <c r="AI29" i="27"/>
  <c r="AH29" i="27"/>
  <c r="AG29" i="27"/>
  <c r="AI27" i="27"/>
  <c r="AH27" i="27"/>
  <c r="AG27" i="27"/>
  <c r="AI26" i="27"/>
  <c r="AH26" i="27"/>
  <c r="AG26" i="27"/>
  <c r="AI25" i="27"/>
  <c r="AH25" i="27"/>
  <c r="AG25" i="27"/>
  <c r="AI24" i="27"/>
  <c r="AH24" i="27"/>
  <c r="AG11" i="27"/>
  <c r="K97" i="34" l="1"/>
  <c r="K107" i="34" s="1"/>
  <c r="K109" i="34" s="1"/>
  <c r="K138" i="34" s="1"/>
  <c r="K136" i="35"/>
  <c r="K85" i="35"/>
  <c r="K81" i="35"/>
  <c r="K82" i="35"/>
  <c r="K84" i="35"/>
  <c r="K83" i="35"/>
  <c r="K80" i="35"/>
  <c r="K97" i="35"/>
  <c r="K107" i="35" s="1"/>
  <c r="K109" i="35" s="1"/>
  <c r="K138" i="35" s="1"/>
  <c r="K136" i="34"/>
  <c r="K85" i="34"/>
  <c r="K84" i="34"/>
  <c r="K83" i="34"/>
  <c r="K82" i="34"/>
  <c r="K81" i="34"/>
  <c r="K80" i="34"/>
  <c r="AI23" i="27"/>
  <c r="AH23" i="27"/>
  <c r="AG23" i="27"/>
  <c r="AI22" i="27"/>
  <c r="AH22" i="27"/>
  <c r="AG22" i="27"/>
  <c r="AI21" i="27"/>
  <c r="AH21" i="27"/>
  <c r="AG21" i="27"/>
  <c r="AI19" i="27"/>
  <c r="AH19" i="27"/>
  <c r="AG19" i="27"/>
  <c r="AI16" i="27"/>
  <c r="AH16" i="27"/>
  <c r="AG16" i="27"/>
  <c r="AI15" i="27"/>
  <c r="AH15" i="27"/>
  <c r="AG15" i="27"/>
  <c r="AI14" i="27"/>
  <c r="AH14" i="27"/>
  <c r="AG14" i="27"/>
  <c r="AI13" i="27"/>
  <c r="AH13" i="27"/>
  <c r="AG13" i="27"/>
  <c r="AI12" i="27"/>
  <c r="AH12" i="27"/>
  <c r="AG12" i="27"/>
  <c r="AI11" i="27"/>
  <c r="AH11" i="27"/>
  <c r="K86" i="35" l="1"/>
  <c r="K137" i="35" s="1"/>
  <c r="K86" i="34"/>
  <c r="K137" i="34" s="1"/>
  <c r="BQ47" i="26"/>
  <c r="BS45" i="26"/>
  <c r="BR45" i="26"/>
  <c r="BQ45" i="26"/>
  <c r="BS42" i="26"/>
  <c r="BR42" i="26"/>
  <c r="BQ42" i="26"/>
  <c r="BS41" i="26"/>
  <c r="BR41" i="26"/>
  <c r="BQ41" i="26"/>
  <c r="BS40" i="26"/>
  <c r="BR40" i="26"/>
  <c r="BQ40" i="26"/>
  <c r="BS39" i="26"/>
  <c r="BR39" i="26"/>
  <c r="BQ39" i="26"/>
  <c r="BQ38" i="26"/>
  <c r="BS37" i="26"/>
  <c r="BR37" i="26"/>
  <c r="BQ37" i="26"/>
  <c r="BS36" i="26"/>
  <c r="BR36" i="26"/>
  <c r="BQ36" i="26"/>
  <c r="BS35" i="26"/>
  <c r="BR35" i="26"/>
  <c r="BQ35" i="26"/>
  <c r="BS34" i="26"/>
  <c r="BR34" i="26"/>
  <c r="BQ34" i="26"/>
  <c r="BS33" i="26"/>
  <c r="BR33" i="26"/>
  <c r="BQ33" i="26"/>
  <c r="BS32" i="26" l="1"/>
  <c r="BR32" i="26"/>
  <c r="BQ32" i="26"/>
  <c r="BS31" i="26"/>
  <c r="BR31" i="26"/>
  <c r="BQ31" i="26"/>
  <c r="BS30" i="26"/>
  <c r="BR30" i="26"/>
  <c r="BQ30" i="26"/>
  <c r="BS28" i="26"/>
  <c r="BR28" i="26"/>
  <c r="BQ28" i="26"/>
  <c r="BR27" i="26"/>
  <c r="BS27" i="26"/>
  <c r="BQ27" i="26"/>
  <c r="BS26" i="26"/>
  <c r="BR26" i="26"/>
  <c r="BQ26" i="26"/>
  <c r="BS25" i="26"/>
  <c r="BR25" i="26"/>
  <c r="BQ25" i="26"/>
  <c r="BS24" i="26"/>
  <c r="BR24" i="26"/>
  <c r="BQ24" i="26"/>
  <c r="BS23" i="26"/>
  <c r="BR23" i="26"/>
  <c r="BQ23" i="26"/>
  <c r="BS22" i="26"/>
  <c r="BR22" i="26"/>
  <c r="BQ22" i="26"/>
  <c r="BS21" i="26"/>
  <c r="BR21" i="26"/>
  <c r="BQ21" i="26"/>
  <c r="BS20" i="26"/>
  <c r="BR20" i="26"/>
  <c r="BQ20" i="26"/>
  <c r="BS19" i="26"/>
  <c r="BR19" i="26"/>
  <c r="BQ19" i="26"/>
  <c r="BS18" i="26"/>
  <c r="BR18" i="26"/>
  <c r="BQ18" i="26"/>
  <c r="BQ17" i="26"/>
  <c r="BS16" i="26"/>
  <c r="BR16" i="26"/>
  <c r="BQ16" i="26"/>
  <c r="BM16" i="26"/>
  <c r="BS15" i="26"/>
  <c r="BR15" i="26"/>
  <c r="BQ15" i="26"/>
  <c r="BS13" i="26"/>
  <c r="BR13" i="26"/>
  <c r="BQ13" i="26"/>
  <c r="BS12" i="26"/>
  <c r="BR12" i="26"/>
  <c r="BQ12" i="26"/>
  <c r="AG19" i="25"/>
  <c r="AF19" i="25"/>
  <c r="AE19" i="25"/>
  <c r="AB19" i="25"/>
  <c r="AG18" i="25"/>
  <c r="AF18" i="25"/>
  <c r="AE18" i="25"/>
  <c r="AC18" i="25"/>
  <c r="AB18" i="25"/>
  <c r="AA18" i="25"/>
  <c r="AG17" i="25"/>
  <c r="AF17" i="25"/>
  <c r="AE17" i="25"/>
  <c r="AC17" i="25"/>
  <c r="AG16" i="25"/>
  <c r="AF16" i="25"/>
  <c r="AE16" i="25"/>
  <c r="AG15" i="25"/>
  <c r="AF15" i="25"/>
  <c r="AE15" i="25"/>
  <c r="AG14" i="25"/>
  <c r="AF14" i="25"/>
  <c r="AE14" i="25"/>
  <c r="AE13" i="25"/>
  <c r="AE12" i="25"/>
  <c r="AD12" i="25"/>
  <c r="AC12" i="25"/>
  <c r="AB12" i="25"/>
  <c r="AG11" i="25"/>
  <c r="AF11" i="25"/>
  <c r="AE11" i="25"/>
  <c r="AA11" i="25"/>
  <c r="J96" i="14" l="1"/>
  <c r="AF21" i="28" l="1"/>
  <c r="AF22" i="28"/>
  <c r="AF23" i="28"/>
  <c r="AF24" i="28"/>
  <c r="AF20" i="28"/>
  <c r="AF13" i="28"/>
  <c r="AF14" i="28"/>
  <c r="AF15" i="28"/>
  <c r="AF16" i="28"/>
  <c r="AF12" i="28"/>
  <c r="AL11" i="27"/>
  <c r="AL12" i="27"/>
  <c r="AL13" i="27"/>
  <c r="AL14" i="27"/>
  <c r="AL15" i="27"/>
  <c r="AL16" i="27"/>
  <c r="AL17" i="27"/>
  <c r="AL18" i="27"/>
  <c r="AL19" i="27"/>
  <c r="AL20" i="27"/>
  <c r="AL21" i="27"/>
  <c r="AL22" i="27"/>
  <c r="AL23" i="27"/>
  <c r="AL24" i="27"/>
  <c r="AL25" i="27"/>
  <c r="AL26" i="27"/>
  <c r="AL27" i="27"/>
  <c r="AL28" i="27"/>
  <c r="AL29" i="27"/>
  <c r="AL30" i="27"/>
  <c r="AL31" i="27"/>
  <c r="AL32" i="27"/>
  <c r="AL33" i="27"/>
  <c r="AL34" i="27"/>
  <c r="AL35" i="27"/>
  <c r="AL36" i="27"/>
  <c r="AL37" i="27"/>
  <c r="AL38" i="27"/>
  <c r="AL39" i="27"/>
  <c r="AL40" i="27"/>
  <c r="AL10" i="27"/>
  <c r="BV12" i="26" l="1"/>
  <c r="BV13" i="26"/>
  <c r="BV14" i="26"/>
  <c r="BV15" i="26"/>
  <c r="BV16" i="26"/>
  <c r="BV17" i="26"/>
  <c r="BV18" i="26"/>
  <c r="BV19" i="26"/>
  <c r="BV20" i="26"/>
  <c r="BV21" i="26"/>
  <c r="BV22" i="26"/>
  <c r="BV23" i="26"/>
  <c r="BV24" i="26"/>
  <c r="BV25" i="26"/>
  <c r="BV26" i="26"/>
  <c r="BV27" i="26"/>
  <c r="BV28" i="26"/>
  <c r="BV29" i="26"/>
  <c r="BV30" i="26"/>
  <c r="BV31" i="26"/>
  <c r="BV32" i="26"/>
  <c r="BV33" i="26"/>
  <c r="BV34" i="26"/>
  <c r="BV35" i="26"/>
  <c r="BV36" i="26"/>
  <c r="BV37" i="26"/>
  <c r="BV38" i="26"/>
  <c r="BV39" i="26"/>
  <c r="BV40" i="26"/>
  <c r="BV41" i="26"/>
  <c r="BV42" i="26"/>
  <c r="BV43" i="26"/>
  <c r="BV44" i="26"/>
  <c r="BV45" i="26"/>
  <c r="BV46" i="26"/>
  <c r="BV47" i="26"/>
  <c r="BV48" i="26"/>
  <c r="BV11" i="26"/>
  <c r="AJ12" i="25"/>
  <c r="AJ13" i="25"/>
  <c r="AJ14" i="25"/>
  <c r="AJ15" i="25"/>
  <c r="AJ16" i="25"/>
  <c r="AJ17" i="25"/>
  <c r="AJ18" i="25"/>
  <c r="AJ19" i="25"/>
  <c r="AJ11" i="25"/>
  <c r="J128" i="29" l="1"/>
  <c r="J127" i="29" s="1"/>
  <c r="J96" i="29"/>
  <c r="J95" i="29"/>
  <c r="J94" i="29"/>
  <c r="J93" i="29"/>
  <c r="J82" i="29"/>
  <c r="J59" i="29"/>
  <c r="J85" i="29" s="1"/>
  <c r="J87" i="29" s="1"/>
  <c r="K63" i="29"/>
  <c r="K70" i="29" s="1"/>
  <c r="K76" i="29" s="1"/>
  <c r="J98" i="29" l="1"/>
  <c r="J108" i="29" s="1"/>
  <c r="K40" i="29"/>
  <c r="W12" i="28"/>
  <c r="X12" i="28"/>
  <c r="Y12" i="28" s="1"/>
  <c r="AA12" i="28"/>
  <c r="AB12" i="28"/>
  <c r="AC12" i="28"/>
  <c r="AD12" i="28" s="1"/>
  <c r="AE12" i="28" s="1"/>
  <c r="W13" i="28"/>
  <c r="X13" i="28"/>
  <c r="AA13" i="28"/>
  <c r="AB13" i="28"/>
  <c r="AC13" i="28"/>
  <c r="AD13" i="28" s="1"/>
  <c r="AE13" i="28" s="1"/>
  <c r="AG13" i="28" s="1"/>
  <c r="W14" i="28"/>
  <c r="X14" i="28"/>
  <c r="Y14" i="28" s="1"/>
  <c r="AA14" i="28"/>
  <c r="AB14" i="28"/>
  <c r="AC14" i="28"/>
  <c r="W15" i="28"/>
  <c r="X15" i="28"/>
  <c r="Y15" i="28" s="1"/>
  <c r="AA15" i="28"/>
  <c r="AB15" i="28"/>
  <c r="AC15" i="28"/>
  <c r="W16" i="28"/>
  <c r="X16" i="28"/>
  <c r="AA16" i="28"/>
  <c r="AB16" i="28"/>
  <c r="AC16" i="28"/>
  <c r="AD16" i="28" s="1"/>
  <c r="AE16" i="28" s="1"/>
  <c r="AG16" i="28" s="1"/>
  <c r="W20" i="28"/>
  <c r="Y20" i="28" s="1"/>
  <c r="X20" i="28"/>
  <c r="AA20" i="28"/>
  <c r="AB20" i="28"/>
  <c r="AC20" i="28"/>
  <c r="W21" i="28"/>
  <c r="X21" i="28"/>
  <c r="AA21" i="28"/>
  <c r="AB21" i="28"/>
  <c r="AC21" i="28"/>
  <c r="W22" i="28"/>
  <c r="Y22" i="28" s="1"/>
  <c r="X22" i="28"/>
  <c r="AA22" i="28"/>
  <c r="AD22" i="28" s="1"/>
  <c r="AE22" i="28" s="1"/>
  <c r="AB22" i="28"/>
  <c r="AC22" i="28"/>
  <c r="W23" i="28"/>
  <c r="X23" i="28"/>
  <c r="AA23" i="28"/>
  <c r="AB23" i="28"/>
  <c r="AC23" i="28"/>
  <c r="AD23" i="28" s="1"/>
  <c r="AE23" i="28" s="1"/>
  <c r="W24" i="28"/>
  <c r="X24" i="28"/>
  <c r="AA24" i="28"/>
  <c r="AB24" i="28"/>
  <c r="AC24" i="28"/>
  <c r="AC10" i="27"/>
  <c r="AD10" i="27"/>
  <c r="AJ10" i="27"/>
  <c r="AK10" i="27" s="1"/>
  <c r="AM10" i="27" s="1"/>
  <c r="AN10" i="27" s="1"/>
  <c r="AC11" i="27"/>
  <c r="AD11" i="27"/>
  <c r="AC12" i="27"/>
  <c r="AD12" i="27"/>
  <c r="AC13" i="27"/>
  <c r="AD13" i="27"/>
  <c r="AC14" i="27"/>
  <c r="AD14" i="27"/>
  <c r="AC15" i="27"/>
  <c r="AD15" i="27"/>
  <c r="AJ15" i="27"/>
  <c r="AK15" i="27" s="1"/>
  <c r="AC16" i="27"/>
  <c r="AD16" i="27"/>
  <c r="AC17" i="27"/>
  <c r="AD17" i="27"/>
  <c r="AC18" i="27"/>
  <c r="AD18" i="27"/>
  <c r="AC19" i="27"/>
  <c r="AD19" i="27"/>
  <c r="AC20" i="27"/>
  <c r="AD20" i="27"/>
  <c r="AC21" i="27"/>
  <c r="AD21" i="27"/>
  <c r="AC22" i="27"/>
  <c r="AD22" i="27"/>
  <c r="AC23" i="27"/>
  <c r="AD23" i="27"/>
  <c r="AC24" i="27"/>
  <c r="AD24" i="27"/>
  <c r="AJ24" i="27"/>
  <c r="AK24" i="27" s="1"/>
  <c r="AC25" i="27"/>
  <c r="AD25" i="27"/>
  <c r="AC26" i="27"/>
  <c r="AD26" i="27"/>
  <c r="AC27" i="27"/>
  <c r="AD27" i="27"/>
  <c r="AC28" i="27"/>
  <c r="AD28" i="27"/>
  <c r="AC29" i="27"/>
  <c r="AD29" i="27"/>
  <c r="AC30" i="27"/>
  <c r="AD30" i="27"/>
  <c r="AC31" i="27"/>
  <c r="AD31" i="27"/>
  <c r="AC32" i="27"/>
  <c r="AD32" i="27"/>
  <c r="AJ32" i="27"/>
  <c r="AK32" i="27" s="1"/>
  <c r="AC33" i="27"/>
  <c r="AD33" i="27"/>
  <c r="AC34" i="27"/>
  <c r="AD34" i="27"/>
  <c r="AC35" i="27"/>
  <c r="AD35" i="27"/>
  <c r="AC36" i="27"/>
  <c r="AD36" i="27"/>
  <c r="AC37" i="27"/>
  <c r="AD37" i="27"/>
  <c r="AC38" i="27"/>
  <c r="AD38" i="27"/>
  <c r="AC39" i="27"/>
  <c r="AD39" i="27"/>
  <c r="AC40" i="27"/>
  <c r="AD40" i="27"/>
  <c r="BM11" i="26"/>
  <c r="BN11" i="26"/>
  <c r="BT11" i="26"/>
  <c r="BU11" i="26" s="1"/>
  <c r="BM12" i="26"/>
  <c r="BN12" i="26"/>
  <c r="BM13" i="26"/>
  <c r="BN13" i="26"/>
  <c r="BM14" i="26"/>
  <c r="BN14" i="26"/>
  <c r="BT14" i="26"/>
  <c r="BU14" i="26" s="1"/>
  <c r="BW14" i="26" s="1"/>
  <c r="BX14" i="26" s="1"/>
  <c r="BM15" i="26"/>
  <c r="BN15" i="26"/>
  <c r="BN16" i="26"/>
  <c r="BM17" i="26"/>
  <c r="BN17" i="26"/>
  <c r="BR17" i="26"/>
  <c r="BS17" i="26"/>
  <c r="BM18" i="26"/>
  <c r="BN18" i="26"/>
  <c r="BT18" i="26"/>
  <c r="BU18" i="26" s="1"/>
  <c r="BM19" i="26"/>
  <c r="BN19" i="26"/>
  <c r="BM20" i="26"/>
  <c r="BN20" i="26"/>
  <c r="BM21" i="26"/>
  <c r="BN21" i="26"/>
  <c r="BM22" i="26"/>
  <c r="BN22" i="26"/>
  <c r="BM23" i="26"/>
  <c r="BN23" i="26"/>
  <c r="BM24" i="26"/>
  <c r="BN24" i="26"/>
  <c r="BT24" i="26"/>
  <c r="BU24" i="26" s="1"/>
  <c r="BW24" i="26" s="1"/>
  <c r="BX24" i="26" s="1"/>
  <c r="BM25" i="26"/>
  <c r="BN25" i="26"/>
  <c r="BM26" i="26"/>
  <c r="BN26" i="26"/>
  <c r="BM27" i="26"/>
  <c r="BN27" i="26"/>
  <c r="BM28" i="26"/>
  <c r="BN28" i="26"/>
  <c r="BM29" i="26"/>
  <c r="BN29" i="26"/>
  <c r="BT29" i="26"/>
  <c r="BU29" i="26" s="1"/>
  <c r="BM30" i="26"/>
  <c r="BN30" i="26"/>
  <c r="BM31" i="26"/>
  <c r="BN31" i="26"/>
  <c r="BM32" i="26"/>
  <c r="BN32" i="26"/>
  <c r="BM33" i="26"/>
  <c r="BN33" i="26"/>
  <c r="BM34" i="26"/>
  <c r="BN34" i="26"/>
  <c r="BT34" i="26"/>
  <c r="BU34" i="26" s="1"/>
  <c r="BW34" i="26" s="1"/>
  <c r="BX34" i="26" s="1"/>
  <c r="BM35" i="26"/>
  <c r="BN35" i="26"/>
  <c r="BM36" i="26"/>
  <c r="BN36" i="26"/>
  <c r="BM37" i="26"/>
  <c r="BN37" i="26"/>
  <c r="BT37" i="26"/>
  <c r="BU37" i="26" s="1"/>
  <c r="BW37" i="26" s="1"/>
  <c r="BX37" i="26" s="1"/>
  <c r="BM38" i="26"/>
  <c r="BN38" i="26"/>
  <c r="BR38" i="26"/>
  <c r="BS38" i="26"/>
  <c r="BM39" i="26"/>
  <c r="BN39" i="26"/>
  <c r="BM40" i="26"/>
  <c r="BN40" i="26"/>
  <c r="BT40" i="26"/>
  <c r="BU40" i="26" s="1"/>
  <c r="BW40" i="26" s="1"/>
  <c r="BX40" i="26" s="1"/>
  <c r="BM41" i="26"/>
  <c r="BN41" i="26"/>
  <c r="BM42" i="26"/>
  <c r="BN42" i="26"/>
  <c r="BM43" i="26"/>
  <c r="BN43" i="26"/>
  <c r="BM44" i="26"/>
  <c r="BN44" i="26"/>
  <c r="BM45" i="26"/>
  <c r="BN45" i="26"/>
  <c r="BM46" i="26"/>
  <c r="BN46" i="26"/>
  <c r="BM47" i="26"/>
  <c r="BN47" i="26"/>
  <c r="BR47" i="26"/>
  <c r="BS47" i="26"/>
  <c r="BN48" i="26"/>
  <c r="BT48" i="26"/>
  <c r="BU48" i="26" s="1"/>
  <c r="BW48" i="26" s="1"/>
  <c r="BX48" i="26" s="1"/>
  <c r="AB11" i="25"/>
  <c r="AA12" i="25"/>
  <c r="AF12" i="25"/>
  <c r="AG12" i="25"/>
  <c r="AH12" i="25" s="1"/>
  <c r="AI12" i="25" s="1"/>
  <c r="AK12" i="25" s="1"/>
  <c r="AL12" i="25" s="1"/>
  <c r="AA13" i="25"/>
  <c r="AB13" i="25"/>
  <c r="AF13" i="25"/>
  <c r="AG13" i="25"/>
  <c r="AA14" i="25"/>
  <c r="AB14" i="25"/>
  <c r="AC14" i="25" s="1"/>
  <c r="AA15" i="25"/>
  <c r="AB15" i="25"/>
  <c r="AA16" i="25"/>
  <c r="AB16" i="25"/>
  <c r="AA17" i="25"/>
  <c r="AB17" i="25"/>
  <c r="AA19" i="25"/>
  <c r="BO32" i="26" l="1"/>
  <c r="AG12" i="28"/>
  <c r="AD24" i="28"/>
  <c r="AE24" i="28" s="1"/>
  <c r="AG24" i="28" s="1"/>
  <c r="AH24" i="28" s="1"/>
  <c r="Z23" i="28"/>
  <c r="Z24" i="28"/>
  <c r="AD14" i="28"/>
  <c r="AE14" i="28" s="1"/>
  <c r="Y13" i="28"/>
  <c r="AE36" i="27"/>
  <c r="AF11" i="27"/>
  <c r="AE31" i="27"/>
  <c r="BT43" i="26"/>
  <c r="BU43" i="26" s="1"/>
  <c r="BW43" i="26" s="1"/>
  <c r="BX43" i="26" s="1"/>
  <c r="BO45" i="26"/>
  <c r="AJ25" i="27"/>
  <c r="AK25" i="27" s="1"/>
  <c r="AM25" i="27" s="1"/>
  <c r="AN25" i="27" s="1"/>
  <c r="AJ12" i="27"/>
  <c r="AK12" i="27" s="1"/>
  <c r="AM12" i="27" s="1"/>
  <c r="AN12" i="27" s="1"/>
  <c r="AJ36" i="27"/>
  <c r="AK36" i="27" s="1"/>
  <c r="AM36" i="27" s="1"/>
  <c r="AN36" i="27" s="1"/>
  <c r="BO19" i="26"/>
  <c r="BP12" i="26"/>
  <c r="BT45" i="26"/>
  <c r="BU45" i="26" s="1"/>
  <c r="BW45" i="26" s="1"/>
  <c r="BX45" i="26" s="1"/>
  <c r="BP15" i="26"/>
  <c r="BP25" i="26"/>
  <c r="BW18" i="26"/>
  <c r="BX18" i="26" s="1"/>
  <c r="BP31" i="26"/>
  <c r="BT22" i="26"/>
  <c r="BU22" i="26" s="1"/>
  <c r="BW22" i="26" s="1"/>
  <c r="BX22" i="26" s="1"/>
  <c r="BO40" i="26"/>
  <c r="BO21" i="26"/>
  <c r="BO47" i="26"/>
  <c r="BO39" i="26"/>
  <c r="BO11" i="26"/>
  <c r="BO41" i="26"/>
  <c r="BT28" i="26"/>
  <c r="BU28" i="26" s="1"/>
  <c r="BW28" i="26" s="1"/>
  <c r="BX28" i="26" s="1"/>
  <c r="BO12" i="26"/>
  <c r="BP36" i="26"/>
  <c r="BO13" i="26"/>
  <c r="AN12" i="25"/>
  <c r="AP12" i="25" s="1"/>
  <c r="AE27" i="27"/>
  <c r="AE32" i="27"/>
  <c r="AE10" i="27"/>
  <c r="AJ28" i="27"/>
  <c r="AK28" i="27" s="1"/>
  <c r="AM28" i="27" s="1"/>
  <c r="AN28" i="27" s="1"/>
  <c r="AF22" i="27"/>
  <c r="AK18" i="27"/>
  <c r="AM18" i="27" s="1"/>
  <c r="AN18" i="27" s="1"/>
  <c r="AF37" i="27"/>
  <c r="AJ30" i="27"/>
  <c r="AK30" i="27" s="1"/>
  <c r="AM30" i="27" s="1"/>
  <c r="AN30" i="27" s="1"/>
  <c r="AJ33" i="27"/>
  <c r="AK33" i="27" s="1"/>
  <c r="AM33" i="27" s="1"/>
  <c r="AN33" i="27" s="1"/>
  <c r="AJ16" i="27"/>
  <c r="AK16" i="27" s="1"/>
  <c r="AM16" i="27" s="1"/>
  <c r="AN16" i="27" s="1"/>
  <c r="AJ14" i="27"/>
  <c r="AK14" i="27" s="1"/>
  <c r="AM14" i="27" s="1"/>
  <c r="AN14" i="27" s="1"/>
  <c r="AJ39" i="27"/>
  <c r="AK39" i="27" s="1"/>
  <c r="AM39" i="27" s="1"/>
  <c r="AN39" i="27" s="1"/>
  <c r="AM32" i="27"/>
  <c r="AN32" i="27" s="1"/>
  <c r="AF31" i="27"/>
  <c r="AJ21" i="27"/>
  <c r="AK21" i="27" s="1"/>
  <c r="AM21" i="27" s="1"/>
  <c r="AN21" i="27" s="1"/>
  <c r="AJ38" i="27"/>
  <c r="AK38" i="27" s="1"/>
  <c r="AM38" i="27" s="1"/>
  <c r="AN38" i="27" s="1"/>
  <c r="AE15" i="27"/>
  <c r="BT46" i="26"/>
  <c r="BU46" i="26" s="1"/>
  <c r="BW46" i="26" s="1"/>
  <c r="BX46" i="26" s="1"/>
  <c r="BT38" i="26"/>
  <c r="BU38" i="26" s="1"/>
  <c r="BW38" i="26" s="1"/>
  <c r="BX38" i="26" s="1"/>
  <c r="BT27" i="26"/>
  <c r="BU27" i="26" s="1"/>
  <c r="BW27" i="26" s="1"/>
  <c r="BX27" i="26" s="1"/>
  <c r="BP23" i="26"/>
  <c r="BO20" i="26"/>
  <c r="BO17" i="26"/>
  <c r="BW11" i="26"/>
  <c r="BX11" i="26" s="1"/>
  <c r="BT44" i="26"/>
  <c r="BU44" i="26" s="1"/>
  <c r="BW44" i="26" s="1"/>
  <c r="BX44" i="26" s="1"/>
  <c r="BT30" i="26"/>
  <c r="BU30" i="26" s="1"/>
  <c r="BW30" i="26" s="1"/>
  <c r="BX30" i="26" s="1"/>
  <c r="BP29" i="26"/>
  <c r="BT16" i="26"/>
  <c r="BU16" i="26" s="1"/>
  <c r="BW16" i="26" s="1"/>
  <c r="BX16" i="26" s="1"/>
  <c r="BT12" i="26"/>
  <c r="BU12" i="26" s="1"/>
  <c r="BW12" i="26" s="1"/>
  <c r="BX12" i="26" s="1"/>
  <c r="BO46" i="26"/>
  <c r="BO38" i="26"/>
  <c r="BT36" i="26"/>
  <c r="BU36" i="26" s="1"/>
  <c r="BW36" i="26" s="1"/>
  <c r="BX36" i="26" s="1"/>
  <c r="BO27" i="26"/>
  <c r="BO24" i="26"/>
  <c r="BO30" i="26"/>
  <c r="BT13" i="26"/>
  <c r="BU13" i="26" s="1"/>
  <c r="BW13" i="26" s="1"/>
  <c r="BX13" i="26" s="1"/>
  <c r="BT42" i="26"/>
  <c r="BU42" i="26" s="1"/>
  <c r="BW42" i="26" s="1"/>
  <c r="BX42" i="26" s="1"/>
  <c r="BW29" i="26"/>
  <c r="BX29" i="26" s="1"/>
  <c r="BO22" i="26"/>
  <c r="BT20" i="26"/>
  <c r="BU20" i="26" s="1"/>
  <c r="BW20" i="26" s="1"/>
  <c r="BX20" i="26" s="1"/>
  <c r="BT32" i="26"/>
  <c r="BU32" i="26" s="1"/>
  <c r="BW32" i="26" s="1"/>
  <c r="BX32" i="26" s="1"/>
  <c r="BT26" i="26"/>
  <c r="BU26" i="26" s="1"/>
  <c r="BW26" i="26" s="1"/>
  <c r="BX26" i="26" s="1"/>
  <c r="BT21" i="26"/>
  <c r="BU21" i="26" s="1"/>
  <c r="BW21" i="26" s="1"/>
  <c r="BX21" i="26" s="1"/>
  <c r="BO14" i="26"/>
  <c r="AH16" i="25"/>
  <c r="AI16" i="25" s="1"/>
  <c r="AK16" i="25" s="1"/>
  <c r="AL16" i="25" s="1"/>
  <c r="AH13" i="25"/>
  <c r="AI13" i="25" s="1"/>
  <c r="AK13" i="25" s="1"/>
  <c r="AL13" i="25" s="1"/>
  <c r="AD21" i="28"/>
  <c r="AE21" i="28" s="1"/>
  <c r="AG21" i="28" s="1"/>
  <c r="AH21" i="28" s="1"/>
  <c r="Y21" i="28"/>
  <c r="Z15" i="28"/>
  <c r="AD20" i="28"/>
  <c r="AE20" i="28" s="1"/>
  <c r="AG20" i="28" s="1"/>
  <c r="Y16" i="28"/>
  <c r="Z22" i="28"/>
  <c r="Z14" i="28"/>
  <c r="Y23" i="28"/>
  <c r="AG14" i="28"/>
  <c r="Y24" i="28"/>
  <c r="AG22" i="28"/>
  <c r="AH22" i="28" s="1"/>
  <c r="Z16" i="28"/>
  <c r="Z13" i="28"/>
  <c r="AD15" i="28"/>
  <c r="AE15" i="28" s="1"/>
  <c r="AG15" i="28" s="1"/>
  <c r="Z21" i="28"/>
  <c r="AG23" i="28"/>
  <c r="AH23" i="28" s="1"/>
  <c r="Z20" i="28"/>
  <c r="AE35" i="27"/>
  <c r="AE24" i="27"/>
  <c r="AJ22" i="27"/>
  <c r="AK22" i="27" s="1"/>
  <c r="AM22" i="27" s="1"/>
  <c r="AN22" i="27" s="1"/>
  <c r="AJ20" i="27"/>
  <c r="AK20" i="27" s="1"/>
  <c r="AM20" i="27" s="1"/>
  <c r="AN20" i="27" s="1"/>
  <c r="AF19" i="27"/>
  <c r="AJ34" i="27"/>
  <c r="AK34" i="27" s="1"/>
  <c r="AM34" i="27" s="1"/>
  <c r="AN34" i="27" s="1"/>
  <c r="AF33" i="27"/>
  <c r="AJ11" i="27"/>
  <c r="AK11" i="27" s="1"/>
  <c r="AM11" i="27" s="1"/>
  <c r="AN11" i="27" s="1"/>
  <c r="AF25" i="27"/>
  <c r="AM15" i="27"/>
  <c r="AN15" i="27" s="1"/>
  <c r="AE13" i="27"/>
  <c r="AJ40" i="27"/>
  <c r="AK40" i="27" s="1"/>
  <c r="AM40" i="27" s="1"/>
  <c r="AN40" i="27" s="1"/>
  <c r="AE28" i="27"/>
  <c r="AJ26" i="27"/>
  <c r="AK26" i="27" s="1"/>
  <c r="AM26" i="27" s="1"/>
  <c r="AN26" i="27" s="1"/>
  <c r="AM24" i="27"/>
  <c r="AN24" i="27" s="1"/>
  <c r="AF23" i="27"/>
  <c r="AE20" i="27"/>
  <c r="AE17" i="27"/>
  <c r="AJ27" i="27"/>
  <c r="AK27" i="27" s="1"/>
  <c r="AM27" i="27" s="1"/>
  <c r="AN27" i="27" s="1"/>
  <c r="AF15" i="27"/>
  <c r="AE39" i="27"/>
  <c r="AF29" i="27"/>
  <c r="AE26" i="27"/>
  <c r="AE18" i="27"/>
  <c r="AJ13" i="27"/>
  <c r="AK13" i="27" s="1"/>
  <c r="AM13" i="27" s="1"/>
  <c r="AN13" i="27" s="1"/>
  <c r="BO16" i="26"/>
  <c r="BT47" i="26"/>
  <c r="BU47" i="26" s="1"/>
  <c r="BW47" i="26" s="1"/>
  <c r="BX47" i="26" s="1"/>
  <c r="BO42" i="26"/>
  <c r="BO36" i="26"/>
  <c r="BO33" i="26"/>
  <c r="BT31" i="26"/>
  <c r="BU31" i="26" s="1"/>
  <c r="BW31" i="26" s="1"/>
  <c r="BX31" i="26" s="1"/>
  <c r="BO26" i="26"/>
  <c r="BO23" i="26"/>
  <c r="BP17" i="26"/>
  <c r="BT15" i="26"/>
  <c r="BU15" i="26" s="1"/>
  <c r="BW15" i="26" s="1"/>
  <c r="BX15" i="26" s="1"/>
  <c r="BO29" i="26"/>
  <c r="BO43" i="26"/>
  <c r="BT41" i="26"/>
  <c r="BU41" i="26" s="1"/>
  <c r="BW41" i="26" s="1"/>
  <c r="BX41" i="26" s="1"/>
  <c r="BP27" i="26"/>
  <c r="BT25" i="26"/>
  <c r="BU25" i="26" s="1"/>
  <c r="BW25" i="26" s="1"/>
  <c r="BX25" i="26" s="1"/>
  <c r="BO37" i="26"/>
  <c r="BT35" i="26"/>
  <c r="BU35" i="26" s="1"/>
  <c r="BW35" i="26" s="1"/>
  <c r="BX35" i="26" s="1"/>
  <c r="BP21" i="26"/>
  <c r="BT19" i="26"/>
  <c r="BU19" i="26" s="1"/>
  <c r="BW19" i="26" s="1"/>
  <c r="BX19" i="26" s="1"/>
  <c r="BO48" i="26"/>
  <c r="BT39" i="26"/>
  <c r="BU39" i="26" s="1"/>
  <c r="BW39" i="26" s="1"/>
  <c r="BX39" i="26" s="1"/>
  <c r="BO34" i="26"/>
  <c r="BO31" i="26"/>
  <c r="BT23" i="26"/>
  <c r="BU23" i="26" s="1"/>
  <c r="BW23" i="26" s="1"/>
  <c r="BX23" i="26" s="1"/>
  <c r="BO18" i="26"/>
  <c r="BO15" i="26"/>
  <c r="BO44" i="26"/>
  <c r="BO35" i="26"/>
  <c r="BT33" i="26"/>
  <c r="BU33" i="26" s="1"/>
  <c r="BW33" i="26" s="1"/>
  <c r="BX33" i="26" s="1"/>
  <c r="BO28" i="26"/>
  <c r="BO25" i="26"/>
  <c r="BP19" i="26"/>
  <c r="BT17" i="26"/>
  <c r="BU17" i="26" s="1"/>
  <c r="BW17" i="26" s="1"/>
  <c r="BX17" i="26" s="1"/>
  <c r="AF35" i="27"/>
  <c r="AE33" i="27"/>
  <c r="AE22" i="27"/>
  <c r="AE21" i="27"/>
  <c r="AE14" i="27"/>
  <c r="AJ31" i="27"/>
  <c r="AK31" i="27" s="1"/>
  <c r="AM31" i="27" s="1"/>
  <c r="AN31" i="27" s="1"/>
  <c r="AJ19" i="27"/>
  <c r="AK19" i="27" s="1"/>
  <c r="AM19" i="27" s="1"/>
  <c r="AN19" i="27" s="1"/>
  <c r="AF17" i="27"/>
  <c r="AF39" i="27"/>
  <c r="AE37" i="27"/>
  <c r="AE34" i="27"/>
  <c r="AE29" i="27"/>
  <c r="AE23" i="27"/>
  <c r="AE16" i="27"/>
  <c r="AE30" i="27"/>
  <c r="AE25" i="27"/>
  <c r="AF18" i="27"/>
  <c r="AF10" i="27"/>
  <c r="AE40" i="27"/>
  <c r="AJ35" i="27"/>
  <c r="AK35" i="27" s="1"/>
  <c r="AM35" i="27" s="1"/>
  <c r="AN35" i="27" s="1"/>
  <c r="AJ23" i="27"/>
  <c r="AK23" i="27" s="1"/>
  <c r="AM23" i="27" s="1"/>
  <c r="AN23" i="27" s="1"/>
  <c r="AE19" i="27"/>
  <c r="AF13" i="27"/>
  <c r="AE11" i="27"/>
  <c r="AE38" i="27"/>
  <c r="AJ37" i="27"/>
  <c r="AK37" i="27" s="1"/>
  <c r="AM37" i="27" s="1"/>
  <c r="AN37" i="27" s="1"/>
  <c r="AJ29" i="27"/>
  <c r="AK29" i="27" s="1"/>
  <c r="AM29" i="27" s="1"/>
  <c r="AN29" i="27" s="1"/>
  <c r="AF27" i="27"/>
  <c r="AF21" i="27"/>
  <c r="AJ17" i="27"/>
  <c r="AK17" i="27" s="1"/>
  <c r="AM17" i="27" s="1"/>
  <c r="AN17" i="27" s="1"/>
  <c r="AE12" i="27"/>
  <c r="AH19" i="25"/>
  <c r="AI19" i="25" s="1"/>
  <c r="AK19" i="25" s="1"/>
  <c r="AL19" i="25" s="1"/>
  <c r="AH11" i="25"/>
  <c r="AI11" i="25" s="1"/>
  <c r="AK11" i="25" s="1"/>
  <c r="AL11" i="25" s="1"/>
  <c r="AH17" i="25"/>
  <c r="AI17" i="25" s="1"/>
  <c r="AK17" i="25" s="1"/>
  <c r="AL17" i="25" s="1"/>
  <c r="AC15" i="25"/>
  <c r="AH14" i="25"/>
  <c r="AI14" i="25" s="1"/>
  <c r="AK14" i="25" s="1"/>
  <c r="AL14" i="25" s="1"/>
  <c r="AH15" i="25"/>
  <c r="AI15" i="25" s="1"/>
  <c r="AK15" i="25" s="1"/>
  <c r="AL15" i="25" s="1"/>
  <c r="AC19" i="25"/>
  <c r="AH18" i="25"/>
  <c r="AI18" i="25" s="1"/>
  <c r="AK18" i="25" s="1"/>
  <c r="AL18" i="25" s="1"/>
  <c r="AC11" i="25"/>
  <c r="AC16" i="25"/>
  <c r="AC13" i="25"/>
  <c r="K46" i="29"/>
  <c r="K45" i="29"/>
  <c r="K136" i="29"/>
  <c r="Z12" i="28"/>
  <c r="AF40" i="27"/>
  <c r="AF38" i="27"/>
  <c r="AF36" i="27"/>
  <c r="AF34" i="27"/>
  <c r="AF32" i="27"/>
  <c r="AF30" i="27"/>
  <c r="AF28" i="27"/>
  <c r="AF26" i="27"/>
  <c r="AF24" i="27"/>
  <c r="AF20" i="27"/>
  <c r="AF16" i="27"/>
  <c r="AF14" i="27"/>
  <c r="AF12" i="27"/>
  <c r="BP47" i="26"/>
  <c r="BP45" i="26"/>
  <c r="BP43" i="26"/>
  <c r="BP41" i="26"/>
  <c r="BP39" i="26"/>
  <c r="BP37" i="26"/>
  <c r="BP35" i="26"/>
  <c r="BP33" i="26"/>
  <c r="BP48" i="26"/>
  <c r="BP46" i="26"/>
  <c r="BP44" i="26"/>
  <c r="BP42" i="26"/>
  <c r="BP40" i="26"/>
  <c r="BP38" i="26"/>
  <c r="BP34" i="26"/>
  <c r="BP32" i="26"/>
  <c r="BP30" i="26"/>
  <c r="BP28" i="26"/>
  <c r="BP26" i="26"/>
  <c r="BP24" i="26"/>
  <c r="BP22" i="26"/>
  <c r="BP20" i="26"/>
  <c r="BP18" i="26"/>
  <c r="BP16" i="26"/>
  <c r="BP14" i="26"/>
  <c r="BP13" i="26"/>
  <c r="BP11" i="26"/>
  <c r="AD18" i="25"/>
  <c r="AD16" i="25"/>
  <c r="AD14" i="25"/>
  <c r="AD19" i="25"/>
  <c r="AD17" i="25"/>
  <c r="AD15" i="25"/>
  <c r="AD13" i="25"/>
  <c r="AD11" i="25"/>
  <c r="AH17" i="28" l="1"/>
  <c r="AN16" i="25"/>
  <c r="AP16" i="25" s="1"/>
  <c r="AN17" i="25"/>
  <c r="AP17" i="25" s="1"/>
  <c r="AN15" i="25"/>
  <c r="AP15" i="25" s="1"/>
  <c r="AN11" i="25"/>
  <c r="AP11" i="25" s="1"/>
  <c r="AN18" i="25"/>
  <c r="AP18" i="25" s="1"/>
  <c r="AN19" i="25"/>
  <c r="AP19" i="25" s="1"/>
  <c r="AN13" i="25"/>
  <c r="AP13" i="25" s="1"/>
  <c r="AN14" i="25"/>
  <c r="AP14" i="25" s="1"/>
  <c r="BX49" i="26"/>
  <c r="AH20" i="28"/>
  <c r="AH25" i="28" s="1"/>
  <c r="AH26" i="28" s="1"/>
  <c r="K117" i="14" s="1"/>
  <c r="AN41" i="27"/>
  <c r="K47" i="29"/>
  <c r="K56" i="29" l="1"/>
  <c r="K53" i="29"/>
  <c r="K51" i="29"/>
  <c r="K52" i="29"/>
  <c r="AH18" i="28"/>
  <c r="K118" i="29" s="1"/>
  <c r="K120" i="29" s="1"/>
  <c r="K140" i="29" s="1"/>
  <c r="K116" i="14"/>
  <c r="K115" i="14"/>
  <c r="AP20" i="25"/>
  <c r="K54" i="29"/>
  <c r="K58" i="29"/>
  <c r="K74" i="29"/>
  <c r="K57" i="29"/>
  <c r="K55" i="29"/>
  <c r="K119" i="34" l="1"/>
  <c r="K139" i="34" s="1"/>
  <c r="K140" i="34" s="1"/>
  <c r="K124" i="34" s="1"/>
  <c r="K119" i="35"/>
  <c r="K139" i="35" s="1"/>
  <c r="K140" i="35" s="1"/>
  <c r="K124" i="35" s="1"/>
  <c r="K59" i="29"/>
  <c r="K97" i="29" s="1"/>
  <c r="K125" i="34" l="1"/>
  <c r="K129" i="34" s="1"/>
  <c r="K125" i="35"/>
  <c r="K75" i="29"/>
  <c r="K77" i="29" s="1"/>
  <c r="K93" i="29"/>
  <c r="K96" i="29"/>
  <c r="K94" i="29"/>
  <c r="K92" i="29"/>
  <c r="K95" i="29"/>
  <c r="K127" i="35" l="1"/>
  <c r="K129" i="35"/>
  <c r="K127" i="34"/>
  <c r="K131" i="34" s="1"/>
  <c r="K141" i="34" s="1"/>
  <c r="K142" i="34" s="1"/>
  <c r="K137" i="29"/>
  <c r="K85" i="29"/>
  <c r="K83" i="29"/>
  <c r="K84" i="29"/>
  <c r="K82" i="29"/>
  <c r="K86" i="29"/>
  <c r="K81" i="29"/>
  <c r="N61" i="33" l="1"/>
  <c r="O61" i="33" s="1"/>
  <c r="F6" i="33"/>
  <c r="N81" i="33"/>
  <c r="O81" i="33" s="1"/>
  <c r="N71" i="33"/>
  <c r="O71" i="33" s="1"/>
  <c r="K131" i="35"/>
  <c r="K141" i="35" s="1"/>
  <c r="K142" i="35" s="1"/>
  <c r="F7" i="33" s="1"/>
  <c r="K87" i="29"/>
  <c r="K138" i="29" s="1"/>
  <c r="K98" i="29"/>
  <c r="K108" i="29" s="1"/>
  <c r="K110" i="29" s="1"/>
  <c r="K139" i="29" s="1"/>
  <c r="H6" i="33" l="1"/>
  <c r="D6" i="33"/>
  <c r="H7" i="33"/>
  <c r="D7" i="33"/>
  <c r="K141" i="29"/>
  <c r="K125" i="29" s="1"/>
  <c r="K126" i="29" l="1"/>
  <c r="K128" i="29" l="1"/>
  <c r="K130" i="29"/>
  <c r="J127" i="14"/>
  <c r="J93" i="14"/>
  <c r="J94" i="14"/>
  <c r="J95" i="14"/>
  <c r="J92" i="14"/>
  <c r="K132" i="29" l="1"/>
  <c r="K142" i="29" s="1"/>
  <c r="K143" i="29" s="1"/>
  <c r="N59" i="33" s="1"/>
  <c r="F8" i="33" l="1"/>
  <c r="N79" i="33"/>
  <c r="O79" i="33" s="1"/>
  <c r="O83" i="33" s="1"/>
  <c r="L91" i="33" s="1"/>
  <c r="G39" i="33"/>
  <c r="N69" i="33"/>
  <c r="O69" i="33" s="1"/>
  <c r="O73" i="33" s="1"/>
  <c r="J91" i="33" s="1"/>
  <c r="D12" i="36" s="1"/>
  <c r="F12" i="36" s="1"/>
  <c r="O59" i="33"/>
  <c r="O63" i="33" s="1"/>
  <c r="H91" i="33" s="1"/>
  <c r="D11" i="36" s="1"/>
  <c r="F11" i="36" s="1"/>
  <c r="G49" i="33"/>
  <c r="I49" i="33" s="1"/>
  <c r="K26" i="14"/>
  <c r="H8" i="33" l="1"/>
  <c r="D8" i="33"/>
  <c r="D13" i="36"/>
  <c r="F13" i="36" s="1"/>
  <c r="J126" i="14"/>
  <c r="J97" i="14"/>
  <c r="J107" i="14" s="1"/>
  <c r="J81" i="14"/>
  <c r="J58" i="14"/>
  <c r="J84" i="14" s="1"/>
  <c r="J86" i="14" s="1"/>
  <c r="K32" i="14"/>
  <c r="K39" i="14" l="1"/>
  <c r="K45" i="14" s="1"/>
  <c r="K69" i="14"/>
  <c r="K75" i="14" s="1"/>
  <c r="K135" i="14" l="1"/>
  <c r="K44" i="14"/>
  <c r="K46" i="14" s="1"/>
  <c r="K73" i="14" l="1"/>
  <c r="K57" i="14"/>
  <c r="K52" i="14"/>
  <c r="K53" i="14"/>
  <c r="K50" i="14"/>
  <c r="K51" i="14"/>
  <c r="K56" i="14"/>
  <c r="K54" i="14"/>
  <c r="K55" i="14"/>
  <c r="K58" i="14" l="1"/>
  <c r="K74" i="14" l="1"/>
  <c r="K76" i="14" s="1"/>
  <c r="K80" i="14" s="1"/>
  <c r="K95" i="14"/>
  <c r="K96" i="14"/>
  <c r="K94" i="14"/>
  <c r="K91" i="14"/>
  <c r="K93" i="14"/>
  <c r="K92" i="14"/>
  <c r="K81" i="14" l="1"/>
  <c r="K85" i="14"/>
  <c r="K83" i="14"/>
  <c r="K82" i="14"/>
  <c r="K136" i="14"/>
  <c r="K84" i="14"/>
  <c r="K86" i="14" l="1"/>
  <c r="K137" i="14" s="1"/>
  <c r="K97" i="14"/>
  <c r="K107" i="14" s="1"/>
  <c r="K109" i="14" s="1"/>
  <c r="K138" i="14" s="1"/>
  <c r="K119" i="14" l="1"/>
  <c r="K139" i="14" s="1"/>
  <c r="K140" i="14" s="1"/>
  <c r="K124" i="14" l="1"/>
  <c r="K125" i="14" s="1"/>
  <c r="K129" i="14" s="1"/>
  <c r="K127" i="14" l="1"/>
  <c r="K131" i="14" s="1"/>
  <c r="K141" i="14" s="1"/>
  <c r="K142" i="14" s="1"/>
  <c r="F5" i="33" s="1"/>
  <c r="D5" i="33" s="1"/>
  <c r="G41" i="33" l="1"/>
  <c r="I41" i="33" s="1"/>
  <c r="H5" i="33"/>
  <c r="H9" i="33" s="1"/>
  <c r="I39" i="33"/>
  <c r="G51" i="33"/>
  <c r="I51" i="33" s="1"/>
  <c r="I53" i="33" s="1"/>
  <c r="F91" i="33" s="1"/>
  <c r="D10" i="36" s="1"/>
  <c r="F10" i="36" s="1"/>
  <c r="I43" i="33" l="1"/>
  <c r="D91" i="33" s="1"/>
  <c r="D9" i="36" s="1"/>
  <c r="F9" i="36" s="1"/>
</calcChain>
</file>

<file path=xl/sharedStrings.xml><?xml version="1.0" encoding="utf-8"?>
<sst xmlns="http://schemas.openxmlformats.org/spreadsheetml/2006/main" count="1734" uniqueCount="549">
  <si>
    <t>Salário Base</t>
  </si>
  <si>
    <t>Total</t>
  </si>
  <si>
    <t>SEBRAE</t>
  </si>
  <si>
    <t>INCRA</t>
  </si>
  <si>
    <t>FGTS</t>
  </si>
  <si>
    <t>Insumos Diversos</t>
  </si>
  <si>
    <t>Custos Indiretos, Tributos e Lucro</t>
  </si>
  <si>
    <t>Custos Indiretos</t>
  </si>
  <si>
    <t>Tributos</t>
  </si>
  <si>
    <t>Lucro</t>
  </si>
  <si>
    <t>Item</t>
  </si>
  <si>
    <t>Descrição</t>
  </si>
  <si>
    <t>A</t>
  </si>
  <si>
    <t>B</t>
  </si>
  <si>
    <t>C</t>
  </si>
  <si>
    <t>D</t>
  </si>
  <si>
    <t>E</t>
  </si>
  <si>
    <t>Nº do Processo</t>
  </si>
  <si>
    <t>Empresa</t>
  </si>
  <si>
    <t>Município/UF</t>
  </si>
  <si>
    <t>TIPO DE SERVIÇO</t>
  </si>
  <si>
    <t>UNIDADE DE MEDIDA</t>
  </si>
  <si>
    <t>Área Externa</t>
  </si>
  <si>
    <t>Quantidade</t>
  </si>
  <si>
    <t>MÃO DE OBRA</t>
  </si>
  <si>
    <t>SERVENTE</t>
  </si>
  <si>
    <t>ÁREA INTERNA</t>
  </si>
  <si>
    <t>ÁREA EXTERNA</t>
  </si>
  <si>
    <t>SUBTOTAL (R$/M2)</t>
  </si>
  <si>
    <t>(AxBxC)</t>
  </si>
  <si>
    <t>(DxE)</t>
  </si>
  <si>
    <t>PREÇO HOMEM-MÊS(R$)</t>
  </si>
  <si>
    <t>FREQUÊNCIA NO MÊS (HORAS)*</t>
  </si>
  <si>
    <t>TIPO DE ÁREA</t>
  </si>
  <si>
    <t>Benefício Social Familiar</t>
  </si>
  <si>
    <t>QUADRO COM OS CUSTOS ESTIMADOS DA CONTRATAÇÃO</t>
  </si>
  <si>
    <t>MODELO DE PLANILHA DE CUSTOS E FORMAÇÃO DE PREÇOS</t>
  </si>
  <si>
    <t>Licitação Nº</t>
  </si>
  <si>
    <t>DISCRIMINAÇÃO DOS SERVIÇOS (DADOS REFERENTES À CONTRATAÇÃO)</t>
  </si>
  <si>
    <t>Data de apresentação da proposta (dia/mês/ano):</t>
  </si>
  <si>
    <t>Brasília/DF</t>
  </si>
  <si>
    <t>CCT (Referência)</t>
  </si>
  <si>
    <t>Ano do Acordo, Convenção ou Dissídio Coletivo</t>
  </si>
  <si>
    <t>Número de meses de execução contratual</t>
  </si>
  <si>
    <t>IDENTIFICAÇÃO DO SERVIÇO</t>
  </si>
  <si>
    <t>QUANTIDADE TOTAL A CONTRATAR</t>
  </si>
  <si>
    <t>Dados complementares para composição dos custos referente à mão-de-obra</t>
  </si>
  <si>
    <t>Tipo de serviços (mesmo serviço com caracterísitcas distintas)</t>
  </si>
  <si>
    <t>Salário normativo da categoria profissional</t>
  </si>
  <si>
    <t>Categoria profissional (vinculado à execução contratual)</t>
  </si>
  <si>
    <t>Data base da categoria (dia/mês/ano)</t>
  </si>
  <si>
    <t>Quantidade (nº de trabalhadores)</t>
  </si>
  <si>
    <t>MÓDULO 1 - COMPOSIÇÃO DA REMUNERAÇÃO</t>
  </si>
  <si>
    <t>I</t>
  </si>
  <si>
    <t>Composição da Remuneração</t>
  </si>
  <si>
    <t>Valor (R$)</t>
  </si>
  <si>
    <t>Adicional de periculosidade</t>
  </si>
  <si>
    <t>Adicional de insalubridade</t>
  </si>
  <si>
    <t>Adicional noturno</t>
  </si>
  <si>
    <t>Hora noturna adicional</t>
  </si>
  <si>
    <t>F</t>
  </si>
  <si>
    <t>Adicional de hora extra</t>
  </si>
  <si>
    <t>G</t>
  </si>
  <si>
    <t>Outros (especificar)</t>
  </si>
  <si>
    <t>Total da Remuneração</t>
  </si>
  <si>
    <t>Módulo 2 - Encargos e Benefícios Anuais, Mensais e Diários</t>
  </si>
  <si>
    <r>
      <t> </t>
    </r>
    <r>
      <rPr>
        <b/>
        <sz val="11"/>
        <color rgb="FF000000"/>
        <rFont val="Calibri"/>
        <family val="2"/>
        <scheme val="minor"/>
      </rPr>
      <t>Submódulo 2.1 - 13º (décimo terceiro) Salário, Férias e Adicional de Férias</t>
    </r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</si>
  <si>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</si>
  <si>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</si>
  <si>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</si>
  <si>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</si>
  <si>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</si>
  <si>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</si>
  <si>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</si>
  <si>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</si>
  <si>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</si>
  <si>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</si>
  <si>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SAT</t>
  </si>
  <si>
    <t>SESC ou SESI</t>
  </si>
  <si>
    <t>SENAI - SENAC</t>
  </si>
  <si>
    <t>H</t>
  </si>
  <si>
    <t>Submódulo 2.3 - Benefícios Mensais e Diários.</t>
  </si>
  <si>
    <t>2.3</t>
  </si>
  <si>
    <t>Benefícios Mensais e Diários</t>
  </si>
  <si>
    <t>Transporte</t>
  </si>
  <si>
    <t>Auxílio Saúde (Plano de Saúde)</t>
  </si>
  <si>
    <t>Assistência Odontológica</t>
  </si>
  <si>
    <t>Quadro-Resumo do Módulo 2 - Encargos e Benefícios anuais, mensais e diários</t>
  </si>
  <si>
    <t>Encargos e Benefícios Anuais, Mensais e Diários</t>
  </si>
  <si>
    <t>Módulo 3 - Provisão para Rescisão (Redação dada pela Instrução Normativa nº 7, de 2018)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</si>
  <si>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</si>
  <si>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</si>
  <si>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</si>
  <si>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</si>
  <si>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</si>
  <si>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</si>
  <si>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</si>
  <si>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Submódulo 4.1 - Substituto nas Ausências Legais  (Redação dada pela Instrução Normativa nº 7, de 2018)</t>
  </si>
  <si>
    <t>4.1</t>
  </si>
  <si>
    <r>
      <t>Substituto nas Ausências Legais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</si>
  <si>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</si>
  <si>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</si>
  <si>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</si>
  <si>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</si>
  <si>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</si>
  <si>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Submódulo 4.2 - Substituto na Intrajornada (Redação dada pela Instrução Normativa nº 7, de 2018)</t>
  </si>
  <si>
    <t>4.2</t>
  </si>
  <si>
    <t>Substituto na Intrajornada </t>
  </si>
  <si>
    <t>Substituto na cobertura de Intervalo para repouso ou alimentação</t>
  </si>
  <si>
    <t>Quadro-Resumo do Módulo 4 - Custo de Reposição do Profissional Ausente (Redação dada pela Instrução Normativa nº 7, de 2018)</t>
  </si>
  <si>
    <t>Custo de Reposição do Profissional Ausente</t>
  </si>
  <si>
    <t>Substituto nas Ausências Legais</t>
  </si>
  <si>
    <t>Substituto na Intrajornada</t>
  </si>
  <si>
    <t>Módulo 5 - Insumos Diversos</t>
  </si>
  <si>
    <t>Uniformes</t>
  </si>
  <si>
    <t>Módulo 6 - Custos Indiretos, Tributos e Lucro</t>
  </si>
  <si>
    <t xml:space="preserve">Percentual (%) </t>
  </si>
  <si>
    <t>C.1. Tributos Federais (PIS + COFINS)</t>
  </si>
  <si>
    <t>C.2. Tributos Estaduais (especificar)</t>
  </si>
  <si>
    <t>C.3. Tributos Municipais (ISS)</t>
  </si>
  <si>
    <t>C.4. Tributos Municipais (especificar)</t>
  </si>
  <si>
    <t>2. QUADRO-RESUMO DO CUSTO POR EMPREGADO</t>
  </si>
  <si>
    <t>Mão de obra vinculada à execução contratual</t>
  </si>
  <si>
    <t>Módulo 1 - Composição da Remuneração</t>
  </si>
  <si>
    <t>Módulo 3 - Provisão para Rescisão</t>
  </si>
  <si>
    <t>Módulo 4 - Custo de Reposição do Profissional Ausente</t>
  </si>
  <si>
    <t>Subtotal (A + B +C+ D+E)</t>
  </si>
  <si>
    <t>Valor Total por Empregado</t>
  </si>
  <si>
    <t>Servente de Limpeza</t>
  </si>
  <si>
    <t>Área Interna</t>
  </si>
  <si>
    <t>Esquadria Externas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</si>
  <si>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</si>
  <si>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Cesta Básica ou Vale Alimentação</t>
  </si>
  <si>
    <t>MÉDIA</t>
  </si>
  <si>
    <t xml:space="preserve">Equipamentos </t>
  </si>
  <si>
    <t>Contratos Pesquisados</t>
  </si>
  <si>
    <t>Mínimo</t>
  </si>
  <si>
    <t>Máximo</t>
  </si>
  <si>
    <t>SEGES</t>
  </si>
  <si>
    <t>Comparativo</t>
  </si>
  <si>
    <t>Unidades da Federação</t>
  </si>
  <si>
    <t>Limpeza</t>
  </si>
  <si>
    <t>Auxílio Alimentação</t>
  </si>
  <si>
    <t xml:space="preserve">Assistência Funeral  </t>
  </si>
  <si>
    <t>ANS</t>
  </si>
  <si>
    <t>CADE</t>
  </si>
  <si>
    <t>M.M.AMBIENTE</t>
  </si>
  <si>
    <t>CFMV</t>
  </si>
  <si>
    <t>CT 05/2019</t>
  </si>
  <si>
    <t>CT 10/2020</t>
  </si>
  <si>
    <t>CT 04/2020</t>
  </si>
  <si>
    <t>UFSBA</t>
  </si>
  <si>
    <t>CT 02/2020</t>
  </si>
  <si>
    <t>CT 01/2020</t>
  </si>
  <si>
    <t>CT 13/2020</t>
  </si>
  <si>
    <t>Percentuais do CITL conforme constantes no caderno técnico do serviço de limpeza para a unidade da federação Distrito Federal 2019</t>
  </si>
  <si>
    <t>https://www.gov.br/compras/pt-br/transparencia/cadernos-tecnicos-e-valores-limites/cts-2019/ct_lim_df_2019.pdf</t>
  </si>
  <si>
    <t>*https://www.gov.br/compras/pt-br/transparencia/cadernos-tecnicos-e-valores-limites/cts-2019/ct_lim_df_2019.pdf, página 24</t>
  </si>
  <si>
    <t xml:space="preserve">3ª Etapa - Metodologia Para Obtenção do Preço de Referência (Análise dos Valores Considerados Válidos): Após a exclusão dos valores inexequiveis e/ou superestimados (marcados em amarelo), foram extraídos dos valores considerados válidos a média, a mediana, o desvio padrão e o coeficiente de variação. A partir do coeficiente de variação, identificamos a metodologia a ser utilizada na pesquisa. Se o resultado for menor que 25%, será utilizada o valor correspondente a média, se for igual ou maior que 25%, será utilizado o valor correspondente a mediana, e se por motivo justificável não for mais vantajoso fazer uso de nenhuma das metodologias anteriores será utilizado o menor preço, considerando as orientações contidas no item 1.3 do Caderno de Logística - Pesquisa de Preços (2017) e no Artigo - Preço de referência em compras públicas: ênfase em medicamentos; Santos, Franklin Brasil, disponível em - https://portal.tcu.gov.br/biblioteca-digital/preco-de-referencia-em-compras-publicas-enfase-em-medicamentos.htm  </t>
  </si>
  <si>
    <t>2ª Etapa - Análise Crítica da Pesquisa (Definição dos Valores Limites - Valores Inexequíveis ou Superestimados): Foram calculadas as médias unitárias  e o desvio padrão dos valores obtidos na pesquisa de preço. Após, foram encontrados os limites, inferior e superior. Deste modo, os valores considerados inexequíveis (abaixo do limite inferior) ou superestimados (acima do limite superior) foram marcados em laranja e desconsiderados para obtenção do valor de referência. Os preços abaixo do limite inferior referentes a contratações de órgãos públicos foram considerados válidos, pois já tiveram sua exequibilidade comprovada pela realização do contrato.</t>
  </si>
  <si>
    <t>A pesquisa de preços foi realizada em 04 etapas:</t>
  </si>
  <si>
    <t xml:space="preserve">Considerações </t>
  </si>
  <si>
    <t xml:space="preserve">CUSTO MENSAL DOS EQUIPAMENTOS </t>
  </si>
  <si>
    <t>Unid</t>
  </si>
  <si>
    <t>RASTELO de metal regulável  22 dentes, cabo de madeira 120 cm. Em aço carbono de alta qualidade, pintura eletrotástica a pó, lâmina temperada.</t>
  </si>
  <si>
    <t>HIDROLAVADORA,    alta    pressão    BIVOLT,    com carrinho   para   transporte   com   alça,   bico   regulável   e Mangueira  de  alta  pressão  resistente,  com  sistema  anti- torção</t>
  </si>
  <si>
    <t>Facão para podas, lâmina em aço carbono 14" com fio liso, cabo polipropileno fixado por pregos de alumínio.</t>
  </si>
  <si>
    <t>ESCADA de alumínio com 10 degraus</t>
  </si>
  <si>
    <t>ENXADA para jardim com haste com cabo de eucalipto de 120cm. Em aço carbono, pintura eletrostática.</t>
  </si>
  <si>
    <r>
      <rPr>
        <sz val="12"/>
        <rFont val="Calibri"/>
        <family val="2"/>
        <scheme val="minor"/>
      </rPr>
      <t>ENCERADEIRA,      enceradeira      industrial      elétrica equipada com sistema de acondicionamento, com câmara de    transmissão    por    engrenagens    helicoidais,    Tipo: industrial,    Dispositivo    de    Segurança:    através    de acionamento  liga/desliga,  oferecendo  maior  comodidade para  o  operador,  Potência  Motor:  de  no  mínimo  1,0  cv, Voltagem: 220 volts, Acessórios: acompanha: 01 escova de  nylon  para  lavar,  01  escova  de  fibras  vegetais  para encerar/lustrar com diâmetro de 410 mm, Características
Adicionais: silenciosa e de fácil manuseio</t>
    </r>
  </si>
  <si>
    <r>
      <rPr>
        <sz val="12"/>
        <rFont val="Calibri"/>
        <family val="2"/>
        <scheme val="minor"/>
      </rPr>
      <t>CORTADORES    DE    GRAMA    (GASOLINA    E/OU
DIESEL)</t>
    </r>
  </si>
  <si>
    <r>
      <rPr>
        <sz val="12"/>
        <rFont val="Calibri"/>
        <family val="2"/>
        <scheme val="minor"/>
      </rPr>
      <t>CARRINHO DE MÃO, com pneu igual os utilizados na
construção civil</t>
    </r>
  </si>
  <si>
    <t xml:space="preserve"> </t>
  </si>
  <si>
    <t>ASPIRADOR DE PÓ, tipo: portátil, Potência: máxima de 1.600  W,  Capacidade:  mínimo  02  litros,  Características Adicionais:   alça   ergonômica,   coletor   de   pano   com capacidade  mínimo  de  02  litros,  cordão  elétrico  de  no mínimo 04 metros,  01 acessório para  tapetes,  carpetes  e lisos, 01 acessório para cantos e frestas, 01 acessório para estofados, móveis e tecidos, 2 tubos.</t>
  </si>
  <si>
    <t>QTDE.</t>
  </si>
  <si>
    <t>MÉDIA, MEDIANA OU MENOR PREÇO</t>
  </si>
  <si>
    <t>COEFICIENTE DE VARIAÇÃO</t>
  </si>
  <si>
    <t xml:space="preserve">DESVIO PADRÃO </t>
  </si>
  <si>
    <t>MEDIANA</t>
  </si>
  <si>
    <t>LIMITE SUPERIOR (MÉDIA + DESVIO PADRÃO)</t>
  </si>
  <si>
    <t>LIMITE INFERIOR (MÉDIA - DESVIO PADRÃO)</t>
  </si>
  <si>
    <t>DESVIO PADRÃO</t>
  </si>
  <si>
    <t>MÉDIA UNITÁRIA</t>
  </si>
  <si>
    <t>Medição</t>
  </si>
  <si>
    <t>Local</t>
  </si>
  <si>
    <t>PESQUISA INTERNET</t>
  </si>
  <si>
    <t>PAINEL DE PREÇOS</t>
  </si>
  <si>
    <t>CONTRATOS - ÓRGÃOS PÚBLICOS</t>
  </si>
  <si>
    <t>E Q U I P A M E N T O S</t>
  </si>
  <si>
    <t>1ª Etapa - Parâmetros Utilizados na Pesquisa (Fontes de Pesquisa)</t>
  </si>
  <si>
    <t xml:space="preserve">3ª Etapa - Metodologia Para Obtenção do Preço de Referência (Análise dos Valores Considerados Válidos): </t>
  </si>
  <si>
    <t>2ª Etapa - Análise Crítica da Pesquisa (Definição dos Valores Limites - Valores Inexequíveis ou Superestimados):</t>
  </si>
  <si>
    <t>EQUIPAMENTOS, MATERIAIS DE USO EXCEPCIONAL E UTENSÍLIOS</t>
  </si>
  <si>
    <t>Tapete Capacho de Vinil Sanitizante Pedilúvio, lavável e de alta durabilidade, anti-chama, espessura mínima de 10 milímetros, fibra injetada no costado, base sólida e antiderrapante, na cor: preta, medindo 60x40 cm.</t>
  </si>
  <si>
    <t>Pacote</t>
  </si>
  <si>
    <t>CAL para pintura, pacote 8 kg</t>
  </si>
  <si>
    <t>VASSOURINHA para limpeza de
vaso sanitário, material cerdas: nylon, Aplicação: limpeza vaso
sanitário, Material Cabo: plás􀆟co.</t>
  </si>
  <si>
    <t>VASSOURA METÁLICA regulável
para Grama e Jardim com Cabo.</t>
  </si>
  <si>
    <t>VASSOURA PIAÇAVA, de nylon, com cabo.</t>
  </si>
  <si>
    <t>VASSOURA DE PELO, Material
Cepo: madeira, Material Cerdas:
pelo sinté􀆟co, Material Cabo:
madeira, Comprimento Cabo: 1,50
m, Comprimento Cepo: 40 cm,
Aplicação: limpeza em geral,
Caracterís􀆟cas Adicionais: com
cabo perfeitamente reto, lixado e
recoberto com capa plás􀆟ca.</t>
  </si>
  <si>
    <t xml:space="preserve">VASILHAME pulverizador mult
spray </t>
  </si>
  <si>
    <t>TESOURA PARA CERCA
VIVA/GRAMA LÂMINA
SERRILHADA</t>
  </si>
  <si>
    <t>SACO para aspiradores de pó e
água</t>
  </si>
  <si>
    <t>RODO limpa vidro, cabo
recolhimento 60cm, extensor 1
metro, cabo alumínio, largura rodo
e esponja 20cm, espessura 3,5cm
rodo e esponja.</t>
  </si>
  <si>
    <t>RODO DE METAL, para piso, com
02 (duas) borrachas, base em
polipropileno com 900 mm,
comprimento 1500 mm</t>
  </si>
  <si>
    <t>RODO DE METAL, para piso, com
02 (duas) borrachas, base em
polipropileno com 600 mm,
comprimento 1500 mm</t>
  </si>
  <si>
    <t>RODO DE METAL, para piso, com
02 (duas) borrachas, base em
polipropileno com 400 mm,
comprimento 1500 mm</t>
  </si>
  <si>
    <t>REGADOR para jardinagem, de
polipropileno, capacidade 10
litros, com bico 􀆟po ducha.</t>
  </si>
  <si>
    <t>PLACAS DE SINALIZAÇÃO,
confeccionada em acrílico, com
aviso de piso molhado, piso
escorregadio, banheiro fora de
uso, não entre, chão úmido e
outras indicações necessárias.</t>
  </si>
  <si>
    <t>PÁ metálica para recolhimento de lixo de madeira com 70 cm de comprimento</t>
  </si>
  <si>
    <t>PÁ metálica para recolhimento de lixo, cabo de madeira com 15 cm de comprimento</t>
  </si>
  <si>
    <t>MANGUEIRA PLÁSTICA com bico redutor, para jardim com diâmetro interno de 3/4 polegadas, com
espessura da parede de 03 mm de
50 mt.</t>
  </si>
  <si>
    <t>Par</t>
  </si>
  <si>
    <t>LUVA DE PANO PARA SERVIÇOS DEJARDINAGEM</t>
  </si>
  <si>
    <t>FUNIL de plás􀆟co.</t>
  </si>
  <si>
    <t>FITAS PLÁSTICAS DE SINALIZAÇÃO, sem adesivo, 3,0 cm de largura, fluorescente, rolos de 45 metros.</t>
  </si>
  <si>
    <t>EXTENSÃO ELÉTRICA, fio paralelo de 2,5 mm e 400 m de comprimento.</t>
  </si>
  <si>
    <t>ESPONJA de lã de aço, para limpeza em geral. Embalagem: pacote com 8 unidades, marca do fabricante, data de fabricação e prazo de validade.</t>
  </si>
  <si>
    <t>ESFREGÃO para vidro e Divisória</t>
  </si>
  <si>
    <t>ESPÁTULA (chicleteira) para
limpeza com 10 cm.</t>
  </si>
  <si>
    <t>ESPANADOR ELETROSTÁTICO, FIOS 100% acrílicos, lavável, cabo em polietileno de alta densidade.</t>
  </si>
  <si>
    <t>ESCOVA, para azulejo com cerdas em nylon duro, estrutura plástica resistente.</t>
  </si>
  <si>
    <t>ESCOVA de lavar, nylon, 350mm diâmetro, para lavagem de pisos utilizando enceradeiras e lavadoras</t>
  </si>
  <si>
    <t>ESCADA DOBRÁVEL, material: ferro e aço galvanizado pintado, com cinco degraus, e sapatas antiderrapantes.</t>
  </si>
  <si>
    <t>Suporte de papel higiênico em ABS branco de alta qualidade, acompanha chave - 300 metros</t>
  </si>
  <si>
    <t>Suporte para sabonete líquido em ABS branco de alta qualidade - com trava.</t>
  </si>
  <si>
    <t>LIXEIRA fabricada em polipropileno, livre de bisfenol- a (BPA), tampa encaixada com entrada basculante para banheiro, mínimo 60 litros.</t>
  </si>
  <si>
    <t>DISCO, abrasivo, na cor branca,
compa􀆡vel com enceradeira
industrial</t>
  </si>
  <si>
    <t>LIXEIRA fabricada em polipropileno, livre de bisfenol- a (BPA), tampa encaixada com entrada basculante para banheiro, 14 litros.</t>
  </si>
  <si>
    <t>Unidade</t>
  </si>
  <si>
    <t>CINTO DE SEGURANÇA, tipo paraquedista com cinco pontos de ancoragem, cinturão leve e confortável, com fitas elásticas, abdominal com regulagem total e 5 pontos de ancoragem. Confeccionado em fita de poliéster, ajustável peitoral, almofada para proteção lombar e das pernas.</t>
  </si>
  <si>
    <t>CARRINHO de limpeza Multifuncional 01 mop pó e 01 mop líquido, com cabo em alumínio, á coletora automática, balde para duas águas com capacidade mínima de 30 L, dotado de rodas e espremedor e placa sinalizadora de advertência para piso molhado. O produto deverá conter etiqueta com dados de identificação e marca do fabricante.</t>
  </si>
  <si>
    <t>BALDE em material plastico, polietileno de alta densidade, alta resistência a impacto, paredes e fundos reforçados, reforço no encaixe da alça, alça em aço 1010/20, capacidade 10 litros.</t>
  </si>
  <si>
    <t>VALOR UNITÁRIO</t>
  </si>
  <si>
    <t>UNIVERSIDADE FEDERAL DO PARÁ / PA - MEC - PE 23/2019 - UASG: 153063 - Item 56</t>
  </si>
  <si>
    <t>CENTRO DE EDUCAÇÃO E SAÚDE DA UFCG -UNIV.FEDERAL DE CAMPINA GRANDE / PB - PE 01/2020 - UASG: 150154 - Item 25</t>
  </si>
  <si>
    <t>SECRETARIA MUNIC DE PLANEJAMENTO E ORÇAMENTO / ESTADO SERGIPE - PE 14/2020 - UASG: 926321 - Item 19</t>
  </si>
  <si>
    <t>INSTITUTO DE TECNOLOGIA EM FARMACOS - FUNDAÇÃO OSWALDO CRUZ - MS - PE 56/2020 - UASG: 254446 - Item 16</t>
  </si>
  <si>
    <t>8º BATALHÃO DE ENGENHARIA DE CONSTRUÇÃO - COMANDO DO EXÉRCITO - PE 46/2019 - UASG: 160171 - Item 67</t>
  </si>
  <si>
    <t>BASE DE AVIAÇÃO DE TAUBATE - COMANDO DO EXÉRCITO - PE 33/2020 - UASG: 160518 - Item 06</t>
  </si>
  <si>
    <t>INST. FED. EDUC., CIÊNC E TEC NORTE DE MG / MEC - PE15/2020 - UASG: 158121 - Item 04</t>
  </si>
  <si>
    <t>PROCURADORIA DA REPÚBLICA/PE - MPU - PE 12/2020 - UASG: 200090 - Item 06</t>
  </si>
  <si>
    <t>COMANDO DE FRONTEIRA RONDONIA/6 BIS/MEX/RO - PE 06/2020 - UASG: 160346 - Item 238</t>
  </si>
  <si>
    <t>UNIVERSIDADE FEDERAL DE VIÇOSA/MG - MEC - PE 175/2019 - UASG: 154051 - Item 14</t>
  </si>
  <si>
    <t>FUNAI - COORDENAÇÃO REGIONAL ALTO PURUS - MJ - DISPENSA DE LICITAÇÃO 194005 - Item 12</t>
  </si>
  <si>
    <t>DISTRITO SANIT. ESP. INDÍGENA - ALTO SOLIMOES - MIN. SAÚDE - DISPENSA DE LICITAÇÃO - UASG 257025 - Item 10</t>
  </si>
  <si>
    <t>DELEGACIA DA REC FEDERAL EM P FUNDO/RS - DISPENSA DE LICITAÇÃO - UASG 170179 - Item 17</t>
  </si>
  <si>
    <t>COLÉGIO MILITAR DE CAMPO GRANDE - COMANDO DO EXÉRCITO - DISPENSA DE LICITAÇÃO - UASG: 160078 - Item 01</t>
  </si>
  <si>
    <t>55 BATALHÃO DE INFANTARIA / COMANDO DO EXÉRCITO - DISPENSA DE LICITAÇÃO - UASG: 160122 - Item 28</t>
  </si>
  <si>
    <t>SECRETARIA DE ESTADO DE JUSTIÇA E CIDADANIA / DF - DISPENSA LICITAÇÃO - UASG: 927507 - Item 01</t>
  </si>
  <si>
    <t>UNIVERSIDADE FEDERAL FRONTEIRA DO SUL / RS - PE 056/2019 - UASG: 158517 - Item 111</t>
  </si>
  <si>
    <t>INSTITUTO FEDERAL DO AMAZONAS - PE 12/2020 - UASG: 158444 - Item 57</t>
  </si>
  <si>
    <t>COMPANHIA DE URBANIZAÇÃO DE GOIANIA / GO - PE 07/2020 - UASG: 927355 - Item 21</t>
  </si>
  <si>
    <t>ESCOLA DE SARGENTO DAS ARMAS - MD - PE 23/2020 - UASG: 160129 - Item 06</t>
  </si>
  <si>
    <t>EBSERH HUSM - UFSM - PE 74/2019 - UASG: 155125 - Item 08</t>
  </si>
  <si>
    <t>3º GRUPO DE ARTILHARIA ANTIÁEREA - MD - PE 10/2020 - UASG: 160369 - Item 250</t>
  </si>
  <si>
    <t>MATERIAIS DE USO EXCEPCIONAL E UTENSÍLIOS</t>
  </si>
  <si>
    <t>4ª Etapa - Valor dos Materiais Excepcionais</t>
  </si>
  <si>
    <t>par</t>
  </si>
  <si>
    <t>De borracha</t>
  </si>
  <si>
    <t>Bota</t>
  </si>
  <si>
    <t>Em couro, solado baixo, com
palmilha an􀆟bacteriana, na cor
preta.</t>
  </si>
  <si>
    <t>Sapato / Tênis</t>
  </si>
  <si>
    <t>Em algodão, na cor preta.</t>
  </si>
  <si>
    <t>Meia</t>
  </si>
  <si>
    <t>peça</t>
  </si>
  <si>
    <t>Calça comprida com elás􀆟co e
cordão, em gabardine, sem
bolsos.</t>
  </si>
  <si>
    <t>Calça</t>
  </si>
  <si>
    <t>100% poliamida, manga curta,
gola careca, logomarca da
empresa, barra costura com
duas agulhas.</t>
  </si>
  <si>
    <t>Camiseta</t>
  </si>
  <si>
    <t>Em couro, na cor preta.</t>
  </si>
  <si>
    <t>Sapato</t>
  </si>
  <si>
    <t>de algodão, na cor preta</t>
  </si>
  <si>
    <t>Cinto</t>
  </si>
  <si>
    <t>Blusa manga curta
confeccionada em tecido misto,
fio 􀆟nto listrado, 50% poliéster
e 50% algodão em gramatura
116 GR/M2 linha profissional,
um bolso na frente parte
superior do lado esquerdo com
logo􀆟po da empresa bordado,
cor clara (branca ou azul).</t>
  </si>
  <si>
    <t>Blusa</t>
  </si>
  <si>
    <t>Modelo social sem bolso, calça
de brim, armação em sarja 3/1,
100% algodão, com pós postiço, preta.</t>
  </si>
  <si>
    <t>ENCARREGADO</t>
  </si>
  <si>
    <t>Especificação</t>
  </si>
  <si>
    <t>UNIFORMES</t>
  </si>
  <si>
    <t>4ª Etapa - Valor dos Uniformes</t>
  </si>
  <si>
    <t>CUSTO MENSAL DOS MATERIAIS (NÃO EXCEPCIONAIS)</t>
  </si>
  <si>
    <t>SAPONÁCEO em pó (frasco com 300g)</t>
  </si>
  <si>
    <t>SACO de lixo para reciclagem em
material plástico de alta resistência,
“0,07” de micragem mínima, com
capacidade de 40 litros nas cores azul ou verde, marrom e preto ou outras cores que a legislaçãovenha exigir.</t>
  </si>
  <si>
    <t>SACO de lixo para reciclagem em
material plás􀆟co de alta resistência,
“0,07” de micragem mínima, com
capacidade de 150 litros nas cores azul
ou verde, preto e marrom, ou outras cores que a legislação venha a exigir.</t>
  </si>
  <si>
    <t>SACO de lixo para reciclagem em
material plástico de alta resistência,
“0,07” de micragem mínima, com
capacidade de 100 litros nas cores azul ou verde, marrom e preto, ou outras cores que a legislação venha a exigir.</t>
  </si>
  <si>
    <t>Galão</t>
  </si>
  <si>
    <t>SABONETE líquido, cremoso, para
saboneteiras de banheiros, com dados do fabricante, 05 litros, data de fabricação e prazo de validade e registro do Ministério da Saúde.</t>
  </si>
  <si>
    <t>SABÃO em barra (pacote com 5
unidades)</t>
  </si>
  <si>
    <t>REMOVEDOR de ceras fort de uso geral, em galões de 05 (cinco) litros, composto de tensoativo não iônico, éteres glicólicos, monoetalonamina, alcalinizante, corante e veículo, com princípio ativo de éteres glicólicos e Monoetalonamina.</t>
  </si>
  <si>
    <t>PASTA CRISTAL a base de sabão de coco com detergente sintético, associado a um agente mineral (Pó de Quartzo), destinada à limpeza pesada de superficies em geral</t>
  </si>
  <si>
    <t>Caixa</t>
  </si>
  <si>
    <t>PAPEL TOALHA extra branco, macio, sem
pigmento, 1ª qualidade, 100% fibras
celulósicas, duas dobras, caixa com 1000
folhas.</t>
  </si>
  <si>
    <t>PAPEL HIGIÊNICO TRADICIONAL, extra branco, macio, sem Pigmento, 1ª qualidade, 100% fibras celulósicas, folha dupla picotada, em rolo com 30 metros.</t>
  </si>
  <si>
    <t>PAPEL HIGIÊNICO EM ROLO folha
simples, macio, sem pigmento, 1ª qualidade, rolo de 300 metros, caixa com 08 rolos.</t>
  </si>
  <si>
    <t>PANO de chão cru alvejado</t>
  </si>
  <si>
    <t>MÁSCARA descartável</t>
  </si>
  <si>
    <t>LUVA em látex forrada, antiderrapante, resistente,  Impermeável para limpeza.</t>
  </si>
  <si>
    <t>LIMPADOR de vidros. Embalagem de 500 ml na versão pulverizador, marca Veja ou similar</t>
  </si>
  <si>
    <t>LIMPA PEDRA ÁCIDO, para clareamento de pedras porosas e cerâmicas – 5 lt.</t>
  </si>
  <si>
    <t>HIPOCLORITO de Sódio, Galão 5 litros.</t>
  </si>
  <si>
    <t>FLANELA 40 x 60, 100% algodão, para uso geral</t>
  </si>
  <si>
    <t>ESPONJA sintétca, dupla face, um lado em espuma poliuretano e outro em fibra sintética abrasiva, dimensões 100 x 70 x 20 mm, com variação de +/- 10 mm. Embalagem com dados de identificação do Produto e marca do fabricante</t>
  </si>
  <si>
    <t>ESCOVA MANUAL, de madeira com cerdas em nylon</t>
  </si>
  <si>
    <t>DETERGENTE para piso – Galão 5 litros</t>
  </si>
  <si>
    <t>DESINFETANTE para uso geral (limpador líquido multiuso para limpeza pesada), embalagem com, no mínimo, 500 ml, marca Veja Limpeza Pesada ou similar.</t>
  </si>
  <si>
    <t>DESINFETANTE líquido, germicida e bactericida – Galão de 5 litros</t>
  </si>
  <si>
    <t>CLORO concentrado 5 litros</t>
  </si>
  <si>
    <t>CERA LÍQUIDA transparente brilhante antiderrapante de 5 litros.</t>
  </si>
  <si>
    <t>CERA impermeabilizante para piso
paviflex - Galão 5litros</t>
  </si>
  <si>
    <t>AROMATIZANTE spray (purificador de ambiente), embalagem com 400 ml, livre de CFC, marca Gleid ou similar.</t>
  </si>
  <si>
    <t>ÁLCOOL em gel para mãos refil 800 ml, antisséptico, 70º higienizante para as mãos , com aloe vera, com ação antibacterianaa, embalagem para ser usada em dispenser.</t>
  </si>
  <si>
    <t>ÁLCOOL etilico hidratado, 70º GL,
líquido, para limpeza geral</t>
  </si>
  <si>
    <t>ÁGUA SANITÁRIA, uso doméstico, a base de hipoclorito de sódio. Embalagem plástica de 01 litro, com dados de identificação do roduto, marca do fabricante, data de fabricação, prazo de validade e registro no Ministério da Saúde</t>
  </si>
  <si>
    <t>ÁCIDO MURIÁTICO embalagem com 01 litro</t>
  </si>
  <si>
    <t>COMANDO DA FORÇA DE SUBMARINOS - DISPENSA DE LICITAÇÃO 180/2020 - UASG: 791500 - Item: 05</t>
  </si>
  <si>
    <t>SERVIÇO AUTON DE ÁGUA E ESG DE VOLTA REDONDA / RJ - PE 26/2020 - UASG: 926687 - Item 07</t>
  </si>
  <si>
    <t>MATERIAIS DE USO CONTÍNUO MENSAL (NÃO EXCEPCIONAL)</t>
  </si>
  <si>
    <t>4ª Etapa - Valor dos Materiais Contínuos Mensal</t>
  </si>
  <si>
    <t>Materiais De Uso Excepcional e Utensílios</t>
  </si>
  <si>
    <t>Materiais de Uso Contínuo Mensal (Não Excepcional)</t>
  </si>
  <si>
    <t>DF</t>
  </si>
  <si>
    <t>JORNADA DE TRABALHO NO MÊS (HORAS)*</t>
  </si>
  <si>
    <t>VALOR RESIDUAL</t>
  </si>
  <si>
    <t>VALOR DE DEPRECIAÇÃO</t>
  </si>
  <si>
    <t>PREÇO TOTAL</t>
  </si>
  <si>
    <t>PREÇO UNITÁRIO</t>
  </si>
  <si>
    <t xml:space="preserve">Ed. SAAN, The Union, DNIT e Parque Cidade </t>
  </si>
  <si>
    <t>Ed. SAAN, The Union, DNIT e Parque Cidade</t>
  </si>
  <si>
    <t xml:space="preserve">PREÇO TOTAL </t>
  </si>
  <si>
    <t>QUANTIDADE ANUAL</t>
  </si>
  <si>
    <t>VALOR TOTAL ANUAL</t>
  </si>
  <si>
    <t>SUBTOTAL I - ANUAL (ENCARREGADO)</t>
  </si>
  <si>
    <t>SUBTOTAL II - ANUAL (SERVENTE)</t>
  </si>
  <si>
    <t>SUBTOTAL II - MENSAL (SERVENTE)</t>
  </si>
  <si>
    <t>Ed. The Union</t>
  </si>
  <si>
    <t>Ed. SAAN</t>
  </si>
  <si>
    <t>Ed. DNIT</t>
  </si>
  <si>
    <t>Total Metragem</t>
  </si>
  <si>
    <t>VALOR MENSAL DE MATERIAIS DE CONSUMO POR SERVENTE</t>
  </si>
  <si>
    <t>ESQUADRIAS EXTERNAS</t>
  </si>
  <si>
    <t>TOTAL DA ÁREA</t>
  </si>
  <si>
    <t>SUBTOTAL (R$)</t>
  </si>
  <si>
    <t>II</t>
  </si>
  <si>
    <t>III</t>
  </si>
  <si>
    <t>VALOR TOTAL (MENSAL)</t>
  </si>
  <si>
    <t>VALOR TOTAL (ANUAL)</t>
  </si>
  <si>
    <t>PREÇO UNITÁRIO DA ÁREA (R$/Nº)</t>
  </si>
  <si>
    <t>TOTAL DA ÁREA (M²)</t>
  </si>
  <si>
    <t>*Produtividade apresentada na Instrução Normativa nº 5, de 26 de maio de 2017.</t>
  </si>
  <si>
    <t>Ministério da Cidadania</t>
  </si>
  <si>
    <t>Valores Limites para 2019 - Serviços de Limpeza</t>
  </si>
  <si>
    <t>Almoxarifado/Galpão</t>
  </si>
  <si>
    <t>800(m²)</t>
  </si>
  <si>
    <t>1000(m²)</t>
  </si>
  <si>
    <t>1.500(m²)</t>
  </si>
  <si>
    <t xml:space="preserve">Área Externa </t>
  </si>
  <si>
    <t>1.800 (m²)</t>
  </si>
  <si>
    <t>Área (Garagens)</t>
  </si>
  <si>
    <t>6.000 (m²)</t>
  </si>
  <si>
    <t>Esquadrias Internas</t>
  </si>
  <si>
    <t>Si=</t>
  </si>
  <si>
    <t xml:space="preserve">ADASA </t>
  </si>
  <si>
    <t xml:space="preserve">ANS </t>
  </si>
  <si>
    <t xml:space="preserve">CADE </t>
  </si>
  <si>
    <t>CEASA/DF</t>
  </si>
  <si>
    <t xml:space="preserve">COLÉGIO MILITAR DE BRASÍLIA </t>
  </si>
  <si>
    <t>CT 05/2020</t>
  </si>
  <si>
    <t xml:space="preserve">MINISTÉRIO DO MEIO AMBIENTE </t>
  </si>
  <si>
    <t xml:space="preserve">UFSBA </t>
  </si>
  <si>
    <t>CT 07/2020</t>
  </si>
  <si>
    <t xml:space="preserve">SUPERINTENDÊNCIA REG REC FEDERAL 7ª REGIÃO /RJ </t>
  </si>
  <si>
    <t>CT 28/2019</t>
  </si>
  <si>
    <t>UNILAB (CAMPUS LIBERDADE - CE)</t>
  </si>
  <si>
    <t>UNILAB (CAMPUS MALES - BA)</t>
  </si>
  <si>
    <t>COMANDO DA AERONÁUTICA - GRUPAMENTO DE APOIO DO DF</t>
  </si>
  <si>
    <t>HEMOBRÁS / DF</t>
  </si>
  <si>
    <t>CT 03/2020</t>
  </si>
  <si>
    <t xml:space="preserve">PRESIDÊNCIA DA REPÚBLICA </t>
  </si>
  <si>
    <t>PERCENTUAL RESIDUAL</t>
  </si>
  <si>
    <t>CUSTO MENSAL DE AQUISIÇÃO</t>
  </si>
  <si>
    <t>CUSTO MENSAL RATEADO POR QUANTIDADE DE SERVENTES</t>
  </si>
  <si>
    <t>SUBTOTAL I - MENSAL (ENCARREGADO)</t>
  </si>
  <si>
    <t>VIDA ÚTIL (ANOS)</t>
  </si>
  <si>
    <t>CUSTO MENSAL DOS EQUIPAMENTOS POR SERVENTE</t>
  </si>
  <si>
    <t>(1) Para o item "A" foi utilizado a metodologia de cálculo previsto no ANEXO VII-D da IN 05/2017. Quanto aos demais itens foram considerados a média percentual praticada pelas empresas do ramo, tendo em vista que o cálculo para chegar aos percentuais é considerada a estatística de cada empresa no que se refere as ausências de funcionários.</t>
  </si>
  <si>
    <t>CT 15/2020</t>
  </si>
  <si>
    <t xml:space="preserve">CFMV </t>
  </si>
  <si>
    <t xml:space="preserve">TCU / PA </t>
  </si>
  <si>
    <t>CT 78/2020</t>
  </si>
  <si>
    <t xml:space="preserve">SENADO FEDERAL </t>
  </si>
  <si>
    <t>CT 18/2020</t>
  </si>
  <si>
    <t xml:space="preserve">FIOCRUZ / MG (INSTITUTO RENÉ CHAU) </t>
  </si>
  <si>
    <t>ARP PE 01/2020</t>
  </si>
  <si>
    <t xml:space="preserve">IFRN / CAMPUS JOÃO CÂMARA </t>
  </si>
  <si>
    <t>CT 48/2020</t>
  </si>
  <si>
    <t>EBSERH - JUIZ DE FORA</t>
  </si>
  <si>
    <t>PREFEITURA MUNICIPAL DE RIO VERDE/GO - PE 04/2020 - UASG: 989571 - Item 143</t>
  </si>
  <si>
    <t>PREFEITURA MUNICIPAL DE FRANCISCO BELTRÃO/PR - PE 181/2019 - UASG: 987565 - Item 56</t>
  </si>
  <si>
    <t>SECRETARIA MUNICIPAL DE AADMINISTRAÇÃO/GO - PE 19/2020 - UASG: 926748 - Item 66</t>
  </si>
  <si>
    <t>Suporte de papel toalha em ABS branco de alta qualidade, interfolha 2 dobras - com trava</t>
  </si>
  <si>
    <t xml:space="preserve">CEASA/DF </t>
  </si>
  <si>
    <t>CT 2020.0318.002-01</t>
  </si>
  <si>
    <t>ARP PE 17/2020</t>
  </si>
  <si>
    <t>ARP 31/2020</t>
  </si>
  <si>
    <t>ARP 09/2020</t>
  </si>
  <si>
    <t>ARP PE 02/2020</t>
  </si>
  <si>
    <t>ARP 26/2020</t>
  </si>
  <si>
    <t>ARP 53/2020</t>
  </si>
  <si>
    <t>ARP PE 11/2020</t>
  </si>
  <si>
    <t>ARP 19/2020</t>
  </si>
  <si>
    <t>ARP PE 05/2020</t>
  </si>
  <si>
    <t>ARP 22/2020</t>
  </si>
  <si>
    <t>ARP PE 04/2020</t>
  </si>
  <si>
    <t xml:space="preserve">COLÉGIO MILITAR DE BRASILIA </t>
  </si>
  <si>
    <t>UNILAB/CE - CAMPUS LIBERDADE</t>
  </si>
  <si>
    <t>UNILAB/CE - CAMPUS DOS MALÊS</t>
  </si>
  <si>
    <t xml:space="preserve">COMANDO DA AERONÁUTICA </t>
  </si>
  <si>
    <t>HEMOBRÁS</t>
  </si>
  <si>
    <t xml:space="preserve">SUPERINTENDÊNCIA REG REC FEDERAL 7ª REGIÃO /RJ - GRUPO 2 - PE 02/2020 </t>
  </si>
  <si>
    <t>CÂMARA MUNICIPAL DE MISSÃO VELHA / CE</t>
  </si>
  <si>
    <t>IFRN / CAMPUS JOÃO CÂMARA - PE 01/2020</t>
  </si>
  <si>
    <t>EBSERH - JUIZ DE FORA - PE 03/2020</t>
  </si>
  <si>
    <t>FUNDAÇÃO DE AÇÃO SOCIAL - FMAS/CURITIBA - PE 17/2020</t>
  </si>
  <si>
    <t>JUSTIÇA FEDERAL EM PERNAMBUCO / TRF5 - PE 16/2020</t>
  </si>
  <si>
    <t>PREFEITURA MUNICIPAL DE CUNHA/SP - PP 15/2020</t>
  </si>
  <si>
    <t>COMANDO DA MARINHA -  ESCOLA APRENDIZES-MARINHEIROS/PERNAMBUCO - PE 02/2020</t>
  </si>
  <si>
    <t>PREFEITURA MUNICIPAL DE BARÃO DE COCAIS / MG - PP 04/2020</t>
  </si>
  <si>
    <t>PREFEITURA DO MUNICIPIO DE IBEMA / PR - PP 16/2020 - Item 51</t>
  </si>
  <si>
    <t>1º BATALHÃO FERROVIÁRIO - COMANDO MILITAR DO SUL - PE 11/2020</t>
  </si>
  <si>
    <t>TRIBUNAL REGIONAL ELEITORAL DA PARAÍBA - PE 18/2019</t>
  </si>
  <si>
    <t>SECRETARIA NACIONAL DE SEGURANÇA PÚBLICA - MJSP - PE 05/2020 - Item 03</t>
  </si>
  <si>
    <t>TRIBUNAL DE JUSTIÇA DO PIAUI / PI  - FUNDO ESPECIAL DE REAPROV E MODERNIZAÇÃO DO PODER JUDICIÁRIO DO ESTADO DO PIAUI - PE 11/2020 - Item 2 e 6</t>
  </si>
  <si>
    <t>INSTITUTO FEDERAL DE EDUC, CIÊN E TEC SUL-RIO GRANDENSE / RS - PE 04/2020 - UASG: 158126 - Item 28</t>
  </si>
  <si>
    <t>2ª Etapa - Análise Crítica da Pesquisa (Definição dos Valores Limites - Valores Inexequíveis ou Superestimados): Foram calculadas as médias unitárias  e o desvio padrão dos valores obtidos na pesquisa de preço. Após, foram encontrados os limites, inferior e superior. Deste modo, os valores considerados inexequíveis (abaixo do limite inferior) ou superestimados (acima do limite superior) foram marcados em laranja e  amarelo, respectivamente, desconsiderados para obtenção do valor de referência. Os preços abaixo do limite inferior referentes a contratações de órgãos públicos foram considerados válidos, pois já tiveram sua exequibilidade comprovada pela realização do contrato.</t>
  </si>
  <si>
    <t>2ª Etapa - Análise Crítica da Pesquisa (Definição dos Valores Limites - Valores Inexequíveis ou Superestimados): Foram calculadas as médias unitárias  e o desvio padrão dos valores obtidos na pesquisa de preço. Após, foram encontrados os limites, inferior e superior. Deste modo, os valores considerados inexequíveis (abaixo do limite inferior) ou superestimados (acima do limite superior) foram marcados em laranja e amarelo, respectivamente, desconsiderados para obtenção do valor de referência. Os preços abaixo do limite inferior referentes a contratações de órgãos públicos foram considerados válidos, pois já tiveram sua exequibilidade comprovada pela realização do contrato.</t>
  </si>
  <si>
    <t>4ª Etapa - Valor do Custo dos Equipamentos - Depreciação</t>
  </si>
  <si>
    <t>CT 171/2019</t>
  </si>
  <si>
    <t>ADASA</t>
  </si>
  <si>
    <t>MINISTÉRIO DO MEIO AMBIENTE</t>
  </si>
  <si>
    <t xml:space="preserve">UNIVERSIDADE FEDERAL DE UBERLÂNDIA - UFU </t>
  </si>
  <si>
    <t>SUPERINTENDÊNCIA REG REC FEDERAL 7ª REGIÃO /RJ - GRUPO 2 - PE 02/2020 UASG: 170116</t>
  </si>
  <si>
    <t xml:space="preserve">PRESIDÊNCIA REPUBLICA </t>
  </si>
  <si>
    <r>
      <t xml:space="preserve">(1) Para o item "A" foi utilizado a metodologia de </t>
    </r>
    <r>
      <rPr>
        <sz val="11"/>
        <rFont val="Calibri"/>
        <family val="2"/>
        <scheme val="minor"/>
      </rPr>
      <t>cálculo previsto no ANEXO VII-D da IN 05/2017.</t>
    </r>
    <r>
      <rPr>
        <sz val="11"/>
        <color theme="1"/>
        <rFont val="Calibri"/>
        <family val="2"/>
        <scheme val="minor"/>
      </rPr>
      <t xml:space="preserve"> Quanto aos demais itens foram considerados a média percentual praticada pelas empresas do ramo, tendo em vista que o cálculo para chegar aos percentuais é considerada a estatística de cada empresa no que se refere as ausências de funcionários.</t>
    </r>
  </si>
  <si>
    <t xml:space="preserve">CT 15/2020 </t>
  </si>
  <si>
    <t xml:space="preserve">CT 01/2020 </t>
  </si>
  <si>
    <t>COLÉGIO MILITAR DE BRASÍLIA</t>
  </si>
  <si>
    <t>MINISTÉRIO MEIO AMBIENTE</t>
  </si>
  <si>
    <t>UNILAB / CE - CAMPUS LIBERDADE</t>
  </si>
  <si>
    <t>UNILAB / CE - CAMPUS DOS MALÊS</t>
  </si>
  <si>
    <t xml:space="preserve">HEMOBRÁS/DF </t>
  </si>
  <si>
    <t>TCU / PA</t>
  </si>
  <si>
    <t>IFRN</t>
  </si>
  <si>
    <t>UNIVERSIDADE FEDERAL DA INTEGR. LATINO-AMERICANA / MEC - PE 26/2020 - UASG: 158658 - Item 035</t>
  </si>
  <si>
    <t>INSTITUTO FED. DO R.G. DO NORTE / CAMPUS CURRAIS NOVOS / MEC - PE 03/2019 - UASG: 158366 - Item 38</t>
  </si>
  <si>
    <t>CEASA</t>
  </si>
  <si>
    <t>CMB</t>
  </si>
  <si>
    <t>PRESIDÊNCIA REP.</t>
  </si>
  <si>
    <t>TCU/PA</t>
  </si>
  <si>
    <t>Substituto na cobertura de Outras ausências (Auxílio doença)</t>
  </si>
  <si>
    <t>M.AMBIENTE</t>
  </si>
  <si>
    <r>
      <rPr>
        <b/>
        <sz val="11"/>
        <color theme="1"/>
        <rFont val="Calibri"/>
        <family val="2"/>
        <scheme val="minor"/>
      </rPr>
      <t>ÁREA INTERNA</t>
    </r>
    <r>
      <rPr>
        <sz val="11"/>
        <color theme="1"/>
        <rFont val="Calibri"/>
        <family val="2"/>
        <scheme val="minor"/>
      </rPr>
      <t xml:space="preserve">
Produtividade
</t>
    </r>
    <r>
      <rPr>
        <b/>
        <sz val="11"/>
        <color theme="1"/>
        <rFont val="Calibri"/>
        <family val="2"/>
        <scheme val="minor"/>
      </rPr>
      <t>800 m²</t>
    </r>
  </si>
  <si>
    <r>
      <rPr>
        <b/>
        <sz val="11"/>
        <color theme="1"/>
        <rFont val="Calibri"/>
        <family val="2"/>
        <scheme val="minor"/>
      </rPr>
      <t>ÁREA EXTERNA</t>
    </r>
    <r>
      <rPr>
        <sz val="11"/>
        <color theme="1"/>
        <rFont val="Calibri"/>
        <family val="2"/>
        <scheme val="minor"/>
      </rPr>
      <t xml:space="preserve">
Produtividade
</t>
    </r>
    <r>
      <rPr>
        <b/>
        <sz val="11"/>
        <color theme="1"/>
        <rFont val="Calibri"/>
        <family val="2"/>
        <scheme val="minor"/>
      </rPr>
      <t>1800 m²</t>
    </r>
  </si>
  <si>
    <r>
      <rPr>
        <b/>
        <sz val="11"/>
        <color theme="1"/>
        <rFont val="Calibri"/>
        <family val="2"/>
        <scheme val="minor"/>
      </rPr>
      <t>ESQUADRIA EXTERNA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Face interna/Face externa sem exposição a
situação de risco</t>
    </r>
    <r>
      <rPr>
        <sz val="11"/>
        <color theme="1"/>
        <rFont val="Calibri"/>
        <family val="2"/>
        <scheme val="minor"/>
      </rPr>
      <t xml:space="preserve">
Produtividade
</t>
    </r>
    <r>
      <rPr>
        <b/>
        <sz val="11"/>
        <color theme="1"/>
        <rFont val="Calibri"/>
        <family val="2"/>
        <scheme val="minor"/>
      </rPr>
      <t>300 m²</t>
    </r>
  </si>
  <si>
    <t>Dentro dos parâmetros fixados pela Secretaria de Gestão - SEGES no Caderno Técnico 2019</t>
  </si>
  <si>
    <t>4ª Etapa - Custo Mensal: O custo mensal de cada item corresponde ao encontrado na 3ª etapa, de acordo com a metodologia encontrada, multiplicado pela quantidade de cada item, ao final o custo foi rateado pelo nº de serventes obtidos (21 serventes).</t>
  </si>
  <si>
    <t>SINDISERVIÇOS/DF (DF000038/2021)</t>
  </si>
  <si>
    <t>CCT 2021</t>
  </si>
  <si>
    <t xml:space="preserve">     /         / 2021</t>
  </si>
  <si>
    <t>01/01/2021 - CCT 2021</t>
  </si>
  <si>
    <t>4ª Etapa - Valor da Contratação: O valor da contratação para cada item corresponde ao encontrado na 3ª etapa, de acordo com a metodologia encontrada, multiplicado pela quantidade mensal de cada item. O valor do custo total foi dividido pelo número de servente (21 serventes).</t>
  </si>
  <si>
    <t>ÁREA DEMANDANTE (SEI Nº 9672854)</t>
  </si>
  <si>
    <t>4ª Etapa - Valor da Contratação: O valor da contratação para cada item corresponde ao encontrado na 3ª etapa, de acordo com a metodologia encontrada, multiplicado pela quantidade de cada item. O valor anual de cada categoria profissional foi dividida por 12 (doze) para chegar ao valor mensal.</t>
  </si>
  <si>
    <t>Área Total</t>
  </si>
  <si>
    <r>
      <t>S</t>
    </r>
    <r>
      <rPr>
        <b/>
        <i/>
        <vertAlign val="subscript"/>
        <sz val="10"/>
        <color theme="1"/>
        <rFont val="Calibri"/>
        <family val="2"/>
        <scheme val="minor"/>
      </rPr>
      <t>tint</t>
    </r>
    <r>
      <rPr>
        <b/>
        <i/>
        <sz val="10"/>
        <color theme="1"/>
        <rFont val="Calibri"/>
        <family val="2"/>
        <scheme val="minor"/>
      </rPr>
      <t xml:space="preserve"> = </t>
    </r>
  </si>
  <si>
    <r>
      <t>Área de Excritório</t>
    </r>
    <r>
      <rPr>
        <i/>
        <sz val="10"/>
        <color theme="1"/>
        <rFont val="Calibri"/>
        <family val="2"/>
        <scheme val="minor"/>
      </rPr>
      <t xml:space="preserve"> +</t>
    </r>
  </si>
  <si>
    <r>
      <t>Área com espaços livres</t>
    </r>
    <r>
      <rPr>
        <i/>
        <sz val="10"/>
        <color theme="1"/>
        <rFont val="Calibri"/>
        <family val="2"/>
        <scheme val="minor"/>
      </rPr>
      <t xml:space="preserve"> +</t>
    </r>
  </si>
  <si>
    <r>
      <t>S</t>
    </r>
    <r>
      <rPr>
        <i/>
        <vertAlign val="subscript"/>
        <sz val="10"/>
        <color theme="1"/>
        <rFont val="Calibri"/>
        <family val="2"/>
        <scheme val="minor"/>
      </rPr>
      <t>ext</t>
    </r>
    <r>
      <rPr>
        <i/>
        <sz val="10"/>
        <color theme="1"/>
        <rFont val="Calibri"/>
        <family val="2"/>
        <scheme val="minor"/>
      </rPr>
      <t xml:space="preserve"> =</t>
    </r>
  </si>
  <si>
    <r>
      <rPr>
        <i/>
        <u/>
        <sz val="10"/>
        <color theme="1"/>
        <rFont val="Calibri"/>
        <family val="2"/>
        <scheme val="minor"/>
      </rPr>
      <t>Área Externa</t>
    </r>
    <r>
      <rPr>
        <i/>
        <sz val="10"/>
        <color theme="1"/>
        <rFont val="Calibri"/>
        <family val="2"/>
        <scheme val="minor"/>
      </rPr>
      <t xml:space="preserve"> +</t>
    </r>
  </si>
  <si>
    <r>
      <rPr>
        <i/>
        <u/>
        <sz val="10"/>
        <color theme="1"/>
        <rFont val="Calibri"/>
        <family val="2"/>
        <scheme val="minor"/>
      </rPr>
      <t>Área (jardim/terra)</t>
    </r>
    <r>
      <rPr>
        <i/>
        <sz val="10"/>
        <color theme="1"/>
        <rFont val="Calibri"/>
        <family val="2"/>
        <scheme val="minor"/>
      </rPr>
      <t xml:space="preserve"> +</t>
    </r>
  </si>
  <si>
    <r>
      <rPr>
        <i/>
        <u/>
        <sz val="10"/>
        <color theme="1"/>
        <rFont val="Calibri"/>
        <family val="2"/>
        <scheme val="minor"/>
      </rPr>
      <t>área física de esquadrias</t>
    </r>
    <r>
      <rPr>
        <i/>
        <sz val="10"/>
        <color theme="1"/>
        <rFont val="Calibri"/>
        <family val="2"/>
        <scheme val="minor"/>
      </rPr>
      <t xml:space="preserve"> x</t>
    </r>
  </si>
  <si>
    <t>* Para se chegar ao quantitativo de serventes foi utilizada a fórmula descrita no Item 24.5 do Termo de Referência (SEI nº 9669908), conforme a seguir grafado:</t>
  </si>
  <si>
    <r>
      <t xml:space="preserve">1ª Etapa - Parâmetros Utilizados na Pesquisa (Fontes de Pesquisa): foram utilizados como parâmentro de pesquisa para compor a "Cesta de Preços" (Acórdão 2637/2015-Plenário), valores de contratações similares de outros entes públicos, em consonância com o </t>
    </r>
    <r>
      <rPr>
        <sz val="12"/>
        <rFont val="Calibri"/>
        <family val="2"/>
        <scheme val="minor"/>
      </rPr>
      <t>Art. 2º da Instrução Normativa SLTI/MP nº 05, de 27 de junho de 2014</t>
    </r>
    <r>
      <rPr>
        <sz val="12"/>
        <color theme="1"/>
        <rFont val="Calibri"/>
        <family val="2"/>
        <scheme val="minor"/>
      </rPr>
      <t>,  que dispõe sobre o procedimento administrativo para a realização de pesquisa de preços para aquisição de bens e contratação de serviços em geral. Os preços muito discrepantes (elevados) em relação aos outros foram marcadados em amarelo e desconsiderados da pesquisa. Ressaltamos, que priorizamos os valores obtidos junto a outras contratações públicas.</t>
    </r>
  </si>
  <si>
    <r>
      <t>1ª Etapa - Parâmetros Utilizados na Pesquisa (Fontes de Pesquisa): foram utilizados como parâmentro de pesquisa para compor a "Cesta de Preços" (Acórdão 2637/2015-Plenário), valores de contratações similares de outros entes públicos, painel de preços e internet, em consonância com o</t>
    </r>
    <r>
      <rPr>
        <sz val="12"/>
        <rFont val="Calibri"/>
        <family val="2"/>
        <scheme val="minor"/>
      </rPr>
      <t xml:space="preserve"> Art. 2º da Instrução Normativa SLTI/MP nº 05, de 27 de junho de 2014</t>
    </r>
    <r>
      <rPr>
        <sz val="12"/>
        <color theme="1"/>
        <rFont val="Calibri"/>
        <family val="2"/>
        <scheme val="minor"/>
      </rPr>
      <t>,  que dispõe sobre o procedimento administrativo para a realização de pesquisa de preços para aquisição de bens e contratação de serviços em geral. Os preços muito discrepantes (elevados) em relação aos outros foram marcadados em amarelo e desconsiderados da pesquisa. Ressaltamos, que priorizamos os valores obtidos junto a painel de preços, outras contratações públicas e  internet (realizada pela área demandante).</t>
    </r>
  </si>
  <si>
    <t>1ª Etapa - Parâmetros Utilizados na Pesquisa (Fontes de Pesquisa): foram utilizados como parâmentro de pesquisa para compor a "Cesta de Preços" (Acórdão 2637/2015-Plenário), valores de contratações similares de outros entes públicos, painel de preços e internet, em consonância com o Art. 2º da Instrução Normativa SLTI/MP nº 05, de 27 de junho de 2014,  que dispõe sobre o procedimento administrativo para a realização de pesquisa de preços para aquisição de bens e contratação de serviços em geral. Os preços muito discrepantes (elevados) em relação aos outros foram marcadados em amarelo e desconsiderados da pesquisa. Ressaltamos, que priorizamos os valores obtidos junto a painel de preços, outras contratações públicas e  internet (realizada pela área demandante).</t>
  </si>
  <si>
    <r>
      <t xml:space="preserve">1ª Etapa - Parâmetros Utilizados na Pesquisa (Fontes de Pesquisa): foram utilizados como parâmentro de pesquisa para compor a "Cesta de Preços" (Acórdão 2637/2015-Plenário), valores de contratações similares de outros entes públicos e internet, em consonância com o </t>
    </r>
    <r>
      <rPr>
        <sz val="12"/>
        <rFont val="Calibri"/>
        <family val="2"/>
        <scheme val="minor"/>
      </rPr>
      <t>Art. 2º da Instrução Normativa SLTI/MP nº 05, de 27 de junho de 2014</t>
    </r>
    <r>
      <rPr>
        <sz val="12"/>
        <color theme="1"/>
        <rFont val="Calibri"/>
        <family val="2"/>
        <scheme val="minor"/>
      </rPr>
      <t>,  que dispõe sobre o procedimento administrativo para a realização de pesquisa de preços para aquisição de bens e contratação de serviços em geral. Os preços muito discrepantes (elevados) em relação aos outros foram marcadados em amarelo e desconsiderados da pesquisa. Ressaltamos, que priorizamos os valores obtidos junto a outras contratações públicas e intenet (realizada pela área demandante).</t>
    </r>
  </si>
  <si>
    <t>4ª Etapa - Valor do Custo dos Equipamentos: O valor dos equipamentos corresponde ao encontrado na 3ª etapa, por meio da depreciação. Para o cálculo da Depreciação dos equipamentos, adotou-se vida útil de 10 anos e percentual residual de 10%, com base na metodologia do MANUAL SIAFI - MSF, disponível em manualsiafi.tesouro.fazenda.gov.br/pdf/020000/020300/020330 , tabela de vida útil e valor residual para cada conta contábil, CONTA 12311.01.25 - MAQUINAS, UTENSÍLIOS E EQUIPAMENTOS DIVERSOS  - Vida Útil (anos): 10 - Valor Residual: 10% (Item 9.17. do Termo de Referência SEI 9669908). O valor da depreciação foi obtida pela fórumal descrita no referido item 9.17 do TR. Ao final o custo total dos equipamentos foi dividido pelo número total de servente apurado (21 serventes) .</t>
  </si>
  <si>
    <r>
      <t xml:space="preserve">  </t>
    </r>
    <r>
      <rPr>
        <b/>
        <sz val="11"/>
        <color rgb="FF000000"/>
        <rFont val="Calibri"/>
        <family val="2"/>
        <scheme val="minor"/>
      </rPr>
      <t xml:space="preserve">MINISTÉRIO DA CIDADANIA </t>
    </r>
    <r>
      <rPr>
        <sz val="11"/>
        <color rgb="FF000000"/>
        <rFont val="Calibri"/>
        <family val="2"/>
        <scheme val="minor"/>
      </rPr>
      <t xml:space="preserve">
Subsecretaria de Assuntos Administrativos
Coordenação-Geral de Licitações e Contratos
Coordenação de Compras e Licitações
Divisão de Compras</t>
    </r>
  </si>
  <si>
    <t>Jardineiro</t>
  </si>
  <si>
    <t>Jauzeiro</t>
  </si>
  <si>
    <t>Encarregado Geral</t>
  </si>
  <si>
    <t>IV</t>
  </si>
  <si>
    <t>V</t>
  </si>
  <si>
    <t>ÁREA AJARDINAMENTO</t>
  </si>
  <si>
    <t>FACHADA ENVIDRAÇADA</t>
  </si>
  <si>
    <t>(AXB)</t>
  </si>
  <si>
    <t>PRODUTIVIDADE</t>
  </si>
  <si>
    <t>PREÇO HOMEM-MÊS</t>
  </si>
  <si>
    <t>SUBTOTAL</t>
  </si>
  <si>
    <t>(1/M²)</t>
  </si>
  <si>
    <t>(R$)</t>
  </si>
  <si>
    <t>(R$/M²)</t>
  </si>
  <si>
    <r>
      <t>PRODUTIVIDADE (1/M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</si>
  <si>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Esquadrias Externas</t>
  </si>
  <si>
    <t>Fachada Envidraçada</t>
  </si>
  <si>
    <t>Área Ajardinamento</t>
  </si>
  <si>
    <t>JARDINEIRO</t>
  </si>
  <si>
    <t>De PVC e material nitrílico espelhada, revestida internamente com malha de poliéster 100%.</t>
  </si>
  <si>
    <t>Capa de Chuva</t>
  </si>
  <si>
    <t>capa de segurança com capuz, confeccionada em tela de poliéster revestida de PVC em uma das faces, fechamento frontal por meio de quatro botões plásticos de pressão e costuras por meio de solda eletrônica.</t>
  </si>
  <si>
    <t>Subsecretaria de Assuntos Administrativos</t>
  </si>
  <si>
    <t xml:space="preserve"> Coordenação-Geral de Licitações e Contratos</t>
  </si>
  <si>
    <t xml:space="preserve"> Coordenação de Compras e Licitações</t>
  </si>
  <si>
    <t xml:space="preserve"> Divisão de Compras</t>
  </si>
  <si>
    <t>MINISTÉRIO DA CIDADANIA</t>
  </si>
  <si>
    <t>ÁREA INTERNA - Área de Escritório - Produtividade 800m²</t>
  </si>
  <si>
    <t>ÁREA INTERNA - Área com Espaços livres - Produtividade - 1000 m²</t>
  </si>
  <si>
    <t>ÁREA INTERNA - Almoxarifado/galpões - Produtividade - 1500 m²</t>
  </si>
  <si>
    <t>ÁREA EXTERNA - Área Externa - Produtividade – 1800 m²</t>
  </si>
  <si>
    <t>ÁREA EXTERNA - Garagens - Produtividade – 6000 m²</t>
  </si>
  <si>
    <t>ESQUADRIA - face externa sem exposição a situação de risco - Produtividade – 300 m² (1x15 dias)</t>
  </si>
  <si>
    <t>ESQUADRIA - face interna sem exposição a situação de risco - Produtividade – 300 m² (1x15 dias)</t>
  </si>
  <si>
    <t>FACHADA ENVIDRAÇADA - face externa com exposição a situação de risco – Produtividade – 110 m² (1x 6 meses)</t>
  </si>
  <si>
    <t>ÁREA EXTERNA - Jardim - Produtividade – 1800 m² (1x15 dias)</t>
  </si>
  <si>
    <t>Tipo de Serviço (A)</t>
  </si>
  <si>
    <t>Valor proposto por empregado (B)</t>
  </si>
  <si>
    <t>Quantidade de empregados por posto (C)</t>
  </si>
  <si>
    <t>Quantidade de postos (E)</t>
  </si>
  <si>
    <t>Valor total do serviço (F) = (D x E)</t>
  </si>
  <si>
    <t>Encarregado de Limpeza</t>
  </si>
  <si>
    <t>Servente</t>
  </si>
  <si>
    <t>Quantidade de Pessoal (SERVENTE)</t>
  </si>
  <si>
    <t>Quantidade de Pessoal (ENCARREGADO)</t>
  </si>
  <si>
    <t>Quantidade de Pessoal Jauzeiro</t>
  </si>
  <si>
    <t>Quantidade de Pessoal Jardineiro</t>
  </si>
  <si>
    <t>Arredondamento previsto</t>
  </si>
  <si>
    <t>Índices mínimos de produtividade por servente
B</t>
  </si>
  <si>
    <t>Valor proposto por posto (D) = (B x C)</t>
  </si>
  <si>
    <t>ESQUADRIA INTERNA E  EXTERNA (SEM RISCO)</t>
  </si>
  <si>
    <t>SUPER EPI</t>
  </si>
  <si>
    <t>110404 - DEPARTAMENTO DE ADMINISTRAÇÃO INTERNA</t>
  </si>
  <si>
    <t>974002 - SECRETARIA DE ESTADO DE ECONOMIA DO DF</t>
  </si>
  <si>
    <t>160060 - BATALHAO DE POL.DO EXERC.DE BRASILIA/MEX/DF</t>
  </si>
  <si>
    <t>974200 - COMPANHIA DE SANEAMENTO AMBIENTAL DO DF CAESB</t>
  </si>
  <si>
    <t>Valor Mensal dos Serviços (I + II + III + IV)</t>
  </si>
  <si>
    <t>Fora dos parâmetros fixados pela Secretaria de Gestão - SEGES no Caderno Técnico 2019, em virtude da FREQUÊNCIA NO MÊS.</t>
  </si>
  <si>
    <t xml:space="preserve">IDENTIFICAÇÃO DO AGENTE (IN 73/2020 Art.3º Inciso I) </t>
  </si>
  <si>
    <t>MARIA DA PENHA BASÍLIO</t>
  </si>
  <si>
    <t xml:space="preserve">  Chefe da Divisão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</si>
</sst>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\-??_);_(@_)"/>
    <numFmt numFmtId="166" formatCode="#,##0.0000000"/>
    <numFmt numFmtId="167" formatCode="&quot;R$&quot;#,##0.00"/>
    <numFmt numFmtId="168" formatCode="&quot;R$&quot;#,##0.000"/>
    <numFmt numFmtId="169" formatCode="&quot;R$&quot;\ #,##0.000"/>
    <numFmt numFmtId="170" formatCode="&quot;R$&quot;\ #,##0.00"/>
    <numFmt numFmtId="171" formatCode="#,##0.00;[Red]#,##0.00"/>
    <numFmt numFmtId="172" formatCode="_(* #,##0.00_);_(* \(#,##0.00\);_(* &quot;-&quot;??_);_(@_)"/>
    <numFmt numFmtId="173" formatCode="0.000E+00"/>
    <numFmt numFmtId="174" formatCode="0.00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bscript"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vertAlign val="subscript"/>
      <sz val="10"/>
      <color theme="1"/>
      <name val="Calibri"/>
      <family val="2"/>
      <scheme val="minor"/>
    </font>
    <font>
      <sz val="10"/>
      <color theme="1"/>
      <name val="Arial  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165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2" applyNumberFormat="0" applyAlignment="0" applyProtection="0"/>
    <xf numFmtId="0" fontId="11" fillId="6" borderId="13" applyNumberFormat="0" applyAlignment="0" applyProtection="0"/>
    <xf numFmtId="0" fontId="12" fillId="6" borderId="12" applyNumberFormat="0" applyAlignment="0" applyProtection="0"/>
    <xf numFmtId="0" fontId="13" fillId="0" borderId="14" applyNumberFormat="0" applyFill="0" applyAlignment="0" applyProtection="0"/>
    <xf numFmtId="0" fontId="14" fillId="7" borderId="15" applyNumberFormat="0" applyAlignment="0" applyProtection="0"/>
    <xf numFmtId="0" fontId="15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9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0" fillId="0" borderId="0"/>
    <xf numFmtId="44" fontId="1" fillId="0" borderId="0" applyFont="0" applyFill="0" applyBorder="0" applyAlignment="0" applyProtection="0"/>
  </cellStyleXfs>
  <cellXfs count="665">
    <xf numFmtId="0" fontId="0" fillId="0" borderId="0" xfId="0"/>
    <xf numFmtId="0" fontId="0" fillId="0" borderId="0" xfId="0" applyAlignment="1">
      <alignment wrapText="1"/>
    </xf>
    <xf numFmtId="0" fontId="28" fillId="0" borderId="0" xfId="0" applyFont="1" applyAlignment="1">
      <alignment horizontal="center" vertical="center" wrapText="1"/>
    </xf>
    <xf numFmtId="0" fontId="0" fillId="0" borderId="0" xfId="0" applyFont="1"/>
    <xf numFmtId="0" fontId="29" fillId="37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8" fillId="37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28" fillId="37" borderId="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14" fontId="27" fillId="0" borderId="36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7" fillId="34" borderId="39" xfId="0" applyFont="1" applyFill="1" applyBorder="1" applyAlignment="1">
      <alignment horizontal="center"/>
    </xf>
    <xf numFmtId="0" fontId="17" fillId="34" borderId="4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9" fillId="34" borderId="3" xfId="0" applyFont="1" applyFill="1" applyBorder="1" applyAlignment="1">
      <alignment horizontal="center" vertical="center" wrapText="1"/>
    </xf>
    <xf numFmtId="0" fontId="17" fillId="34" borderId="5" xfId="0" applyFont="1" applyFill="1" applyBorder="1" applyAlignment="1">
      <alignment horizontal="center" vertical="center" wrapText="1"/>
    </xf>
    <xf numFmtId="0" fontId="17" fillId="34" borderId="4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0" fontId="28" fillId="37" borderId="43" xfId="0" applyFont="1" applyFill="1" applyBorder="1" applyAlignment="1">
      <alignment horizontal="center" vertical="center" wrapText="1"/>
    </xf>
    <xf numFmtId="10" fontId="0" fillId="0" borderId="21" xfId="1" applyNumberFormat="1" applyFont="1" applyBorder="1" applyAlignment="1">
      <alignment horizontal="center" vertical="center"/>
    </xf>
    <xf numFmtId="0" fontId="29" fillId="34" borderId="39" xfId="0" applyFont="1" applyFill="1" applyBorder="1" applyAlignment="1">
      <alignment horizontal="center" vertical="center" wrapText="1"/>
    </xf>
    <xf numFmtId="0" fontId="17" fillId="34" borderId="45" xfId="0" applyFont="1" applyFill="1" applyBorder="1" applyAlignment="1">
      <alignment horizontal="center" vertical="center" wrapText="1"/>
    </xf>
    <xf numFmtId="0" fontId="17" fillId="34" borderId="42" xfId="0" applyFont="1" applyFill="1" applyBorder="1" applyAlignment="1">
      <alignment horizontal="center" vertical="center"/>
    </xf>
    <xf numFmtId="0" fontId="28" fillId="37" borderId="3" xfId="0" applyFont="1" applyFill="1" applyBorder="1" applyAlignment="1">
      <alignment horizontal="center" vertical="center" wrapText="1"/>
    </xf>
    <xf numFmtId="10" fontId="0" fillId="33" borderId="5" xfId="1" applyNumberFormat="1" applyFont="1" applyFill="1" applyBorder="1" applyAlignment="1">
      <alignment horizontal="center"/>
    </xf>
    <xf numFmtId="10" fontId="0" fillId="33" borderId="1" xfId="1" applyNumberFormat="1" applyFont="1" applyFill="1" applyBorder="1" applyAlignment="1">
      <alignment horizontal="center"/>
    </xf>
    <xf numFmtId="10" fontId="0" fillId="33" borderId="21" xfId="1" applyNumberFormat="1" applyFont="1" applyFill="1" applyBorder="1" applyAlignment="1">
      <alignment horizontal="center"/>
    </xf>
    <xf numFmtId="10" fontId="17" fillId="34" borderId="45" xfId="0" applyNumberFormat="1" applyFont="1" applyFill="1" applyBorder="1" applyAlignment="1">
      <alignment horizontal="center" vertical="center"/>
    </xf>
    <xf numFmtId="0" fontId="29" fillId="34" borderId="49" xfId="0" applyFont="1" applyFill="1" applyBorder="1" applyAlignment="1">
      <alignment horizontal="center" vertical="center" wrapText="1"/>
    </xf>
    <xf numFmtId="0" fontId="17" fillId="34" borderId="51" xfId="0" applyFont="1" applyFill="1" applyBorder="1" applyAlignment="1">
      <alignment horizontal="center" vertical="center"/>
    </xf>
    <xf numFmtId="0" fontId="28" fillId="37" borderId="20" xfId="0" applyFont="1" applyFill="1" applyBorder="1" applyAlignment="1">
      <alignment horizontal="left" vertical="center" wrapText="1" indent="1"/>
    </xf>
    <xf numFmtId="10" fontId="28" fillId="33" borderId="26" xfId="1" applyNumberFormat="1" applyFont="1" applyFill="1" applyBorder="1" applyAlignment="1">
      <alignment horizontal="center" vertical="center" wrapText="1"/>
    </xf>
    <xf numFmtId="10" fontId="28" fillId="37" borderId="20" xfId="1" applyNumberFormat="1" applyFont="1" applyFill="1" applyBorder="1" applyAlignment="1">
      <alignment horizontal="center" vertical="center" wrapText="1"/>
    </xf>
    <xf numFmtId="10" fontId="28" fillId="33" borderId="20" xfId="1" applyNumberFormat="1" applyFont="1" applyFill="1" applyBorder="1" applyAlignment="1">
      <alignment horizontal="center" vertical="center" wrapText="1"/>
    </xf>
    <xf numFmtId="10" fontId="28" fillId="37" borderId="24" xfId="1" applyNumberFormat="1" applyFont="1" applyFill="1" applyBorder="1" applyAlignment="1">
      <alignment horizontal="center" vertical="center" wrapText="1"/>
    </xf>
    <xf numFmtId="10" fontId="29" fillId="34" borderId="45" xfId="0" applyNumberFormat="1" applyFont="1" applyFill="1" applyBorder="1" applyAlignment="1">
      <alignment horizontal="center" vertical="center" wrapText="1"/>
    </xf>
    <xf numFmtId="0" fontId="28" fillId="37" borderId="5" xfId="0" applyFont="1" applyFill="1" applyBorder="1" applyAlignment="1">
      <alignment horizontal="center" vertical="center" wrapText="1"/>
    </xf>
    <xf numFmtId="10" fontId="28" fillId="33" borderId="1" xfId="1" applyNumberFormat="1" applyFont="1" applyFill="1" applyBorder="1" applyAlignment="1">
      <alignment horizontal="center" vertical="center" wrapText="1"/>
    </xf>
    <xf numFmtId="0" fontId="28" fillId="37" borderId="21" xfId="0" applyFont="1" applyFill="1" applyBorder="1" applyAlignment="1">
      <alignment horizontal="center" vertical="center" wrapText="1"/>
    </xf>
    <xf numFmtId="0" fontId="28" fillId="37" borderId="53" xfId="0" applyFont="1" applyFill="1" applyBorder="1" applyAlignment="1">
      <alignment horizontal="center" vertical="center" wrapText="1"/>
    </xf>
    <xf numFmtId="9" fontId="28" fillId="37" borderId="54" xfId="1" applyFont="1" applyFill="1" applyBorder="1" applyAlignment="1">
      <alignment horizontal="center" vertical="center" wrapText="1"/>
    </xf>
    <xf numFmtId="0" fontId="0" fillId="34" borderId="42" xfId="0" applyFont="1" applyFill="1" applyBorder="1"/>
    <xf numFmtId="0" fontId="17" fillId="34" borderId="50" xfId="0" applyFont="1" applyFill="1" applyBorder="1" applyAlignment="1">
      <alignment horizontal="center" vertical="center" wrapText="1"/>
    </xf>
    <xf numFmtId="10" fontId="28" fillId="37" borderId="1" xfId="1" applyNumberFormat="1" applyFont="1" applyFill="1" applyBorder="1" applyAlignment="1">
      <alignment horizontal="center" vertical="center" wrapText="1"/>
    </xf>
    <xf numFmtId="10" fontId="28" fillId="37" borderId="21" xfId="1" applyNumberFormat="1" applyFont="1" applyFill="1" applyBorder="1" applyAlignment="1">
      <alignment horizontal="center" vertical="center" wrapText="1"/>
    </xf>
    <xf numFmtId="0" fontId="17" fillId="34" borderId="30" xfId="0" applyFont="1" applyFill="1" applyBorder="1" applyAlignment="1">
      <alignment horizontal="center" vertical="center"/>
    </xf>
    <xf numFmtId="0" fontId="17" fillId="34" borderId="29" xfId="0" applyFont="1" applyFill="1" applyBorder="1" applyAlignment="1">
      <alignment horizontal="center" vertical="center" wrapText="1"/>
    </xf>
    <xf numFmtId="10" fontId="0" fillId="33" borderId="5" xfId="1" applyNumberFormat="1" applyFont="1" applyFill="1" applyBorder="1" applyAlignment="1">
      <alignment horizontal="center" vertical="center"/>
    </xf>
    <xf numFmtId="10" fontId="0" fillId="33" borderId="1" xfId="1" applyNumberFormat="1" applyFont="1" applyFill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29" fillId="37" borderId="3" xfId="0" applyFont="1" applyFill="1" applyBorder="1" applyAlignment="1">
      <alignment horizontal="center" vertical="center" wrapText="1"/>
    </xf>
    <xf numFmtId="0" fontId="29" fillId="37" borderId="2" xfId="0" applyFont="1" applyFill="1" applyBorder="1" applyAlignment="1">
      <alignment horizontal="center" vertical="center" wrapText="1"/>
    </xf>
    <xf numFmtId="0" fontId="29" fillId="37" borderId="43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/>
    <xf numFmtId="0" fontId="17" fillId="0" borderId="0" xfId="0" applyFont="1"/>
    <xf numFmtId="0" fontId="28" fillId="37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37" borderId="1" xfId="0" applyFont="1" applyFill="1" applyBorder="1" applyAlignment="1">
      <alignment horizontal="center" vertical="center" wrapText="1"/>
    </xf>
    <xf numFmtId="0" fontId="28" fillId="37" borderId="20" xfId="0" applyFont="1" applyFill="1" applyBorder="1" applyAlignment="1">
      <alignment horizontal="left" vertical="center" wrapText="1" indent="1"/>
    </xf>
    <xf numFmtId="0" fontId="29" fillId="34" borderId="39" xfId="0" applyFont="1" applyFill="1" applyBorder="1" applyAlignment="1">
      <alignment horizontal="center" vertical="center" wrapText="1"/>
    </xf>
    <xf numFmtId="0" fontId="29" fillId="37" borderId="2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34" borderId="0" xfId="0" applyFont="1" applyFill="1" applyAlignment="1">
      <alignment horizontal="center" vertical="center"/>
    </xf>
    <xf numFmtId="17" fontId="36" fillId="34" borderId="0" xfId="0" applyNumberFormat="1" applyFont="1" applyFill="1" applyAlignment="1">
      <alignment horizontal="center" vertical="center"/>
    </xf>
    <xf numFmtId="0" fontId="37" fillId="0" borderId="0" xfId="53"/>
    <xf numFmtId="0" fontId="20" fillId="0" borderId="0" xfId="54" applyFont="1" applyAlignment="1">
      <alignment horizontal="left" vertical="top"/>
    </xf>
    <xf numFmtId="0" fontId="20" fillId="33" borderId="0" xfId="54" applyFont="1" applyFill="1" applyAlignment="1">
      <alignment horizontal="left" vertical="top"/>
    </xf>
    <xf numFmtId="0" fontId="20" fillId="0" borderId="0" xfId="54" applyFont="1" applyAlignment="1">
      <alignment horizontal="left" vertical="top" wrapText="1"/>
    </xf>
    <xf numFmtId="9" fontId="20" fillId="41" borderId="1" xfId="55" applyFont="1" applyFill="1" applyBorder="1" applyAlignment="1">
      <alignment horizontal="center" vertical="center" wrapText="1"/>
    </xf>
    <xf numFmtId="168" fontId="20" fillId="41" borderId="1" xfId="54" applyNumberFormat="1" applyFont="1" applyFill="1" applyBorder="1" applyAlignment="1">
      <alignment horizontal="center" vertical="center" wrapText="1"/>
    </xf>
    <xf numFmtId="168" fontId="39" fillId="41" borderId="1" xfId="56" applyNumberFormat="1" applyFont="1" applyFill="1" applyBorder="1" applyAlignment="1">
      <alignment horizontal="center" vertical="center" wrapText="1"/>
    </xf>
    <xf numFmtId="169" fontId="39" fillId="42" borderId="1" xfId="56" applyNumberFormat="1" applyFont="1" applyFill="1" applyBorder="1" applyAlignment="1">
      <alignment horizontal="center" vertical="center" wrapText="1"/>
    </xf>
    <xf numFmtId="169" fontId="39" fillId="42" borderId="20" xfId="54" applyNumberFormat="1" applyFont="1" applyFill="1" applyBorder="1" applyAlignment="1">
      <alignment horizontal="center" vertical="center" wrapText="1"/>
    </xf>
    <xf numFmtId="167" fontId="20" fillId="33" borderId="1" xfId="54" applyNumberFormat="1" applyFont="1" applyFill="1" applyBorder="1" applyAlignment="1">
      <alignment horizontal="center" vertical="center" wrapText="1" shrinkToFit="1"/>
    </xf>
    <xf numFmtId="167" fontId="20" fillId="44" borderId="1" xfId="54" applyNumberFormat="1" applyFont="1" applyFill="1" applyBorder="1" applyAlignment="1">
      <alignment horizontal="center" vertical="center" wrapText="1" shrinkToFit="1"/>
    </xf>
    <xf numFmtId="167" fontId="41" fillId="33" borderId="1" xfId="54" applyNumberFormat="1" applyFont="1" applyFill="1" applyBorder="1" applyAlignment="1">
      <alignment horizontal="center" vertical="center" wrapText="1" shrinkToFit="1"/>
    </xf>
    <xf numFmtId="0" fontId="20" fillId="0" borderId="1" xfId="54" applyFont="1" applyBorder="1" applyAlignment="1">
      <alignment horizontal="center" vertical="center" wrapText="1"/>
    </xf>
    <xf numFmtId="0" fontId="23" fillId="0" borderId="59" xfId="57" applyFont="1" applyBorder="1" applyAlignment="1">
      <alignment horizontal="left" vertical="center" wrapText="1"/>
    </xf>
    <xf numFmtId="167" fontId="20" fillId="40" borderId="1" xfId="54" applyNumberFormat="1" applyFont="1" applyFill="1" applyBorder="1" applyAlignment="1">
      <alignment horizontal="center" vertical="center" wrapText="1" shrinkToFit="1"/>
    </xf>
    <xf numFmtId="0" fontId="23" fillId="0" borderId="60" xfId="57" applyFont="1" applyBorder="1" applyAlignment="1">
      <alignment horizontal="left" vertical="center" wrapText="1"/>
    </xf>
    <xf numFmtId="0" fontId="20" fillId="0" borderId="20" xfId="54" applyFont="1" applyBorder="1" applyAlignment="1">
      <alignment horizontal="center" vertical="center" wrapText="1"/>
    </xf>
    <xf numFmtId="0" fontId="20" fillId="0" borderId="60" xfId="57" applyFont="1" applyBorder="1" applyAlignment="1">
      <alignment horizontal="left" vertical="center" wrapText="1"/>
    </xf>
    <xf numFmtId="0" fontId="20" fillId="0" borderId="26" xfId="54" applyFont="1" applyBorder="1" applyAlignment="1">
      <alignment horizontal="center" vertical="center" wrapText="1"/>
    </xf>
    <xf numFmtId="170" fontId="20" fillId="0" borderId="0" xfId="54" applyNumberFormat="1" applyFont="1" applyAlignment="1">
      <alignment horizontal="left" vertical="top"/>
    </xf>
    <xf numFmtId="169" fontId="39" fillId="42" borderId="1" xfId="54" applyNumberFormat="1" applyFont="1" applyFill="1" applyBorder="1" applyAlignment="1">
      <alignment horizontal="center" vertical="center" wrapText="1"/>
    </xf>
    <xf numFmtId="167" fontId="20" fillId="33" borderId="5" xfId="54" applyNumberFormat="1" applyFont="1" applyFill="1" applyBorder="1" applyAlignment="1">
      <alignment horizontal="center" vertical="center" wrapText="1" shrinkToFit="1"/>
    </xf>
    <xf numFmtId="167" fontId="20" fillId="40" borderId="5" xfId="54" applyNumberFormat="1" applyFont="1" applyFill="1" applyBorder="1" applyAlignment="1">
      <alignment horizontal="center" vertical="center" wrapText="1" shrinkToFit="1"/>
    </xf>
    <xf numFmtId="0" fontId="20" fillId="0" borderId="5" xfId="54" applyFont="1" applyBorder="1" applyAlignment="1">
      <alignment horizontal="center" vertical="center" wrapText="1"/>
    </xf>
    <xf numFmtId="0" fontId="23" fillId="0" borderId="61" xfId="54" applyFont="1" applyBorder="1" applyAlignment="1">
      <alignment horizontal="left" vertical="center" wrapText="1"/>
    </xf>
    <xf numFmtId="0" fontId="22" fillId="38" borderId="1" xfId="54" applyFont="1" applyFill="1" applyBorder="1" applyAlignment="1">
      <alignment horizontal="center" vertical="center" wrapText="1"/>
    </xf>
    <xf numFmtId="0" fontId="31" fillId="38" borderId="1" xfId="54" applyFont="1" applyFill="1" applyBorder="1" applyAlignment="1">
      <alignment horizontal="center" vertical="center" wrapText="1"/>
    </xf>
    <xf numFmtId="0" fontId="20" fillId="33" borderId="1" xfId="54" applyFont="1" applyFill="1" applyBorder="1" applyAlignment="1">
      <alignment horizontal="center" vertical="center" wrapText="1"/>
    </xf>
    <xf numFmtId="167" fontId="20" fillId="39" borderId="1" xfId="54" applyNumberFormat="1" applyFont="1" applyFill="1" applyBorder="1" applyAlignment="1">
      <alignment horizontal="center" vertical="center"/>
    </xf>
    <xf numFmtId="167" fontId="20" fillId="39" borderId="1" xfId="54" applyNumberFormat="1" applyFont="1" applyFill="1" applyBorder="1" applyAlignment="1">
      <alignment horizontal="center" vertical="center" wrapText="1"/>
    </xf>
    <xf numFmtId="167" fontId="23" fillId="40" borderId="1" xfId="54" applyNumberFormat="1" applyFont="1" applyFill="1" applyBorder="1" applyAlignment="1">
      <alignment horizontal="center" vertical="center" wrapText="1" shrinkToFit="1"/>
    </xf>
    <xf numFmtId="167" fontId="23" fillId="33" borderId="1" xfId="54" applyNumberFormat="1" applyFont="1" applyFill="1" applyBorder="1" applyAlignment="1">
      <alignment horizontal="center" vertical="center" wrapText="1" shrinkToFit="1"/>
    </xf>
    <xf numFmtId="168" fontId="39" fillId="41" borderId="1" xfId="58" applyNumberFormat="1" applyFont="1" applyFill="1" applyBorder="1" applyAlignment="1">
      <alignment horizontal="center" vertical="center" wrapText="1"/>
    </xf>
    <xf numFmtId="169" fontId="39" fillId="42" borderId="1" xfId="58" applyNumberFormat="1" applyFont="1" applyFill="1" applyBorder="1" applyAlignment="1">
      <alignment horizontal="center" vertical="center" wrapText="1"/>
    </xf>
    <xf numFmtId="167" fontId="23" fillId="44" borderId="1" xfId="54" applyNumberFormat="1" applyFont="1" applyFill="1" applyBorder="1" applyAlignment="1">
      <alignment horizontal="center" vertical="center" wrapText="1" shrinkToFit="1"/>
    </xf>
    <xf numFmtId="0" fontId="23" fillId="33" borderId="1" xfId="54" applyFont="1" applyFill="1" applyBorder="1" applyAlignment="1">
      <alignment horizontal="center" vertical="center" wrapText="1"/>
    </xf>
    <xf numFmtId="167" fontId="39" fillId="33" borderId="1" xfId="54" applyNumberFormat="1" applyFont="1" applyFill="1" applyBorder="1" applyAlignment="1">
      <alignment horizontal="center" vertical="center" wrapText="1" shrinkToFit="1"/>
    </xf>
    <xf numFmtId="0" fontId="28" fillId="33" borderId="49" xfId="0" applyFont="1" applyFill="1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vertical="center"/>
    </xf>
    <xf numFmtId="0" fontId="22" fillId="38" borderId="1" xfId="54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9" fontId="20" fillId="39" borderId="1" xfId="1" applyFont="1" applyFill="1" applyBorder="1" applyAlignment="1">
      <alignment horizontal="center" vertical="center" wrapText="1"/>
    </xf>
    <xf numFmtId="0" fontId="17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0" fillId="39" borderId="1" xfId="55" applyNumberFormat="1" applyFont="1" applyFill="1" applyBorder="1" applyAlignment="1">
      <alignment horizontal="center" vertical="center" wrapText="1"/>
    </xf>
    <xf numFmtId="170" fontId="20" fillId="39" borderId="1" xfId="54" applyNumberFormat="1" applyFont="1" applyFill="1" applyBorder="1" applyAlignment="1">
      <alignment horizontal="center" vertical="center" wrapText="1"/>
    </xf>
    <xf numFmtId="0" fontId="20" fillId="39" borderId="1" xfId="54" applyFont="1" applyFill="1" applyBorder="1" applyAlignment="1">
      <alignment horizontal="center" vertical="center"/>
    </xf>
    <xf numFmtId="0" fontId="20" fillId="0" borderId="0" xfId="54" applyFont="1" applyAlignment="1">
      <alignment horizontal="center" vertical="top"/>
    </xf>
    <xf numFmtId="0" fontId="23" fillId="33" borderId="1" xfId="57" applyFont="1" applyFill="1" applyBorder="1" applyAlignment="1">
      <alignment horizontal="left" vertical="center" wrapText="1"/>
    </xf>
    <xf numFmtId="0" fontId="20" fillId="0" borderId="1" xfId="54" applyFont="1" applyBorder="1" applyAlignment="1">
      <alignment horizontal="left" vertical="top"/>
    </xf>
    <xf numFmtId="167" fontId="31" fillId="34" borderId="1" xfId="54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0" fontId="31" fillId="34" borderId="1" xfId="54" applyNumberFormat="1" applyFont="1" applyFill="1" applyBorder="1" applyAlignment="1">
      <alignment horizontal="center" vertical="center"/>
    </xf>
    <xf numFmtId="0" fontId="20" fillId="0" borderId="0" xfId="54" applyFont="1" applyBorder="1" applyAlignment="1">
      <alignment horizontal="left" vertical="top"/>
    </xf>
    <xf numFmtId="4" fontId="0" fillId="33" borderId="1" xfId="0" applyNumberFormat="1" applyFont="1" applyFill="1" applyBorder="1" applyAlignment="1">
      <alignment horizontal="center" vertical="center"/>
    </xf>
    <xf numFmtId="170" fontId="17" fillId="0" borderId="1" xfId="52" applyNumberFormat="1" applyFont="1" applyBorder="1" applyAlignment="1">
      <alignment horizontal="center" vertical="center"/>
    </xf>
    <xf numFmtId="0" fontId="28" fillId="37" borderId="0" xfId="0" applyFont="1" applyFill="1" applyBorder="1" applyAlignment="1">
      <alignment vertical="center" wrapText="1"/>
    </xf>
    <xf numFmtId="170" fontId="17" fillId="33" borderId="1" xfId="0" applyNumberFormat="1" applyFont="1" applyFill="1" applyBorder="1" applyAlignment="1">
      <alignment horizontal="center" vertical="center"/>
    </xf>
    <xf numFmtId="170" fontId="0" fillId="33" borderId="1" xfId="0" applyNumberFormat="1" applyFont="1" applyFill="1" applyBorder="1" applyAlignment="1">
      <alignment horizontal="center" vertical="center"/>
    </xf>
    <xf numFmtId="0" fontId="0" fillId="33" borderId="38" xfId="0" applyFont="1" applyFill="1" applyBorder="1" applyAlignment="1">
      <alignment horizontal="center"/>
    </xf>
    <xf numFmtId="170" fontId="0" fillId="0" borderId="36" xfId="52" applyNumberFormat="1" applyFont="1" applyBorder="1" applyAlignment="1">
      <alignment horizontal="center" vertical="center"/>
    </xf>
    <xf numFmtId="170" fontId="0" fillId="0" borderId="5" xfId="52" applyNumberFormat="1" applyFont="1" applyBorder="1" applyAlignment="1">
      <alignment horizontal="center" vertical="center"/>
    </xf>
    <xf numFmtId="170" fontId="0" fillId="0" borderId="1" xfId="0" applyNumberFormat="1" applyFont="1" applyBorder="1" applyAlignment="1">
      <alignment horizontal="center" vertical="center"/>
    </xf>
    <xf numFmtId="170" fontId="0" fillId="0" borderId="21" xfId="0" applyNumberFormat="1" applyFont="1" applyBorder="1" applyAlignment="1">
      <alignment horizontal="center" vertical="center"/>
    </xf>
    <xf numFmtId="170" fontId="17" fillId="34" borderId="42" xfId="52" applyNumberFormat="1" applyFont="1" applyFill="1" applyBorder="1" applyAlignment="1">
      <alignment horizontal="center" vertical="center"/>
    </xf>
    <xf numFmtId="170" fontId="0" fillId="0" borderId="44" xfId="52" applyNumberFormat="1" applyFont="1" applyBorder="1" applyAlignment="1">
      <alignment horizontal="center" vertical="center"/>
    </xf>
    <xf numFmtId="170" fontId="0" fillId="0" borderId="4" xfId="52" applyNumberFormat="1" applyFont="1" applyBorder="1" applyAlignment="1">
      <alignment horizontal="center" vertical="center"/>
    </xf>
    <xf numFmtId="170" fontId="0" fillId="0" borderId="1" xfId="52" applyNumberFormat="1" applyFont="1" applyBorder="1" applyAlignment="1">
      <alignment horizontal="center" vertical="center"/>
    </xf>
    <xf numFmtId="170" fontId="0" fillId="0" borderId="36" xfId="0" applyNumberFormat="1" applyFont="1" applyBorder="1" applyAlignment="1">
      <alignment horizontal="center" vertical="center"/>
    </xf>
    <xf numFmtId="170" fontId="0" fillId="0" borderId="55" xfId="0" applyNumberFormat="1" applyFont="1" applyBorder="1"/>
    <xf numFmtId="170" fontId="17" fillId="0" borderId="36" xfId="52" applyNumberFormat="1" applyFont="1" applyBorder="1" applyAlignment="1">
      <alignment horizontal="center" vertical="center"/>
    </xf>
    <xf numFmtId="170" fontId="0" fillId="0" borderId="44" xfId="52" applyNumberFormat="1" applyFont="1" applyBorder="1"/>
    <xf numFmtId="170" fontId="0" fillId="33" borderId="51" xfId="0" applyNumberFormat="1" applyFont="1" applyFill="1" applyBorder="1" applyAlignment="1">
      <alignment horizontal="center" vertical="center"/>
    </xf>
    <xf numFmtId="170" fontId="0" fillId="33" borderId="36" xfId="52" applyNumberFormat="1" applyFont="1" applyFill="1" applyBorder="1" applyAlignment="1">
      <alignment horizontal="center" vertical="center"/>
    </xf>
    <xf numFmtId="170" fontId="0" fillId="33" borderId="4" xfId="52" applyNumberFormat="1" applyFont="1" applyFill="1" applyBorder="1" applyAlignment="1">
      <alignment horizontal="center" vertical="center"/>
    </xf>
    <xf numFmtId="170" fontId="0" fillId="33" borderId="44" xfId="52" applyNumberFormat="1" applyFont="1" applyFill="1" applyBorder="1" applyAlignment="1">
      <alignment horizontal="center" vertical="center"/>
    </xf>
    <xf numFmtId="170" fontId="33" fillId="34" borderId="42" xfId="52" applyNumberFormat="1" applyFont="1" applyFill="1" applyBorder="1" applyAlignment="1">
      <alignment horizontal="center" vertical="center"/>
    </xf>
    <xf numFmtId="170" fontId="17" fillId="33" borderId="51" xfId="0" applyNumberFormat="1" applyFont="1" applyFill="1" applyBorder="1" applyAlignment="1">
      <alignment horizontal="center" vertical="center"/>
    </xf>
    <xf numFmtId="170" fontId="17" fillId="46" borderId="1" xfId="0" applyNumberFormat="1" applyFont="1" applyFill="1" applyBorder="1" applyAlignment="1">
      <alignment horizontal="center" vertical="center"/>
    </xf>
    <xf numFmtId="0" fontId="22" fillId="38" borderId="5" xfId="54" applyFont="1" applyFill="1" applyBorder="1" applyAlignment="1">
      <alignment horizontal="center" vertical="center" wrapText="1"/>
    </xf>
    <xf numFmtId="0" fontId="31" fillId="38" borderId="5" xfId="54" applyFont="1" applyFill="1" applyBorder="1" applyAlignment="1">
      <alignment horizontal="center" vertical="center" wrapText="1"/>
    </xf>
    <xf numFmtId="170" fontId="20" fillId="39" borderId="1" xfId="1" applyNumberFormat="1" applyFont="1" applyFill="1" applyBorder="1" applyAlignment="1">
      <alignment horizontal="center" vertical="center" wrapText="1"/>
    </xf>
    <xf numFmtId="0" fontId="22" fillId="38" borderId="1" xfId="54" applyFont="1" applyFill="1" applyBorder="1" applyAlignment="1">
      <alignment horizontal="center" vertical="center" wrapText="1"/>
    </xf>
    <xf numFmtId="0" fontId="22" fillId="38" borderId="21" xfId="54" applyFont="1" applyFill="1" applyBorder="1" applyAlignment="1">
      <alignment horizontal="center" vertical="center" wrapText="1"/>
    </xf>
    <xf numFmtId="10" fontId="28" fillId="33" borderId="5" xfId="1" applyNumberFormat="1" applyFont="1" applyFill="1" applyBorder="1" applyAlignment="1">
      <alignment horizontal="center" vertical="center" wrapText="1"/>
    </xf>
    <xf numFmtId="170" fontId="27" fillId="33" borderId="36" xfId="0" applyNumberFormat="1" applyFont="1" applyFill="1" applyBorder="1" applyAlignment="1">
      <alignment horizontal="center" vertical="center"/>
    </xf>
    <xf numFmtId="170" fontId="0" fillId="33" borderId="36" xfId="0" applyNumberFormat="1" applyFont="1" applyFill="1" applyBorder="1" applyAlignment="1">
      <alignment horizontal="center" vertical="center"/>
    </xf>
    <xf numFmtId="0" fontId="23" fillId="0" borderId="1" xfId="54" applyFont="1" applyBorder="1" applyAlignment="1">
      <alignment horizontal="left" vertical="center" wrapText="1" indent="1"/>
    </xf>
    <xf numFmtId="0" fontId="23" fillId="0" borderId="1" xfId="57" applyFont="1" applyBorder="1" applyAlignment="1">
      <alignment horizontal="left" vertical="center" wrapText="1" indent="1"/>
    </xf>
    <xf numFmtId="0" fontId="20" fillId="0" borderId="1" xfId="57" applyFont="1" applyBorder="1" applyAlignment="1">
      <alignment horizontal="left" vertical="center" wrapText="1" indent="1"/>
    </xf>
    <xf numFmtId="0" fontId="22" fillId="38" borderId="1" xfId="54" applyFont="1" applyFill="1" applyBorder="1" applyAlignment="1">
      <alignment horizontal="center" vertical="center" wrapText="1"/>
    </xf>
    <xf numFmtId="10" fontId="0" fillId="38" borderId="0" xfId="0" applyNumberFormat="1" applyFill="1" applyAlignment="1">
      <alignment horizontal="center" vertical="center"/>
    </xf>
    <xf numFmtId="0" fontId="36" fillId="34" borderId="0" xfId="0" applyNumberFormat="1" applyFont="1" applyFill="1" applyAlignment="1">
      <alignment horizontal="center" vertical="center"/>
    </xf>
    <xf numFmtId="0" fontId="17" fillId="34" borderId="0" xfId="0" applyFont="1" applyFill="1" applyAlignment="1"/>
    <xf numFmtId="0" fontId="0" fillId="39" borderId="1" xfId="0" applyFill="1" applyBorder="1"/>
    <xf numFmtId="170" fontId="0" fillId="0" borderId="0" xfId="0" applyNumberFormat="1"/>
    <xf numFmtId="170" fontId="0" fillId="33" borderId="5" xfId="52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36" borderId="1" xfId="0" applyFont="1" applyFill="1" applyBorder="1" applyAlignment="1">
      <alignment horizontal="center" vertical="center" wrapText="1"/>
    </xf>
    <xf numFmtId="0" fontId="35" fillId="0" borderId="0" xfId="0" applyFont="1"/>
    <xf numFmtId="0" fontId="4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6" fillId="33" borderId="18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76" xfId="0" applyFont="1" applyBorder="1" applyAlignment="1">
      <alignment horizontal="center" vertical="center"/>
    </xf>
    <xf numFmtId="0" fontId="23" fillId="33" borderId="1" xfId="54" applyFont="1" applyFill="1" applyBorder="1" applyAlignment="1">
      <alignment horizontal="left" vertical="center" wrapText="1"/>
    </xf>
    <xf numFmtId="0" fontId="20" fillId="33" borderId="1" xfId="57" applyFont="1" applyFill="1" applyBorder="1" applyAlignment="1">
      <alignment horizontal="left" vertical="center" wrapText="1"/>
    </xf>
    <xf numFmtId="0" fontId="23" fillId="33" borderId="1" xfId="57" applyFont="1" applyFill="1" applyBorder="1" applyAlignment="1">
      <alignment horizontal="left" vertical="center" wrapText="1" indent="1"/>
    </xf>
    <xf numFmtId="0" fontId="46" fillId="41" borderId="0" xfId="0" applyFont="1" applyFill="1" applyBorder="1" applyAlignment="1">
      <alignment horizontal="center" vertical="center"/>
    </xf>
    <xf numFmtId="0" fontId="46" fillId="41" borderId="62" xfId="0" applyFont="1" applyFill="1" applyBorder="1" applyAlignment="1">
      <alignment horizontal="center" vertical="center"/>
    </xf>
    <xf numFmtId="0" fontId="45" fillId="41" borderId="52" xfId="0" applyFont="1" applyFill="1" applyBorder="1" applyAlignment="1">
      <alignment horizontal="center" vertical="center"/>
    </xf>
    <xf numFmtId="0" fontId="45" fillId="41" borderId="0" xfId="0" applyFont="1" applyFill="1" applyBorder="1" applyAlignment="1">
      <alignment horizontal="center" vertical="center"/>
    </xf>
    <xf numFmtId="0" fontId="17" fillId="34" borderId="5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8" fillId="37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37" borderId="1" xfId="0" applyFont="1" applyFill="1" applyBorder="1" applyAlignment="1">
      <alignment horizontal="center" vertical="center" wrapText="1"/>
    </xf>
    <xf numFmtId="0" fontId="28" fillId="37" borderId="20" xfId="0" applyFont="1" applyFill="1" applyBorder="1" applyAlignment="1">
      <alignment horizontal="left" vertical="center" wrapText="1" indent="1"/>
    </xf>
    <xf numFmtId="0" fontId="29" fillId="34" borderId="39" xfId="0" applyFont="1" applyFill="1" applyBorder="1" applyAlignment="1">
      <alignment horizontal="center" vertical="center" wrapText="1"/>
    </xf>
    <xf numFmtId="0" fontId="29" fillId="37" borderId="2" xfId="0" applyFont="1" applyFill="1" applyBorder="1" applyAlignment="1">
      <alignment horizontal="center" vertical="center" wrapText="1"/>
    </xf>
    <xf numFmtId="0" fontId="17" fillId="47" borderId="1" xfId="0" applyFont="1" applyFill="1" applyBorder="1" applyAlignment="1">
      <alignment horizontal="center" vertical="center"/>
    </xf>
    <xf numFmtId="0" fontId="20" fillId="0" borderId="1" xfId="54" applyFont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Fill="1" applyBorder="1" applyAlignment="1">
      <alignment horizontal="center" vertical="center"/>
    </xf>
    <xf numFmtId="164" fontId="17" fillId="0" borderId="1" xfId="52" applyFont="1" applyBorder="1"/>
    <xf numFmtId="0" fontId="22" fillId="0" borderId="0" xfId="0" applyFont="1" applyFill="1" applyBorder="1" applyAlignment="1">
      <alignment horizontal="center" vertical="justify"/>
    </xf>
    <xf numFmtId="0" fontId="22" fillId="0" borderId="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justify"/>
    </xf>
    <xf numFmtId="0" fontId="17" fillId="0" borderId="0" xfId="0" applyFont="1" applyFill="1" applyBorder="1" applyAlignment="1">
      <alignment vertical="center"/>
    </xf>
    <xf numFmtId="164" fontId="21" fillId="0" borderId="0" xfId="52" applyFont="1" applyFill="1" applyBorder="1" applyAlignment="1">
      <alignment vertical="center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33" fillId="35" borderId="1" xfId="0" applyFont="1" applyFill="1" applyBorder="1" applyAlignment="1">
      <alignment horizontal="center" vertical="justify"/>
    </xf>
    <xf numFmtId="164" fontId="17" fillId="0" borderId="0" xfId="52" applyFont="1" applyFill="1" applyBorder="1" applyAlignment="1">
      <alignment vertical="center"/>
    </xf>
    <xf numFmtId="0" fontId="33" fillId="0" borderId="0" xfId="0" applyFont="1" applyFill="1" applyBorder="1" applyAlignment="1">
      <alignment vertical="top"/>
    </xf>
    <xf numFmtId="0" fontId="33" fillId="3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170" fontId="33" fillId="46" borderId="1" xfId="0" applyNumberFormat="1" applyFont="1" applyFill="1" applyBorder="1" applyAlignment="1">
      <alignment horizontal="center" vertical="justify"/>
    </xf>
    <xf numFmtId="0" fontId="33" fillId="0" borderId="0" xfId="0" applyFont="1" applyBorder="1" applyAlignment="1">
      <alignment horizontal="center" vertical="center" wrapText="1"/>
    </xf>
    <xf numFmtId="164" fontId="33" fillId="0" borderId="0" xfId="0" applyNumberFormat="1" applyFont="1" applyBorder="1" applyAlignment="1">
      <alignment horizontal="center" vertical="justify"/>
    </xf>
    <xf numFmtId="0" fontId="33" fillId="48" borderId="1" xfId="0" applyFont="1" applyFill="1" applyBorder="1" applyAlignment="1">
      <alignment horizontal="center" vertical="justify"/>
    </xf>
    <xf numFmtId="0" fontId="33" fillId="48" borderId="1" xfId="0" applyFont="1" applyFill="1" applyBorder="1" applyAlignment="1">
      <alignment horizontal="center" vertical="center"/>
    </xf>
    <xf numFmtId="0" fontId="17" fillId="47" borderId="1" xfId="0" applyFont="1" applyFill="1" applyBorder="1" applyAlignment="1">
      <alignment horizontal="center" vertical="center" wrapText="1"/>
    </xf>
    <xf numFmtId="0" fontId="0" fillId="33" borderId="1" xfId="0" applyFont="1" applyFill="1" applyBorder="1" applyAlignment="1">
      <alignment horizontal="center" vertical="center"/>
    </xf>
    <xf numFmtId="0" fontId="0" fillId="33" borderId="7" xfId="0" applyFont="1" applyFill="1" applyBorder="1" applyAlignment="1">
      <alignment horizontal="center" vertical="center"/>
    </xf>
    <xf numFmtId="0" fontId="20" fillId="0" borderId="0" xfId="54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167" fontId="20" fillId="0" borderId="1" xfId="54" applyNumberFormat="1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left" indent="1"/>
    </xf>
    <xf numFmtId="170" fontId="17" fillId="0" borderId="0" xfId="0" applyNumberFormat="1" applyFont="1" applyBorder="1" applyAlignment="1">
      <alignment horizontal="center" vertical="center"/>
    </xf>
    <xf numFmtId="170" fontId="0" fillId="33" borderId="1" xfId="0" applyNumberFormat="1" applyFont="1" applyFill="1" applyBorder="1" applyAlignment="1">
      <alignment horizontal="center" vertical="center" wrapText="1"/>
    </xf>
    <xf numFmtId="0" fontId="17" fillId="34" borderId="1" xfId="0" applyFont="1" applyFill="1" applyBorder="1" applyAlignment="1">
      <alignment horizontal="center" vertical="center"/>
    </xf>
    <xf numFmtId="0" fontId="17" fillId="46" borderId="0" xfId="0" applyFont="1" applyFill="1" applyBorder="1" applyAlignment="1">
      <alignment horizontal="center" vertical="center"/>
    </xf>
    <xf numFmtId="0" fontId="17" fillId="47" borderId="0" xfId="0" applyFont="1" applyFill="1" applyBorder="1" applyAlignment="1">
      <alignment horizontal="center" vertical="center"/>
    </xf>
    <xf numFmtId="0" fontId="17" fillId="47" borderId="0" xfId="0" applyFont="1" applyFill="1" applyBorder="1" applyAlignment="1">
      <alignment horizontal="center" vertical="center" wrapText="1"/>
    </xf>
    <xf numFmtId="170" fontId="25" fillId="0" borderId="0" xfId="52" applyNumberFormat="1" applyFont="1" applyFill="1" applyBorder="1" applyAlignment="1" applyProtection="1">
      <alignment horizontal="center" vertical="center"/>
    </xf>
    <xf numFmtId="170" fontId="17" fillId="46" borderId="0" xfId="0" applyNumberFormat="1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center" vertical="center" wrapText="1"/>
    </xf>
    <xf numFmtId="0" fontId="17" fillId="36" borderId="1" xfId="0" applyFont="1" applyFill="1" applyBorder="1" applyAlignment="1">
      <alignment horizontal="center" vertical="center"/>
    </xf>
    <xf numFmtId="0" fontId="17" fillId="46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47" borderId="1" xfId="0" applyFont="1" applyFill="1" applyBorder="1" applyAlignment="1">
      <alignment horizontal="center" vertical="center"/>
    </xf>
    <xf numFmtId="0" fontId="17" fillId="47" borderId="1" xfId="0" applyFont="1" applyFill="1" applyBorder="1" applyAlignment="1">
      <alignment horizontal="center" vertical="center" wrapText="1"/>
    </xf>
    <xf numFmtId="0" fontId="0" fillId="33" borderId="7" xfId="0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inden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9" fillId="0" borderId="0" xfId="0" applyFont="1" applyBorder="1" applyAlignment="1"/>
    <xf numFmtId="0" fontId="51" fillId="0" borderId="2" xfId="0" applyFont="1" applyBorder="1" applyAlignment="1">
      <alignment horizontal="center"/>
    </xf>
    <xf numFmtId="172" fontId="51" fillId="0" borderId="1" xfId="0" applyNumberFormat="1" applyFont="1" applyBorder="1" applyAlignment="1">
      <alignment vertical="center"/>
    </xf>
    <xf numFmtId="172" fontId="51" fillId="0" borderId="36" xfId="0" applyNumberFormat="1" applyFont="1" applyBorder="1" applyAlignment="1">
      <alignment vertical="center"/>
    </xf>
    <xf numFmtId="0" fontId="51" fillId="0" borderId="49" xfId="0" applyFont="1" applyBorder="1" applyAlignment="1">
      <alignment horizontal="center" vertical="center"/>
    </xf>
    <xf numFmtId="172" fontId="51" fillId="0" borderId="50" xfId="0" applyNumberFormat="1" applyFont="1" applyBorder="1" applyAlignment="1">
      <alignment vertical="center"/>
    </xf>
    <xf numFmtId="172" fontId="51" fillId="0" borderId="51" xfId="0" applyNumberFormat="1" applyFont="1" applyBorder="1" applyAlignment="1">
      <alignment vertical="center"/>
    </xf>
    <xf numFmtId="1" fontId="51" fillId="0" borderId="50" xfId="0" applyNumberFormat="1" applyFont="1" applyBorder="1" applyAlignment="1">
      <alignment horizontal="center" vertical="center"/>
    </xf>
    <xf numFmtId="1" fontId="51" fillId="0" borderId="1" xfId="0" applyNumberFormat="1" applyFont="1" applyBorder="1" applyAlignment="1">
      <alignment horizontal="center" vertical="center"/>
    </xf>
    <xf numFmtId="170" fontId="0" fillId="3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9" fillId="0" borderId="7" xfId="0" applyFont="1" applyBorder="1" applyAlignment="1">
      <alignment horizontal="center" vertical="center" wrapText="1"/>
    </xf>
    <xf numFmtId="173" fontId="0" fillId="39" borderId="0" xfId="0" applyNumberFormat="1" applyFill="1" applyBorder="1"/>
    <xf numFmtId="0" fontId="0" fillId="39" borderId="0" xfId="0" applyFill="1" applyBorder="1"/>
    <xf numFmtId="0" fontId="0" fillId="39" borderId="1" xfId="0" applyFill="1" applyBorder="1" applyAlignment="1">
      <alignment horizontal="center" vertical="center"/>
    </xf>
    <xf numFmtId="0" fontId="0" fillId="39" borderId="1" xfId="0" applyNumberFormat="1" applyFill="1" applyBorder="1"/>
    <xf numFmtId="174" fontId="0" fillId="39" borderId="1" xfId="0" applyNumberFormat="1" applyFill="1" applyBorder="1" applyAlignment="1">
      <alignment horizontal="center" vertical="center"/>
    </xf>
    <xf numFmtId="0" fontId="0" fillId="39" borderId="27" xfId="0" applyFill="1" applyBorder="1"/>
    <xf numFmtId="0" fontId="0" fillId="39" borderId="54" xfId="0" applyFill="1" applyBorder="1"/>
    <xf numFmtId="1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/>
    <xf numFmtId="0" fontId="24" fillId="0" borderId="0" xfId="0" applyFont="1" applyFill="1" applyBorder="1" applyAlignment="1">
      <alignment horizontal="center"/>
    </xf>
    <xf numFmtId="170" fontId="17" fillId="0" borderId="0" xfId="0" applyNumberFormat="1" applyFont="1" applyFill="1" applyBorder="1" applyAlignment="1">
      <alignment horizontal="center" vertical="center"/>
    </xf>
    <xf numFmtId="173" fontId="0" fillId="39" borderId="20" xfId="0" applyNumberFormat="1" applyFill="1" applyBorder="1"/>
    <xf numFmtId="0" fontId="49" fillId="39" borderId="1" xfId="0" applyFont="1" applyFill="1" applyBorder="1" applyAlignment="1">
      <alignment horizontal="center" vertical="center" wrapText="1"/>
    </xf>
    <xf numFmtId="0" fontId="0" fillId="39" borderId="1" xfId="0" applyFill="1" applyBorder="1" applyAlignment="1">
      <alignment horizontal="center" vertical="center" wrapText="1"/>
    </xf>
    <xf numFmtId="3" fontId="0" fillId="33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0" fillId="0" borderId="46" xfId="0" applyFont="1" applyBorder="1" applyAlignment="1">
      <alignment horizontal="center" vertical="center" wrapText="1"/>
    </xf>
    <xf numFmtId="0" fontId="51" fillId="0" borderId="56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0" fontId="51" fillId="0" borderId="7" xfId="0" applyFont="1" applyBorder="1" applyAlignment="1">
      <alignment horizontal="left" vertical="center"/>
    </xf>
    <xf numFmtId="0" fontId="51" fillId="0" borderId="58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0" fillId="0" borderId="47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4" fontId="0" fillId="0" borderId="21" xfId="0" applyNumberFormat="1" applyBorder="1" applyAlignment="1">
      <alignment horizontal="center" vertical="center"/>
    </xf>
    <xf numFmtId="4" fontId="0" fillId="35" borderId="78" xfId="0" applyNumberFormat="1" applyFill="1" applyBorder="1" applyAlignment="1">
      <alignment horizontal="center" vertical="center"/>
    </xf>
    <xf numFmtId="0" fontId="0" fillId="39" borderId="25" xfId="0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49" fillId="0" borderId="71" xfId="0" applyFont="1" applyBorder="1" applyAlignment="1">
      <alignment wrapText="1"/>
    </xf>
    <xf numFmtId="0" fontId="51" fillId="0" borderId="43" xfId="0" applyFont="1" applyBorder="1" applyAlignment="1">
      <alignment horizontal="center"/>
    </xf>
    <xf numFmtId="0" fontId="51" fillId="0" borderId="22" xfId="0" applyFont="1" applyBorder="1" applyAlignment="1">
      <alignment vertical="center"/>
    </xf>
    <xf numFmtId="172" fontId="51" fillId="0" borderId="21" xfId="0" applyNumberFormat="1" applyFont="1" applyBorder="1" applyAlignment="1">
      <alignment vertical="center"/>
    </xf>
    <xf numFmtId="0" fontId="51" fillId="0" borderId="24" xfId="0" applyFont="1" applyBorder="1" applyAlignment="1">
      <alignment horizontal="center" vertical="center"/>
    </xf>
    <xf numFmtId="1" fontId="51" fillId="33" borderId="21" xfId="0" applyNumberFormat="1" applyFont="1" applyFill="1" applyBorder="1" applyAlignment="1">
      <alignment horizontal="center" vertical="center"/>
    </xf>
    <xf numFmtId="172" fontId="51" fillId="0" borderId="44" xfId="0" applyNumberFormat="1" applyFont="1" applyBorder="1" applyAlignment="1">
      <alignment vertical="center"/>
    </xf>
    <xf numFmtId="164" fontId="33" fillId="0" borderId="1" xfId="52" applyFont="1" applyBorder="1" applyAlignment="1">
      <alignment wrapText="1"/>
    </xf>
    <xf numFmtId="0" fontId="0" fillId="49" borderId="1" xfId="0" applyFill="1" applyBorder="1"/>
    <xf numFmtId="10" fontId="0" fillId="40" borderId="1" xfId="1" applyNumberFormat="1" applyFont="1" applyFill="1" applyBorder="1" applyAlignment="1">
      <alignment horizontal="center"/>
    </xf>
    <xf numFmtId="10" fontId="28" fillId="0" borderId="26" xfId="1" applyNumberFormat="1" applyFont="1" applyFill="1" applyBorder="1" applyAlignment="1">
      <alignment horizontal="center" vertical="center" wrapText="1"/>
    </xf>
    <xf numFmtId="10" fontId="28" fillId="0" borderId="20" xfId="1" applyNumberFormat="1" applyFont="1" applyFill="1" applyBorder="1" applyAlignment="1">
      <alignment horizontal="center" vertical="center" wrapText="1"/>
    </xf>
    <xf numFmtId="10" fontId="28" fillId="0" borderId="5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0" fillId="0" borderId="0" xfId="54" applyFont="1" applyFill="1" applyAlignment="1">
      <alignment horizontal="left" vertical="top"/>
    </xf>
    <xf numFmtId="167" fontId="31" fillId="0" borderId="1" xfId="54" applyNumberFormat="1" applyFont="1" applyFill="1" applyBorder="1" applyAlignment="1">
      <alignment horizontal="center" vertical="center"/>
    </xf>
    <xf numFmtId="170" fontId="31" fillId="0" borderId="1" xfId="54" applyNumberFormat="1" applyFont="1" applyFill="1" applyBorder="1" applyAlignment="1">
      <alignment horizontal="center" vertical="center"/>
    </xf>
    <xf numFmtId="0" fontId="20" fillId="0" borderId="0" xfId="54" applyFont="1" applyFill="1" applyAlignment="1">
      <alignment horizontal="left" vertical="top" wrapText="1"/>
    </xf>
    <xf numFmtId="167" fontId="31" fillId="0" borderId="0" xfId="54" applyNumberFormat="1" applyFont="1" applyFill="1" applyBorder="1" applyAlignment="1">
      <alignment horizontal="center" vertical="center"/>
    </xf>
    <xf numFmtId="0" fontId="31" fillId="0" borderId="23" xfId="54" applyFont="1" applyFill="1" applyBorder="1" applyAlignment="1">
      <alignment vertical="center"/>
    </xf>
    <xf numFmtId="170" fontId="17" fillId="0" borderId="21" xfId="0" applyNumberFormat="1" applyFont="1" applyBorder="1" applyAlignment="1">
      <alignment horizontal="center" vertical="center"/>
    </xf>
    <xf numFmtId="0" fontId="0" fillId="33" borderId="72" xfId="0" applyFill="1" applyBorder="1" applyAlignment="1">
      <alignment horizontal="center"/>
    </xf>
    <xf numFmtId="0" fontId="0" fillId="33" borderId="52" xfId="0" applyFill="1" applyBorder="1" applyAlignment="1">
      <alignment horizontal="center"/>
    </xf>
    <xf numFmtId="0" fontId="0" fillId="33" borderId="73" xfId="0" applyFill="1" applyBorder="1" applyAlignment="1">
      <alignment horizontal="center"/>
    </xf>
    <xf numFmtId="0" fontId="17" fillId="33" borderId="18" xfId="0" applyFont="1" applyFill="1" applyBorder="1" applyAlignment="1">
      <alignment horizontal="center"/>
    </xf>
    <xf numFmtId="0" fontId="17" fillId="33" borderId="0" xfId="0" applyFont="1" applyFill="1" applyBorder="1" applyAlignment="1">
      <alignment horizontal="center"/>
    </xf>
    <xf numFmtId="0" fontId="17" fillId="33" borderId="74" xfId="0" applyFont="1" applyFill="1" applyBorder="1" applyAlignment="1">
      <alignment horizontal="center"/>
    </xf>
    <xf numFmtId="0" fontId="0" fillId="33" borderId="75" xfId="0" applyFill="1" applyBorder="1" applyAlignment="1">
      <alignment horizontal="center"/>
    </xf>
    <xf numFmtId="0" fontId="0" fillId="33" borderId="62" xfId="0" applyFill="1" applyBorder="1" applyAlignment="1">
      <alignment horizontal="center"/>
    </xf>
    <xf numFmtId="0" fontId="0" fillId="33" borderId="76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36" borderId="1" xfId="0" applyFont="1" applyFill="1" applyBorder="1" applyAlignment="1">
      <alignment horizontal="center" vertical="center"/>
    </xf>
    <xf numFmtId="0" fontId="17" fillId="34" borderId="7" xfId="0" applyFont="1" applyFill="1" applyBorder="1" applyAlignment="1">
      <alignment horizontal="center" vertical="center"/>
    </xf>
    <xf numFmtId="0" fontId="17" fillId="34" borderId="20" xfId="0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4" fillId="46" borderId="19" xfId="0" applyFont="1" applyFill="1" applyBorder="1" applyAlignment="1">
      <alignment horizontal="center"/>
    </xf>
    <xf numFmtId="0" fontId="24" fillId="46" borderId="20" xfId="0" applyFont="1" applyFill="1" applyBorder="1" applyAlignment="1">
      <alignment horizontal="center"/>
    </xf>
    <xf numFmtId="164" fontId="17" fillId="0" borderId="1" xfId="52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166" fontId="25" fillId="0" borderId="1" xfId="0" applyNumberFormat="1" applyFont="1" applyBorder="1" applyAlignment="1">
      <alignment horizontal="center" vertical="center"/>
    </xf>
    <xf numFmtId="170" fontId="25" fillId="0" borderId="1" xfId="52" applyNumberFormat="1" applyFont="1" applyFill="1" applyBorder="1" applyAlignment="1" applyProtection="1">
      <alignment horizontal="center" vertical="center"/>
    </xf>
    <xf numFmtId="0" fontId="0" fillId="33" borderId="7" xfId="0" applyFont="1" applyFill="1" applyBorder="1" applyAlignment="1">
      <alignment horizontal="center" vertical="center" wrapText="1"/>
    </xf>
    <xf numFmtId="0" fontId="0" fillId="33" borderId="2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46" borderId="1" xfId="0" applyFont="1" applyFill="1" applyBorder="1" applyAlignment="1">
      <alignment horizontal="center" vertical="center" wrapText="1"/>
    </xf>
    <xf numFmtId="0" fontId="17" fillId="46" borderId="1" xfId="0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/>
    </xf>
    <xf numFmtId="0" fontId="17" fillId="46" borderId="19" xfId="0" applyFont="1" applyFill="1" applyBorder="1" applyAlignment="1">
      <alignment horizontal="center" vertical="center"/>
    </xf>
    <xf numFmtId="0" fontId="17" fillId="46" borderId="20" xfId="0" applyFont="1" applyFill="1" applyBorder="1" applyAlignment="1">
      <alignment horizontal="center" vertical="center"/>
    </xf>
    <xf numFmtId="164" fontId="17" fillId="47" borderId="1" xfId="52" applyFont="1" applyFill="1" applyBorder="1" applyAlignment="1">
      <alignment horizontal="center" vertical="center" wrapText="1"/>
    </xf>
    <xf numFmtId="0" fontId="17" fillId="47" borderId="7" xfId="0" applyFont="1" applyFill="1" applyBorder="1" applyAlignment="1">
      <alignment horizontal="center" vertical="center"/>
    </xf>
    <xf numFmtId="0" fontId="17" fillId="47" borderId="19" xfId="0" applyFont="1" applyFill="1" applyBorder="1" applyAlignment="1">
      <alignment horizontal="center" vertical="center"/>
    </xf>
    <xf numFmtId="0" fontId="17" fillId="47" borderId="20" xfId="0" applyFont="1" applyFill="1" applyBorder="1" applyAlignment="1">
      <alignment horizontal="center" vertical="center"/>
    </xf>
    <xf numFmtId="0" fontId="17" fillId="47" borderId="1" xfId="0" applyFont="1" applyFill="1" applyBorder="1" applyAlignment="1">
      <alignment horizontal="center" vertical="center"/>
    </xf>
    <xf numFmtId="0" fontId="17" fillId="47" borderId="1" xfId="0" applyFont="1" applyFill="1" applyBorder="1" applyAlignment="1">
      <alignment horizontal="center" vertical="center" wrapText="1"/>
    </xf>
    <xf numFmtId="164" fontId="17" fillId="33" borderId="1" xfId="52" applyFont="1" applyFill="1" applyBorder="1" applyAlignment="1">
      <alignment horizontal="center" vertical="center" wrapText="1"/>
    </xf>
    <xf numFmtId="0" fontId="0" fillId="33" borderId="7" xfId="0" applyFont="1" applyFill="1" applyBorder="1" applyAlignment="1">
      <alignment horizontal="center" vertical="center"/>
    </xf>
    <xf numFmtId="0" fontId="0" fillId="33" borderId="20" xfId="0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 vertical="center"/>
    </xf>
    <xf numFmtId="0" fontId="0" fillId="33" borderId="22" xfId="0" applyFont="1" applyFill="1" applyBorder="1" applyAlignment="1">
      <alignment horizontal="center" vertical="center"/>
    </xf>
    <xf numFmtId="0" fontId="0" fillId="33" borderId="23" xfId="0" applyFont="1" applyFill="1" applyBorder="1" applyAlignment="1">
      <alignment horizontal="center" vertical="center"/>
    </xf>
    <xf numFmtId="0" fontId="0" fillId="33" borderId="24" xfId="0" applyFont="1" applyFill="1" applyBorder="1" applyAlignment="1">
      <alignment horizontal="center" vertical="center"/>
    </xf>
    <xf numFmtId="0" fontId="0" fillId="33" borderId="25" xfId="0" applyFont="1" applyFill="1" applyBorder="1" applyAlignment="1">
      <alignment horizontal="center" vertical="center"/>
    </xf>
    <xf numFmtId="0" fontId="0" fillId="33" borderId="32" xfId="0" applyFont="1" applyFill="1" applyBorder="1" applyAlignment="1">
      <alignment horizontal="center" vertical="center"/>
    </xf>
    <xf numFmtId="0" fontId="0" fillId="33" borderId="26" xfId="0" applyFont="1" applyFill="1" applyBorder="1" applyAlignment="1">
      <alignment horizontal="center" vertical="center"/>
    </xf>
    <xf numFmtId="0" fontId="0" fillId="33" borderId="21" xfId="0" applyFont="1" applyFill="1" applyBorder="1" applyAlignment="1">
      <alignment horizontal="center" vertical="center" wrapText="1"/>
    </xf>
    <xf numFmtId="0" fontId="0" fillId="33" borderId="5" xfId="0" applyFont="1" applyFill="1" applyBorder="1" applyAlignment="1">
      <alignment horizontal="center" vertical="center" wrapText="1"/>
    </xf>
    <xf numFmtId="170" fontId="0" fillId="3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5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0" fillId="46" borderId="1" xfId="0" applyFill="1" applyBorder="1" applyAlignment="1">
      <alignment horizontal="center" vertical="center" wrapText="1"/>
    </xf>
    <xf numFmtId="0" fontId="17" fillId="46" borderId="1" xfId="0" applyFont="1" applyFill="1" applyBorder="1" applyAlignment="1">
      <alignment horizontal="center"/>
    </xf>
    <xf numFmtId="170" fontId="0" fillId="39" borderId="7" xfId="0" applyNumberFormat="1" applyFill="1" applyBorder="1" applyAlignment="1">
      <alignment horizontal="center" vertical="center"/>
    </xf>
    <xf numFmtId="170" fontId="0" fillId="39" borderId="20" xfId="0" applyNumberFormat="1" applyFill="1" applyBorder="1" applyAlignment="1">
      <alignment horizontal="center" vertical="center"/>
    </xf>
    <xf numFmtId="170" fontId="0" fillId="39" borderId="1" xfId="0" applyNumberFormat="1" applyFill="1" applyBorder="1" applyAlignment="1">
      <alignment horizontal="center" vertical="center"/>
    </xf>
    <xf numFmtId="170" fontId="0" fillId="39" borderId="7" xfId="0" applyNumberFormat="1" applyFill="1" applyBorder="1" applyAlignment="1">
      <alignment horizontal="center"/>
    </xf>
    <xf numFmtId="0" fontId="0" fillId="39" borderId="20" xfId="0" applyFill="1" applyBorder="1" applyAlignment="1">
      <alignment horizontal="center"/>
    </xf>
    <xf numFmtId="170" fontId="27" fillId="49" borderId="7" xfId="0" applyNumberFormat="1" applyFont="1" applyFill="1" applyBorder="1" applyAlignment="1">
      <alignment horizontal="center"/>
    </xf>
    <xf numFmtId="0" fontId="27" fillId="49" borderId="20" xfId="0" applyFont="1" applyFill="1" applyBorder="1" applyAlignment="1">
      <alignment horizontal="center"/>
    </xf>
    <xf numFmtId="0" fontId="42" fillId="34" borderId="18" xfId="0" applyFont="1" applyFill="1" applyBorder="1" applyAlignment="1">
      <alignment horizontal="center" vertical="center" wrapText="1"/>
    </xf>
    <xf numFmtId="0" fontId="42" fillId="34" borderId="75" xfId="0" applyFont="1" applyFill="1" applyBorder="1" applyAlignment="1">
      <alignment horizontal="center" vertical="center" wrapText="1"/>
    </xf>
    <xf numFmtId="0" fontId="46" fillId="41" borderId="0" xfId="0" applyFont="1" applyFill="1" applyBorder="1" applyAlignment="1">
      <alignment horizontal="center" vertical="center"/>
    </xf>
    <xf numFmtId="0" fontId="46" fillId="41" borderId="62" xfId="0" applyFont="1" applyFill="1" applyBorder="1" applyAlignment="1">
      <alignment horizontal="center" vertical="center"/>
    </xf>
    <xf numFmtId="0" fontId="42" fillId="34" borderId="18" xfId="0" applyFont="1" applyFill="1" applyBorder="1" applyAlignment="1">
      <alignment horizontal="center" vertical="center"/>
    </xf>
    <xf numFmtId="0" fontId="45" fillId="41" borderId="0" xfId="0" applyFont="1" applyFill="1" applyBorder="1" applyAlignment="1">
      <alignment horizontal="center" vertical="center"/>
    </xf>
    <xf numFmtId="0" fontId="45" fillId="41" borderId="74" xfId="0" applyFont="1" applyFill="1" applyBorder="1" applyAlignment="1">
      <alignment horizontal="center" vertical="center"/>
    </xf>
    <xf numFmtId="0" fontId="46" fillId="41" borderId="74" xfId="0" applyFont="1" applyFill="1" applyBorder="1" applyAlignment="1">
      <alignment horizontal="center" vertical="center"/>
    </xf>
    <xf numFmtId="0" fontId="42" fillId="34" borderId="72" xfId="0" applyFont="1" applyFill="1" applyBorder="1" applyAlignment="1">
      <alignment horizontal="center" vertical="center"/>
    </xf>
    <xf numFmtId="0" fontId="43" fillId="41" borderId="52" xfId="0" applyFont="1" applyFill="1" applyBorder="1" applyAlignment="1">
      <alignment horizontal="center" vertical="center"/>
    </xf>
    <xf numFmtId="0" fontId="43" fillId="41" borderId="0" xfId="0" applyFont="1" applyFill="1" applyBorder="1" applyAlignment="1">
      <alignment horizontal="center" vertical="center"/>
    </xf>
    <xf numFmtId="0" fontId="45" fillId="41" borderId="52" xfId="0" applyFont="1" applyFill="1" applyBorder="1" applyAlignment="1">
      <alignment horizontal="center" vertical="center"/>
    </xf>
    <xf numFmtId="0" fontId="46" fillId="41" borderId="52" xfId="0" applyFont="1" applyFill="1" applyBorder="1" applyAlignment="1">
      <alignment horizontal="center" vertical="center"/>
    </xf>
    <xf numFmtId="0" fontId="45" fillId="41" borderId="73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35" borderId="28" xfId="0" applyFill="1" applyBorder="1" applyAlignment="1">
      <alignment horizontal="center" vertical="center"/>
    </xf>
    <xf numFmtId="0" fontId="0" fillId="35" borderId="29" xfId="0" applyFill="1" applyBorder="1" applyAlignment="1">
      <alignment horizontal="center" vertical="center"/>
    </xf>
    <xf numFmtId="0" fontId="0" fillId="35" borderId="30" xfId="0" applyFill="1" applyBorder="1" applyAlignment="1">
      <alignment horizontal="center" vertical="center"/>
    </xf>
    <xf numFmtId="164" fontId="17" fillId="35" borderId="1" xfId="52" applyFont="1" applyFill="1" applyBorder="1" applyAlignment="1">
      <alignment horizontal="center" vertical="center" wrapText="1"/>
    </xf>
    <xf numFmtId="0" fontId="33" fillId="35" borderId="1" xfId="0" applyFont="1" applyFill="1" applyBorder="1" applyAlignment="1">
      <alignment horizontal="center" vertical="top" wrapText="1"/>
    </xf>
    <xf numFmtId="0" fontId="33" fillId="35" borderId="1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70" fontId="27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170" fontId="27" fillId="33" borderId="1" xfId="0" applyNumberFormat="1" applyFont="1" applyFill="1" applyBorder="1" applyAlignment="1">
      <alignment horizontal="center" vertical="center" wrapText="1"/>
    </xf>
    <xf numFmtId="0" fontId="33" fillId="46" borderId="1" xfId="0" applyFont="1" applyFill="1" applyBorder="1" applyAlignment="1">
      <alignment horizontal="center" vertical="center" wrapText="1"/>
    </xf>
    <xf numFmtId="0" fontId="33" fillId="48" borderId="7" xfId="0" applyFont="1" applyFill="1" applyBorder="1" applyAlignment="1">
      <alignment horizontal="center" vertical="top" wrapText="1"/>
    </xf>
    <xf numFmtId="0" fontId="33" fillId="48" borderId="19" xfId="0" applyFont="1" applyFill="1" applyBorder="1" applyAlignment="1">
      <alignment horizontal="center" vertical="top" wrapText="1"/>
    </xf>
    <xf numFmtId="0" fontId="33" fillId="48" borderId="20" xfId="0" applyFont="1" applyFill="1" applyBorder="1" applyAlignment="1">
      <alignment horizontal="center" vertical="top" wrapText="1"/>
    </xf>
    <xf numFmtId="0" fontId="33" fillId="48" borderId="1" xfId="0" applyFont="1" applyFill="1" applyBorder="1" applyAlignment="1">
      <alignment horizontal="center" vertical="top" wrapText="1"/>
    </xf>
    <xf numFmtId="164" fontId="17" fillId="35" borderId="7" xfId="52" applyFont="1" applyFill="1" applyBorder="1" applyAlignment="1">
      <alignment horizontal="center" vertical="center" wrapText="1"/>
    </xf>
    <xf numFmtId="164" fontId="17" fillId="35" borderId="19" xfId="52" applyFont="1" applyFill="1" applyBorder="1" applyAlignment="1">
      <alignment horizontal="center" vertical="center" wrapText="1"/>
    </xf>
    <xf numFmtId="164" fontId="17" fillId="35" borderId="20" xfId="52" applyFont="1" applyFill="1" applyBorder="1" applyAlignment="1">
      <alignment horizontal="center" vertical="center" wrapText="1"/>
    </xf>
    <xf numFmtId="0" fontId="33" fillId="48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indent="1"/>
    </xf>
    <xf numFmtId="0" fontId="50" fillId="0" borderId="46" xfId="0" applyFont="1" applyBorder="1" applyAlignment="1">
      <alignment horizontal="center" vertical="center" wrapText="1"/>
    </xf>
    <xf numFmtId="0" fontId="50" fillId="0" borderId="67" xfId="0" applyFont="1" applyBorder="1" applyAlignment="1">
      <alignment horizontal="center" vertical="center" wrapText="1"/>
    </xf>
    <xf numFmtId="4" fontId="25" fillId="0" borderId="7" xfId="0" applyNumberFormat="1" applyFont="1" applyBorder="1" applyAlignment="1">
      <alignment horizontal="center"/>
    </xf>
    <xf numFmtId="4" fontId="25" fillId="0" borderId="20" xfId="0" applyNumberFormat="1" applyFont="1" applyBorder="1" applyAlignment="1">
      <alignment horizontal="center"/>
    </xf>
    <xf numFmtId="0" fontId="17" fillId="34" borderId="0" xfId="0" applyFont="1" applyFill="1" applyAlignment="1">
      <alignment horizontal="center"/>
    </xf>
    <xf numFmtId="0" fontId="29" fillId="34" borderId="46" xfId="0" applyFont="1" applyFill="1" applyBorder="1" applyAlignment="1">
      <alignment horizontal="center" vertical="center" wrapText="1"/>
    </xf>
    <xf numFmtId="0" fontId="29" fillId="34" borderId="64" xfId="0" applyFont="1" applyFill="1" applyBorder="1" applyAlignment="1">
      <alignment horizontal="center" vertical="center" wrapText="1"/>
    </xf>
    <xf numFmtId="0" fontId="29" fillId="34" borderId="67" xfId="0" applyFont="1" applyFill="1" applyBorder="1" applyAlignment="1">
      <alignment horizontal="center" vertical="center" wrapText="1"/>
    </xf>
    <xf numFmtId="0" fontId="29" fillId="34" borderId="52" xfId="0" applyFont="1" applyFill="1" applyBorder="1" applyAlignment="1">
      <alignment horizontal="center" vertical="center" wrapText="1"/>
    </xf>
    <xf numFmtId="0" fontId="29" fillId="34" borderId="68" xfId="0" applyFont="1" applyFill="1" applyBorder="1" applyAlignment="1">
      <alignment horizontal="center" vertical="center" wrapText="1"/>
    </xf>
    <xf numFmtId="0" fontId="29" fillId="34" borderId="69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70" xfId="0" applyFont="1" applyFill="1" applyBorder="1" applyAlignment="1">
      <alignment horizontal="center" vertical="center" wrapText="1"/>
    </xf>
    <xf numFmtId="0" fontId="17" fillId="34" borderId="47" xfId="0" applyFont="1" applyFill="1" applyBorder="1" applyAlignment="1">
      <alignment horizontal="center" vertical="center" wrapText="1"/>
    </xf>
    <xf numFmtId="0" fontId="17" fillId="34" borderId="65" xfId="0" applyFont="1" applyFill="1" applyBorder="1" applyAlignment="1">
      <alignment horizontal="center" vertical="center" wrapText="1"/>
    </xf>
    <xf numFmtId="0" fontId="17" fillId="34" borderId="48" xfId="0" applyFont="1" applyFill="1" applyBorder="1" applyAlignment="1">
      <alignment horizontal="center" vertical="center"/>
    </xf>
    <xf numFmtId="0" fontId="17" fillId="34" borderId="66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 wrapText="1"/>
    </xf>
    <xf numFmtId="0" fontId="28" fillId="37" borderId="1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horizontal="left" vertical="center" wrapText="1" indent="1"/>
    </xf>
    <xf numFmtId="0" fontId="28" fillId="0" borderId="0" xfId="0" applyFont="1" applyAlignment="1">
      <alignment horizontal="center" vertical="center" wrapText="1"/>
    </xf>
    <xf numFmtId="0" fontId="28" fillId="37" borderId="7" xfId="0" applyFont="1" applyFill="1" applyBorder="1" applyAlignment="1">
      <alignment horizontal="left" vertical="center" wrapText="1" indent="1"/>
    </xf>
    <xf numFmtId="0" fontId="28" fillId="37" borderId="19" xfId="0" applyFont="1" applyFill="1" applyBorder="1" applyAlignment="1">
      <alignment horizontal="left" vertical="center" wrapText="1" indent="1"/>
    </xf>
    <xf numFmtId="0" fontId="28" fillId="37" borderId="1" xfId="0" applyFont="1" applyFill="1" applyBorder="1" applyAlignment="1">
      <alignment horizontal="center" vertical="center" wrapText="1"/>
    </xf>
    <xf numFmtId="0" fontId="29" fillId="34" borderId="28" xfId="0" applyFont="1" applyFill="1" applyBorder="1" applyAlignment="1">
      <alignment horizontal="center" vertical="center" wrapText="1"/>
    </xf>
    <xf numFmtId="0" fontId="29" fillId="34" borderId="29" xfId="0" applyFont="1" applyFill="1" applyBorder="1" applyAlignment="1">
      <alignment horizontal="center" vertical="center" wrapText="1"/>
    </xf>
    <xf numFmtId="0" fontId="29" fillId="34" borderId="30" xfId="0" applyFont="1" applyFill="1" applyBorder="1" applyAlignment="1">
      <alignment horizontal="center" vertical="center" wrapText="1"/>
    </xf>
    <xf numFmtId="0" fontId="29" fillId="37" borderId="63" xfId="0" applyFont="1" applyFill="1" applyBorder="1" applyAlignment="1">
      <alignment horizontal="center" vertical="center" wrapText="1"/>
    </xf>
    <xf numFmtId="0" fontId="29" fillId="37" borderId="57" xfId="0" applyFont="1" applyFill="1" applyBorder="1" applyAlignment="1">
      <alignment horizontal="center" vertical="center" wrapText="1"/>
    </xf>
    <xf numFmtId="0" fontId="29" fillId="37" borderId="58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 wrapText="1"/>
    </xf>
    <xf numFmtId="0" fontId="29" fillId="37" borderId="28" xfId="0" applyFont="1" applyFill="1" applyBorder="1" applyAlignment="1">
      <alignment horizontal="center" vertical="center" wrapText="1"/>
    </xf>
    <xf numFmtId="0" fontId="29" fillId="37" borderId="29" xfId="0" applyFont="1" applyFill="1" applyBorder="1" applyAlignment="1">
      <alignment horizontal="center" vertical="center" wrapText="1"/>
    </xf>
    <xf numFmtId="0" fontId="29" fillId="37" borderId="30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left" indent="1"/>
    </xf>
    <xf numFmtId="0" fontId="0" fillId="0" borderId="32" xfId="0" applyFont="1" applyBorder="1" applyAlignment="1">
      <alignment horizontal="left" indent="1"/>
    </xf>
    <xf numFmtId="0" fontId="0" fillId="0" borderId="26" xfId="0" applyFont="1" applyBorder="1" applyAlignment="1">
      <alignment horizontal="left" indent="1"/>
    </xf>
    <xf numFmtId="0" fontId="0" fillId="0" borderId="7" xfId="0" applyFont="1" applyBorder="1" applyAlignment="1">
      <alignment horizontal="left" indent="1"/>
    </xf>
    <xf numFmtId="0" fontId="0" fillId="0" borderId="19" xfId="0" applyFont="1" applyBorder="1" applyAlignment="1">
      <alignment horizontal="left" indent="1"/>
    </xf>
    <xf numFmtId="0" fontId="0" fillId="0" borderId="20" xfId="0" applyFont="1" applyBorder="1" applyAlignment="1">
      <alignment horizontal="left" indent="1"/>
    </xf>
    <xf numFmtId="0" fontId="0" fillId="0" borderId="8" xfId="0" applyFont="1" applyBorder="1" applyAlignment="1">
      <alignment horizontal="left" indent="1"/>
    </xf>
    <xf numFmtId="0" fontId="0" fillId="0" borderId="34" xfId="0" applyFont="1" applyBorder="1" applyAlignment="1">
      <alignment horizontal="left" indent="1"/>
    </xf>
    <xf numFmtId="0" fontId="0" fillId="0" borderId="35" xfId="0" applyFont="1" applyBorder="1" applyAlignment="1">
      <alignment horizontal="left" indent="1"/>
    </xf>
    <xf numFmtId="0" fontId="31" fillId="37" borderId="77" xfId="0" applyFont="1" applyFill="1" applyBorder="1" applyAlignment="1">
      <alignment horizontal="center" vertical="center" wrapText="1"/>
    </xf>
    <xf numFmtId="0" fontId="31" fillId="37" borderId="23" xfId="0" applyFont="1" applyFill="1" applyBorder="1" applyAlignment="1">
      <alignment horizontal="center" vertical="center" wrapText="1"/>
    </xf>
    <xf numFmtId="0" fontId="31" fillId="37" borderId="24" xfId="0" applyFont="1" applyFill="1" applyBorder="1" applyAlignment="1">
      <alignment horizontal="center" vertical="center" wrapText="1"/>
    </xf>
    <xf numFmtId="0" fontId="31" fillId="37" borderId="18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27" xfId="0" applyFont="1" applyFill="1" applyBorder="1" applyAlignment="1">
      <alignment horizontal="center" vertical="center" wrapText="1"/>
    </xf>
    <xf numFmtId="0" fontId="31" fillId="37" borderId="31" xfId="0" applyFont="1" applyFill="1" applyBorder="1" applyAlignment="1">
      <alignment horizontal="center" vertical="center" wrapText="1"/>
    </xf>
    <xf numFmtId="0" fontId="31" fillId="37" borderId="3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0" fontId="20" fillId="37" borderId="7" xfId="0" applyFont="1" applyFill="1" applyBorder="1" applyAlignment="1">
      <alignment horizontal="center" vertical="center" wrapText="1"/>
    </xf>
    <xf numFmtId="0" fontId="20" fillId="37" borderId="19" xfId="0" applyFont="1" applyFill="1" applyBorder="1" applyAlignment="1">
      <alignment horizontal="center" vertical="center" wrapText="1"/>
    </xf>
    <xf numFmtId="0" fontId="20" fillId="37" borderId="20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2" xfId="0" applyFont="1" applyBorder="1" applyAlignment="1">
      <alignment horizontal="left" indent="1"/>
    </xf>
    <xf numFmtId="0" fontId="0" fillId="0" borderId="23" xfId="0" applyFont="1" applyBorder="1" applyAlignment="1">
      <alignment horizontal="left" indent="1"/>
    </xf>
    <xf numFmtId="0" fontId="29" fillId="0" borderId="0" xfId="0" applyFont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0" fontId="17" fillId="34" borderId="40" xfId="0" applyFont="1" applyFill="1" applyBorder="1" applyAlignment="1">
      <alignment horizontal="center"/>
    </xf>
    <xf numFmtId="0" fontId="17" fillId="34" borderId="29" xfId="0" applyFont="1" applyFill="1" applyBorder="1" applyAlignment="1">
      <alignment horizontal="center"/>
    </xf>
    <xf numFmtId="0" fontId="17" fillId="34" borderId="41" xfId="0" applyFont="1" applyFill="1" applyBorder="1" applyAlignment="1">
      <alignment horizontal="center"/>
    </xf>
    <xf numFmtId="0" fontId="28" fillId="37" borderId="25" xfId="0" applyFont="1" applyFill="1" applyBorder="1" applyAlignment="1">
      <alignment horizontal="left" vertical="center" wrapText="1" indent="1"/>
    </xf>
    <xf numFmtId="0" fontId="28" fillId="37" borderId="32" xfId="0" applyFont="1" applyFill="1" applyBorder="1" applyAlignment="1">
      <alignment horizontal="left" vertical="center" wrapText="1" indent="1"/>
    </xf>
    <xf numFmtId="0" fontId="28" fillId="37" borderId="26" xfId="0" applyFont="1" applyFill="1" applyBorder="1" applyAlignment="1">
      <alignment horizontal="left" vertical="center" wrapText="1" indent="1"/>
    </xf>
    <xf numFmtId="0" fontId="28" fillId="37" borderId="20" xfId="0" applyFont="1" applyFill="1" applyBorder="1" applyAlignment="1">
      <alignment horizontal="left" vertical="center" wrapText="1" indent="1"/>
    </xf>
    <xf numFmtId="0" fontId="29" fillId="34" borderId="25" xfId="0" applyFont="1" applyFill="1" applyBorder="1" applyAlignment="1">
      <alignment horizontal="left" vertical="center" wrapText="1" indent="1"/>
    </xf>
    <xf numFmtId="0" fontId="29" fillId="34" borderId="32" xfId="0" applyFont="1" applyFill="1" applyBorder="1" applyAlignment="1">
      <alignment horizontal="left" vertical="center" wrapText="1" indent="1"/>
    </xf>
    <xf numFmtId="0" fontId="29" fillId="34" borderId="26" xfId="0" applyFont="1" applyFill="1" applyBorder="1" applyAlignment="1">
      <alignment horizontal="left" vertical="center" wrapText="1" indent="1"/>
    </xf>
    <xf numFmtId="0" fontId="28" fillId="37" borderId="22" xfId="0" applyFont="1" applyFill="1" applyBorder="1" applyAlignment="1">
      <alignment horizontal="left" vertical="center" wrapText="1" indent="1"/>
    </xf>
    <xf numFmtId="0" fontId="28" fillId="37" borderId="23" xfId="0" applyFont="1" applyFill="1" applyBorder="1" applyAlignment="1">
      <alignment horizontal="left" vertical="center" wrapText="1" indent="1"/>
    </xf>
    <xf numFmtId="0" fontId="28" fillId="37" borderId="24" xfId="0" applyFont="1" applyFill="1" applyBorder="1" applyAlignment="1">
      <alignment horizontal="left" vertical="center" wrapText="1" indent="1"/>
    </xf>
    <xf numFmtId="0" fontId="29" fillId="34" borderId="39" xfId="0" applyFont="1" applyFill="1" applyBorder="1" applyAlignment="1">
      <alignment horizontal="center" vertical="center" wrapText="1"/>
    </xf>
    <xf numFmtId="0" fontId="29" fillId="34" borderId="45" xfId="0" applyFont="1" applyFill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34" borderId="40" xfId="0" applyFont="1" applyFill="1" applyBorder="1" applyAlignment="1">
      <alignment horizontal="center" vertical="center" wrapText="1"/>
    </xf>
    <xf numFmtId="0" fontId="29" fillId="34" borderId="41" xfId="0" applyFont="1" applyFill="1" applyBorder="1" applyAlignment="1">
      <alignment horizontal="center" vertical="center" wrapText="1"/>
    </xf>
    <xf numFmtId="0" fontId="29" fillId="34" borderId="50" xfId="0" applyFont="1" applyFill="1" applyBorder="1" applyAlignment="1">
      <alignment horizontal="center" vertical="center" wrapText="1"/>
    </xf>
    <xf numFmtId="0" fontId="28" fillId="37" borderId="5" xfId="0" applyFont="1" applyFill="1" applyBorder="1" applyAlignment="1">
      <alignment horizontal="left" vertical="center" wrapText="1" indent="1"/>
    </xf>
    <xf numFmtId="0" fontId="28" fillId="37" borderId="21" xfId="0" applyFont="1" applyFill="1" applyBorder="1" applyAlignment="1">
      <alignment horizontal="left" vertical="center" wrapText="1" indent="1"/>
    </xf>
    <xf numFmtId="0" fontId="36" fillId="38" borderId="0" xfId="0" applyFont="1" applyFill="1" applyBorder="1" applyAlignment="1">
      <alignment horizontal="center" vertical="center"/>
    </xf>
    <xf numFmtId="0" fontId="28" fillId="37" borderId="6" xfId="0" applyFont="1" applyFill="1" applyBorder="1" applyAlignment="1">
      <alignment horizontal="center" vertical="center" wrapText="1"/>
    </xf>
    <xf numFmtId="0" fontId="28" fillId="37" borderId="0" xfId="0" applyFont="1" applyFill="1" applyBorder="1" applyAlignment="1">
      <alignment horizontal="center" vertical="center" wrapText="1"/>
    </xf>
    <xf numFmtId="0" fontId="28" fillId="37" borderId="27" xfId="0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8" fillId="37" borderId="7" xfId="0" applyFont="1" applyFill="1" applyBorder="1" applyAlignment="1">
      <alignment horizontal="center" vertical="center" wrapText="1"/>
    </xf>
    <xf numFmtId="0" fontId="28" fillId="37" borderId="19" xfId="0" applyFont="1" applyFill="1" applyBorder="1" applyAlignment="1">
      <alignment horizontal="center" vertical="center" wrapText="1"/>
    </xf>
    <xf numFmtId="0" fontId="28" fillId="37" borderId="20" xfId="0" applyFont="1" applyFill="1" applyBorder="1" applyAlignment="1">
      <alignment horizontal="center" vertical="center" wrapText="1"/>
    </xf>
    <xf numFmtId="0" fontId="28" fillId="37" borderId="22" xfId="0" applyFont="1" applyFill="1" applyBorder="1" applyAlignment="1">
      <alignment horizontal="center" vertical="center" wrapText="1"/>
    </xf>
    <xf numFmtId="0" fontId="28" fillId="37" borderId="23" xfId="0" applyFont="1" applyFill="1" applyBorder="1" applyAlignment="1">
      <alignment horizontal="center" vertical="center" wrapText="1"/>
    </xf>
    <xf numFmtId="0" fontId="28" fillId="37" borderId="24" xfId="0" applyFont="1" applyFill="1" applyBorder="1" applyAlignment="1">
      <alignment horizontal="center" vertical="center" wrapText="1"/>
    </xf>
    <xf numFmtId="49" fontId="0" fillId="0" borderId="52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33" borderId="56" xfId="0" applyFont="1" applyFill="1" applyBorder="1" applyAlignment="1">
      <alignment horizontal="left" vertical="center" wrapText="1" indent="1"/>
    </xf>
    <xf numFmtId="0" fontId="29" fillId="33" borderId="57" xfId="0" applyFont="1" applyFill="1" applyBorder="1" applyAlignment="1">
      <alignment horizontal="left" vertical="center" wrapText="1" indent="1"/>
    </xf>
    <xf numFmtId="0" fontId="29" fillId="37" borderId="2" xfId="0" applyFont="1" applyFill="1" applyBorder="1" applyAlignment="1">
      <alignment horizontal="center" vertical="center" wrapText="1"/>
    </xf>
    <xf numFmtId="0" fontId="29" fillId="37" borderId="1" xfId="0" applyFont="1" applyFill="1" applyBorder="1" applyAlignment="1">
      <alignment horizontal="center" vertical="center" wrapText="1"/>
    </xf>
    <xf numFmtId="0" fontId="33" fillId="34" borderId="39" xfId="0" applyFont="1" applyFill="1" applyBorder="1" applyAlignment="1">
      <alignment horizontal="center" vertical="center" wrapText="1"/>
    </xf>
    <xf numFmtId="0" fontId="33" fillId="34" borderId="45" xfId="0" applyFont="1" applyFill="1" applyBorder="1" applyAlignment="1">
      <alignment horizontal="center" vertical="center" wrapText="1"/>
    </xf>
    <xf numFmtId="0" fontId="28" fillId="37" borderId="8" xfId="0" applyFont="1" applyFill="1" applyBorder="1" applyAlignment="1">
      <alignment horizontal="left" vertical="center" wrapText="1" indent="1"/>
    </xf>
    <xf numFmtId="0" fontId="28" fillId="37" borderId="34" xfId="0" applyFont="1" applyFill="1" applyBorder="1" applyAlignment="1">
      <alignment horizontal="left" vertical="center" wrapText="1" indent="1"/>
    </xf>
    <xf numFmtId="0" fontId="28" fillId="37" borderId="35" xfId="0" applyFont="1" applyFill="1" applyBorder="1" applyAlignment="1">
      <alignment horizontal="left" vertical="center" wrapText="1" indent="1"/>
    </xf>
    <xf numFmtId="0" fontId="29" fillId="37" borderId="31" xfId="0" applyFont="1" applyFill="1" applyBorder="1" applyAlignment="1">
      <alignment horizontal="center" vertical="center" wrapText="1"/>
    </xf>
    <xf numFmtId="0" fontId="29" fillId="37" borderId="32" xfId="0" applyFont="1" applyFill="1" applyBorder="1" applyAlignment="1">
      <alignment horizontal="center" vertical="center" wrapText="1"/>
    </xf>
    <xf numFmtId="0" fontId="29" fillId="37" borderId="26" xfId="0" applyFont="1" applyFill="1" applyBorder="1" applyAlignment="1">
      <alignment horizontal="center" vertical="center" wrapText="1"/>
    </xf>
    <xf numFmtId="0" fontId="30" fillId="34" borderId="18" xfId="0" applyFont="1" applyFill="1" applyBorder="1" applyAlignment="1">
      <alignment horizontal="center" vertical="center" wrapText="1"/>
    </xf>
    <xf numFmtId="0" fontId="31" fillId="37" borderId="2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0" fillId="37" borderId="1" xfId="0" applyFont="1" applyFill="1" applyBorder="1" applyAlignment="1">
      <alignment horizontal="center" vertical="center" wrapText="1"/>
    </xf>
    <xf numFmtId="0" fontId="20" fillId="0" borderId="0" xfId="54" applyFont="1" applyAlignment="1">
      <alignment horizontal="center" vertical="top"/>
    </xf>
    <xf numFmtId="0" fontId="31" fillId="41" borderId="1" xfId="54" applyFont="1" applyFill="1" applyBorder="1" applyAlignment="1">
      <alignment horizontal="center" vertical="center" textRotation="255"/>
    </xf>
    <xf numFmtId="0" fontId="20" fillId="0" borderId="1" xfId="54" applyFont="1" applyBorder="1" applyAlignment="1">
      <alignment horizontal="center" vertical="center" wrapText="1"/>
    </xf>
    <xf numFmtId="0" fontId="22" fillId="45" borderId="21" xfId="54" applyFont="1" applyFill="1" applyBorder="1" applyAlignment="1">
      <alignment horizontal="center" vertical="center" wrapText="1"/>
    </xf>
    <xf numFmtId="0" fontId="22" fillId="45" borderId="5" xfId="54" applyFont="1" applyFill="1" applyBorder="1" applyAlignment="1">
      <alignment horizontal="center" vertical="center" wrapText="1"/>
    </xf>
    <xf numFmtId="0" fontId="21" fillId="42" borderId="21" xfId="54" applyFont="1" applyFill="1" applyBorder="1" applyAlignment="1">
      <alignment horizontal="center" vertical="center" wrapText="1"/>
    </xf>
    <xf numFmtId="0" fontId="21" fillId="42" borderId="5" xfId="54" applyFont="1" applyFill="1" applyBorder="1" applyAlignment="1">
      <alignment horizontal="center" vertical="center" wrapText="1"/>
    </xf>
    <xf numFmtId="171" fontId="21" fillId="42" borderId="21" xfId="54" applyNumberFormat="1" applyFont="1" applyFill="1" applyBorder="1" applyAlignment="1">
      <alignment horizontal="center" vertical="center" wrapText="1"/>
    </xf>
    <xf numFmtId="171" fontId="21" fillId="42" borderId="5" xfId="54" applyNumberFormat="1" applyFont="1" applyFill="1" applyBorder="1" applyAlignment="1">
      <alignment horizontal="center" vertical="center" wrapText="1"/>
    </xf>
    <xf numFmtId="171" fontId="21" fillId="41" borderId="21" xfId="54" applyNumberFormat="1" applyFont="1" applyFill="1" applyBorder="1" applyAlignment="1">
      <alignment horizontal="center" vertical="center" wrapText="1"/>
    </xf>
    <xf numFmtId="171" fontId="21" fillId="41" borderId="5" xfId="54" applyNumberFormat="1" applyFont="1" applyFill="1" applyBorder="1" applyAlignment="1">
      <alignment horizontal="center" vertical="center" wrapText="1"/>
    </xf>
    <xf numFmtId="0" fontId="31" fillId="39" borderId="21" xfId="54" applyFont="1" applyFill="1" applyBorder="1" applyAlignment="1">
      <alignment horizontal="center" vertical="center" wrapText="1"/>
    </xf>
    <xf numFmtId="0" fontId="31" fillId="39" borderId="5" xfId="54" applyFont="1" applyFill="1" applyBorder="1" applyAlignment="1">
      <alignment horizontal="center" vertical="center" wrapText="1"/>
    </xf>
    <xf numFmtId="171" fontId="21" fillId="39" borderId="21" xfId="54" applyNumberFormat="1" applyFont="1" applyFill="1" applyBorder="1" applyAlignment="1">
      <alignment horizontal="center" vertical="center" wrapText="1"/>
    </xf>
    <xf numFmtId="171" fontId="21" fillId="39" borderId="5" xfId="54" applyNumberFormat="1" applyFont="1" applyFill="1" applyBorder="1" applyAlignment="1">
      <alignment horizontal="center" vertical="center" wrapText="1"/>
    </xf>
    <xf numFmtId="0" fontId="39" fillId="34" borderId="6" xfId="54" applyFont="1" applyFill="1" applyBorder="1" applyAlignment="1">
      <alignment horizontal="left" vertical="center" wrapText="1"/>
    </xf>
    <xf numFmtId="0" fontId="39" fillId="34" borderId="0" xfId="54" applyFont="1" applyFill="1" applyAlignment="1">
      <alignment horizontal="left" vertical="center" wrapText="1"/>
    </xf>
    <xf numFmtId="0" fontId="39" fillId="42" borderId="6" xfId="54" applyFont="1" applyFill="1" applyBorder="1" applyAlignment="1">
      <alignment horizontal="left" vertical="center" wrapText="1"/>
    </xf>
    <xf numFmtId="0" fontId="39" fillId="42" borderId="0" xfId="54" applyFont="1" applyFill="1" applyAlignment="1">
      <alignment horizontal="left" vertical="center" wrapText="1"/>
    </xf>
    <xf numFmtId="0" fontId="31" fillId="0" borderId="1" xfId="54" applyFont="1" applyBorder="1" applyAlignment="1">
      <alignment horizontal="center" vertical="center"/>
    </xf>
    <xf numFmtId="0" fontId="21" fillId="43" borderId="6" xfId="54" applyFont="1" applyFill="1" applyBorder="1" applyAlignment="1">
      <alignment horizontal="left" vertical="center" wrapText="1"/>
    </xf>
    <xf numFmtId="0" fontId="21" fillId="43" borderId="0" xfId="54" applyFont="1" applyFill="1" applyAlignment="1">
      <alignment horizontal="left" vertical="center" wrapText="1"/>
    </xf>
    <xf numFmtId="0" fontId="39" fillId="0" borderId="6" xfId="54" applyFont="1" applyBorder="1" applyAlignment="1">
      <alignment horizontal="left" vertical="center" wrapText="1"/>
    </xf>
    <xf numFmtId="0" fontId="39" fillId="0" borderId="0" xfId="54" applyFont="1" applyAlignment="1">
      <alignment horizontal="left" vertical="center" wrapText="1"/>
    </xf>
    <xf numFmtId="0" fontId="31" fillId="34" borderId="1" xfId="54" applyFont="1" applyFill="1" applyBorder="1" applyAlignment="1">
      <alignment horizontal="right" vertical="center"/>
    </xf>
    <xf numFmtId="0" fontId="20" fillId="0" borderId="21" xfId="54" applyFont="1" applyBorder="1" applyAlignment="1">
      <alignment horizontal="center" vertical="center" wrapText="1"/>
    </xf>
    <xf numFmtId="0" fontId="20" fillId="0" borderId="5" xfId="54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9" fontId="39" fillId="42" borderId="21" xfId="54" applyNumberFormat="1" applyFont="1" applyFill="1" applyBorder="1" applyAlignment="1">
      <alignment horizontal="center" vertical="center" wrapText="1"/>
    </xf>
    <xf numFmtId="169" fontId="39" fillId="42" borderId="5" xfId="54" applyNumberFormat="1" applyFont="1" applyFill="1" applyBorder="1" applyAlignment="1">
      <alignment horizontal="center" vertical="center" wrapText="1"/>
    </xf>
    <xf numFmtId="169" fontId="39" fillId="42" borderId="21" xfId="56" applyNumberFormat="1" applyFont="1" applyFill="1" applyBorder="1" applyAlignment="1">
      <alignment horizontal="center" vertical="center" wrapText="1"/>
    </xf>
    <xf numFmtId="169" fontId="39" fillId="42" borderId="5" xfId="56" applyNumberFormat="1" applyFont="1" applyFill="1" applyBorder="1" applyAlignment="1">
      <alignment horizontal="center" vertical="center" wrapText="1"/>
    </xf>
    <xf numFmtId="171" fontId="21" fillId="39" borderId="22" xfId="54" applyNumberFormat="1" applyFont="1" applyFill="1" applyBorder="1" applyAlignment="1">
      <alignment horizontal="center" vertical="center" wrapText="1"/>
    </xf>
    <xf numFmtId="171" fontId="21" fillId="39" borderId="23" xfId="54" applyNumberFormat="1" applyFont="1" applyFill="1" applyBorder="1" applyAlignment="1">
      <alignment horizontal="center" vertical="center" wrapText="1"/>
    </xf>
    <xf numFmtId="171" fontId="21" fillId="39" borderId="24" xfId="54" applyNumberFormat="1" applyFont="1" applyFill="1" applyBorder="1" applyAlignment="1">
      <alignment horizontal="center" vertical="center" wrapText="1"/>
    </xf>
    <xf numFmtId="171" fontId="21" fillId="39" borderId="6" xfId="54" applyNumberFormat="1" applyFont="1" applyFill="1" applyBorder="1" applyAlignment="1">
      <alignment horizontal="center" vertical="center" wrapText="1"/>
    </xf>
    <xf numFmtId="171" fontId="21" fillId="39" borderId="0" xfId="54" applyNumberFormat="1" applyFont="1" applyFill="1" applyBorder="1" applyAlignment="1">
      <alignment horizontal="center" vertical="center" wrapText="1"/>
    </xf>
    <xf numFmtId="171" fontId="21" fillId="39" borderId="27" xfId="54" applyNumberFormat="1" applyFont="1" applyFill="1" applyBorder="1" applyAlignment="1">
      <alignment horizontal="center" vertical="center" wrapText="1"/>
    </xf>
    <xf numFmtId="171" fontId="21" fillId="39" borderId="25" xfId="54" applyNumberFormat="1" applyFont="1" applyFill="1" applyBorder="1" applyAlignment="1">
      <alignment horizontal="center" vertical="center" wrapText="1"/>
    </xf>
    <xf numFmtId="171" fontId="21" fillId="39" borderId="32" xfId="54" applyNumberFormat="1" applyFont="1" applyFill="1" applyBorder="1" applyAlignment="1">
      <alignment horizontal="center" vertical="center" wrapText="1"/>
    </xf>
    <xf numFmtId="171" fontId="21" fillId="39" borderId="26" xfId="54" applyNumberFormat="1" applyFont="1" applyFill="1" applyBorder="1" applyAlignment="1">
      <alignment horizontal="center" vertical="center" wrapText="1"/>
    </xf>
    <xf numFmtId="0" fontId="22" fillId="38" borderId="1" xfId="54" applyFont="1" applyFill="1" applyBorder="1" applyAlignment="1">
      <alignment horizontal="center" vertical="center" wrapText="1"/>
    </xf>
    <xf numFmtId="0" fontId="22" fillId="40" borderId="1" xfId="54" applyFont="1" applyFill="1" applyBorder="1" applyAlignment="1">
      <alignment horizontal="center" vertical="center" wrapText="1"/>
    </xf>
    <xf numFmtId="0" fontId="21" fillId="42" borderId="1" xfId="54" applyFont="1" applyFill="1" applyBorder="1" applyAlignment="1">
      <alignment horizontal="center" vertical="center" wrapText="1"/>
    </xf>
    <xf numFmtId="0" fontId="21" fillId="41" borderId="1" xfId="54" applyFont="1" applyFill="1" applyBorder="1" applyAlignment="1">
      <alignment horizontal="center" vertical="center" wrapText="1"/>
    </xf>
    <xf numFmtId="0" fontId="20" fillId="38" borderId="1" xfId="54" applyFont="1" applyFill="1" applyBorder="1" applyAlignment="1">
      <alignment horizontal="center" vertical="top"/>
    </xf>
    <xf numFmtId="0" fontId="22" fillId="38" borderId="1" xfId="54" applyFont="1" applyFill="1" applyBorder="1" applyAlignment="1">
      <alignment horizontal="center" vertical="top" wrapText="1"/>
    </xf>
    <xf numFmtId="0" fontId="31" fillId="40" borderId="1" xfId="54" applyFont="1" applyFill="1" applyBorder="1" applyAlignment="1">
      <alignment horizontal="center" vertical="center"/>
    </xf>
    <xf numFmtId="0" fontId="39" fillId="41" borderId="6" xfId="54" applyFont="1" applyFill="1" applyBorder="1" applyAlignment="1">
      <alignment horizontal="left" vertical="center" wrapText="1" readingOrder="1"/>
    </xf>
    <xf numFmtId="0" fontId="39" fillId="41" borderId="0" xfId="54" applyFont="1" applyFill="1" applyAlignment="1">
      <alignment horizontal="left" vertical="center" wrapText="1" readingOrder="1"/>
    </xf>
    <xf numFmtId="0" fontId="39" fillId="39" borderId="6" xfId="54" applyFont="1" applyFill="1" applyBorder="1" applyAlignment="1">
      <alignment horizontal="left" vertical="center" wrapText="1"/>
    </xf>
    <xf numFmtId="0" fontId="39" fillId="39" borderId="0" xfId="54" applyFont="1" applyFill="1" applyAlignment="1">
      <alignment horizontal="left" vertical="center" wrapText="1"/>
    </xf>
    <xf numFmtId="9" fontId="20" fillId="41" borderId="21" xfId="55" applyFont="1" applyFill="1" applyBorder="1" applyAlignment="1">
      <alignment horizontal="center" vertical="center" wrapText="1"/>
    </xf>
    <xf numFmtId="9" fontId="20" fillId="41" borderId="5" xfId="55" applyFont="1" applyFill="1" applyBorder="1" applyAlignment="1">
      <alignment horizontal="center" vertical="center" wrapText="1"/>
    </xf>
    <xf numFmtId="0" fontId="20" fillId="39" borderId="21" xfId="55" applyNumberFormat="1" applyFont="1" applyFill="1" applyBorder="1" applyAlignment="1">
      <alignment horizontal="center" vertical="center" wrapText="1"/>
    </xf>
    <xf numFmtId="0" fontId="20" fillId="39" borderId="5" xfId="55" applyNumberFormat="1" applyFont="1" applyFill="1" applyBorder="1" applyAlignment="1">
      <alignment horizontal="center" vertical="center" wrapText="1"/>
    </xf>
    <xf numFmtId="167" fontId="20" fillId="39" borderId="21" xfId="54" applyNumberFormat="1" applyFont="1" applyFill="1" applyBorder="1" applyAlignment="1">
      <alignment horizontal="center" vertical="center" wrapText="1"/>
    </xf>
    <xf numFmtId="167" fontId="20" fillId="39" borderId="5" xfId="54" applyNumberFormat="1" applyFont="1" applyFill="1" applyBorder="1" applyAlignment="1">
      <alignment horizontal="center" vertical="center" wrapText="1"/>
    </xf>
    <xf numFmtId="167" fontId="20" fillId="39" borderId="21" xfId="54" applyNumberFormat="1" applyFont="1" applyFill="1" applyBorder="1" applyAlignment="1">
      <alignment horizontal="center" vertical="center"/>
    </xf>
    <xf numFmtId="167" fontId="20" fillId="39" borderId="5" xfId="54" applyNumberFormat="1" applyFont="1" applyFill="1" applyBorder="1" applyAlignment="1">
      <alignment horizontal="center" vertical="center"/>
    </xf>
    <xf numFmtId="168" fontId="39" fillId="41" borderId="21" xfId="56" applyNumberFormat="1" applyFont="1" applyFill="1" applyBorder="1" applyAlignment="1">
      <alignment horizontal="center" vertical="center" wrapText="1"/>
    </xf>
    <xf numFmtId="168" fontId="39" fillId="41" borderId="5" xfId="56" applyNumberFormat="1" applyFont="1" applyFill="1" applyBorder="1" applyAlignment="1">
      <alignment horizontal="center" vertical="center" wrapText="1"/>
    </xf>
    <xf numFmtId="168" fontId="20" fillId="41" borderId="21" xfId="54" applyNumberFormat="1" applyFont="1" applyFill="1" applyBorder="1" applyAlignment="1">
      <alignment horizontal="center" vertical="center" wrapText="1"/>
    </xf>
    <xf numFmtId="168" fontId="20" fillId="41" borderId="5" xfId="54" applyNumberFormat="1" applyFont="1" applyFill="1" applyBorder="1" applyAlignment="1">
      <alignment horizontal="center" vertical="center" wrapText="1"/>
    </xf>
    <xf numFmtId="0" fontId="22" fillId="38" borderId="21" xfId="54" applyFont="1" applyFill="1" applyBorder="1" applyAlignment="1">
      <alignment horizontal="center" vertical="center" wrapText="1"/>
    </xf>
    <xf numFmtId="0" fontId="22" fillId="38" borderId="5" xfId="54" applyFont="1" applyFill="1" applyBorder="1" applyAlignment="1">
      <alignment horizontal="center" vertical="center" wrapText="1"/>
    </xf>
    <xf numFmtId="0" fontId="31" fillId="0" borderId="1" xfId="54" applyFont="1" applyBorder="1" applyAlignment="1">
      <alignment horizontal="center" vertical="center" textRotation="255"/>
    </xf>
    <xf numFmtId="0" fontId="20" fillId="38" borderId="22" xfId="54" applyFont="1" applyFill="1" applyBorder="1" applyAlignment="1">
      <alignment horizontal="center" vertical="top"/>
    </xf>
    <xf numFmtId="0" fontId="20" fillId="38" borderId="23" xfId="54" applyFont="1" applyFill="1" applyBorder="1" applyAlignment="1">
      <alignment horizontal="center" vertical="top"/>
    </xf>
    <xf numFmtId="0" fontId="20" fillId="38" borderId="24" xfId="54" applyFont="1" applyFill="1" applyBorder="1" applyAlignment="1">
      <alignment horizontal="center" vertical="top"/>
    </xf>
    <xf numFmtId="0" fontId="21" fillId="42" borderId="22" xfId="54" applyFont="1" applyFill="1" applyBorder="1" applyAlignment="1">
      <alignment horizontal="center" vertical="center" wrapText="1"/>
    </xf>
    <xf numFmtId="0" fontId="21" fillId="42" borderId="23" xfId="54" applyFont="1" applyFill="1" applyBorder="1" applyAlignment="1">
      <alignment horizontal="center" vertical="center" wrapText="1"/>
    </xf>
    <xf numFmtId="0" fontId="21" fillId="42" borderId="24" xfId="54" applyFont="1" applyFill="1" applyBorder="1" applyAlignment="1">
      <alignment horizontal="center" vertical="center" wrapText="1"/>
    </xf>
    <xf numFmtId="0" fontId="21" fillId="42" borderId="6" xfId="54" applyFont="1" applyFill="1" applyBorder="1" applyAlignment="1">
      <alignment horizontal="center" vertical="center" wrapText="1"/>
    </xf>
    <xf numFmtId="0" fontId="21" fillId="42" borderId="0" xfId="54" applyFont="1" applyFill="1" applyAlignment="1">
      <alignment horizontal="center" vertical="center" wrapText="1"/>
    </xf>
    <xf numFmtId="0" fontId="21" fillId="42" borderId="27" xfId="54" applyFont="1" applyFill="1" applyBorder="1" applyAlignment="1">
      <alignment horizontal="center" vertical="center" wrapText="1"/>
    </xf>
    <xf numFmtId="0" fontId="21" fillId="42" borderId="32" xfId="54" applyFont="1" applyFill="1" applyBorder="1" applyAlignment="1">
      <alignment horizontal="center" vertical="center" wrapText="1"/>
    </xf>
    <xf numFmtId="0" fontId="21" fillId="42" borderId="26" xfId="54" applyFont="1" applyFill="1" applyBorder="1" applyAlignment="1">
      <alignment horizontal="center" vertical="center" wrapText="1"/>
    </xf>
    <xf numFmtId="0" fontId="21" fillId="41" borderId="22" xfId="54" applyFont="1" applyFill="1" applyBorder="1" applyAlignment="1">
      <alignment horizontal="center" vertical="center" wrapText="1"/>
    </xf>
    <xf numFmtId="0" fontId="21" fillId="41" borderId="23" xfId="54" applyFont="1" applyFill="1" applyBorder="1" applyAlignment="1">
      <alignment horizontal="center" vertical="center" wrapText="1"/>
    </xf>
    <xf numFmtId="0" fontId="21" fillId="41" borderId="24" xfId="54" applyFont="1" applyFill="1" applyBorder="1" applyAlignment="1">
      <alignment horizontal="center" vertical="center" wrapText="1"/>
    </xf>
    <xf numFmtId="0" fontId="21" fillId="41" borderId="6" xfId="54" applyFont="1" applyFill="1" applyBorder="1" applyAlignment="1">
      <alignment horizontal="center" vertical="center" wrapText="1"/>
    </xf>
    <xf numFmtId="0" fontId="21" fillId="41" borderId="0" xfId="54" applyFont="1" applyFill="1" applyAlignment="1">
      <alignment horizontal="center" vertical="center" wrapText="1"/>
    </xf>
    <xf numFmtId="0" fontId="21" fillId="41" borderId="27" xfId="54" applyFont="1" applyFill="1" applyBorder="1" applyAlignment="1">
      <alignment horizontal="center" vertical="center" wrapText="1"/>
    </xf>
    <xf numFmtId="0" fontId="21" fillId="41" borderId="25" xfId="54" applyFont="1" applyFill="1" applyBorder="1" applyAlignment="1">
      <alignment horizontal="center" vertical="center" wrapText="1"/>
    </xf>
    <xf numFmtId="0" fontId="21" fillId="41" borderId="32" xfId="54" applyFont="1" applyFill="1" applyBorder="1" applyAlignment="1">
      <alignment horizontal="center" vertical="center" wrapText="1"/>
    </xf>
    <xf numFmtId="0" fontId="21" fillId="41" borderId="26" xfId="54" applyFont="1" applyFill="1" applyBorder="1" applyAlignment="1">
      <alignment horizontal="center" vertical="center" wrapText="1"/>
    </xf>
    <xf numFmtId="0" fontId="22" fillId="38" borderId="22" xfId="54" applyFont="1" applyFill="1" applyBorder="1" applyAlignment="1">
      <alignment horizontal="center" vertical="center" wrapText="1"/>
    </xf>
    <xf numFmtId="0" fontId="22" fillId="38" borderId="23" xfId="54" applyFont="1" applyFill="1" applyBorder="1" applyAlignment="1">
      <alignment horizontal="center" vertical="center" wrapText="1"/>
    </xf>
    <xf numFmtId="0" fontId="22" fillId="38" borderId="7" xfId="54" applyFont="1" applyFill="1" applyBorder="1" applyAlignment="1">
      <alignment horizontal="center" vertical="center" wrapText="1"/>
    </xf>
    <xf numFmtId="0" fontId="22" fillId="38" borderId="19" xfId="54" applyFont="1" applyFill="1" applyBorder="1" applyAlignment="1">
      <alignment horizontal="center" vertical="center" wrapText="1"/>
    </xf>
    <xf numFmtId="0" fontId="22" fillId="38" borderId="20" xfId="54" applyFont="1" applyFill="1" applyBorder="1" applyAlignment="1">
      <alignment horizontal="center" vertical="center" wrapText="1"/>
    </xf>
    <xf numFmtId="0" fontId="20" fillId="38" borderId="7" xfId="54" applyFont="1" applyFill="1" applyBorder="1" applyAlignment="1">
      <alignment horizontal="center" vertical="top"/>
    </xf>
    <xf numFmtId="0" fontId="20" fillId="38" borderId="19" xfId="54" applyFont="1" applyFill="1" applyBorder="1" applyAlignment="1">
      <alignment horizontal="center" vertical="top"/>
    </xf>
    <xf numFmtId="0" fontId="20" fillId="38" borderId="20" xfId="54" applyFont="1" applyFill="1" applyBorder="1" applyAlignment="1">
      <alignment horizontal="center" vertical="top"/>
    </xf>
    <xf numFmtId="0" fontId="31" fillId="40" borderId="7" xfId="54" applyFont="1" applyFill="1" applyBorder="1" applyAlignment="1">
      <alignment horizontal="center" vertical="center"/>
    </xf>
    <xf numFmtId="0" fontId="31" fillId="40" borderId="19" xfId="54" applyFont="1" applyFill="1" applyBorder="1" applyAlignment="1">
      <alignment horizontal="center" vertical="center"/>
    </xf>
    <xf numFmtId="0" fontId="31" fillId="40" borderId="20" xfId="54" applyFont="1" applyFill="1" applyBorder="1" applyAlignment="1">
      <alignment horizontal="center" vertical="center"/>
    </xf>
  </cellXfs>
  <cellStyles count="59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Hiperlink" xfId="53" builtinId="8"/>
    <cellStyle name="Incorreto" xfId="11" builtinId="27" customBuiltin="1"/>
    <cellStyle name="Moeda" xfId="52" builtinId="4"/>
    <cellStyle name="Moeda 8" xfId="56"/>
    <cellStyle name="Moeda 8 2" xfId="58"/>
    <cellStyle name="Neutra" xfId="12" builtinId="28" customBuiltin="1"/>
    <cellStyle name="Normal" xfId="0" builtinId="0"/>
    <cellStyle name="Normal 2" xfId="47"/>
    <cellStyle name="Normal 2 2" xfId="57"/>
    <cellStyle name="Normal 3" xfId="54"/>
    <cellStyle name="Nota" xfId="19" builtinId="10" customBuiltin="1"/>
    <cellStyle name="Porcentagem" xfId="1" builtinId="5"/>
    <cellStyle name="Porcentagem 2" xfId="55"/>
    <cellStyle name="Saída" xfId="14" builtinId="21" customBuiltin="1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 2" xfId="2"/>
    <cellStyle name="Vírgula 3" xfId="4"/>
    <cellStyle name="Vírgula 3 2" xfId="50"/>
    <cellStyle name="Vírgula 4" xfId="3"/>
    <cellStyle name="Vírgula 4 2" xfId="49"/>
    <cellStyle name="Vírgula 5" xfId="46"/>
    <cellStyle name="Vírgula 5 2" xfId="51"/>
    <cellStyle name="Vírgula 6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988247</xdr:colOff>
      <xdr:row>0</xdr:row>
      <xdr:rowOff>104775</xdr:rowOff>
    </xdr:from>
    <xdr:to>
      <xdr:col>3</xdr:col>
      <xdr:colOff>1583221</xdr:colOff>
      <xdr:row>0</xdr:row>
      <xdr:rowOff>710083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6F08BBC-B3FE-4B38-8F63-1D8DEF14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6272" y="104775"/>
          <a:ext cx="594974" cy="6053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158749</xdr:colOff>
      <xdr:row>0</xdr:row>
      <xdr:rowOff>142875</xdr:rowOff>
    </xdr:from>
    <xdr:to>
      <xdr:col>22</xdr:col>
      <xdr:colOff>952500</xdr:colOff>
      <xdr:row>2</xdr:row>
      <xdr:rowOff>40702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011019-15C6-4BFE-9B97-E780604FF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03874" y="142875"/>
          <a:ext cx="793751" cy="850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1197797</xdr:colOff>
      <xdr:row>0</xdr:row>
      <xdr:rowOff>85725</xdr:rowOff>
    </xdr:from>
    <xdr:to>
      <xdr:col>4</xdr:col>
      <xdr:colOff>544996</xdr:colOff>
      <xdr:row>1</xdr:row>
      <xdr:rowOff>24283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6F08BBC-B3FE-4B38-8F63-1D8DEF14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7447" y="85725"/>
          <a:ext cx="594974" cy="6053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904875</xdr:colOff>
      <xdr:row>0</xdr:row>
      <xdr:rowOff>0</xdr:rowOff>
    </xdr:from>
    <xdr:to>
      <xdr:col>7</xdr:col>
      <xdr:colOff>542925</xdr:colOff>
      <xdr:row>0</xdr:row>
      <xdr:rowOff>683066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2ECE075-D073-43BA-B12D-F54080CD4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00" y="180976"/>
          <a:ext cx="619125" cy="6830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904875</xdr:colOff>
      <xdr:row>0</xdr:row>
      <xdr:rowOff>161925</xdr:rowOff>
    </xdr:from>
    <xdr:to>
      <xdr:col>7</xdr:col>
      <xdr:colOff>542925</xdr:colOff>
      <xdr:row>2</xdr:row>
      <xdr:rowOff>92516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AA5B75-B2D3-4718-84E8-CA95947A6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00" y="161925"/>
          <a:ext cx="619125" cy="683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904875</xdr:colOff>
      <xdr:row>0</xdr:row>
      <xdr:rowOff>161925</xdr:rowOff>
    </xdr:from>
    <xdr:to>
      <xdr:col>7</xdr:col>
      <xdr:colOff>542925</xdr:colOff>
      <xdr:row>2</xdr:row>
      <xdr:rowOff>92516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AA5B75-B2D3-4718-84E8-CA95947A6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00" y="161925"/>
          <a:ext cx="619125" cy="6830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904875</xdr:colOff>
      <xdr:row>0</xdr:row>
      <xdr:rowOff>161925</xdr:rowOff>
    </xdr:from>
    <xdr:to>
      <xdr:col>7</xdr:col>
      <xdr:colOff>542925</xdr:colOff>
      <xdr:row>2</xdr:row>
      <xdr:rowOff>92516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AA5B75-B2D3-4718-84E8-CA95947A6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00" y="161925"/>
          <a:ext cx="619125" cy="6830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126999</xdr:colOff>
      <xdr:row>2</xdr:row>
      <xdr:rowOff>79375</xdr:rowOff>
    </xdr:from>
    <xdr:to>
      <xdr:col>17</xdr:col>
      <xdr:colOff>1016000</xdr:colOff>
      <xdr:row>4</xdr:row>
      <xdr:rowOff>75939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61B1706-E98E-44F2-A111-241D148AD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67874" y="492125"/>
          <a:ext cx="889001" cy="9808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1004121</xdr:colOff>
      <xdr:row>0</xdr:row>
      <xdr:rowOff>158750</xdr:rowOff>
    </xdr:from>
    <xdr:to>
      <xdr:col>22</xdr:col>
      <xdr:colOff>650875</xdr:colOff>
      <xdr:row>2</xdr:row>
      <xdr:rowOff>85298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AE25CF8-84E2-45CE-A63B-0039E58F7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12246" y="158750"/>
          <a:ext cx="837379" cy="9107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254000</xdr:colOff>
      <xdr:row>0</xdr:row>
      <xdr:rowOff>127000</xdr:rowOff>
    </xdr:from>
    <xdr:to>
      <xdr:col>39</xdr:col>
      <xdr:colOff>1143000</xdr:colOff>
      <xdr:row>2</xdr:row>
      <xdr:rowOff>46196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E5C2F2-71AB-4EBF-9DF2-034A833B6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0" y="127000"/>
          <a:ext cx="889000" cy="966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8"/>
  <sheetViews>
    <sheetView tabSelected="1" zoomScaleNormal="100" zoomScaleSheetLayoutView="118" workbookViewId="0">
      <selection activeCell="B2" sqref="B2:F2"/>
    </sheetView>
  </sheetViews>
  <sheetFormatPr defaultRowHeight="15"/>
  <cols>
    <col min="1" max="1" width="12.28515625" customWidth="1"/>
    <col min="2" max="2" width="13" customWidth="1"/>
    <col min="3" max="3" width="23.42578125" bestFit="1" customWidth="1"/>
    <col min="4" max="4" width="32.28515625" bestFit="1" customWidth="1"/>
    <col min="5" max="5" width="22.28515625" bestFit="1" customWidth="1"/>
    <col min="6" max="6" width="21" bestFit="1" customWidth="1"/>
    <col min="7" max="7" width="12" bestFit="1" customWidth="1"/>
    <col min="8" max="8" width="11.140625" customWidth="1"/>
    <col min="9" max="9" width="11.42578125" customWidth="1"/>
    <col min="10" max="10" width="14.28515625" customWidth="1"/>
    <col min="11" max="11" width="10.28515625" customWidth="1"/>
    <col min="12" max="12" width="13.42578125" customWidth="1"/>
    <col min="13" max="13" width="13.28515625" customWidth="1"/>
    <col min="14" max="14" width="12" customWidth="1"/>
    <col min="15" max="15" width="27.85546875" bestFit="1" customWidth="1"/>
    <col min="16" max="16" width="15.28515625" bestFit="1" customWidth="1"/>
    <col min="17" max="17" width="26.7109375" bestFit="1" customWidth="1"/>
    <col min="18" max="18" width="10.140625" customWidth="1"/>
    <col min="19" max="19" width="16.5703125" customWidth="1"/>
  </cols>
  <sheetData>
    <row r="1" spans="2:17" ht="61.5" customHeight="1">
      <c r="B1" s="64"/>
      <c r="C1" s="64"/>
      <c r="D1" s="64"/>
      <c r="E1" s="64"/>
      <c r="F1" s="64"/>
      <c r="G1" s="1"/>
      <c r="H1" s="1"/>
      <c r="I1" s="1"/>
      <c r="J1" s="1"/>
      <c r="K1" s="1"/>
      <c r="L1" s="1"/>
      <c r="Q1" s="1"/>
    </row>
    <row r="2" spans="2:17">
      <c r="B2" s="332" t="s">
        <v>514</v>
      </c>
      <c r="C2" s="333"/>
      <c r="D2" s="333"/>
      <c r="E2" s="333"/>
      <c r="F2" s="333"/>
      <c r="G2" s="1"/>
      <c r="H2" s="1"/>
      <c r="I2" s="1"/>
      <c r="J2" s="1"/>
      <c r="K2" s="1"/>
      <c r="L2" s="1"/>
      <c r="Q2" s="1"/>
    </row>
    <row r="3" spans="2:17">
      <c r="B3" s="333" t="s">
        <v>510</v>
      </c>
      <c r="C3" s="333"/>
      <c r="D3" s="333"/>
      <c r="E3" s="333"/>
      <c r="F3" s="333"/>
      <c r="G3" s="1"/>
      <c r="H3" s="1"/>
      <c r="I3" s="1"/>
      <c r="J3" s="1"/>
      <c r="K3" s="1"/>
      <c r="L3" s="1"/>
      <c r="Q3" s="1"/>
    </row>
    <row r="4" spans="2:17">
      <c r="B4" s="333" t="s">
        <v>511</v>
      </c>
      <c r="C4" s="333"/>
      <c r="D4" s="333"/>
      <c r="E4" s="333"/>
      <c r="F4" s="333"/>
      <c r="G4" s="1"/>
      <c r="H4" s="1"/>
      <c r="I4" s="1"/>
      <c r="J4" s="1"/>
      <c r="K4" s="1"/>
      <c r="L4" s="1"/>
      <c r="Q4" s="1"/>
    </row>
    <row r="5" spans="2:17">
      <c r="B5" s="333" t="s">
        <v>512</v>
      </c>
      <c r="C5" s="333"/>
      <c r="D5" s="333"/>
      <c r="E5" s="333"/>
      <c r="F5" s="333"/>
      <c r="G5" s="1"/>
      <c r="H5" s="1"/>
      <c r="I5" s="1"/>
      <c r="J5" s="1"/>
      <c r="K5" s="1"/>
      <c r="L5" s="1"/>
      <c r="Q5" s="1"/>
    </row>
    <row r="6" spans="2:17">
      <c r="B6" s="333" t="s">
        <v>513</v>
      </c>
      <c r="C6" s="333"/>
      <c r="D6" s="333"/>
      <c r="E6" s="333"/>
      <c r="F6" s="333"/>
      <c r="G6" s="1"/>
      <c r="H6" s="1"/>
      <c r="I6" s="1"/>
      <c r="J6" s="1"/>
      <c r="K6" s="1"/>
      <c r="L6" s="1"/>
      <c r="Q6" s="1"/>
    </row>
    <row r="7" spans="2:17" ht="26.25" customHeight="1">
      <c r="B7" s="334" t="s">
        <v>35</v>
      </c>
      <c r="C7" s="334"/>
      <c r="D7" s="334"/>
      <c r="E7" s="334"/>
      <c r="F7" s="334"/>
    </row>
    <row r="8" spans="2:17" ht="23.25" customHeight="1">
      <c r="B8" s="335" t="s">
        <v>33</v>
      </c>
      <c r="C8" s="336"/>
      <c r="D8" s="240" t="s">
        <v>347</v>
      </c>
      <c r="E8" s="234" t="s">
        <v>348</v>
      </c>
      <c r="F8" s="240" t="s">
        <v>342</v>
      </c>
    </row>
    <row r="9" spans="2:17" ht="30" customHeight="1">
      <c r="B9" s="119" t="s">
        <v>53</v>
      </c>
      <c r="C9" s="118" t="s">
        <v>26</v>
      </c>
      <c r="D9" s="135">
        <f>'PLANILHA DE CUSTOS E FORMAÇÃO'!D91:E91</f>
        <v>6.1199999999999992</v>
      </c>
      <c r="E9" s="131">
        <v>14917.04</v>
      </c>
      <c r="F9" s="233">
        <f>E9*D9</f>
        <v>91292.284799999994</v>
      </c>
    </row>
    <row r="10" spans="2:17" ht="30" customHeight="1">
      <c r="B10" s="119" t="s">
        <v>343</v>
      </c>
      <c r="C10" s="118" t="s">
        <v>27</v>
      </c>
      <c r="D10" s="135">
        <f>'PLANILHA DE CUSTOS E FORMAÇÃO'!F91</f>
        <v>2.7199999999999998</v>
      </c>
      <c r="E10" s="131">
        <v>6835.78</v>
      </c>
      <c r="F10" s="233">
        <f>E10*D10</f>
        <v>18593.321599999999</v>
      </c>
    </row>
    <row r="11" spans="2:17" ht="30" customHeight="1">
      <c r="B11" s="119" t="s">
        <v>344</v>
      </c>
      <c r="C11" s="118" t="s">
        <v>340</v>
      </c>
      <c r="D11" s="135">
        <f>'PLANILHA DE CUSTOS E FORMAÇÃO'!H91</f>
        <v>1.45</v>
      </c>
      <c r="E11" s="131">
        <v>3448.03</v>
      </c>
      <c r="F11" s="233">
        <f>E11*D11</f>
        <v>4999.6435000000001</v>
      </c>
    </row>
    <row r="12" spans="2:17" ht="30" customHeight="1">
      <c r="B12" s="119" t="s">
        <v>491</v>
      </c>
      <c r="C12" s="118" t="s">
        <v>494</v>
      </c>
      <c r="D12" s="135">
        <f>'PLANILHA DE CUSTOS E FORMAÇÃO'!J91</f>
        <v>0.4</v>
      </c>
      <c r="E12" s="131">
        <v>2798.14</v>
      </c>
      <c r="F12" s="266">
        <f>E12*D12</f>
        <v>1119.2560000000001</v>
      </c>
    </row>
    <row r="13" spans="2:17" ht="30" customHeight="1">
      <c r="B13" s="119" t="s">
        <v>492</v>
      </c>
      <c r="C13" s="118" t="s">
        <v>493</v>
      </c>
      <c r="D13" s="135">
        <f>'PLANILHA DE CUSTOS E FORMAÇÃO'!L91</f>
        <v>0.37</v>
      </c>
      <c r="E13" s="131">
        <v>922.1</v>
      </c>
      <c r="F13" s="266">
        <f>E13*D13</f>
        <v>341.17700000000002</v>
      </c>
    </row>
    <row r="14" spans="2:17" ht="27.75" customHeight="1">
      <c r="B14" s="337" t="s">
        <v>345</v>
      </c>
      <c r="C14" s="337"/>
      <c r="D14" s="337"/>
      <c r="E14" s="337"/>
      <c r="F14" s="134">
        <f>SUM(F9:F13)</f>
        <v>116345.68289999999</v>
      </c>
    </row>
    <row r="15" spans="2:17" ht="29.25" customHeight="1" thickBot="1">
      <c r="B15" s="338" t="s">
        <v>346</v>
      </c>
      <c r="C15" s="338"/>
      <c r="D15" s="338"/>
      <c r="E15" s="338"/>
      <c r="F15" s="322">
        <f>F14*12</f>
        <v>1396148.1947999997</v>
      </c>
    </row>
    <row r="16" spans="2:17">
      <c r="B16" s="323" t="s">
        <v>546</v>
      </c>
      <c r="C16" s="324"/>
      <c r="D16" s="324"/>
      <c r="E16" s="324"/>
      <c r="F16" s="325"/>
    </row>
    <row r="17" spans="2:6">
      <c r="B17" s="326" t="s">
        <v>547</v>
      </c>
      <c r="C17" s="327"/>
      <c r="D17" s="327"/>
      <c r="E17" s="327"/>
      <c r="F17" s="328"/>
    </row>
    <row r="18" spans="2:6" ht="15.75" thickBot="1">
      <c r="B18" s="329" t="s">
        <v>548</v>
      </c>
      <c r="C18" s="330"/>
      <c r="D18" s="330"/>
      <c r="E18" s="330"/>
      <c r="F18" s="331"/>
    </row>
  </sheetData>
  <mergeCells count="12">
    <mergeCell ref="B16:F16"/>
    <mergeCell ref="B17:F17"/>
    <mergeCell ref="B18:F18"/>
    <mergeCell ref="B2:F2"/>
    <mergeCell ref="B3:F3"/>
    <mergeCell ref="B4:F4"/>
    <mergeCell ref="B5:F5"/>
    <mergeCell ref="B6:F6"/>
    <mergeCell ref="B7:F7"/>
    <mergeCell ref="B8:C8"/>
    <mergeCell ref="B14:E14"/>
    <mergeCell ref="B15:E15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9"/>
  <sheetViews>
    <sheetView zoomScale="60" zoomScaleNormal="60" workbookViewId="0">
      <selection activeCell="B3" sqref="B3:AN3"/>
    </sheetView>
  </sheetViews>
  <sheetFormatPr defaultRowHeight="15.75"/>
  <cols>
    <col min="1" max="1" width="5.85546875" style="77" customWidth="1"/>
    <col min="2" max="2" width="11.42578125" style="77" customWidth="1"/>
    <col min="3" max="3" width="13.85546875" style="77" customWidth="1"/>
    <col min="4" max="4" width="40.28515625" style="77" customWidth="1"/>
    <col min="5" max="5" width="20.5703125" style="77" customWidth="1"/>
    <col min="6" max="6" width="17" style="77" customWidth="1"/>
    <col min="7" max="7" width="18" style="77" customWidth="1"/>
    <col min="8" max="8" width="16.85546875" style="77" customWidth="1"/>
    <col min="9" max="9" width="17.140625" style="77" customWidth="1"/>
    <col min="10" max="10" width="17.85546875" style="78" customWidth="1"/>
    <col min="11" max="11" width="21" style="77" customWidth="1"/>
    <col min="12" max="12" width="18.42578125" style="77" customWidth="1"/>
    <col min="13" max="13" width="16.140625" style="77" customWidth="1"/>
    <col min="14" max="14" width="34.140625" style="77" customWidth="1"/>
    <col min="15" max="15" width="19" style="77" customWidth="1"/>
    <col min="16" max="16" width="18.85546875" style="77" customWidth="1"/>
    <col min="17" max="17" width="22.7109375" style="78" customWidth="1"/>
    <col min="18" max="18" width="20.7109375" style="77" customWidth="1"/>
    <col min="19" max="20" width="17" style="77" customWidth="1"/>
    <col min="21" max="21" width="21.85546875" style="77" customWidth="1"/>
    <col min="22" max="23" width="31.140625" style="77" customWidth="1"/>
    <col min="24" max="24" width="20.7109375" style="77" customWidth="1"/>
    <col min="25" max="25" width="29.7109375" style="77" customWidth="1"/>
    <col min="26" max="26" width="25.140625" style="77" customWidth="1"/>
    <col min="27" max="27" width="26.5703125" style="77" customWidth="1"/>
    <col min="28" max="28" width="25" style="77" customWidth="1"/>
    <col min="29" max="29" width="19.5703125" style="77" bestFit="1" customWidth="1"/>
    <col min="30" max="30" width="26.42578125" style="77" bestFit="1" customWidth="1"/>
    <col min="31" max="31" width="18.7109375" style="77" customWidth="1"/>
    <col min="32" max="32" width="28.7109375" style="77" bestFit="1" customWidth="1"/>
    <col min="33" max="34" width="17.5703125" style="77" customWidth="1"/>
    <col min="35" max="35" width="15.7109375" style="77" customWidth="1"/>
    <col min="36" max="36" width="19.85546875" style="77" customWidth="1"/>
    <col min="37" max="37" width="28" style="77" bestFit="1" customWidth="1"/>
    <col min="38" max="38" width="15.28515625" style="77" customWidth="1"/>
    <col min="39" max="40" width="23.85546875" style="77" customWidth="1"/>
    <col min="41" max="41" width="15.5703125" style="77" customWidth="1"/>
    <col min="42" max="16384" width="9.140625" style="77"/>
  </cols>
  <sheetData>
    <row r="2" spans="1:41" ht="59.25" customHeight="1"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6"/>
      <c r="AI2" s="566"/>
      <c r="AJ2" s="566"/>
      <c r="AK2" s="566"/>
      <c r="AL2" s="566"/>
      <c r="AM2" s="566"/>
      <c r="AN2" s="566"/>
    </row>
    <row r="3" spans="1:41" ht="102" customHeight="1">
      <c r="B3" s="533" t="s">
        <v>487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128"/>
    </row>
    <row r="4" spans="1:41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  <c r="AG4" s="566"/>
      <c r="AH4" s="566"/>
      <c r="AI4" s="566"/>
      <c r="AJ4" s="566"/>
      <c r="AK4" s="566"/>
      <c r="AL4" s="566"/>
      <c r="AM4" s="566"/>
      <c r="AN4" s="566"/>
    </row>
    <row r="5" spans="1:41" ht="31.5" customHeight="1">
      <c r="A5" s="566"/>
      <c r="B5" s="609" t="s">
        <v>192</v>
      </c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10" t="s">
        <v>191</v>
      </c>
      <c r="AD5" s="610"/>
      <c r="AE5" s="610"/>
      <c r="AF5" s="610"/>
      <c r="AG5" s="611" t="s">
        <v>190</v>
      </c>
      <c r="AH5" s="611"/>
      <c r="AI5" s="611"/>
      <c r="AJ5" s="611"/>
      <c r="AK5" s="611"/>
      <c r="AL5" s="599" t="s">
        <v>318</v>
      </c>
      <c r="AM5" s="600"/>
      <c r="AN5" s="601"/>
    </row>
    <row r="6" spans="1:41" ht="18.75" customHeight="1">
      <c r="A6" s="566"/>
      <c r="B6" s="659"/>
      <c r="C6" s="660"/>
      <c r="D6" s="660"/>
      <c r="E6" s="660"/>
      <c r="F6" s="661"/>
      <c r="G6" s="613" t="s">
        <v>189</v>
      </c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0"/>
      <c r="AD6" s="610"/>
      <c r="AE6" s="610"/>
      <c r="AF6" s="610"/>
      <c r="AG6" s="611"/>
      <c r="AH6" s="611"/>
      <c r="AI6" s="611"/>
      <c r="AJ6" s="611"/>
      <c r="AK6" s="611"/>
      <c r="AL6" s="602"/>
      <c r="AM6" s="603"/>
      <c r="AN6" s="604"/>
    </row>
    <row r="7" spans="1:41" ht="57" customHeight="1">
      <c r="A7" s="566"/>
      <c r="B7" s="662" t="s">
        <v>317</v>
      </c>
      <c r="C7" s="663"/>
      <c r="D7" s="663"/>
      <c r="E7" s="663"/>
      <c r="F7" s="664"/>
      <c r="G7" s="656" t="s">
        <v>187</v>
      </c>
      <c r="H7" s="657"/>
      <c r="I7" s="657"/>
      <c r="J7" s="657"/>
      <c r="K7" s="657"/>
      <c r="L7" s="657"/>
      <c r="M7" s="657"/>
      <c r="N7" s="657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08" t="s">
        <v>186</v>
      </c>
      <c r="AA7" s="608"/>
      <c r="AB7" s="115" t="s">
        <v>185</v>
      </c>
      <c r="AC7" s="610"/>
      <c r="AD7" s="610"/>
      <c r="AE7" s="610"/>
      <c r="AF7" s="610"/>
      <c r="AG7" s="611"/>
      <c r="AH7" s="611"/>
      <c r="AI7" s="611"/>
      <c r="AJ7" s="611"/>
      <c r="AK7" s="611"/>
      <c r="AL7" s="605"/>
      <c r="AM7" s="606"/>
      <c r="AN7" s="607"/>
    </row>
    <row r="8" spans="1:41" ht="121.5" customHeight="1">
      <c r="A8" s="566"/>
      <c r="B8" s="569" t="s">
        <v>184</v>
      </c>
      <c r="C8" s="569" t="s">
        <v>10</v>
      </c>
      <c r="D8" s="569" t="s">
        <v>11</v>
      </c>
      <c r="E8" s="569" t="s">
        <v>183</v>
      </c>
      <c r="F8" s="569" t="s">
        <v>23</v>
      </c>
      <c r="G8" s="115" t="s">
        <v>362</v>
      </c>
      <c r="H8" s="115" t="s">
        <v>363</v>
      </c>
      <c r="I8" s="115" t="s">
        <v>364</v>
      </c>
      <c r="J8" s="115" t="s">
        <v>365</v>
      </c>
      <c r="K8" s="115" t="s">
        <v>446</v>
      </c>
      <c r="L8" s="115" t="s">
        <v>447</v>
      </c>
      <c r="M8" s="115" t="s">
        <v>369</v>
      </c>
      <c r="N8" s="102" t="s">
        <v>441</v>
      </c>
      <c r="O8" s="102" t="s">
        <v>448</v>
      </c>
      <c r="P8" s="102" t="s">
        <v>449</v>
      </c>
      <c r="Q8" s="102" t="s">
        <v>450</v>
      </c>
      <c r="R8" s="102" t="s">
        <v>378</v>
      </c>
      <c r="S8" s="102" t="s">
        <v>147</v>
      </c>
      <c r="T8" s="102" t="s">
        <v>451</v>
      </c>
      <c r="U8" s="102" t="s">
        <v>392</v>
      </c>
      <c r="V8" s="102" t="s">
        <v>420</v>
      </c>
      <c r="W8" s="102" t="s">
        <v>421</v>
      </c>
      <c r="X8" s="102" t="s">
        <v>422</v>
      </c>
      <c r="Y8" s="102" t="s">
        <v>429</v>
      </c>
      <c r="Z8" s="115" t="s">
        <v>316</v>
      </c>
      <c r="AA8" s="115" t="s">
        <v>315</v>
      </c>
      <c r="AB8" s="631" t="s">
        <v>471</v>
      </c>
      <c r="AC8" s="571" t="s">
        <v>182</v>
      </c>
      <c r="AD8" s="571" t="s">
        <v>181</v>
      </c>
      <c r="AE8" s="573" t="s">
        <v>180</v>
      </c>
      <c r="AF8" s="573" t="s">
        <v>179</v>
      </c>
      <c r="AG8" s="575" t="s">
        <v>133</v>
      </c>
      <c r="AH8" s="575" t="s">
        <v>178</v>
      </c>
      <c r="AI8" s="575" t="s">
        <v>177</v>
      </c>
      <c r="AJ8" s="575" t="s">
        <v>176</v>
      </c>
      <c r="AK8" s="575" t="s">
        <v>175</v>
      </c>
      <c r="AL8" s="579" t="s">
        <v>174</v>
      </c>
      <c r="AM8" s="579" t="s">
        <v>326</v>
      </c>
      <c r="AN8" s="577" t="s">
        <v>329</v>
      </c>
    </row>
    <row r="9" spans="1:41" ht="67.5" customHeight="1">
      <c r="A9" s="566"/>
      <c r="B9" s="570"/>
      <c r="C9" s="570"/>
      <c r="D9" s="570"/>
      <c r="E9" s="570"/>
      <c r="F9" s="570"/>
      <c r="G9" s="159" t="s">
        <v>150</v>
      </c>
      <c r="H9" s="159" t="s">
        <v>148</v>
      </c>
      <c r="I9" s="159" t="s">
        <v>149</v>
      </c>
      <c r="J9" s="159" t="s">
        <v>150</v>
      </c>
      <c r="K9" s="159" t="s">
        <v>367</v>
      </c>
      <c r="L9" s="159" t="s">
        <v>150</v>
      </c>
      <c r="M9" s="159" t="s">
        <v>152</v>
      </c>
      <c r="N9" s="102" t="s">
        <v>370</v>
      </c>
      <c r="O9" s="102" t="s">
        <v>372</v>
      </c>
      <c r="P9" s="102" t="s">
        <v>153</v>
      </c>
      <c r="Q9" s="102" t="s">
        <v>154</v>
      </c>
      <c r="R9" s="102" t="s">
        <v>377</v>
      </c>
      <c r="S9" s="102" t="s">
        <v>444</v>
      </c>
      <c r="T9" s="102" t="s">
        <v>445</v>
      </c>
      <c r="U9" s="102" t="s">
        <v>391</v>
      </c>
      <c r="V9" s="102" t="s">
        <v>402</v>
      </c>
      <c r="W9" s="102" t="s">
        <v>393</v>
      </c>
      <c r="X9" s="102" t="s">
        <v>395</v>
      </c>
      <c r="Y9" s="102" t="s">
        <v>409</v>
      </c>
      <c r="Z9" s="159"/>
      <c r="AA9" s="159"/>
      <c r="AB9" s="632"/>
      <c r="AC9" s="572"/>
      <c r="AD9" s="572"/>
      <c r="AE9" s="574"/>
      <c r="AF9" s="574"/>
      <c r="AG9" s="576"/>
      <c r="AH9" s="576"/>
      <c r="AI9" s="576"/>
      <c r="AJ9" s="576"/>
      <c r="AK9" s="576"/>
      <c r="AL9" s="580"/>
      <c r="AM9" s="580"/>
      <c r="AN9" s="578"/>
    </row>
    <row r="10" spans="1:41" ht="75" customHeight="1">
      <c r="A10" s="566"/>
      <c r="B10" s="633" t="s">
        <v>327</v>
      </c>
      <c r="C10" s="88">
        <v>1</v>
      </c>
      <c r="D10" s="184" t="s">
        <v>314</v>
      </c>
      <c r="E10" s="88" t="s">
        <v>163</v>
      </c>
      <c r="F10" s="88">
        <v>5</v>
      </c>
      <c r="G10" s="85"/>
      <c r="H10" s="85"/>
      <c r="I10" s="85"/>
      <c r="J10" s="85"/>
      <c r="K10" s="85"/>
      <c r="L10" s="90">
        <v>53.02</v>
      </c>
      <c r="M10" s="85"/>
      <c r="N10" s="85"/>
      <c r="O10" s="85">
        <v>6.73</v>
      </c>
      <c r="P10" s="85"/>
      <c r="Q10" s="85"/>
      <c r="R10" s="85"/>
      <c r="S10" s="85"/>
      <c r="T10" s="85"/>
      <c r="U10" s="85"/>
      <c r="V10" s="86">
        <v>4.0599999999999996</v>
      </c>
      <c r="W10" s="86">
        <v>2.0099999999999998</v>
      </c>
      <c r="X10" s="85"/>
      <c r="Y10" s="85"/>
      <c r="Z10" s="85"/>
      <c r="AA10" s="85"/>
      <c r="AB10" s="85">
        <v>12</v>
      </c>
      <c r="AC10" s="96">
        <f t="shared" ref="AC10:AC40" si="0">AVERAGE(G10:AB10)</f>
        <v>15.564000000000002</v>
      </c>
      <c r="AD10" s="96">
        <f t="shared" ref="AD10:AD40" si="1">_xlfn.STDEV.P(G10:AB10)</f>
        <v>19.024965282491319</v>
      </c>
      <c r="AE10" s="83">
        <f>AD10-AC10</f>
        <v>3.4609652824913173</v>
      </c>
      <c r="AF10" s="83">
        <f t="shared" ref="AF10:AF40" si="2">AC10+AD10</f>
        <v>34.588965282491323</v>
      </c>
      <c r="AG10" s="82">
        <f>AVERAGE(O10,V10,W10,AB10)</f>
        <v>6.1999999999999993</v>
      </c>
      <c r="AH10" s="82">
        <f>MEDIAN(O10,V10,W10,AB10)</f>
        <v>5.3949999999999996</v>
      </c>
      <c r="AI10" s="81">
        <f>_xlfn.STDEV.P(O10,V10,W10,AB10)</f>
        <v>3.7435477825186108</v>
      </c>
      <c r="AJ10" s="80">
        <f t="shared" ref="AJ10:AJ40" si="3">AI10/AG10</f>
        <v>0.60379802943848571</v>
      </c>
      <c r="AK10" s="80" t="str">
        <f t="shared" ref="AK10:AK40" si="4">IF(AJ10&lt;25%,"Média",IF(AJ10&gt;=25%,"Mediana"))</f>
        <v>Mediana</v>
      </c>
      <c r="AL10" s="121">
        <f t="shared" ref="AL10:AL40" si="5">F10</f>
        <v>5</v>
      </c>
      <c r="AM10" s="105">
        <f t="shared" ref="AM10:AM40" si="6">TRUNC(IF(AK10="Mediana",AH10,AG10),2)</f>
        <v>5.39</v>
      </c>
      <c r="AN10" s="104">
        <f>TRUNC(SUM(AM10*(AL10)),2)</f>
        <v>26.95</v>
      </c>
      <c r="AO10" s="95"/>
    </row>
    <row r="11" spans="1:41" ht="146.25" customHeight="1">
      <c r="A11" s="566"/>
      <c r="B11" s="633"/>
      <c r="C11" s="88">
        <v>2</v>
      </c>
      <c r="D11" s="125" t="s">
        <v>313</v>
      </c>
      <c r="E11" s="88" t="s">
        <v>163</v>
      </c>
      <c r="F11" s="88">
        <v>50</v>
      </c>
      <c r="G11" s="85">
        <v>1</v>
      </c>
      <c r="H11" s="85"/>
      <c r="I11" s="85">
        <v>0.83</v>
      </c>
      <c r="J11" s="85">
        <v>1.39</v>
      </c>
      <c r="K11" s="85">
        <v>0.55000000000000004</v>
      </c>
      <c r="L11" s="85">
        <v>1.72</v>
      </c>
      <c r="M11" s="85">
        <v>1.1200000000000001</v>
      </c>
      <c r="N11" s="90">
        <v>6.35</v>
      </c>
      <c r="O11" s="85">
        <v>1.496</v>
      </c>
      <c r="P11" s="85">
        <v>1.1200000000000001</v>
      </c>
      <c r="Q11" s="85">
        <v>1.96</v>
      </c>
      <c r="R11" s="85">
        <v>1.26</v>
      </c>
      <c r="S11" s="85">
        <v>2</v>
      </c>
      <c r="T11" s="85">
        <v>3</v>
      </c>
      <c r="U11" s="85"/>
      <c r="V11" s="85">
        <v>2.31</v>
      </c>
      <c r="W11" s="85"/>
      <c r="X11" s="85"/>
      <c r="Y11" s="85"/>
      <c r="Z11" s="85"/>
      <c r="AA11" s="85"/>
      <c r="AB11" s="90">
        <v>4.9400000000000004</v>
      </c>
      <c r="AC11" s="96">
        <f t="shared" si="0"/>
        <v>2.0697333333333336</v>
      </c>
      <c r="AD11" s="96">
        <f t="shared" si="1"/>
        <v>1.5462465291436833</v>
      </c>
      <c r="AE11" s="83">
        <f t="shared" ref="AE11:AE17" si="7">AC11-AD11</f>
        <v>0.52348680418965032</v>
      </c>
      <c r="AF11" s="83">
        <f t="shared" si="2"/>
        <v>3.6159798624770172</v>
      </c>
      <c r="AG11" s="82">
        <f>AVERAGE(G11,I11,J11,K11,L11,M11,O11,P11,Q11,R11,S11,T11,V11)</f>
        <v>1.5196923076923075</v>
      </c>
      <c r="AH11" s="82">
        <f>MEDIAN(G11,I11,J11,K11,L11,M11,O11,P11,Q11,R11,S11,T11,V11)</f>
        <v>1.39</v>
      </c>
      <c r="AI11" s="81">
        <f>_xlfn.STDEV.P(G11,I11,J11,K11,L11,M11,O11,P11,Q11,R11,S11,T11,V11)</f>
        <v>0.64276893618581521</v>
      </c>
      <c r="AJ11" s="80">
        <f t="shared" si="3"/>
        <v>0.42295991953915768</v>
      </c>
      <c r="AK11" s="80" t="str">
        <f t="shared" si="4"/>
        <v>Mediana</v>
      </c>
      <c r="AL11" s="121">
        <f t="shared" si="5"/>
        <v>50</v>
      </c>
      <c r="AM11" s="105">
        <f t="shared" si="6"/>
        <v>1.39</v>
      </c>
      <c r="AN11" s="104">
        <f t="shared" ref="AN11:AN40" si="8">TRUNC(SUM(AM11*(AL11)),2)</f>
        <v>69.5</v>
      </c>
    </row>
    <row r="12" spans="1:41" ht="73.5" customHeight="1">
      <c r="A12" s="566"/>
      <c r="B12" s="633"/>
      <c r="C12" s="88">
        <v>3</v>
      </c>
      <c r="D12" s="125" t="s">
        <v>312</v>
      </c>
      <c r="E12" s="88" t="s">
        <v>163</v>
      </c>
      <c r="F12" s="88">
        <v>50</v>
      </c>
      <c r="G12" s="85">
        <v>2.77</v>
      </c>
      <c r="H12" s="85"/>
      <c r="I12" s="85"/>
      <c r="J12" s="85"/>
      <c r="K12" s="85"/>
      <c r="L12" s="85">
        <v>4.09</v>
      </c>
      <c r="M12" s="85"/>
      <c r="N12" s="85">
        <v>4.08</v>
      </c>
      <c r="O12" s="85">
        <v>5.57</v>
      </c>
      <c r="P12" s="85">
        <v>3.2</v>
      </c>
      <c r="Q12" s="90">
        <v>8.8000000000000007</v>
      </c>
      <c r="R12" s="85">
        <v>2.95</v>
      </c>
      <c r="S12" s="85">
        <v>6</v>
      </c>
      <c r="T12" s="85"/>
      <c r="U12" s="85">
        <v>5.92</v>
      </c>
      <c r="V12" s="90">
        <v>13.58</v>
      </c>
      <c r="W12" s="110">
        <v>1.75</v>
      </c>
      <c r="X12" s="85">
        <v>5.9</v>
      </c>
      <c r="Y12" s="85"/>
      <c r="Z12" s="85"/>
      <c r="AA12" s="85"/>
      <c r="AB12" s="85">
        <v>5.5</v>
      </c>
      <c r="AC12" s="96">
        <f t="shared" si="0"/>
        <v>5.3930769230769231</v>
      </c>
      <c r="AD12" s="96">
        <f t="shared" si="1"/>
        <v>2.9603985818321177</v>
      </c>
      <c r="AE12" s="83">
        <f t="shared" si="7"/>
        <v>2.4326783412448054</v>
      </c>
      <c r="AF12" s="83">
        <f t="shared" si="2"/>
        <v>8.3534755049090403</v>
      </c>
      <c r="AG12" s="82">
        <f>AVERAGE(G12,L12,N12,O12,P12,R12,S12,U12,W12,X12,AB12)</f>
        <v>4.3390909090909089</v>
      </c>
      <c r="AH12" s="82">
        <f>MEDIAN(G12,L12,N12,O12,P12,R12,S12,U12,W12,X12,AB12)</f>
        <v>4.09</v>
      </c>
      <c r="AI12" s="81">
        <f>_xlfn.STDEV.P(G12,L12,N12,O12,P12,R12,S12,U12,W12,X12,AB12)</f>
        <v>1.4484754025303781</v>
      </c>
      <c r="AJ12" s="80">
        <f t="shared" si="3"/>
        <v>0.3338200173441056</v>
      </c>
      <c r="AK12" s="80" t="str">
        <f t="shared" si="4"/>
        <v>Mediana</v>
      </c>
      <c r="AL12" s="121">
        <f t="shared" si="5"/>
        <v>50</v>
      </c>
      <c r="AM12" s="105">
        <f t="shared" si="6"/>
        <v>4.09</v>
      </c>
      <c r="AN12" s="104">
        <f t="shared" si="8"/>
        <v>204.5</v>
      </c>
    </row>
    <row r="13" spans="1:41" ht="121.5" customHeight="1">
      <c r="A13" s="566"/>
      <c r="B13" s="633"/>
      <c r="C13" s="88">
        <v>4</v>
      </c>
      <c r="D13" s="125" t="s">
        <v>311</v>
      </c>
      <c r="E13" s="103" t="s">
        <v>163</v>
      </c>
      <c r="F13" s="103">
        <v>78</v>
      </c>
      <c r="G13" s="85"/>
      <c r="H13" s="85"/>
      <c r="I13" s="85"/>
      <c r="J13" s="85"/>
      <c r="K13" s="86">
        <v>3.1</v>
      </c>
      <c r="L13" s="85">
        <v>8.7799999999999994</v>
      </c>
      <c r="M13" s="85"/>
      <c r="N13" s="85">
        <v>4.43</v>
      </c>
      <c r="O13" s="85">
        <v>5.57</v>
      </c>
      <c r="P13" s="86">
        <v>3.2</v>
      </c>
      <c r="Q13" s="85">
        <v>8.8000000000000007</v>
      </c>
      <c r="R13" s="85">
        <v>7.89</v>
      </c>
      <c r="S13" s="85">
        <v>9.6</v>
      </c>
      <c r="T13" s="85"/>
      <c r="U13" s="85">
        <v>11.25</v>
      </c>
      <c r="V13" s="85">
        <v>13.58</v>
      </c>
      <c r="W13" s="85"/>
      <c r="X13" s="85"/>
      <c r="Y13" s="85"/>
      <c r="Z13" s="85"/>
      <c r="AA13" s="85"/>
      <c r="AB13" s="106">
        <v>23.9</v>
      </c>
      <c r="AC13" s="96">
        <f t="shared" si="0"/>
        <v>9.1</v>
      </c>
      <c r="AD13" s="96">
        <f t="shared" si="1"/>
        <v>5.6465532527696611</v>
      </c>
      <c r="AE13" s="83">
        <f t="shared" si="7"/>
        <v>3.4534467472303385</v>
      </c>
      <c r="AF13" s="83">
        <f t="shared" si="2"/>
        <v>14.746553252769662</v>
      </c>
      <c r="AG13" s="82">
        <f>AVERAGE(K13,L13,N13,O13,P13,Q13,R13,S13,U13,V13)</f>
        <v>7.62</v>
      </c>
      <c r="AH13" s="82">
        <f>MEDIAN(K13,L13,N13,O13,P13,Q13,R13,S13,U13,V13)</f>
        <v>8.3349999999999991</v>
      </c>
      <c r="AI13" s="81">
        <f>_xlfn.STDEV.P(K13,L13,N13,O13,P13,Q13,R13,S13,U13,V13)</f>
        <v>3.3132340696063118</v>
      </c>
      <c r="AJ13" s="80">
        <f t="shared" si="3"/>
        <v>0.43480762068324302</v>
      </c>
      <c r="AK13" s="80" t="str">
        <f t="shared" si="4"/>
        <v>Mediana</v>
      </c>
      <c r="AL13" s="121">
        <f t="shared" si="5"/>
        <v>78</v>
      </c>
      <c r="AM13" s="105">
        <f t="shared" si="6"/>
        <v>8.33</v>
      </c>
      <c r="AN13" s="104">
        <f t="shared" si="8"/>
        <v>649.74</v>
      </c>
    </row>
    <row r="14" spans="1:41" ht="93" customHeight="1">
      <c r="A14" s="566"/>
      <c r="B14" s="633"/>
      <c r="C14" s="88">
        <v>5</v>
      </c>
      <c r="D14" s="185" t="s">
        <v>310</v>
      </c>
      <c r="E14" s="103" t="s">
        <v>163</v>
      </c>
      <c r="F14" s="103">
        <v>20</v>
      </c>
      <c r="G14" s="85">
        <v>4.4000000000000004</v>
      </c>
      <c r="H14" s="85"/>
      <c r="I14" s="85">
        <v>4.22</v>
      </c>
      <c r="J14" s="85">
        <v>5.56</v>
      </c>
      <c r="K14" s="85"/>
      <c r="L14" s="85">
        <v>6.31</v>
      </c>
      <c r="M14" s="85"/>
      <c r="N14" s="85">
        <v>5.97</v>
      </c>
      <c r="O14" s="85">
        <v>7.81</v>
      </c>
      <c r="P14" s="85">
        <v>5.77</v>
      </c>
      <c r="Q14" s="85">
        <v>7.6</v>
      </c>
      <c r="R14" s="85">
        <v>4.7</v>
      </c>
      <c r="S14" s="85"/>
      <c r="T14" s="85">
        <v>6.4</v>
      </c>
      <c r="U14" s="85">
        <v>7.75</v>
      </c>
      <c r="V14" s="90">
        <v>13.72</v>
      </c>
      <c r="W14" s="86">
        <v>3.19</v>
      </c>
      <c r="X14" s="85"/>
      <c r="Y14" s="85"/>
      <c r="Z14" s="85"/>
      <c r="AA14" s="85"/>
      <c r="AB14" s="85">
        <v>5.86</v>
      </c>
      <c r="AC14" s="96">
        <f t="shared" si="0"/>
        <v>6.3757142857142854</v>
      </c>
      <c r="AD14" s="96">
        <f t="shared" si="1"/>
        <v>2.4254357908446527</v>
      </c>
      <c r="AE14" s="83">
        <f t="shared" si="7"/>
        <v>3.9502784948696328</v>
      </c>
      <c r="AF14" s="83">
        <f t="shared" si="2"/>
        <v>8.8011500765589386</v>
      </c>
      <c r="AG14" s="82">
        <f>AVERAGE(G14,I14,J14,L14,N14,O14,P14,Q14,R14,T14,U14,W14,AB14)</f>
        <v>5.81076923076923</v>
      </c>
      <c r="AH14" s="82">
        <f>MEDIAN(G14,I14,J14,L14,N14,O14,P14,Q14,R14,T14,U14,W14,AB14)</f>
        <v>5.86</v>
      </c>
      <c r="AI14" s="81">
        <f>_xlfn.STDEV.P(G14,I14,J14,L14,N14,O14,P14,Q14,R14,T14,U14,W14,AB14)</f>
        <v>1.3663734231025422</v>
      </c>
      <c r="AJ14" s="80">
        <f t="shared" si="3"/>
        <v>0.23514501589003245</v>
      </c>
      <c r="AK14" s="80" t="str">
        <f t="shared" si="4"/>
        <v>Média</v>
      </c>
      <c r="AL14" s="121">
        <f t="shared" si="5"/>
        <v>20</v>
      </c>
      <c r="AM14" s="105">
        <f t="shared" si="6"/>
        <v>5.81</v>
      </c>
      <c r="AN14" s="104">
        <f t="shared" si="8"/>
        <v>116.2</v>
      </c>
    </row>
    <row r="15" spans="1:41" ht="93" customHeight="1">
      <c r="A15" s="566"/>
      <c r="B15" s="633"/>
      <c r="C15" s="88">
        <v>6</v>
      </c>
      <c r="D15" s="185" t="s">
        <v>309</v>
      </c>
      <c r="E15" s="103" t="s">
        <v>286</v>
      </c>
      <c r="F15" s="103">
        <v>2</v>
      </c>
      <c r="G15" s="85"/>
      <c r="H15" s="85"/>
      <c r="I15" s="85"/>
      <c r="J15" s="85"/>
      <c r="K15" s="85"/>
      <c r="L15" s="90">
        <v>68.61</v>
      </c>
      <c r="M15" s="85"/>
      <c r="N15" s="86">
        <v>15.36</v>
      </c>
      <c r="O15" s="85">
        <v>43.09</v>
      </c>
      <c r="P15" s="85"/>
      <c r="Q15" s="85"/>
      <c r="R15" s="85">
        <v>45.4</v>
      </c>
      <c r="S15" s="85">
        <v>45</v>
      </c>
      <c r="T15" s="86">
        <v>10</v>
      </c>
      <c r="U15" s="85"/>
      <c r="V15" s="85"/>
      <c r="W15" s="85"/>
      <c r="X15" s="90">
        <v>64.8</v>
      </c>
      <c r="Y15" s="85"/>
      <c r="Z15" s="85"/>
      <c r="AA15" s="85"/>
      <c r="AB15" s="107">
        <v>49.98</v>
      </c>
      <c r="AC15" s="96">
        <f t="shared" si="0"/>
        <v>42.78</v>
      </c>
      <c r="AD15" s="96">
        <f t="shared" si="1"/>
        <v>19.500586529640593</v>
      </c>
      <c r="AE15" s="83">
        <f t="shared" si="7"/>
        <v>23.279413470359408</v>
      </c>
      <c r="AF15" s="83">
        <f t="shared" si="2"/>
        <v>62.280586529640594</v>
      </c>
      <c r="AG15" s="82">
        <f>AVERAGE(N15,O15,R15,S15,T15,AB15)</f>
        <v>34.805</v>
      </c>
      <c r="AH15" s="82">
        <f>MEDIAN(N15,O15,R15,S15,T15,AB15)</f>
        <v>44.045000000000002</v>
      </c>
      <c r="AI15" s="81">
        <f>_xlfn.STDEV.P(N15,O15,R15,S15,T15,AB15)</f>
        <v>15.856176241452426</v>
      </c>
      <c r="AJ15" s="80">
        <f t="shared" si="3"/>
        <v>0.45557179260027081</v>
      </c>
      <c r="AK15" s="80" t="str">
        <f t="shared" si="4"/>
        <v>Mediana</v>
      </c>
      <c r="AL15" s="121">
        <f t="shared" si="5"/>
        <v>2</v>
      </c>
      <c r="AM15" s="105">
        <f t="shared" si="6"/>
        <v>44.04</v>
      </c>
      <c r="AN15" s="104">
        <f t="shared" si="8"/>
        <v>88.08</v>
      </c>
    </row>
    <row r="16" spans="1:41" ht="93" customHeight="1">
      <c r="A16" s="566"/>
      <c r="B16" s="633"/>
      <c r="C16" s="88">
        <v>7</v>
      </c>
      <c r="D16" s="185" t="s">
        <v>308</v>
      </c>
      <c r="E16" s="103" t="s">
        <v>286</v>
      </c>
      <c r="F16" s="103">
        <v>4</v>
      </c>
      <c r="G16" s="85"/>
      <c r="H16" s="85"/>
      <c r="I16" s="85"/>
      <c r="J16" s="85"/>
      <c r="K16" s="86">
        <v>9.9499999999999993</v>
      </c>
      <c r="L16" s="112">
        <v>25.88</v>
      </c>
      <c r="M16" s="85"/>
      <c r="N16" s="85"/>
      <c r="O16" s="85">
        <v>43.09</v>
      </c>
      <c r="P16" s="85"/>
      <c r="Q16" s="85"/>
      <c r="R16" s="85">
        <v>45</v>
      </c>
      <c r="S16" s="85"/>
      <c r="T16" s="85"/>
      <c r="U16" s="85"/>
      <c r="V16" s="85"/>
      <c r="W16" s="85"/>
      <c r="X16" s="85"/>
      <c r="Y16" s="85"/>
      <c r="Z16" s="85"/>
      <c r="AA16" s="85"/>
      <c r="AB16" s="85">
        <v>41.79</v>
      </c>
      <c r="AC16" s="96">
        <f t="shared" si="0"/>
        <v>33.142000000000003</v>
      </c>
      <c r="AD16" s="96">
        <f t="shared" si="1"/>
        <v>13.453388272104537</v>
      </c>
      <c r="AE16" s="83">
        <f t="shared" si="7"/>
        <v>19.688611727895466</v>
      </c>
      <c r="AF16" s="83">
        <f t="shared" si="2"/>
        <v>46.595388272104543</v>
      </c>
      <c r="AG16" s="82">
        <f>AVERAGE(K16,L16,O16,R16,AB16)</f>
        <v>33.142000000000003</v>
      </c>
      <c r="AH16" s="82">
        <f>MEDIAN(K16,L16,O16,R16,AB16)</f>
        <v>41.79</v>
      </c>
      <c r="AI16" s="81">
        <f>_xlfn.STDEV.P(K16,L16,O16,R16,AB16)</f>
        <v>13.453388272104537</v>
      </c>
      <c r="AJ16" s="80">
        <f t="shared" si="3"/>
        <v>0.40593169609874286</v>
      </c>
      <c r="AK16" s="80" t="str">
        <f t="shared" si="4"/>
        <v>Mediana</v>
      </c>
      <c r="AL16" s="121">
        <f t="shared" si="5"/>
        <v>4</v>
      </c>
      <c r="AM16" s="105">
        <f t="shared" si="6"/>
        <v>41.79</v>
      </c>
      <c r="AN16" s="104">
        <f t="shared" si="8"/>
        <v>167.16</v>
      </c>
    </row>
    <row r="17" spans="1:40" ht="81" customHeight="1">
      <c r="A17" s="566"/>
      <c r="B17" s="633"/>
      <c r="C17" s="88">
        <v>8</v>
      </c>
      <c r="D17" s="125" t="s">
        <v>307</v>
      </c>
      <c r="E17" s="111" t="s">
        <v>286</v>
      </c>
      <c r="F17" s="111">
        <v>2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10">
        <v>5.39</v>
      </c>
      <c r="AA17" s="110">
        <v>9.9</v>
      </c>
      <c r="AB17" s="106">
        <v>14.28</v>
      </c>
      <c r="AC17" s="96">
        <f t="shared" si="0"/>
        <v>9.8566666666666674</v>
      </c>
      <c r="AD17" s="96">
        <f t="shared" si="1"/>
        <v>3.6294566474274843</v>
      </c>
      <c r="AE17" s="83">
        <f t="shared" si="7"/>
        <v>6.227210019239183</v>
      </c>
      <c r="AF17" s="83">
        <f t="shared" si="2"/>
        <v>13.486123314094151</v>
      </c>
      <c r="AG17" s="82">
        <f>AVERAGE(Z17,AA17)</f>
        <v>7.6449999999999996</v>
      </c>
      <c r="AH17" s="82">
        <f>MEDIAN(Z17,AA17)</f>
        <v>7.6449999999999996</v>
      </c>
      <c r="AI17" s="81">
        <f>_xlfn.STDEV.P(Z17,AA17)</f>
        <v>2.2550000000000021</v>
      </c>
      <c r="AJ17" s="80">
        <f t="shared" si="3"/>
        <v>0.29496402877697869</v>
      </c>
      <c r="AK17" s="80" t="str">
        <f t="shared" si="4"/>
        <v>Mediana</v>
      </c>
      <c r="AL17" s="121">
        <f t="shared" si="5"/>
        <v>2</v>
      </c>
      <c r="AM17" s="105">
        <f t="shared" si="6"/>
        <v>7.64</v>
      </c>
      <c r="AN17" s="104">
        <f t="shared" si="8"/>
        <v>15.28</v>
      </c>
    </row>
    <row r="18" spans="1:40" ht="60" customHeight="1">
      <c r="A18" s="566"/>
      <c r="B18" s="633"/>
      <c r="C18" s="88">
        <v>9</v>
      </c>
      <c r="D18" s="125" t="s">
        <v>306</v>
      </c>
      <c r="E18" s="103" t="s">
        <v>163</v>
      </c>
      <c r="F18" s="103">
        <v>8</v>
      </c>
      <c r="G18" s="85">
        <v>6.89</v>
      </c>
      <c r="H18" s="85">
        <v>12</v>
      </c>
      <c r="I18" s="85">
        <v>5.12</v>
      </c>
      <c r="J18" s="85">
        <v>26.9</v>
      </c>
      <c r="K18" s="85"/>
      <c r="L18" s="85">
        <v>30.37</v>
      </c>
      <c r="M18" s="85"/>
      <c r="N18" s="85"/>
      <c r="O18" s="85">
        <v>9.9</v>
      </c>
      <c r="P18" s="85">
        <v>7</v>
      </c>
      <c r="Q18" s="85">
        <v>42</v>
      </c>
      <c r="R18" s="85">
        <v>19.37</v>
      </c>
      <c r="S18" s="85">
        <v>11</v>
      </c>
      <c r="T18" s="85"/>
      <c r="U18" s="85"/>
      <c r="V18" s="85"/>
      <c r="W18" s="85">
        <v>4.78</v>
      </c>
      <c r="X18" s="90">
        <v>56.35</v>
      </c>
      <c r="Y18" s="85"/>
      <c r="Z18" s="85"/>
      <c r="AA18" s="85"/>
      <c r="AB18" s="90">
        <v>116.54</v>
      </c>
      <c r="AC18" s="96">
        <f t="shared" si="0"/>
        <v>26.786153846153848</v>
      </c>
      <c r="AD18" s="96">
        <f t="shared" si="1"/>
        <v>30.029611421564841</v>
      </c>
      <c r="AE18" s="83">
        <f>AD18-AC18</f>
        <v>3.2434575754109929</v>
      </c>
      <c r="AF18" s="83">
        <f t="shared" si="2"/>
        <v>56.815765267718689</v>
      </c>
      <c r="AG18" s="82">
        <f>AVERAGE(G18,H18,I18,J18,L18,O18,P18,Q18,R18,S18,W18)</f>
        <v>15.939090909090909</v>
      </c>
      <c r="AH18" s="82">
        <f>MEDIAN(G18,H18,I18,J18,L18,O18,P18,Q18,R18,S18,W18)</f>
        <v>11</v>
      </c>
      <c r="AI18" s="81">
        <f>_xlfn.STDEV.P(G18,H18,I18,J18,L18,O18,P18,Q18,R18,S18,W18)</f>
        <v>11.673933242715234</v>
      </c>
      <c r="AJ18" s="80">
        <f>AI18/AG18</f>
        <v>0.73240897547406358</v>
      </c>
      <c r="AK18" s="80" t="str">
        <f t="shared" si="4"/>
        <v>Mediana</v>
      </c>
      <c r="AL18" s="121">
        <f t="shared" si="5"/>
        <v>8</v>
      </c>
      <c r="AM18" s="105">
        <f t="shared" si="6"/>
        <v>11</v>
      </c>
      <c r="AN18" s="104">
        <f t="shared" si="8"/>
        <v>88</v>
      </c>
    </row>
    <row r="19" spans="1:40" ht="104.25" customHeight="1">
      <c r="A19" s="566"/>
      <c r="B19" s="633"/>
      <c r="C19" s="88">
        <v>10</v>
      </c>
      <c r="D19" s="125" t="s">
        <v>305</v>
      </c>
      <c r="E19" s="103" t="s">
        <v>163</v>
      </c>
      <c r="F19" s="103">
        <v>36</v>
      </c>
      <c r="G19" s="85">
        <v>1.1000000000000001</v>
      </c>
      <c r="H19" s="90">
        <v>3.99</v>
      </c>
      <c r="I19" s="85"/>
      <c r="J19" s="85">
        <v>1.52</v>
      </c>
      <c r="K19" s="85">
        <v>1.8</v>
      </c>
      <c r="L19" s="85">
        <v>1.97</v>
      </c>
      <c r="M19" s="85"/>
      <c r="N19" s="90">
        <v>5</v>
      </c>
      <c r="O19" s="85"/>
      <c r="P19" s="85"/>
      <c r="Q19" s="85"/>
      <c r="R19" s="85">
        <v>1.26</v>
      </c>
      <c r="S19" s="85"/>
      <c r="T19" s="85"/>
      <c r="U19" s="85"/>
      <c r="V19" s="85"/>
      <c r="W19" s="85"/>
      <c r="X19" s="85"/>
      <c r="Y19" s="85"/>
      <c r="Z19" s="85"/>
      <c r="AA19" s="85"/>
      <c r="AB19" s="85">
        <v>3.49</v>
      </c>
      <c r="AC19" s="96">
        <f t="shared" si="0"/>
        <v>2.5162500000000003</v>
      </c>
      <c r="AD19" s="96">
        <f t="shared" si="1"/>
        <v>1.354482719528012</v>
      </c>
      <c r="AE19" s="83">
        <f>AC19-AD19</f>
        <v>1.1617672804719883</v>
      </c>
      <c r="AF19" s="83">
        <f t="shared" si="2"/>
        <v>3.8707327195280126</v>
      </c>
      <c r="AG19" s="82">
        <f>AVERAGE(G19,J19,K19,L19,R19,AB19)</f>
        <v>1.8566666666666667</v>
      </c>
      <c r="AH19" s="82">
        <f>MEDIAN(G19,J19,K19,L19,R19,AB19)</f>
        <v>1.6600000000000001</v>
      </c>
      <c r="AI19" s="81">
        <f>_xlfn.STDEV.P(G19,J19,K19,L19,R19,AB19)</f>
        <v>0.78800733217118957</v>
      </c>
      <c r="AJ19" s="80">
        <f t="shared" si="3"/>
        <v>0.42442046616042528</v>
      </c>
      <c r="AK19" s="80" t="str">
        <f t="shared" si="4"/>
        <v>Mediana</v>
      </c>
      <c r="AL19" s="121">
        <f t="shared" si="5"/>
        <v>36</v>
      </c>
      <c r="AM19" s="105">
        <f t="shared" si="6"/>
        <v>1.66</v>
      </c>
      <c r="AN19" s="104">
        <f t="shared" si="8"/>
        <v>59.76</v>
      </c>
    </row>
    <row r="20" spans="1:40" ht="48" customHeight="1">
      <c r="A20" s="566"/>
      <c r="B20" s="633"/>
      <c r="C20" s="88">
        <v>11</v>
      </c>
      <c r="D20" s="125" t="s">
        <v>304</v>
      </c>
      <c r="E20" s="103" t="s">
        <v>163</v>
      </c>
      <c r="F20" s="103">
        <v>3</v>
      </c>
      <c r="G20" s="85">
        <v>6.9</v>
      </c>
      <c r="H20" s="85">
        <v>11.9</v>
      </c>
      <c r="I20" s="86">
        <v>3.9</v>
      </c>
      <c r="J20" s="85">
        <v>16.96</v>
      </c>
      <c r="K20" s="85">
        <v>9</v>
      </c>
      <c r="L20" s="85">
        <v>18.21</v>
      </c>
      <c r="M20" s="85"/>
      <c r="N20" s="85">
        <v>5</v>
      </c>
      <c r="O20" s="85">
        <v>11.38</v>
      </c>
      <c r="P20" s="85">
        <v>7</v>
      </c>
      <c r="Q20" s="85">
        <v>23.41</v>
      </c>
      <c r="R20" s="85">
        <v>20.010000000000002</v>
      </c>
      <c r="S20" s="90">
        <v>32</v>
      </c>
      <c r="T20" s="85"/>
      <c r="U20" s="85"/>
      <c r="V20" s="85"/>
      <c r="W20" s="85">
        <v>10.98</v>
      </c>
      <c r="X20" s="85"/>
      <c r="Y20" s="85"/>
      <c r="Z20" s="85"/>
      <c r="AA20" s="85"/>
      <c r="AB20" s="90">
        <v>49.98</v>
      </c>
      <c r="AC20" s="96">
        <f t="shared" si="0"/>
        <v>16.187857142857141</v>
      </c>
      <c r="AD20" s="96">
        <f t="shared" si="1"/>
        <v>12.043122031487771</v>
      </c>
      <c r="AE20" s="83">
        <f>AC20-AD20</f>
        <v>4.1447351113693696</v>
      </c>
      <c r="AF20" s="83">
        <f t="shared" si="2"/>
        <v>28.23097917434491</v>
      </c>
      <c r="AG20" s="82">
        <f>AVERAGE(G20,H20,I20,J20,K20,L20,N20,O20,P20,Q20,R20,W20)</f>
        <v>12.054166666666665</v>
      </c>
      <c r="AH20" s="82">
        <f>MEDIAN(G20,H20,I20,J20,K20,L20,N20,O20,P20,Q20,R20,W20)</f>
        <v>11.18</v>
      </c>
      <c r="AI20" s="81">
        <f>_xlfn.STDEV.P(G20,H20,I20,J20,K20,L20,N20,O20,P20,Q20,R20,W20)</f>
        <v>6.0106398138818991</v>
      </c>
      <c r="AJ20" s="80">
        <f t="shared" si="3"/>
        <v>0.49863586426949741</v>
      </c>
      <c r="AK20" s="80" t="str">
        <f t="shared" si="4"/>
        <v>Mediana</v>
      </c>
      <c r="AL20" s="121">
        <f t="shared" si="5"/>
        <v>3</v>
      </c>
      <c r="AM20" s="105">
        <f t="shared" si="6"/>
        <v>11.18</v>
      </c>
      <c r="AN20" s="104">
        <f t="shared" si="8"/>
        <v>33.54</v>
      </c>
    </row>
    <row r="21" spans="1:40" ht="79.5" customHeight="1">
      <c r="A21" s="566"/>
      <c r="B21" s="633"/>
      <c r="C21" s="88">
        <v>12</v>
      </c>
      <c r="D21" s="125" t="s">
        <v>303</v>
      </c>
      <c r="E21" s="103" t="s">
        <v>163</v>
      </c>
      <c r="F21" s="103">
        <v>3</v>
      </c>
      <c r="G21" s="107">
        <v>1.1000000000000001</v>
      </c>
      <c r="H21" s="85"/>
      <c r="I21" s="85"/>
      <c r="J21" s="85">
        <v>1.99</v>
      </c>
      <c r="K21" s="85">
        <v>0.8</v>
      </c>
      <c r="L21" s="85">
        <v>1.46</v>
      </c>
      <c r="M21" s="85"/>
      <c r="N21" s="85">
        <v>1.34</v>
      </c>
      <c r="O21" s="90">
        <v>6.44</v>
      </c>
      <c r="P21" s="85"/>
      <c r="Q21" s="85"/>
      <c r="R21" s="85">
        <v>1.36</v>
      </c>
      <c r="S21" s="90">
        <v>5.5</v>
      </c>
      <c r="T21" s="85"/>
      <c r="U21" s="85">
        <v>2.1800000000000002</v>
      </c>
      <c r="V21" s="85"/>
      <c r="W21" s="85">
        <v>1.1299999999999999</v>
      </c>
      <c r="X21" s="85"/>
      <c r="Y21" s="85"/>
      <c r="Z21" s="85"/>
      <c r="AA21" s="85"/>
      <c r="AB21" s="106">
        <v>6.99</v>
      </c>
      <c r="AC21" s="96">
        <f t="shared" si="0"/>
        <v>2.7536363636363634</v>
      </c>
      <c r="AD21" s="96">
        <f t="shared" si="1"/>
        <v>2.2318409552624439</v>
      </c>
      <c r="AE21" s="83">
        <f>AC21-AD21</f>
        <v>0.52179540837391958</v>
      </c>
      <c r="AF21" s="83">
        <f t="shared" si="2"/>
        <v>4.9854773188988073</v>
      </c>
      <c r="AG21" s="82">
        <f>AVERAGE(G21,J21,K21,L21,N21,R21,U21,W21)</f>
        <v>1.42</v>
      </c>
      <c r="AH21" s="82">
        <f>MEDIAN(G21,J21,K21,L21,N21,R21,U21,W21)</f>
        <v>1.35</v>
      </c>
      <c r="AI21" s="81">
        <f>_xlfn.STDEV.P(G21,J21,K21,L21,N21,R21,U21,W21)</f>
        <v>0.4308421984903526</v>
      </c>
      <c r="AJ21" s="80">
        <f t="shared" si="3"/>
        <v>0.30340999893686804</v>
      </c>
      <c r="AK21" s="80" t="str">
        <f t="shared" si="4"/>
        <v>Mediana</v>
      </c>
      <c r="AL21" s="121">
        <f t="shared" si="5"/>
        <v>3</v>
      </c>
      <c r="AM21" s="105">
        <f t="shared" si="6"/>
        <v>1.35</v>
      </c>
      <c r="AN21" s="104">
        <f t="shared" si="8"/>
        <v>4.05</v>
      </c>
    </row>
    <row r="22" spans="1:40" ht="142.5" customHeight="1">
      <c r="A22" s="566"/>
      <c r="B22" s="633"/>
      <c r="C22" s="88">
        <v>13</v>
      </c>
      <c r="D22" s="184" t="s">
        <v>302</v>
      </c>
      <c r="E22" s="103" t="s">
        <v>163</v>
      </c>
      <c r="F22" s="103">
        <v>35</v>
      </c>
      <c r="G22" s="90">
        <v>7.8</v>
      </c>
      <c r="H22" s="85"/>
      <c r="I22" s="85"/>
      <c r="J22" s="85">
        <v>0.68</v>
      </c>
      <c r="K22" s="86">
        <v>0.32</v>
      </c>
      <c r="L22" s="86">
        <v>0.38</v>
      </c>
      <c r="M22" s="85"/>
      <c r="N22" s="85">
        <v>0.84</v>
      </c>
      <c r="O22" s="85">
        <v>1.97</v>
      </c>
      <c r="P22" s="86">
        <v>0.35</v>
      </c>
      <c r="Q22" s="85">
        <v>0.8</v>
      </c>
      <c r="R22" s="85"/>
      <c r="S22" s="85">
        <v>1</v>
      </c>
      <c r="T22" s="85"/>
      <c r="U22" s="86">
        <v>0.55000000000000004</v>
      </c>
      <c r="V22" s="85">
        <v>0.66</v>
      </c>
      <c r="W22" s="85"/>
      <c r="X22" s="85">
        <v>0.79</v>
      </c>
      <c r="Y22" s="85"/>
      <c r="Z22" s="85"/>
      <c r="AA22" s="85"/>
      <c r="AB22" s="85">
        <v>1.21</v>
      </c>
      <c r="AC22" s="96">
        <f t="shared" si="0"/>
        <v>1.334615384615385</v>
      </c>
      <c r="AD22" s="96">
        <f t="shared" si="1"/>
        <v>1.9128899416835463</v>
      </c>
      <c r="AE22" s="83">
        <f>AD22-AC22</f>
        <v>0.57827455706816133</v>
      </c>
      <c r="AF22" s="83">
        <f t="shared" si="2"/>
        <v>3.2475053262989313</v>
      </c>
      <c r="AG22" s="82">
        <f>AVERAGE(J22,K22,L22,N22,O22,P22,Q22,S22,U22,V22,X22,AB22)</f>
        <v>0.79583333333333339</v>
      </c>
      <c r="AH22" s="82">
        <f>MEDIAN(J22,K22,L22,N22,O22,P22,Q22,S22,U22,V22,X22,AB22)</f>
        <v>0.7350000000000001</v>
      </c>
      <c r="AI22" s="81">
        <f>_xlfn.STDEV.P(J22,K22,L22,N22,O22,P22,Q22,S22,U22,V22,X22,AB22)</f>
        <v>0.43629994142663908</v>
      </c>
      <c r="AJ22" s="80">
        <f t="shared" si="3"/>
        <v>0.54823029289211189</v>
      </c>
      <c r="AK22" s="80" t="str">
        <f t="shared" si="4"/>
        <v>Mediana</v>
      </c>
      <c r="AL22" s="121">
        <f t="shared" si="5"/>
        <v>35</v>
      </c>
      <c r="AM22" s="105">
        <f t="shared" si="6"/>
        <v>0.73</v>
      </c>
      <c r="AN22" s="104">
        <f t="shared" si="8"/>
        <v>25.55</v>
      </c>
    </row>
    <row r="23" spans="1:40" ht="46.5" customHeight="1">
      <c r="A23" s="566"/>
      <c r="B23" s="633"/>
      <c r="C23" s="88">
        <v>14</v>
      </c>
      <c r="D23" s="185" t="s">
        <v>301</v>
      </c>
      <c r="E23" s="103" t="s">
        <v>163</v>
      </c>
      <c r="F23" s="103">
        <v>45</v>
      </c>
      <c r="G23" s="85"/>
      <c r="H23" s="90">
        <v>3.5</v>
      </c>
      <c r="I23" s="85">
        <v>0.83</v>
      </c>
      <c r="J23" s="85"/>
      <c r="K23" s="85">
        <v>0.63</v>
      </c>
      <c r="L23" s="85">
        <v>1.21</v>
      </c>
      <c r="M23" s="85"/>
      <c r="N23" s="85">
        <v>2</v>
      </c>
      <c r="O23" s="85">
        <v>1.31</v>
      </c>
      <c r="P23" s="85">
        <v>1.28</v>
      </c>
      <c r="Q23" s="85">
        <v>1.6</v>
      </c>
      <c r="R23" s="85">
        <v>0.6</v>
      </c>
      <c r="S23" s="85">
        <v>1.89</v>
      </c>
      <c r="T23" s="85">
        <v>2</v>
      </c>
      <c r="U23" s="85">
        <v>1</v>
      </c>
      <c r="V23" s="85">
        <v>2.1</v>
      </c>
      <c r="W23" s="85">
        <v>0.46</v>
      </c>
      <c r="X23" s="90">
        <v>5.88</v>
      </c>
      <c r="Y23" s="85"/>
      <c r="Z23" s="85"/>
      <c r="AA23" s="85"/>
      <c r="AB23" s="85">
        <v>1.54</v>
      </c>
      <c r="AC23" s="96">
        <f t="shared" si="0"/>
        <v>1.7393750000000001</v>
      </c>
      <c r="AD23" s="96">
        <f t="shared" si="1"/>
        <v>1.2943940124146895</v>
      </c>
      <c r="AE23" s="83">
        <f t="shared" ref="AE23:AE40" si="9">AC23-AD23</f>
        <v>0.44498098758531057</v>
      </c>
      <c r="AF23" s="83">
        <f t="shared" si="2"/>
        <v>3.0337690124146897</v>
      </c>
      <c r="AG23" s="82">
        <f>AVERAGE(I23,K23,L23,N23,O23,P23,Q23,R23,S23,T23,U23,V23,W23,AB23)</f>
        <v>1.3178571428571431</v>
      </c>
      <c r="AH23" s="82">
        <f>MEDIAN(I23,K23,L23,N23,O23,P23,Q23,R23,S23,T23,U23,V23,W23,AB23)</f>
        <v>1.2949999999999999</v>
      </c>
      <c r="AI23" s="81">
        <f>_xlfn.STDEV.P(I23,K23,L23,N23,O23,P23,Q23,R23,S23,T23,U23,V23,W23,AB233)</f>
        <v>0.55622991287446111</v>
      </c>
      <c r="AJ23" s="80">
        <f t="shared" si="3"/>
        <v>0.42207147860392707</v>
      </c>
      <c r="AK23" s="80" t="str">
        <f t="shared" si="4"/>
        <v>Mediana</v>
      </c>
      <c r="AL23" s="121">
        <f t="shared" si="5"/>
        <v>45</v>
      </c>
      <c r="AM23" s="105">
        <f t="shared" si="6"/>
        <v>1.29</v>
      </c>
      <c r="AN23" s="104">
        <f t="shared" si="8"/>
        <v>58.05</v>
      </c>
    </row>
    <row r="24" spans="1:40" ht="46.5" customHeight="1">
      <c r="A24" s="566"/>
      <c r="B24" s="633"/>
      <c r="C24" s="88">
        <v>15</v>
      </c>
      <c r="D24" s="185" t="s">
        <v>300</v>
      </c>
      <c r="E24" s="103" t="s">
        <v>163</v>
      </c>
      <c r="F24" s="103">
        <v>1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6">
        <v>2.87</v>
      </c>
      <c r="X24" s="85">
        <v>13.85</v>
      </c>
      <c r="Y24" s="85"/>
      <c r="Z24" s="85"/>
      <c r="AA24" s="85"/>
      <c r="AB24" s="107">
        <v>14.29</v>
      </c>
      <c r="AC24" s="96">
        <f t="shared" si="0"/>
        <v>10.336666666666666</v>
      </c>
      <c r="AD24" s="96">
        <f t="shared" si="1"/>
        <v>5.2827854605522475</v>
      </c>
      <c r="AE24" s="83">
        <f t="shared" si="9"/>
        <v>5.0538812061144185</v>
      </c>
      <c r="AF24" s="83">
        <f t="shared" si="2"/>
        <v>15.619452127218914</v>
      </c>
      <c r="AG24" s="82">
        <f>AVERAGE(W24,X24,AB24)</f>
        <v>10.336666666666666</v>
      </c>
      <c r="AH24" s="82">
        <f>MEDIAN(W24,X24,AB24)</f>
        <v>13.85</v>
      </c>
      <c r="AI24" s="81">
        <f>_xlfn.STDEV.P(W24,X24,AB24)</f>
        <v>5.2827854605522475</v>
      </c>
      <c r="AJ24" s="80">
        <f t="shared" si="3"/>
        <v>0.51107244055648959</v>
      </c>
      <c r="AK24" s="80" t="str">
        <f t="shared" si="4"/>
        <v>Mediana</v>
      </c>
      <c r="AL24" s="121">
        <f t="shared" si="5"/>
        <v>1</v>
      </c>
      <c r="AM24" s="105">
        <f t="shared" si="6"/>
        <v>13.85</v>
      </c>
      <c r="AN24" s="104">
        <f t="shared" si="8"/>
        <v>13.85</v>
      </c>
    </row>
    <row r="25" spans="1:40" ht="63.75" customHeight="1">
      <c r="A25" s="566"/>
      <c r="B25" s="633"/>
      <c r="C25" s="88">
        <v>16</v>
      </c>
      <c r="D25" s="185" t="s">
        <v>299</v>
      </c>
      <c r="E25" s="103" t="s">
        <v>163</v>
      </c>
      <c r="F25" s="103">
        <v>2</v>
      </c>
      <c r="G25" s="85">
        <v>8</v>
      </c>
      <c r="H25" s="85"/>
      <c r="I25" s="85">
        <v>14.72</v>
      </c>
      <c r="J25" s="85">
        <v>18.600000000000001</v>
      </c>
      <c r="K25" s="85">
        <v>9</v>
      </c>
      <c r="L25" s="85">
        <v>18.21</v>
      </c>
      <c r="M25" s="85">
        <v>10</v>
      </c>
      <c r="N25" s="85"/>
      <c r="O25" s="85"/>
      <c r="P25" s="85"/>
      <c r="Q25" s="85"/>
      <c r="R25" s="85">
        <v>8</v>
      </c>
      <c r="S25" s="90">
        <v>50</v>
      </c>
      <c r="T25" s="85"/>
      <c r="U25" s="85"/>
      <c r="V25" s="85"/>
      <c r="W25" s="85"/>
      <c r="X25" s="85"/>
      <c r="Y25" s="85"/>
      <c r="Z25" s="85"/>
      <c r="AA25" s="85"/>
      <c r="AB25" s="90">
        <v>38.9</v>
      </c>
      <c r="AC25" s="96">
        <f t="shared" si="0"/>
        <v>19.492222222222225</v>
      </c>
      <c r="AD25" s="96">
        <f t="shared" si="1"/>
        <v>14.130078066763803</v>
      </c>
      <c r="AE25" s="83">
        <f t="shared" si="9"/>
        <v>5.3621441554584219</v>
      </c>
      <c r="AF25" s="83">
        <f t="shared" si="2"/>
        <v>33.622300288986025</v>
      </c>
      <c r="AG25" s="82">
        <f>AVERAGE(G25,I25,J25,K25,L25,M25,R25)</f>
        <v>12.361428571428572</v>
      </c>
      <c r="AH25" s="82">
        <f>MEDIAN(G25,I25,J25,K25,L25,M25,R25)</f>
        <v>10</v>
      </c>
      <c r="AI25" s="81">
        <f>_xlfn.STDEV.P(G25,I25,J25,K25,L25,M25,R25)</f>
        <v>4.3688521819529553</v>
      </c>
      <c r="AJ25" s="80">
        <f t="shared" si="3"/>
        <v>0.35342615594210891</v>
      </c>
      <c r="AK25" s="80" t="str">
        <f t="shared" si="4"/>
        <v>Mediana</v>
      </c>
      <c r="AL25" s="121">
        <f t="shared" si="5"/>
        <v>2</v>
      </c>
      <c r="AM25" s="105">
        <f t="shared" si="6"/>
        <v>10</v>
      </c>
      <c r="AN25" s="104">
        <f t="shared" si="8"/>
        <v>20</v>
      </c>
    </row>
    <row r="26" spans="1:40" ht="87" customHeight="1">
      <c r="A26" s="566"/>
      <c r="B26" s="633"/>
      <c r="C26" s="88">
        <v>17</v>
      </c>
      <c r="D26" s="185" t="s">
        <v>298</v>
      </c>
      <c r="E26" s="103" t="s">
        <v>163</v>
      </c>
      <c r="F26" s="103">
        <v>30</v>
      </c>
      <c r="G26" s="85">
        <v>1.1100000000000001</v>
      </c>
      <c r="H26" s="85"/>
      <c r="I26" s="85">
        <v>2.04</v>
      </c>
      <c r="J26" s="85"/>
      <c r="K26" s="86">
        <v>0.6</v>
      </c>
      <c r="L26" s="85">
        <v>8.27</v>
      </c>
      <c r="M26" s="85"/>
      <c r="N26" s="85">
        <v>1.98</v>
      </c>
      <c r="O26" s="90">
        <v>7.55</v>
      </c>
      <c r="P26" s="90">
        <v>9.98</v>
      </c>
      <c r="Q26" s="85">
        <v>3.1</v>
      </c>
      <c r="R26" s="85">
        <v>1.1100000000000001</v>
      </c>
      <c r="S26" s="85">
        <v>3</v>
      </c>
      <c r="T26" s="85"/>
      <c r="U26" s="85"/>
      <c r="V26" s="85"/>
      <c r="W26" s="85"/>
      <c r="X26" s="85"/>
      <c r="Y26" s="85"/>
      <c r="Z26" s="85"/>
      <c r="AA26" s="85"/>
      <c r="AB26" s="107">
        <v>5.9</v>
      </c>
      <c r="AC26" s="96">
        <f t="shared" si="0"/>
        <v>4.0581818181818186</v>
      </c>
      <c r="AD26" s="96">
        <f t="shared" si="1"/>
        <v>3.1357870352717692</v>
      </c>
      <c r="AE26" s="83">
        <f t="shared" si="9"/>
        <v>0.92239478291004939</v>
      </c>
      <c r="AF26" s="83">
        <f t="shared" si="2"/>
        <v>7.1939688534535877</v>
      </c>
      <c r="AG26" s="82">
        <f>AVERAGE(G26,I26,K26,L26,N26,Q26,R26,S26,AB26)</f>
        <v>3.0122222222222224</v>
      </c>
      <c r="AH26" s="82">
        <f>MEDIAN(G26,I26,K26,L26,N26,Q26,R26,S26,AB26)</f>
        <v>2.04</v>
      </c>
      <c r="AI26" s="81">
        <f>_xlfn.STDEV.P(G26,I26,K26,L26,N26,Q26,R26,S26,AB26)</f>
        <v>2.3818236606888608</v>
      </c>
      <c r="AJ26" s="80">
        <f t="shared" si="3"/>
        <v>0.79071976931758559</v>
      </c>
      <c r="AK26" s="80" t="str">
        <f t="shared" si="4"/>
        <v>Mediana</v>
      </c>
      <c r="AL26" s="121">
        <f t="shared" si="5"/>
        <v>30</v>
      </c>
      <c r="AM26" s="105">
        <f t="shared" si="6"/>
        <v>2.04</v>
      </c>
      <c r="AN26" s="104">
        <f t="shared" si="8"/>
        <v>61.2</v>
      </c>
    </row>
    <row r="27" spans="1:40" ht="66.75" customHeight="1">
      <c r="A27" s="566"/>
      <c r="B27" s="633"/>
      <c r="C27" s="88">
        <v>18</v>
      </c>
      <c r="D27" s="125" t="s">
        <v>297</v>
      </c>
      <c r="E27" s="103" t="s">
        <v>212</v>
      </c>
      <c r="F27" s="103">
        <v>25</v>
      </c>
      <c r="G27" s="85">
        <v>2.4300000000000002</v>
      </c>
      <c r="H27" s="85">
        <v>2.63</v>
      </c>
      <c r="I27" s="85">
        <v>1.5</v>
      </c>
      <c r="J27" s="85">
        <v>3.99</v>
      </c>
      <c r="K27" s="85">
        <v>1.39</v>
      </c>
      <c r="L27" s="85">
        <v>2.42</v>
      </c>
      <c r="M27" s="85"/>
      <c r="N27" s="85">
        <v>4.87</v>
      </c>
      <c r="O27" s="90">
        <v>6.47</v>
      </c>
      <c r="P27" s="85">
        <v>3.01</v>
      </c>
      <c r="Q27" s="85"/>
      <c r="R27" s="85"/>
      <c r="S27" s="85">
        <v>4.01</v>
      </c>
      <c r="T27" s="85"/>
      <c r="U27" s="85"/>
      <c r="V27" s="85"/>
      <c r="W27" s="85"/>
      <c r="X27" s="85"/>
      <c r="Y27" s="85">
        <v>1.98</v>
      </c>
      <c r="Z27" s="85"/>
      <c r="AA27" s="85"/>
      <c r="AB27" s="90">
        <v>10.44</v>
      </c>
      <c r="AC27" s="96">
        <f t="shared" si="0"/>
        <v>3.7616666666666663</v>
      </c>
      <c r="AD27" s="96">
        <f t="shared" si="1"/>
        <v>2.4598571548409525</v>
      </c>
      <c r="AE27" s="83">
        <f t="shared" si="9"/>
        <v>1.3018095118257138</v>
      </c>
      <c r="AF27" s="83">
        <f t="shared" si="2"/>
        <v>6.2215238215076187</v>
      </c>
      <c r="AG27" s="82">
        <f>AVERAGE(G27,H27,I27,J27,K27,L27,N27,P27,S27,Y27)</f>
        <v>2.823</v>
      </c>
      <c r="AH27" s="82">
        <f>MEDIAN(G27,H27,I27,J27,K27,L27,N27,P27,S27,Y27)</f>
        <v>2.5300000000000002</v>
      </c>
      <c r="AI27" s="81">
        <f>_xlfn.STDEV.P(G27,H27,I27,J27,K27,L27,N27,P27,S27,Y27)</f>
        <v>1.089247905667025</v>
      </c>
      <c r="AJ27" s="80">
        <f t="shared" si="3"/>
        <v>0.38584764635743007</v>
      </c>
      <c r="AK27" s="80" t="str">
        <f t="shared" si="4"/>
        <v>Mediana</v>
      </c>
      <c r="AL27" s="121">
        <f t="shared" si="5"/>
        <v>25</v>
      </c>
      <c r="AM27" s="105">
        <f t="shared" si="6"/>
        <v>2.5299999999999998</v>
      </c>
      <c r="AN27" s="104">
        <f t="shared" si="8"/>
        <v>63.25</v>
      </c>
    </row>
    <row r="28" spans="1:40" ht="66.75" customHeight="1">
      <c r="A28" s="566"/>
      <c r="B28" s="633"/>
      <c r="C28" s="88">
        <v>19</v>
      </c>
      <c r="D28" s="125" t="s">
        <v>296</v>
      </c>
      <c r="E28" s="103" t="s">
        <v>163</v>
      </c>
      <c r="F28" s="103">
        <v>20</v>
      </c>
      <c r="G28" s="85"/>
      <c r="H28" s="85"/>
      <c r="I28" s="85"/>
      <c r="J28" s="85"/>
      <c r="K28" s="85"/>
      <c r="L28" s="85">
        <v>1.46</v>
      </c>
      <c r="M28" s="85"/>
      <c r="N28" s="85"/>
      <c r="O28" s="85"/>
      <c r="P28" s="85"/>
      <c r="Q28" s="85"/>
      <c r="R28" s="90">
        <v>1.84</v>
      </c>
      <c r="S28" s="86">
        <v>0.18</v>
      </c>
      <c r="T28" s="85"/>
      <c r="U28" s="85"/>
      <c r="V28" s="85"/>
      <c r="W28" s="85"/>
      <c r="X28" s="85"/>
      <c r="Y28" s="85">
        <v>1.06</v>
      </c>
      <c r="Z28" s="85"/>
      <c r="AA28" s="85"/>
      <c r="AB28" s="107">
        <v>1</v>
      </c>
      <c r="AC28" s="96">
        <f t="shared" si="0"/>
        <v>1.1080000000000001</v>
      </c>
      <c r="AD28" s="96">
        <f t="shared" si="1"/>
        <v>0.55405414897823835</v>
      </c>
      <c r="AE28" s="83">
        <f t="shared" si="9"/>
        <v>0.55394585102176175</v>
      </c>
      <c r="AF28" s="83">
        <f t="shared" si="2"/>
        <v>1.6620541489782386</v>
      </c>
      <c r="AG28" s="82">
        <f>AVERAGE(L28,S28,Y28,AB28)</f>
        <v>0.92500000000000004</v>
      </c>
      <c r="AH28" s="82">
        <f>MEDIAN(L28,S28,Y28,AB28)</f>
        <v>1.03</v>
      </c>
      <c r="AI28" s="81">
        <f>_xlfn.STDEV.P(L28,S28,Y28,AB28)</f>
        <v>0.4650537603331466</v>
      </c>
      <c r="AJ28" s="80">
        <f t="shared" si="3"/>
        <v>0.50276082198178007</v>
      </c>
      <c r="AK28" s="80" t="str">
        <f t="shared" si="4"/>
        <v>Mediana</v>
      </c>
      <c r="AL28" s="121">
        <f t="shared" si="5"/>
        <v>20</v>
      </c>
      <c r="AM28" s="105">
        <f t="shared" si="6"/>
        <v>1.03</v>
      </c>
      <c r="AN28" s="104">
        <f t="shared" si="8"/>
        <v>20.6</v>
      </c>
    </row>
    <row r="29" spans="1:40" ht="54" customHeight="1">
      <c r="A29" s="566"/>
      <c r="B29" s="633"/>
      <c r="C29" s="88">
        <v>20</v>
      </c>
      <c r="D29" s="125" t="s">
        <v>295</v>
      </c>
      <c r="E29" s="103" t="s">
        <v>163</v>
      </c>
      <c r="F29" s="103">
        <v>30</v>
      </c>
      <c r="G29" s="85">
        <v>1.8</v>
      </c>
      <c r="H29" s="90">
        <v>4.5</v>
      </c>
      <c r="I29" s="85"/>
      <c r="J29" s="85">
        <v>3.99</v>
      </c>
      <c r="K29" s="85">
        <v>1.2</v>
      </c>
      <c r="L29" s="85"/>
      <c r="M29" s="86">
        <v>1</v>
      </c>
      <c r="N29" s="85">
        <v>2.1</v>
      </c>
      <c r="O29" s="85">
        <v>1.74</v>
      </c>
      <c r="P29" s="85">
        <v>1.72</v>
      </c>
      <c r="Q29" s="85">
        <v>2</v>
      </c>
      <c r="R29" s="85">
        <v>1.72</v>
      </c>
      <c r="S29" s="85">
        <v>3.85</v>
      </c>
      <c r="T29" s="85">
        <v>3</v>
      </c>
      <c r="U29" s="85">
        <v>3.14</v>
      </c>
      <c r="V29" s="90">
        <v>7.14</v>
      </c>
      <c r="W29" s="85">
        <v>1.41</v>
      </c>
      <c r="X29" s="85"/>
      <c r="Y29" s="85"/>
      <c r="Z29" s="85"/>
      <c r="AA29" s="85"/>
      <c r="AB29" s="85">
        <v>3.81</v>
      </c>
      <c r="AC29" s="96">
        <f t="shared" si="0"/>
        <v>2.7574999999999998</v>
      </c>
      <c r="AD29" s="96">
        <f t="shared" si="1"/>
        <v>1.5554239775701031</v>
      </c>
      <c r="AE29" s="83">
        <f t="shared" si="9"/>
        <v>1.2020760224298968</v>
      </c>
      <c r="AF29" s="83">
        <f t="shared" si="2"/>
        <v>4.3129239775701027</v>
      </c>
      <c r="AG29" s="82">
        <f>AVERAGE(G29,J29,K29,M29,N29,O29,P29,Q29,R29,S29,T29,U29,W29,AB29)</f>
        <v>2.3200000000000003</v>
      </c>
      <c r="AH29" s="82">
        <f>MEDIAN(G29,J29,K29,M29,N29,O29,P29,Q29,R29,S29,T29,U29,W29,AB29)</f>
        <v>1.9</v>
      </c>
      <c r="AI29" s="81">
        <f>_xlfn.STDEV.P(G29,J29,K29,M29,N29,O29,P29,Q29,R29,S29,T29,U29,W29,AB29)</f>
        <v>0.99237089840442161</v>
      </c>
      <c r="AJ29" s="80">
        <f t="shared" si="3"/>
        <v>0.42774607689845756</v>
      </c>
      <c r="AK29" s="80" t="str">
        <f t="shared" si="4"/>
        <v>Mediana</v>
      </c>
      <c r="AL29" s="121">
        <f t="shared" si="5"/>
        <v>30</v>
      </c>
      <c r="AM29" s="105">
        <f t="shared" si="6"/>
        <v>1.9</v>
      </c>
      <c r="AN29" s="104">
        <f t="shared" si="8"/>
        <v>57</v>
      </c>
    </row>
    <row r="30" spans="1:40" ht="71.25" customHeight="1">
      <c r="A30" s="566"/>
      <c r="B30" s="633"/>
      <c r="C30" s="88">
        <v>21</v>
      </c>
      <c r="D30" s="125" t="s">
        <v>294</v>
      </c>
      <c r="E30" s="103" t="s">
        <v>291</v>
      </c>
      <c r="F30" s="103">
        <v>60</v>
      </c>
      <c r="G30" s="85"/>
      <c r="H30" s="85"/>
      <c r="I30" s="85">
        <v>25.6</v>
      </c>
      <c r="J30" s="85"/>
      <c r="K30" s="85">
        <v>26.4</v>
      </c>
      <c r="L30" s="85">
        <v>35.32</v>
      </c>
      <c r="M30" s="85"/>
      <c r="N30" s="85">
        <v>33.200000000000003</v>
      </c>
      <c r="O30" s="85"/>
      <c r="P30" s="85"/>
      <c r="Q30" s="85">
        <v>37.799999999999997</v>
      </c>
      <c r="R30" s="85"/>
      <c r="S30" s="85"/>
      <c r="T30" s="85"/>
      <c r="U30" s="85"/>
      <c r="V30" s="85"/>
      <c r="W30" s="86">
        <v>14.25</v>
      </c>
      <c r="X30" s="85"/>
      <c r="Y30" s="85"/>
      <c r="Z30" s="85"/>
      <c r="AA30" s="85"/>
      <c r="AB30" s="90">
        <v>55.26</v>
      </c>
      <c r="AC30" s="96">
        <f t="shared" si="0"/>
        <v>32.547142857142852</v>
      </c>
      <c r="AD30" s="96">
        <f t="shared" si="1"/>
        <v>11.786293145957684</v>
      </c>
      <c r="AE30" s="83">
        <f t="shared" si="9"/>
        <v>20.760849711185166</v>
      </c>
      <c r="AF30" s="83">
        <f t="shared" si="2"/>
        <v>44.333436003100537</v>
      </c>
      <c r="AG30" s="82">
        <f>AVERAGE(I30,K30,L30,N30,Q30,W30)</f>
        <v>28.761666666666667</v>
      </c>
      <c r="AH30" s="82">
        <f>MEDIAN(I30,K30,L30,N30,Q30,W30)</f>
        <v>29.8</v>
      </c>
      <c r="AI30" s="81">
        <f>_xlfn.STDEV.P(I30,K30,L30,N30,Q30,W30)</f>
        <v>7.8587963808432946</v>
      </c>
      <c r="AJ30" s="80">
        <f t="shared" si="3"/>
        <v>0.2732385599180609</v>
      </c>
      <c r="AK30" s="80" t="str">
        <f t="shared" si="4"/>
        <v>Mediana</v>
      </c>
      <c r="AL30" s="121">
        <f t="shared" si="5"/>
        <v>60</v>
      </c>
      <c r="AM30" s="105">
        <f t="shared" si="6"/>
        <v>29.8</v>
      </c>
      <c r="AN30" s="104">
        <f t="shared" si="8"/>
        <v>1788</v>
      </c>
    </row>
    <row r="31" spans="1:40" ht="110.25" customHeight="1">
      <c r="A31" s="566"/>
      <c r="B31" s="633"/>
      <c r="C31" s="88">
        <v>22</v>
      </c>
      <c r="D31" s="125" t="s">
        <v>293</v>
      </c>
      <c r="E31" s="103" t="s">
        <v>163</v>
      </c>
      <c r="F31" s="103">
        <v>50</v>
      </c>
      <c r="G31" s="85"/>
      <c r="H31" s="85"/>
      <c r="I31" s="85"/>
      <c r="J31" s="85">
        <v>0.94968750000000002</v>
      </c>
      <c r="K31" s="85">
        <v>0.39</v>
      </c>
      <c r="L31" s="85">
        <v>1.0248437500000001</v>
      </c>
      <c r="M31" s="85"/>
      <c r="N31" s="85"/>
      <c r="O31" s="85">
        <v>0.40625</v>
      </c>
      <c r="P31" s="85"/>
      <c r="Q31" s="85"/>
      <c r="R31" s="85">
        <v>0.67</v>
      </c>
      <c r="S31" s="85"/>
      <c r="T31" s="85"/>
      <c r="U31" s="85">
        <v>1.2</v>
      </c>
      <c r="V31" s="85">
        <v>0.76656250000000004</v>
      </c>
      <c r="W31" s="85"/>
      <c r="X31" s="85"/>
      <c r="Y31" s="85"/>
      <c r="Z31" s="85"/>
      <c r="AA31" s="85"/>
      <c r="AB31" s="106">
        <v>6.17</v>
      </c>
      <c r="AC31" s="96">
        <f t="shared" si="0"/>
        <v>1.4471679687500001</v>
      </c>
      <c r="AD31" s="96">
        <f t="shared" si="1"/>
        <v>1.8048686638599412</v>
      </c>
      <c r="AE31" s="83">
        <f>AD31-AC31</f>
        <v>0.35770069510994107</v>
      </c>
      <c r="AF31" s="83">
        <f t="shared" si="2"/>
        <v>3.2520366326099412</v>
      </c>
      <c r="AG31" s="82">
        <f>AVERAGE(J31,K31,L31,O31,R31,U31,V31)</f>
        <v>0.77247767857142857</v>
      </c>
      <c r="AH31" s="82">
        <f>MEDIAN(J31,K31,L31,O31,R31,U31,V31)</f>
        <v>0.76656250000000004</v>
      </c>
      <c r="AI31" s="81">
        <f>_xlfn.STDEV.P(J31,K31,L31,O31,R31,U31,V31)</f>
        <v>0.28506035482203201</v>
      </c>
      <c r="AJ31" s="80">
        <f t="shared" si="3"/>
        <v>0.36902083093093979</v>
      </c>
      <c r="AK31" s="80" t="str">
        <f t="shared" si="4"/>
        <v>Mediana</v>
      </c>
      <c r="AL31" s="121">
        <f t="shared" si="5"/>
        <v>50</v>
      </c>
      <c r="AM31" s="105">
        <f t="shared" si="6"/>
        <v>0.76</v>
      </c>
      <c r="AN31" s="104">
        <f t="shared" si="8"/>
        <v>38</v>
      </c>
    </row>
    <row r="32" spans="1:40" ht="108.75" customHeight="1">
      <c r="A32" s="566"/>
      <c r="B32" s="633"/>
      <c r="C32" s="88">
        <v>23</v>
      </c>
      <c r="D32" s="125" t="s">
        <v>292</v>
      </c>
      <c r="E32" s="103" t="s">
        <v>291</v>
      </c>
      <c r="F32" s="103">
        <v>50</v>
      </c>
      <c r="G32" s="85">
        <v>10.62</v>
      </c>
      <c r="H32" s="85"/>
      <c r="I32" s="85">
        <v>5.44</v>
      </c>
      <c r="J32" s="85"/>
      <c r="K32" s="86">
        <v>3.5</v>
      </c>
      <c r="L32" s="85"/>
      <c r="M32" s="90">
        <v>30</v>
      </c>
      <c r="N32" s="85"/>
      <c r="O32" s="85">
        <v>7.25</v>
      </c>
      <c r="P32" s="85">
        <v>6.03</v>
      </c>
      <c r="Q32" s="85">
        <v>10.5</v>
      </c>
      <c r="R32" s="85"/>
      <c r="S32" s="85"/>
      <c r="T32" s="90">
        <v>18.75</v>
      </c>
      <c r="U32" s="85"/>
      <c r="V32" s="85"/>
      <c r="W32" s="85">
        <v>6.5</v>
      </c>
      <c r="X32" s="85">
        <v>7.11</v>
      </c>
      <c r="Y32" s="85"/>
      <c r="Z32" s="85"/>
      <c r="AA32" s="85"/>
      <c r="AB32" s="85">
        <v>16.61</v>
      </c>
      <c r="AC32" s="96">
        <f t="shared" si="0"/>
        <v>11.119090909090909</v>
      </c>
      <c r="AD32" s="96">
        <f t="shared" si="1"/>
        <v>7.4716560833659349</v>
      </c>
      <c r="AE32" s="83">
        <f t="shared" si="9"/>
        <v>3.6474348257249742</v>
      </c>
      <c r="AF32" s="83">
        <f t="shared" si="2"/>
        <v>18.590746992456843</v>
      </c>
      <c r="AG32" s="82">
        <f>AVERAGE(G32,I32,K32,O32,P32,Q32,W32,X32,AB32)</f>
        <v>8.1733333333333338</v>
      </c>
      <c r="AH32" s="82">
        <f>MEDIAN(G32,I32,K32,O32,P32,Q32,W32,X32,AB32)</f>
        <v>7.11</v>
      </c>
      <c r="AI32" s="81">
        <f>_xlfn.STDEV.P(G32,I32,K32,O32,P32,Q32,W32,X32,AB32)</f>
        <v>3.6706826491963458</v>
      </c>
      <c r="AJ32" s="80">
        <f t="shared" si="3"/>
        <v>0.4491047286944958</v>
      </c>
      <c r="AK32" s="80" t="str">
        <f t="shared" si="4"/>
        <v>Mediana</v>
      </c>
      <c r="AL32" s="121">
        <f t="shared" si="5"/>
        <v>50</v>
      </c>
      <c r="AM32" s="105">
        <f t="shared" si="6"/>
        <v>7.11</v>
      </c>
      <c r="AN32" s="104">
        <f t="shared" si="8"/>
        <v>355.5</v>
      </c>
    </row>
    <row r="33" spans="1:40" ht="104.25" customHeight="1">
      <c r="A33" s="566"/>
      <c r="B33" s="633"/>
      <c r="C33" s="88">
        <v>24</v>
      </c>
      <c r="D33" s="125" t="s">
        <v>290</v>
      </c>
      <c r="E33" s="103" t="s">
        <v>163</v>
      </c>
      <c r="F33" s="103">
        <v>10</v>
      </c>
      <c r="G33" s="85"/>
      <c r="H33" s="85"/>
      <c r="I33" s="86">
        <v>1.76</v>
      </c>
      <c r="J33" s="85">
        <v>3.46</v>
      </c>
      <c r="K33" s="85">
        <v>2.39</v>
      </c>
      <c r="L33" s="85"/>
      <c r="M33" s="85"/>
      <c r="N33" s="85">
        <v>3.89</v>
      </c>
      <c r="O33" s="85"/>
      <c r="P33" s="85"/>
      <c r="Q33" s="85"/>
      <c r="R33" s="85">
        <v>3.2</v>
      </c>
      <c r="S33" s="85"/>
      <c r="T33" s="85"/>
      <c r="U33" s="85"/>
      <c r="V33" s="85"/>
      <c r="W33" s="85"/>
      <c r="X33" s="85"/>
      <c r="Y33" s="85"/>
      <c r="Z33" s="85"/>
      <c r="AA33" s="85"/>
      <c r="AB33" s="90">
        <v>6.69</v>
      </c>
      <c r="AC33" s="96">
        <f t="shared" si="0"/>
        <v>3.5649999999999999</v>
      </c>
      <c r="AD33" s="96">
        <f t="shared" si="1"/>
        <v>1.562804636969489</v>
      </c>
      <c r="AE33" s="83">
        <f t="shared" si="9"/>
        <v>2.0021953630305109</v>
      </c>
      <c r="AF33" s="83">
        <f t="shared" si="2"/>
        <v>5.127804636969489</v>
      </c>
      <c r="AG33" s="82">
        <f>AVERAGE(I33,J33,K33,N33,R33)</f>
        <v>2.94</v>
      </c>
      <c r="AH33" s="82">
        <f>MEDIAN(I33,J33,K33,N33,R33)</f>
        <v>3.2</v>
      </c>
      <c r="AI33" s="81">
        <f>_xlfn.STDEV.P(I33,J33,K33,N33,R33)</f>
        <v>0.7662114590633593</v>
      </c>
      <c r="AJ33" s="80">
        <f t="shared" si="3"/>
        <v>0.26061614253855758</v>
      </c>
      <c r="AK33" s="80" t="str">
        <f t="shared" si="4"/>
        <v>Mediana</v>
      </c>
      <c r="AL33" s="121">
        <f t="shared" si="5"/>
        <v>10</v>
      </c>
      <c r="AM33" s="105">
        <f t="shared" si="6"/>
        <v>3.2</v>
      </c>
      <c r="AN33" s="104">
        <f t="shared" si="8"/>
        <v>32</v>
      </c>
    </row>
    <row r="34" spans="1:40" ht="138.75" customHeight="1">
      <c r="A34" s="566"/>
      <c r="B34" s="633"/>
      <c r="C34" s="88">
        <v>25</v>
      </c>
      <c r="D34" s="125" t="s">
        <v>289</v>
      </c>
      <c r="E34" s="103" t="s">
        <v>163</v>
      </c>
      <c r="F34" s="103">
        <v>1</v>
      </c>
      <c r="G34" s="85">
        <v>20</v>
      </c>
      <c r="H34" s="85"/>
      <c r="I34" s="86">
        <v>6.55</v>
      </c>
      <c r="J34" s="85"/>
      <c r="K34" s="85">
        <v>11.9</v>
      </c>
      <c r="L34" s="85"/>
      <c r="M34" s="86">
        <v>8</v>
      </c>
      <c r="N34" s="85"/>
      <c r="O34" s="90">
        <v>41.35</v>
      </c>
      <c r="P34" s="85"/>
      <c r="Q34" s="85">
        <v>14</v>
      </c>
      <c r="R34" s="85">
        <v>14.8</v>
      </c>
      <c r="S34" s="85"/>
      <c r="T34" s="85">
        <v>30</v>
      </c>
      <c r="U34" s="85"/>
      <c r="V34" s="85"/>
      <c r="W34" s="85"/>
      <c r="X34" s="85"/>
      <c r="Y34" s="85"/>
      <c r="Z34" s="85"/>
      <c r="AA34" s="85"/>
      <c r="AB34" s="90">
        <v>33.99</v>
      </c>
      <c r="AC34" s="96">
        <f t="shared" si="0"/>
        <v>20.065555555555559</v>
      </c>
      <c r="AD34" s="96">
        <f t="shared" si="1"/>
        <v>11.571307533061731</v>
      </c>
      <c r="AE34" s="83">
        <f t="shared" si="9"/>
        <v>8.4942480224938279</v>
      </c>
      <c r="AF34" s="83">
        <f t="shared" si="2"/>
        <v>31.636863088617289</v>
      </c>
      <c r="AG34" s="82">
        <f>AVERAGE(G34,I34,K34,M34,Q34,R34,T34)</f>
        <v>15.035714285714286</v>
      </c>
      <c r="AH34" s="82">
        <f>MEDIAN(G34,I34,K34,M34,Q34,R34,T34)</f>
        <v>14</v>
      </c>
      <c r="AI34" s="81">
        <f>_xlfn.STDEV.P(G34,I34,K34,M34,Q34,R34,T34)</f>
        <v>7.3779940307896261</v>
      </c>
      <c r="AJ34" s="80">
        <f t="shared" si="3"/>
        <v>0.49069794029004637</v>
      </c>
      <c r="AK34" s="80" t="str">
        <f t="shared" si="4"/>
        <v>Mediana</v>
      </c>
      <c r="AL34" s="121">
        <f t="shared" si="5"/>
        <v>1</v>
      </c>
      <c r="AM34" s="105">
        <f t="shared" si="6"/>
        <v>14</v>
      </c>
      <c r="AN34" s="104">
        <f t="shared" si="8"/>
        <v>14</v>
      </c>
    </row>
    <row r="35" spans="1:40" ht="97.5" customHeight="1">
      <c r="A35" s="566"/>
      <c r="B35" s="633"/>
      <c r="C35" s="88">
        <v>26</v>
      </c>
      <c r="D35" s="125" t="s">
        <v>288</v>
      </c>
      <c r="E35" s="103" t="s">
        <v>194</v>
      </c>
      <c r="F35" s="103">
        <v>3</v>
      </c>
      <c r="G35" s="85"/>
      <c r="H35" s="85"/>
      <c r="I35" s="86">
        <v>1.48</v>
      </c>
      <c r="J35" s="85"/>
      <c r="K35" s="85"/>
      <c r="L35" s="85"/>
      <c r="M35" s="85"/>
      <c r="N35" s="85">
        <v>6.17</v>
      </c>
      <c r="O35" s="85"/>
      <c r="P35" s="85"/>
      <c r="Q35" s="90">
        <v>10</v>
      </c>
      <c r="R35" s="85">
        <v>5.0199999999999996</v>
      </c>
      <c r="S35" s="85"/>
      <c r="T35" s="85">
        <v>4</v>
      </c>
      <c r="U35" s="85"/>
      <c r="V35" s="85"/>
      <c r="W35" s="86">
        <v>1.73</v>
      </c>
      <c r="X35" s="85"/>
      <c r="Y35" s="85"/>
      <c r="Z35" s="85"/>
      <c r="AA35" s="85"/>
      <c r="AB35" s="106">
        <v>10.29</v>
      </c>
      <c r="AC35" s="96">
        <f t="shared" si="0"/>
        <v>5.5271428571428567</v>
      </c>
      <c r="AD35" s="96">
        <f t="shared" si="1"/>
        <v>3.3056562533491167</v>
      </c>
      <c r="AE35" s="83">
        <f t="shared" si="9"/>
        <v>2.22148660379374</v>
      </c>
      <c r="AF35" s="83">
        <f t="shared" si="2"/>
        <v>8.8327991104919725</v>
      </c>
      <c r="AG35" s="82">
        <f>AVERAGE(I35,N35,R35,T35,W35)</f>
        <v>3.6800000000000006</v>
      </c>
      <c r="AH35" s="82">
        <f>MEDIAN(I35,N35,R35,T35,W35)</f>
        <v>4</v>
      </c>
      <c r="AI35" s="81">
        <f>_xlfn.STDEV.P(I35,N35,R35,T35,W35)</f>
        <v>1.829786872835194</v>
      </c>
      <c r="AJ35" s="80">
        <f t="shared" si="3"/>
        <v>0.49722469370521571</v>
      </c>
      <c r="AK35" s="80" t="str">
        <f t="shared" si="4"/>
        <v>Mediana</v>
      </c>
      <c r="AL35" s="121">
        <f t="shared" si="5"/>
        <v>3</v>
      </c>
      <c r="AM35" s="105">
        <f t="shared" si="6"/>
        <v>4</v>
      </c>
      <c r="AN35" s="104">
        <f t="shared" si="8"/>
        <v>12</v>
      </c>
    </row>
    <row r="36" spans="1:40" ht="109.5" customHeight="1">
      <c r="A36" s="566"/>
      <c r="B36" s="633"/>
      <c r="C36" s="88">
        <v>27</v>
      </c>
      <c r="D36" s="125" t="s">
        <v>287</v>
      </c>
      <c r="E36" s="103" t="s">
        <v>286</v>
      </c>
      <c r="F36" s="103">
        <v>20</v>
      </c>
      <c r="G36" s="85"/>
      <c r="H36" s="85"/>
      <c r="I36" s="86">
        <v>9.6</v>
      </c>
      <c r="J36" s="85">
        <v>14.75</v>
      </c>
      <c r="K36" s="85"/>
      <c r="L36" s="85"/>
      <c r="M36" s="85">
        <v>15</v>
      </c>
      <c r="N36" s="85">
        <v>12.5</v>
      </c>
      <c r="O36" s="85">
        <v>14.33</v>
      </c>
      <c r="P36" s="85"/>
      <c r="Q36" s="85"/>
      <c r="R36" s="85"/>
      <c r="S36" s="85"/>
      <c r="T36" s="85"/>
      <c r="U36" s="85"/>
      <c r="V36" s="85"/>
      <c r="W36" s="86">
        <v>10.56</v>
      </c>
      <c r="X36" s="85"/>
      <c r="Y36" s="85"/>
      <c r="Z36" s="85"/>
      <c r="AA36" s="85"/>
      <c r="AB36" s="90">
        <v>15.39</v>
      </c>
      <c r="AC36" s="96">
        <f t="shared" si="0"/>
        <v>13.161428571428573</v>
      </c>
      <c r="AD36" s="96">
        <f t="shared" si="1"/>
        <v>2.1422513429395988</v>
      </c>
      <c r="AE36" s="83">
        <f>AC36-AD36</f>
        <v>11.019177228488974</v>
      </c>
      <c r="AF36" s="83">
        <f t="shared" si="2"/>
        <v>15.303679914368171</v>
      </c>
      <c r="AG36" s="82">
        <f>AVERAGE(I36,J36,M36,N36,O36,W36)</f>
        <v>12.790000000000001</v>
      </c>
      <c r="AH36" s="82">
        <f>MEDIAN(I36,J36,M36,N36,O36,W36)</f>
        <v>13.414999999999999</v>
      </c>
      <c r="AI36" s="81">
        <f>_xlfn.STDEV.P(I36,J36,M36,N36,O36,W36)</f>
        <v>2.0948508300115241</v>
      </c>
      <c r="AJ36" s="80">
        <f t="shared" si="3"/>
        <v>0.16378818061075245</v>
      </c>
      <c r="AK36" s="80" t="str">
        <f t="shared" si="4"/>
        <v>Média</v>
      </c>
      <c r="AL36" s="121">
        <f t="shared" si="5"/>
        <v>20</v>
      </c>
      <c r="AM36" s="105">
        <f t="shared" si="6"/>
        <v>12.79</v>
      </c>
      <c r="AN36" s="104">
        <f t="shared" si="8"/>
        <v>255.8</v>
      </c>
    </row>
    <row r="37" spans="1:40" ht="122.25" customHeight="1">
      <c r="A37" s="566"/>
      <c r="B37" s="633"/>
      <c r="C37" s="88">
        <v>28</v>
      </c>
      <c r="D37" s="125" t="s">
        <v>285</v>
      </c>
      <c r="E37" s="103" t="s">
        <v>163</v>
      </c>
      <c r="F37" s="111">
        <v>1000</v>
      </c>
      <c r="G37" s="87"/>
      <c r="H37" s="87"/>
      <c r="I37" s="107">
        <v>0.17280000000000001</v>
      </c>
      <c r="J37" s="87"/>
      <c r="K37" s="106">
        <v>0.52</v>
      </c>
      <c r="L37" s="107">
        <v>0.19</v>
      </c>
      <c r="M37" s="107">
        <v>0.12</v>
      </c>
      <c r="N37" s="107">
        <v>0.18</v>
      </c>
      <c r="O37" s="107">
        <v>0.2019</v>
      </c>
      <c r="P37" s="107">
        <v>0.10199999999999999</v>
      </c>
      <c r="Q37" s="107"/>
      <c r="R37" s="110">
        <v>4.8800000000000003E-2</v>
      </c>
      <c r="S37" s="85"/>
      <c r="T37" s="85">
        <v>0.25</v>
      </c>
      <c r="U37" s="85"/>
      <c r="V37" s="85">
        <v>0.36399999999999999</v>
      </c>
      <c r="W37" s="85">
        <v>0.09</v>
      </c>
      <c r="X37" s="85"/>
      <c r="Y37" s="85"/>
      <c r="Z37" s="85"/>
      <c r="AA37" s="85"/>
      <c r="AB37" s="106">
        <v>0.7</v>
      </c>
      <c r="AC37" s="96">
        <f t="shared" si="0"/>
        <v>0.24495833333333331</v>
      </c>
      <c r="AD37" s="96">
        <f t="shared" si="1"/>
        <v>0.18478588266032553</v>
      </c>
      <c r="AE37" s="83">
        <f t="shared" si="9"/>
        <v>6.0172450673007777E-2</v>
      </c>
      <c r="AF37" s="83">
        <f t="shared" si="2"/>
        <v>0.42974421599365886</v>
      </c>
      <c r="AG37" s="82">
        <f>AVERAGE(I37,L37,M37,N37,O37,P37,R37,T37,V37,W37)</f>
        <v>0.17195000000000002</v>
      </c>
      <c r="AH37" s="82">
        <f>MEDIAN(I37,L37,M37,N37,O37,P37,R37,T37,V37,W37)</f>
        <v>0.1764</v>
      </c>
      <c r="AI37" s="81">
        <f>_xlfn.STDEV.P(I37,L37,M37,N37,O37,P37,R37,T37,V37,W37)</f>
        <v>8.5870172353384691E-2</v>
      </c>
      <c r="AJ37" s="80">
        <f t="shared" si="3"/>
        <v>0.49939035971727064</v>
      </c>
      <c r="AK37" s="80" t="str">
        <f t="shared" si="4"/>
        <v>Mediana</v>
      </c>
      <c r="AL37" s="121">
        <f t="shared" si="5"/>
        <v>1000</v>
      </c>
      <c r="AM37" s="105">
        <f t="shared" si="6"/>
        <v>0.17</v>
      </c>
      <c r="AN37" s="104">
        <f t="shared" si="8"/>
        <v>170</v>
      </c>
    </row>
    <row r="38" spans="1:40" ht="132.75" customHeight="1">
      <c r="A38" s="566"/>
      <c r="B38" s="633"/>
      <c r="C38" s="88">
        <v>29</v>
      </c>
      <c r="D38" s="125" t="s">
        <v>284</v>
      </c>
      <c r="E38" s="103" t="s">
        <v>163</v>
      </c>
      <c r="F38" s="103">
        <v>1000</v>
      </c>
      <c r="G38" s="85"/>
      <c r="H38" s="85"/>
      <c r="I38" s="85">
        <v>0.28799999999999998</v>
      </c>
      <c r="J38" s="85"/>
      <c r="K38" s="90">
        <v>0.52</v>
      </c>
      <c r="L38" s="85">
        <v>0.26</v>
      </c>
      <c r="M38" s="85"/>
      <c r="N38" s="85">
        <v>0.25</v>
      </c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106">
        <v>0.5</v>
      </c>
      <c r="AC38" s="96">
        <f t="shared" si="0"/>
        <v>0.36360000000000003</v>
      </c>
      <c r="AD38" s="96">
        <f t="shared" si="1"/>
        <v>0.12034882633411924</v>
      </c>
      <c r="AE38" s="83">
        <f t="shared" si="9"/>
        <v>0.24325117366588078</v>
      </c>
      <c r="AF38" s="83">
        <f t="shared" si="2"/>
        <v>0.48394882633411929</v>
      </c>
      <c r="AG38" s="82">
        <f>AVERAGE(I38,L38,N38)</f>
        <v>0.26600000000000001</v>
      </c>
      <c r="AH38" s="82">
        <f>MEDIAN(I38,L38,N38)</f>
        <v>0.26</v>
      </c>
      <c r="AI38" s="81">
        <f>_xlfn.STDEV.P(I38,L38,N38)</f>
        <v>1.6083117442419748E-2</v>
      </c>
      <c r="AJ38" s="80">
        <f t="shared" si="3"/>
        <v>6.0462847527893784E-2</v>
      </c>
      <c r="AK38" s="80" t="str">
        <f t="shared" si="4"/>
        <v>Média</v>
      </c>
      <c r="AL38" s="121">
        <f t="shared" si="5"/>
        <v>1000</v>
      </c>
      <c r="AM38" s="105">
        <f t="shared" si="6"/>
        <v>0.26</v>
      </c>
      <c r="AN38" s="104">
        <f t="shared" si="8"/>
        <v>260</v>
      </c>
    </row>
    <row r="39" spans="1:40" ht="123" customHeight="1">
      <c r="A39" s="566"/>
      <c r="B39" s="633"/>
      <c r="C39" s="88">
        <v>30</v>
      </c>
      <c r="D39" s="125" t="s">
        <v>283</v>
      </c>
      <c r="E39" s="103" t="s">
        <v>163</v>
      </c>
      <c r="F39" s="103">
        <v>1500</v>
      </c>
      <c r="G39" s="85"/>
      <c r="H39" s="85"/>
      <c r="I39" s="86">
        <v>3.3300000000000003E-2</v>
      </c>
      <c r="J39" s="85"/>
      <c r="K39" s="85"/>
      <c r="L39" s="85">
        <v>0.12</v>
      </c>
      <c r="M39" s="85"/>
      <c r="N39" s="85">
        <v>0.1</v>
      </c>
      <c r="O39" s="85">
        <v>9.98E-2</v>
      </c>
      <c r="P39" s="85">
        <v>6.0400000000000002E-2</v>
      </c>
      <c r="Q39" s="85"/>
      <c r="R39" s="85">
        <v>4.8800000000000003E-2</v>
      </c>
      <c r="S39" s="85"/>
      <c r="T39" s="85"/>
      <c r="U39" s="85"/>
      <c r="V39" s="85"/>
      <c r="W39" s="85">
        <v>0.04</v>
      </c>
      <c r="X39" s="85"/>
      <c r="Y39" s="85"/>
      <c r="Z39" s="85"/>
      <c r="AA39" s="85"/>
      <c r="AB39" s="106">
        <v>0.15</v>
      </c>
      <c r="AC39" s="96">
        <f t="shared" si="0"/>
        <v>8.1537499999999999E-2</v>
      </c>
      <c r="AD39" s="96">
        <f t="shared" si="1"/>
        <v>3.93884798354798E-2</v>
      </c>
      <c r="AE39" s="83">
        <f t="shared" si="9"/>
        <v>4.2149020164520198E-2</v>
      </c>
      <c r="AF39" s="83">
        <f t="shared" si="2"/>
        <v>0.1209259798354798</v>
      </c>
      <c r="AG39" s="82">
        <f>AVERAGE(I39,L39,N39,O39,P39,R39,W39)</f>
        <v>7.1757142857142853E-2</v>
      </c>
      <c r="AH39" s="82">
        <f>MEDIAN(I39,L39,N39,O39,P39,R39,W39)</f>
        <v>6.0400000000000002E-2</v>
      </c>
      <c r="AI39" s="81">
        <f>_xlfn.STDEV.P(I39,L39,N39,O39,P39,R39,W39)</f>
        <v>3.1746579439719938E-2</v>
      </c>
      <c r="AJ39" s="80">
        <f t="shared" si="3"/>
        <v>0.44241699398375389</v>
      </c>
      <c r="AK39" s="80" t="str">
        <f t="shared" si="4"/>
        <v>Mediana</v>
      </c>
      <c r="AL39" s="121">
        <f t="shared" si="5"/>
        <v>1500</v>
      </c>
      <c r="AM39" s="105">
        <f t="shared" si="6"/>
        <v>0.06</v>
      </c>
      <c r="AN39" s="104">
        <f t="shared" si="8"/>
        <v>90</v>
      </c>
    </row>
    <row r="40" spans="1:40" ht="78" customHeight="1">
      <c r="A40" s="566"/>
      <c r="B40" s="633"/>
      <c r="C40" s="88">
        <v>31</v>
      </c>
      <c r="D40" s="125" t="s">
        <v>282</v>
      </c>
      <c r="E40" s="103" t="s">
        <v>163</v>
      </c>
      <c r="F40" s="103">
        <v>2</v>
      </c>
      <c r="G40" s="85">
        <v>2.5</v>
      </c>
      <c r="H40" s="85"/>
      <c r="I40" s="85"/>
      <c r="J40" s="85"/>
      <c r="K40" s="85"/>
      <c r="L40" s="86">
        <v>1.72</v>
      </c>
      <c r="M40" s="85">
        <v>4</v>
      </c>
      <c r="N40" s="85">
        <v>2.37</v>
      </c>
      <c r="O40" s="85">
        <v>3.16</v>
      </c>
      <c r="P40" s="85"/>
      <c r="Q40" s="90">
        <v>4.2</v>
      </c>
      <c r="R40" s="85"/>
      <c r="S40" s="90">
        <v>5</v>
      </c>
      <c r="T40" s="85">
        <v>3.33</v>
      </c>
      <c r="U40" s="85"/>
      <c r="V40" s="85"/>
      <c r="W40" s="85"/>
      <c r="X40" s="85"/>
      <c r="Y40" s="85"/>
      <c r="Z40" s="85"/>
      <c r="AA40" s="85"/>
      <c r="AB40" s="110">
        <v>1.99</v>
      </c>
      <c r="AC40" s="96">
        <f t="shared" si="0"/>
        <v>3.141111111111111</v>
      </c>
      <c r="AD40" s="96">
        <f t="shared" si="1"/>
        <v>1.0381976309873058</v>
      </c>
      <c r="AE40" s="83">
        <f t="shared" si="9"/>
        <v>2.1029134801238052</v>
      </c>
      <c r="AF40" s="83">
        <f t="shared" si="2"/>
        <v>4.1793087420984172</v>
      </c>
      <c r="AG40" s="82">
        <f>AVERAGE(G40,L40,M40,N40,O40,T40)</f>
        <v>2.8466666666666662</v>
      </c>
      <c r="AH40" s="82">
        <f>MEDIAN(G40,L40,M40,N40,O40,T40)</f>
        <v>2.83</v>
      </c>
      <c r="AI40" s="81">
        <f>_xlfn.STDEV.P(G40,L40,M40,N40,O40,T40)</f>
        <v>0.73922632228266749</v>
      </c>
      <c r="AJ40" s="80">
        <f t="shared" si="3"/>
        <v>0.25968137785105422</v>
      </c>
      <c r="AK40" s="80" t="str">
        <f t="shared" si="4"/>
        <v>Mediana</v>
      </c>
      <c r="AL40" s="121">
        <f t="shared" si="5"/>
        <v>2</v>
      </c>
      <c r="AM40" s="105">
        <f t="shared" si="6"/>
        <v>2.83</v>
      </c>
      <c r="AN40" s="104">
        <f t="shared" si="8"/>
        <v>5.66</v>
      </c>
    </row>
    <row r="41" spans="1:40" ht="46.5" customHeight="1">
      <c r="A41" s="566"/>
      <c r="B41" s="126"/>
      <c r="C41" s="590" t="s">
        <v>281</v>
      </c>
      <c r="D41" s="590"/>
      <c r="E41" s="590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590"/>
      <c r="U41" s="590"/>
      <c r="V41" s="590"/>
      <c r="W41" s="590"/>
      <c r="X41" s="590"/>
      <c r="Y41" s="590"/>
      <c r="Z41" s="590"/>
      <c r="AA41" s="590"/>
      <c r="AB41" s="590"/>
      <c r="AC41" s="590"/>
      <c r="AD41" s="590"/>
      <c r="AE41" s="590"/>
      <c r="AF41" s="590"/>
      <c r="AG41" s="590"/>
      <c r="AH41" s="590"/>
      <c r="AI41" s="590"/>
      <c r="AJ41" s="590"/>
      <c r="AK41" s="590"/>
      <c r="AL41" s="590"/>
      <c r="AM41" s="590"/>
      <c r="AN41" s="127">
        <f>SUM(AN10,AN11:AN40)</f>
        <v>4863.2199999999993</v>
      </c>
    </row>
    <row r="42" spans="1:40" ht="45.75" customHeight="1">
      <c r="A42" s="566"/>
      <c r="C42" s="590" t="s">
        <v>339</v>
      </c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N42" s="590"/>
      <c r="O42" s="590"/>
      <c r="P42" s="590"/>
      <c r="Q42" s="590"/>
      <c r="R42" s="590"/>
      <c r="S42" s="590"/>
      <c r="T42" s="590"/>
      <c r="U42" s="590"/>
      <c r="V42" s="590"/>
      <c r="W42" s="590"/>
      <c r="X42" s="590"/>
      <c r="Y42" s="590"/>
      <c r="Z42" s="590"/>
      <c r="AA42" s="590"/>
      <c r="AB42" s="590"/>
      <c r="AC42" s="590"/>
      <c r="AD42" s="590"/>
      <c r="AE42" s="590"/>
      <c r="AF42" s="590"/>
      <c r="AG42" s="590"/>
      <c r="AH42" s="590"/>
      <c r="AI42" s="590"/>
      <c r="AJ42" s="590"/>
      <c r="AK42" s="590"/>
      <c r="AL42" s="590"/>
      <c r="AM42" s="590"/>
      <c r="AN42" s="129">
        <f>AN41/31</f>
        <v>156.878064516129</v>
      </c>
    </row>
    <row r="43" spans="1:40" ht="24.75" customHeight="1">
      <c r="A43" s="566"/>
      <c r="B43" s="566"/>
      <c r="C43" s="566"/>
      <c r="D43" s="566"/>
      <c r="E43" s="566"/>
      <c r="F43" s="566"/>
      <c r="G43" s="566"/>
      <c r="H43" s="566"/>
      <c r="I43" s="566"/>
      <c r="J43" s="566"/>
      <c r="K43" s="566"/>
      <c r="L43" s="566"/>
      <c r="M43" s="566"/>
      <c r="N43" s="566"/>
      <c r="O43" s="566"/>
      <c r="P43" s="566"/>
      <c r="Q43" s="566"/>
      <c r="R43" s="566"/>
      <c r="S43" s="566"/>
      <c r="T43" s="566"/>
      <c r="U43" s="566"/>
      <c r="V43" s="566"/>
      <c r="W43" s="566"/>
      <c r="X43" s="566"/>
      <c r="Y43" s="566"/>
      <c r="Z43" s="566"/>
      <c r="AA43" s="566"/>
      <c r="AB43" s="566"/>
      <c r="AC43" s="566"/>
      <c r="AD43" s="566"/>
      <c r="AE43" s="566"/>
      <c r="AF43" s="566"/>
      <c r="AG43" s="566"/>
      <c r="AH43" s="566"/>
      <c r="AI43" s="566"/>
      <c r="AJ43" s="566"/>
      <c r="AK43" s="566"/>
      <c r="AL43" s="566"/>
      <c r="AM43" s="566"/>
      <c r="AN43" s="566"/>
    </row>
    <row r="44" spans="1:40" ht="39" customHeight="1">
      <c r="A44" s="566"/>
      <c r="C44" s="586" t="s">
        <v>161</v>
      </c>
      <c r="D44" s="587"/>
      <c r="E44" s="587"/>
      <c r="F44" s="587"/>
      <c r="G44" s="587"/>
      <c r="H44" s="587"/>
      <c r="I44" s="587"/>
      <c r="J44" s="587"/>
      <c r="K44" s="587"/>
      <c r="L44" s="587"/>
      <c r="M44" s="587"/>
      <c r="N44" s="587"/>
      <c r="O44" s="587"/>
      <c r="P44" s="587"/>
      <c r="Q44" s="587"/>
      <c r="R44" s="587"/>
      <c r="S44" s="587"/>
      <c r="T44" s="587"/>
      <c r="U44" s="587"/>
      <c r="V44" s="587"/>
      <c r="W44" s="587"/>
      <c r="X44" s="587"/>
      <c r="Y44" s="587"/>
      <c r="Z44" s="587"/>
      <c r="AA44" s="587"/>
      <c r="AB44" s="587"/>
    </row>
    <row r="45" spans="1:40" ht="26.25" customHeight="1">
      <c r="A45" s="566"/>
      <c r="C45" s="588" t="s">
        <v>160</v>
      </c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</row>
    <row r="46" spans="1:40" s="79" customFormat="1" ht="68.25" customHeight="1">
      <c r="A46" s="566"/>
      <c r="C46" s="581" t="s">
        <v>483</v>
      </c>
      <c r="D46" s="582"/>
      <c r="E46" s="582"/>
      <c r="F46" s="582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2"/>
      <c r="AA46" s="582"/>
      <c r="AB46" s="582"/>
    </row>
    <row r="47" spans="1:40" s="79" customFormat="1" ht="60.75" customHeight="1">
      <c r="A47" s="566"/>
      <c r="C47" s="583" t="s">
        <v>159</v>
      </c>
      <c r="D47" s="584"/>
      <c r="E47" s="584"/>
      <c r="F47" s="584"/>
      <c r="G47" s="584"/>
      <c r="H47" s="584"/>
      <c r="I47" s="584"/>
      <c r="J47" s="584"/>
      <c r="K47" s="584"/>
      <c r="L47" s="584"/>
      <c r="M47" s="584"/>
      <c r="N47" s="584"/>
      <c r="O47" s="584"/>
      <c r="P47" s="584"/>
      <c r="Q47" s="584"/>
      <c r="R47" s="584"/>
      <c r="S47" s="584"/>
      <c r="T47" s="584"/>
      <c r="U47" s="584"/>
      <c r="V47" s="584"/>
      <c r="W47" s="584"/>
      <c r="X47" s="584"/>
      <c r="Y47" s="584"/>
      <c r="Z47" s="584"/>
      <c r="AA47" s="584"/>
      <c r="AB47" s="584"/>
    </row>
    <row r="48" spans="1:40" ht="68.25" customHeight="1">
      <c r="A48" s="566"/>
      <c r="C48" s="615" t="s">
        <v>158</v>
      </c>
      <c r="D48" s="616"/>
      <c r="E48" s="616"/>
      <c r="F48" s="616"/>
      <c r="G48" s="616"/>
      <c r="H48" s="616"/>
      <c r="I48" s="616"/>
      <c r="J48" s="616"/>
      <c r="K48" s="616"/>
      <c r="L48" s="616"/>
      <c r="M48" s="616"/>
      <c r="N48" s="616"/>
      <c r="O48" s="616"/>
      <c r="P48" s="616"/>
      <c r="Q48" s="616"/>
      <c r="R48" s="616"/>
      <c r="S48" s="616"/>
      <c r="T48" s="616"/>
      <c r="U48" s="616"/>
      <c r="V48" s="616"/>
      <c r="W48" s="616"/>
      <c r="X48" s="616"/>
      <c r="Y48" s="616"/>
      <c r="Z48" s="616"/>
      <c r="AA48" s="616"/>
      <c r="AB48" s="616"/>
    </row>
    <row r="49" spans="1:28" ht="40.5" customHeight="1">
      <c r="A49" s="566"/>
      <c r="C49" s="617" t="s">
        <v>470</v>
      </c>
      <c r="D49" s="618"/>
      <c r="E49" s="618"/>
      <c r="F49" s="618"/>
      <c r="G49" s="618"/>
      <c r="H49" s="618"/>
      <c r="I49" s="618"/>
      <c r="J49" s="618"/>
      <c r="K49" s="618"/>
      <c r="L49" s="618"/>
      <c r="M49" s="618"/>
      <c r="N49" s="618"/>
      <c r="O49" s="618"/>
      <c r="P49" s="618"/>
      <c r="Q49" s="618"/>
      <c r="R49" s="618"/>
      <c r="S49" s="618"/>
      <c r="T49" s="618"/>
      <c r="U49" s="618"/>
      <c r="V49" s="618"/>
      <c r="W49" s="618"/>
      <c r="X49" s="618"/>
      <c r="Y49" s="618"/>
      <c r="Z49" s="618"/>
      <c r="AA49" s="618"/>
      <c r="AB49" s="618"/>
    </row>
  </sheetData>
  <mergeCells count="41">
    <mergeCell ref="B8:B9"/>
    <mergeCell ref="C8:C9"/>
    <mergeCell ref="D8:D9"/>
    <mergeCell ref="E8:E9"/>
    <mergeCell ref="F8:F9"/>
    <mergeCell ref="C48:AB48"/>
    <mergeCell ref="C49:AB49"/>
    <mergeCell ref="B10:B40"/>
    <mergeCell ref="C44:AB44"/>
    <mergeCell ref="C45:AB45"/>
    <mergeCell ref="B3:AN3"/>
    <mergeCell ref="B2:AN2"/>
    <mergeCell ref="C46:AB46"/>
    <mergeCell ref="C47:AB47"/>
    <mergeCell ref="C41:AM41"/>
    <mergeCell ref="C42:AM42"/>
    <mergeCell ref="B43:AN43"/>
    <mergeCell ref="A4:AN4"/>
    <mergeCell ref="A5:A49"/>
    <mergeCell ref="AL5:AN7"/>
    <mergeCell ref="B5:AB5"/>
    <mergeCell ref="AC5:AF7"/>
    <mergeCell ref="AG5:AK7"/>
    <mergeCell ref="B6:F6"/>
    <mergeCell ref="G6:AB6"/>
    <mergeCell ref="B7:F7"/>
    <mergeCell ref="AM8:AM9"/>
    <mergeCell ref="AN8:AN9"/>
    <mergeCell ref="G7:Y7"/>
    <mergeCell ref="AB8:AB9"/>
    <mergeCell ref="AH8:AH9"/>
    <mergeCell ref="AI8:AI9"/>
    <mergeCell ref="AJ8:AJ9"/>
    <mergeCell ref="AK8:AK9"/>
    <mergeCell ref="AL8:AL9"/>
    <mergeCell ref="AC8:AC9"/>
    <mergeCell ref="AD8:AD9"/>
    <mergeCell ref="AE8:AE9"/>
    <mergeCell ref="AF8:AF9"/>
    <mergeCell ref="AG8:AG9"/>
    <mergeCell ref="Z7:AA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13"/>
  <sheetViews>
    <sheetView topLeftCell="A6" zoomScaleNormal="100" zoomScaleSheetLayoutView="118" workbookViewId="0">
      <selection activeCell="B20" sqref="B20"/>
    </sheetView>
  </sheetViews>
  <sheetFormatPr defaultRowHeight="15"/>
  <cols>
    <col min="1" max="1" width="7.28515625" customWidth="1"/>
    <col min="2" max="2" width="62.85546875" bestFit="1" customWidth="1"/>
    <col min="3" max="3" width="22.42578125" bestFit="1" customWidth="1"/>
    <col min="4" max="4" width="18.7109375" bestFit="1" customWidth="1"/>
    <col min="5" max="5" width="22.28515625" bestFit="1" customWidth="1"/>
    <col min="6" max="6" width="24.28515625" bestFit="1" customWidth="1"/>
    <col min="7" max="7" width="24" bestFit="1" customWidth="1"/>
    <col min="8" max="8" width="21.140625" bestFit="1" customWidth="1"/>
    <col min="9" max="9" width="18.140625" customWidth="1"/>
    <col min="10" max="10" width="19.5703125" customWidth="1"/>
    <col min="11" max="11" width="17.85546875" customWidth="1"/>
    <col min="12" max="12" width="13.42578125" customWidth="1"/>
    <col min="13" max="13" width="13.28515625" customWidth="1"/>
    <col min="14" max="14" width="12" customWidth="1"/>
    <col min="15" max="15" width="27.85546875" bestFit="1" customWidth="1"/>
    <col min="16" max="16" width="15.28515625" bestFit="1" customWidth="1"/>
    <col min="17" max="17" width="26.7109375" bestFit="1" customWidth="1"/>
    <col min="18" max="18" width="10.140625" customWidth="1"/>
    <col min="19" max="19" width="16.5703125" customWidth="1"/>
  </cols>
  <sheetData>
    <row r="1" spans="1:17" ht="52.5" customHeight="1">
      <c r="B1" s="64"/>
      <c r="C1" s="64"/>
      <c r="D1" s="64"/>
      <c r="E1" s="64"/>
      <c r="F1" s="64"/>
      <c r="G1" s="1"/>
      <c r="H1" s="1"/>
      <c r="I1" s="1"/>
      <c r="J1" s="1"/>
      <c r="K1" s="1"/>
      <c r="L1" s="1"/>
      <c r="Q1" s="1"/>
    </row>
    <row r="2" spans="1:17" ht="87.75" customHeight="1">
      <c r="A2" s="301"/>
      <c r="B2" s="339" t="s">
        <v>487</v>
      </c>
      <c r="C2" s="339"/>
      <c r="D2" s="339"/>
      <c r="E2" s="339"/>
      <c r="F2" s="339"/>
      <c r="G2" s="339"/>
      <c r="H2" s="339"/>
      <c r="I2" s="339"/>
      <c r="J2" s="339"/>
      <c r="K2" s="339"/>
      <c r="L2" s="1"/>
      <c r="Q2" s="1"/>
    </row>
    <row r="3" spans="1:17" ht="15.75" thickBot="1">
      <c r="B3" s="64"/>
      <c r="C3" s="64"/>
      <c r="D3" s="64"/>
      <c r="E3" s="64"/>
      <c r="F3" s="64"/>
      <c r="G3" s="1"/>
      <c r="H3" s="1"/>
      <c r="I3" s="1"/>
      <c r="J3" s="1"/>
      <c r="K3" s="1"/>
      <c r="L3" s="1"/>
      <c r="Q3" s="1"/>
    </row>
    <row r="4" spans="1:17" ht="81" customHeight="1" thickBot="1">
      <c r="B4" s="444" t="s">
        <v>524</v>
      </c>
      <c r="C4" s="445"/>
      <c r="D4" s="287" t="s">
        <v>525</v>
      </c>
      <c r="E4" s="293" t="s">
        <v>526</v>
      </c>
      <c r="F4" s="293" t="s">
        <v>537</v>
      </c>
      <c r="G4" s="293" t="s">
        <v>527</v>
      </c>
      <c r="H4" s="294" t="s">
        <v>528</v>
      </c>
      <c r="I4" s="1"/>
      <c r="J4" s="1"/>
      <c r="K4" s="1"/>
      <c r="L4" s="1"/>
      <c r="Q4" s="1"/>
    </row>
    <row r="5" spans="1:17">
      <c r="B5" s="261" t="s">
        <v>53</v>
      </c>
      <c r="C5" s="288" t="s">
        <v>530</v>
      </c>
      <c r="D5" s="262">
        <f>F5</f>
        <v>4642.4416735747072</v>
      </c>
      <c r="E5" s="291">
        <v>1</v>
      </c>
      <c r="F5" s="262">
        <f>'Servente DF'!K142</f>
        <v>4642.4416735747072</v>
      </c>
      <c r="G5" s="264">
        <f>SUM(H12,H13,H14,H15,H16,H17,H18)</f>
        <v>30.985162777777774</v>
      </c>
      <c r="H5" s="263">
        <f>F5*G5</f>
        <v>143846.81094205138</v>
      </c>
      <c r="I5" s="295"/>
      <c r="J5" s="1"/>
      <c r="K5" s="1"/>
      <c r="L5" s="1"/>
      <c r="Q5" s="1"/>
    </row>
    <row r="6" spans="1:17">
      <c r="B6" s="258" t="s">
        <v>343</v>
      </c>
      <c r="C6" s="289" t="s">
        <v>489</v>
      </c>
      <c r="D6" s="259">
        <f t="shared" ref="D6:D8" si="0">F6</f>
        <v>4899.8562742347367</v>
      </c>
      <c r="E6" s="292">
        <v>1</v>
      </c>
      <c r="F6" s="259">
        <f>'Jauzeiro DF'!K142</f>
        <v>4899.8562742347367</v>
      </c>
      <c r="G6" s="265">
        <f>I19</f>
        <v>25.437636363636361</v>
      </c>
      <c r="H6" s="260">
        <f t="shared" ref="H6:H7" si="1">F6*G6</f>
        <v>124640.76213806531</v>
      </c>
      <c r="I6" s="1"/>
      <c r="J6" s="1"/>
      <c r="K6" s="1"/>
      <c r="L6" s="1"/>
      <c r="Q6" s="1"/>
    </row>
    <row r="7" spans="1:17">
      <c r="B7" s="258" t="s">
        <v>344</v>
      </c>
      <c r="C7" s="290" t="s">
        <v>488</v>
      </c>
      <c r="D7" s="259">
        <f t="shared" si="0"/>
        <v>5739.4545150318972</v>
      </c>
      <c r="E7" s="292">
        <v>1</v>
      </c>
      <c r="F7" s="259">
        <f>'Jardineiro DF'!K142</f>
        <v>5739.4545150318972</v>
      </c>
      <c r="G7" s="265">
        <f>J20</f>
        <v>0.51227777777777783</v>
      </c>
      <c r="H7" s="260">
        <f t="shared" si="1"/>
        <v>2940.1950046171737</v>
      </c>
      <c r="I7" s="1"/>
      <c r="J7" s="1"/>
      <c r="K7" s="1"/>
      <c r="L7" s="1"/>
      <c r="Q7" s="1"/>
    </row>
    <row r="8" spans="1:17">
      <c r="B8" s="303" t="s">
        <v>491</v>
      </c>
      <c r="C8" s="304" t="s">
        <v>529</v>
      </c>
      <c r="D8" s="305">
        <f t="shared" si="0"/>
        <v>7287.1977096693909</v>
      </c>
      <c r="E8" s="306">
        <v>1</v>
      </c>
      <c r="F8" s="305">
        <f>'Encarregado DF'!K143</f>
        <v>7287.1977096693909</v>
      </c>
      <c r="G8" s="307">
        <f>K21</f>
        <v>1.8978358973063969</v>
      </c>
      <c r="H8" s="308">
        <f>F8*G8</f>
        <v>13829.905404179528</v>
      </c>
      <c r="I8" s="1"/>
      <c r="J8" s="1"/>
      <c r="K8" s="1"/>
      <c r="L8" s="1"/>
      <c r="Q8" s="1"/>
    </row>
    <row r="9" spans="1:17">
      <c r="B9" s="340" t="s">
        <v>544</v>
      </c>
      <c r="C9" s="340"/>
      <c r="D9" s="340"/>
      <c r="E9" s="340"/>
      <c r="F9" s="340"/>
      <c r="G9" s="340"/>
      <c r="H9" s="309">
        <f>SUM(H5:H8)</f>
        <v>285257.67348891339</v>
      </c>
      <c r="I9" s="1"/>
      <c r="J9" s="1"/>
      <c r="K9" s="1"/>
      <c r="L9" s="1"/>
      <c r="Q9" s="1"/>
    </row>
    <row r="10" spans="1:17">
      <c r="B10" s="64"/>
      <c r="C10" s="64"/>
      <c r="D10" s="64"/>
      <c r="E10" s="64"/>
      <c r="F10" s="64"/>
      <c r="G10" s="1"/>
      <c r="H10" s="1"/>
      <c r="I10" s="1"/>
      <c r="J10" s="1"/>
      <c r="K10" s="1"/>
      <c r="L10" s="1"/>
      <c r="Q10" s="1"/>
    </row>
    <row r="11" spans="1:17" ht="45">
      <c r="C11" s="256" t="s">
        <v>336</v>
      </c>
      <c r="D11" s="256" t="s">
        <v>335</v>
      </c>
      <c r="E11" s="256" t="s">
        <v>337</v>
      </c>
      <c r="F11" s="175" t="s">
        <v>338</v>
      </c>
      <c r="G11" s="270" t="s">
        <v>536</v>
      </c>
      <c r="H11" s="283" t="s">
        <v>531</v>
      </c>
      <c r="I11" s="284" t="s">
        <v>533</v>
      </c>
      <c r="J11" s="284" t="s">
        <v>534</v>
      </c>
      <c r="K11" s="284" t="s">
        <v>532</v>
      </c>
      <c r="L11" s="1"/>
      <c r="Q11" s="1"/>
    </row>
    <row r="12" spans="1:17" s="250" customFormat="1">
      <c r="B12" s="302" t="s">
        <v>515</v>
      </c>
      <c r="C12" s="253">
        <v>455.09</v>
      </c>
      <c r="D12" s="254">
        <v>9545</v>
      </c>
      <c r="E12" s="254">
        <v>2379.9299999999998</v>
      </c>
      <c r="F12" s="241">
        <f>SUM(C12:E12)</f>
        <v>12380.02</v>
      </c>
      <c r="G12" s="268">
        <v>800</v>
      </c>
      <c r="H12" s="273">
        <f>F12/G12</f>
        <v>15.475025</v>
      </c>
      <c r="I12" s="271"/>
      <c r="J12" s="272"/>
      <c r="K12" s="276"/>
    </row>
    <row r="13" spans="1:17" s="250" customFormat="1">
      <c r="B13" s="302" t="s">
        <v>516</v>
      </c>
      <c r="C13" s="253">
        <v>304.58999999999997</v>
      </c>
      <c r="D13" s="255">
        <v>940</v>
      </c>
      <c r="E13" s="254"/>
      <c r="F13" s="241">
        <f t="shared" ref="F13:F20" si="2">SUM(C13:E13)</f>
        <v>1244.5899999999999</v>
      </c>
      <c r="G13" s="269">
        <v>1000</v>
      </c>
      <c r="H13" s="273">
        <f t="shared" ref="H13:H18" si="3">F13/G13</f>
        <v>1.2445899999999999</v>
      </c>
      <c r="I13" s="271"/>
      <c r="J13" s="272"/>
      <c r="K13" s="276"/>
    </row>
    <row r="14" spans="1:17" s="250" customFormat="1">
      <c r="B14" s="302" t="s">
        <v>517</v>
      </c>
      <c r="C14" s="253">
        <v>1292.43</v>
      </c>
      <c r="D14" s="254"/>
      <c r="E14" s="254"/>
      <c r="F14" s="241">
        <f t="shared" si="2"/>
        <v>1292.43</v>
      </c>
      <c r="G14" s="269">
        <v>1500</v>
      </c>
      <c r="H14" s="273">
        <f t="shared" si="3"/>
        <v>0.86162000000000005</v>
      </c>
      <c r="I14" s="271"/>
      <c r="J14" s="272"/>
      <c r="K14" s="276"/>
    </row>
    <row r="15" spans="1:17" s="250" customFormat="1">
      <c r="B15" s="302" t="s">
        <v>518</v>
      </c>
      <c r="C15" s="253">
        <v>504</v>
      </c>
      <c r="D15" s="254">
        <v>1479.08</v>
      </c>
      <c r="E15" s="254"/>
      <c r="F15" s="241">
        <f t="shared" si="2"/>
        <v>1983.08</v>
      </c>
      <c r="G15" s="269">
        <v>1800</v>
      </c>
      <c r="H15" s="273">
        <f t="shared" si="3"/>
        <v>1.1017111111111111</v>
      </c>
      <c r="I15" s="271"/>
      <c r="J15" s="272"/>
      <c r="K15" s="276"/>
    </row>
    <row r="16" spans="1:17" s="250" customFormat="1">
      <c r="B16" s="302" t="s">
        <v>519</v>
      </c>
      <c r="C16" s="253">
        <v>50</v>
      </c>
      <c r="D16" s="254">
        <v>4802.7</v>
      </c>
      <c r="E16" s="254"/>
      <c r="F16" s="241">
        <f t="shared" si="2"/>
        <v>4852.7</v>
      </c>
      <c r="G16" s="269">
        <v>6000</v>
      </c>
      <c r="H16" s="273">
        <f t="shared" si="3"/>
        <v>0.8087833333333333</v>
      </c>
      <c r="I16" s="271"/>
      <c r="J16" s="272"/>
      <c r="K16" s="276"/>
    </row>
    <row r="17" spans="2:17" s="250" customFormat="1" ht="26.25">
      <c r="B17" s="302" t="s">
        <v>520</v>
      </c>
      <c r="C17" s="253">
        <v>179.01</v>
      </c>
      <c r="D17" s="254"/>
      <c r="E17" s="254"/>
      <c r="F17" s="241">
        <f t="shared" si="2"/>
        <v>179.01</v>
      </c>
      <c r="G17" s="269">
        <v>300</v>
      </c>
      <c r="H17" s="273">
        <f t="shared" si="3"/>
        <v>0.59670000000000001</v>
      </c>
      <c r="I17" s="271"/>
      <c r="J17" s="272"/>
      <c r="K17" s="276"/>
    </row>
    <row r="18" spans="2:17" s="250" customFormat="1" ht="26.25">
      <c r="B18" s="302" t="s">
        <v>521</v>
      </c>
      <c r="C18" s="253">
        <v>179.01</v>
      </c>
      <c r="D18" s="254">
        <v>2798.14</v>
      </c>
      <c r="E18" s="254">
        <v>291.87</v>
      </c>
      <c r="F18" s="241">
        <f t="shared" si="2"/>
        <v>3269.0199999999995</v>
      </c>
      <c r="G18" s="268">
        <v>300</v>
      </c>
      <c r="H18" s="273">
        <f t="shared" si="3"/>
        <v>10.896733333333332</v>
      </c>
      <c r="I18" s="271"/>
      <c r="J18" s="272"/>
      <c r="K18" s="276"/>
    </row>
    <row r="19" spans="2:17" s="250" customFormat="1" ht="26.25">
      <c r="B19" s="302" t="s">
        <v>522</v>
      </c>
      <c r="C19" s="253"/>
      <c r="D19" s="254">
        <v>2798.14</v>
      </c>
      <c r="E19" s="254"/>
      <c r="F19" s="241">
        <f t="shared" si="2"/>
        <v>2798.14</v>
      </c>
      <c r="G19" s="300">
        <v>110</v>
      </c>
      <c r="H19" s="299"/>
      <c r="I19" s="274">
        <f>F19/G19</f>
        <v>25.437636363636361</v>
      </c>
      <c r="J19" s="272"/>
      <c r="K19" s="276"/>
    </row>
    <row r="20" spans="2:17" s="250" customFormat="1">
      <c r="B20" s="302" t="s">
        <v>523</v>
      </c>
      <c r="C20" s="253">
        <v>216.71</v>
      </c>
      <c r="D20" s="254">
        <v>705.39</v>
      </c>
      <c r="E20" s="254"/>
      <c r="F20" s="241">
        <f t="shared" si="2"/>
        <v>922.1</v>
      </c>
      <c r="G20" s="269">
        <v>1800</v>
      </c>
      <c r="H20" s="298"/>
      <c r="I20" s="282"/>
      <c r="J20" s="171">
        <f>F20/G20</f>
        <v>0.51227777777777783</v>
      </c>
      <c r="K20" s="277"/>
    </row>
    <row r="21" spans="2:17" s="250" customFormat="1">
      <c r="B21" s="257"/>
      <c r="C21" s="251"/>
      <c r="D21" s="252"/>
      <c r="E21" s="116"/>
      <c r="F21" s="249"/>
      <c r="G21" s="116"/>
      <c r="H21" s="275">
        <f>SUM(H12:H20)</f>
        <v>30.985162777777774</v>
      </c>
      <c r="I21" s="275">
        <f t="shared" ref="I21:J21" si="4">SUM(I12:I20)</f>
        <v>25.437636363636361</v>
      </c>
      <c r="J21" s="275">
        <f t="shared" si="4"/>
        <v>0.51227777777777783</v>
      </c>
      <c r="K21" s="275">
        <f>SUM(H21:J21)/30</f>
        <v>1.8978358973063969</v>
      </c>
    </row>
    <row r="22" spans="2:17" s="250" customFormat="1">
      <c r="B22" s="257"/>
      <c r="C22" s="251"/>
      <c r="D22" s="252"/>
      <c r="E22" s="252"/>
      <c r="F22" s="389" t="s">
        <v>535</v>
      </c>
      <c r="G22" s="389"/>
      <c r="H22" s="278">
        <v>31</v>
      </c>
      <c r="I22" s="267">
        <v>25</v>
      </c>
      <c r="J22" s="267">
        <v>1</v>
      </c>
      <c r="K22" s="267">
        <v>2</v>
      </c>
    </row>
    <row r="23" spans="2:17">
      <c r="B23" s="116"/>
      <c r="C23" s="116"/>
      <c r="D23" s="116"/>
      <c r="E23" s="116"/>
      <c r="F23" s="232"/>
    </row>
    <row r="24" spans="2:17"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</row>
    <row r="26" spans="2:17">
      <c r="B26" s="334" t="s">
        <v>33</v>
      </c>
      <c r="C26" s="334"/>
      <c r="D26" s="334"/>
      <c r="E26" s="175" t="s">
        <v>341</v>
      </c>
    </row>
    <row r="27" spans="2:17">
      <c r="B27" s="362" t="s">
        <v>26</v>
      </c>
      <c r="C27" s="362"/>
      <c r="D27" s="362"/>
      <c r="E27" s="120">
        <f>SUM(F12:F14)</f>
        <v>14917.04</v>
      </c>
    </row>
    <row r="28" spans="2:17">
      <c r="B28" s="362" t="s">
        <v>27</v>
      </c>
      <c r="C28" s="362"/>
      <c r="D28" s="362"/>
      <c r="E28" s="120">
        <f>SUM(F15:F16)</f>
        <v>6835.78</v>
      </c>
    </row>
    <row r="29" spans="2:17">
      <c r="B29" s="362" t="s">
        <v>340</v>
      </c>
      <c r="C29" s="362"/>
      <c r="D29" s="362"/>
      <c r="E29" s="120">
        <f>SUM(F17:F18)</f>
        <v>3448.0299999999997</v>
      </c>
    </row>
    <row r="30" spans="2:17">
      <c r="B30" s="415" t="s">
        <v>494</v>
      </c>
      <c r="C30" s="416"/>
      <c r="D30" s="417"/>
      <c r="E30" s="120">
        <f>F19</f>
        <v>2798.14</v>
      </c>
    </row>
    <row r="31" spans="2:17" ht="15.75" thickBot="1">
      <c r="B31" s="418" t="s">
        <v>493</v>
      </c>
      <c r="C31" s="419"/>
      <c r="D31" s="420"/>
      <c r="E31" s="296">
        <f>F20</f>
        <v>922.1</v>
      </c>
    </row>
    <row r="32" spans="2:17" ht="15.75" thickBot="1">
      <c r="B32" s="421" t="s">
        <v>473</v>
      </c>
      <c r="C32" s="422"/>
      <c r="D32" s="423"/>
      <c r="E32" s="297">
        <f>SUM(E27:E31)</f>
        <v>28921.089999999997</v>
      </c>
    </row>
    <row r="33" spans="2:18">
      <c r="B33" s="202"/>
      <c r="C33" s="202"/>
      <c r="D33" s="202"/>
      <c r="E33" s="202"/>
    </row>
    <row r="34" spans="2:18" ht="17.25" customHeight="1">
      <c r="D34" s="172"/>
      <c r="F34" s="172"/>
    </row>
    <row r="35" spans="2:18" ht="15.75">
      <c r="B35" s="364" t="s">
        <v>26</v>
      </c>
      <c r="C35" s="364"/>
      <c r="D35" s="364"/>
      <c r="E35" s="364"/>
      <c r="F35" s="364"/>
      <c r="G35" s="364"/>
      <c r="H35" s="364"/>
      <c r="I35" s="364"/>
      <c r="J35" s="3"/>
      <c r="K35" s="207"/>
      <c r="L35" s="207"/>
      <c r="M35" s="207"/>
      <c r="N35" s="207"/>
      <c r="O35" s="207"/>
      <c r="P35" s="207"/>
      <c r="Q35" s="212"/>
      <c r="R35" s="212"/>
    </row>
    <row r="36" spans="2:18" ht="15.75">
      <c r="B36" s="424" t="s">
        <v>24</v>
      </c>
      <c r="C36" s="424"/>
      <c r="D36" s="425" t="s">
        <v>12</v>
      </c>
      <c r="E36" s="425"/>
      <c r="F36" s="425"/>
      <c r="G36" s="425" t="s">
        <v>13</v>
      </c>
      <c r="H36" s="425"/>
      <c r="I36" s="213" t="s">
        <v>495</v>
      </c>
      <c r="J36" s="3"/>
      <c r="K36" s="214"/>
      <c r="L36" s="214"/>
      <c r="M36" s="214"/>
      <c r="N36" s="215"/>
      <c r="O36" s="215"/>
      <c r="P36" s="215"/>
      <c r="Q36" s="209"/>
      <c r="R36" s="204"/>
    </row>
    <row r="37" spans="2:18" ht="15.75">
      <c r="B37" s="424"/>
      <c r="C37" s="424"/>
      <c r="D37" s="424" t="s">
        <v>496</v>
      </c>
      <c r="E37" s="424"/>
      <c r="F37" s="424"/>
      <c r="G37" s="426" t="s">
        <v>497</v>
      </c>
      <c r="H37" s="426"/>
      <c r="I37" s="216" t="s">
        <v>498</v>
      </c>
      <c r="J37" s="3"/>
      <c r="K37" s="214"/>
      <c r="L37" s="214"/>
      <c r="M37" s="214"/>
      <c r="N37" s="214"/>
      <c r="O37" s="214"/>
      <c r="P37" s="214"/>
      <c r="Q37" s="208"/>
      <c r="R37" s="205"/>
    </row>
    <row r="38" spans="2:18" ht="15.75">
      <c r="B38" s="424"/>
      <c r="C38" s="424"/>
      <c r="D38" s="425" t="s">
        <v>499</v>
      </c>
      <c r="E38" s="425"/>
      <c r="F38" s="425"/>
      <c r="G38" s="425" t="s">
        <v>500</v>
      </c>
      <c r="H38" s="425"/>
      <c r="I38" s="213" t="s">
        <v>501</v>
      </c>
      <c r="J38" s="3"/>
      <c r="K38" s="214"/>
      <c r="L38" s="214"/>
      <c r="M38" s="214"/>
      <c r="N38" s="215"/>
      <c r="O38" s="215"/>
      <c r="P38" s="215"/>
      <c r="Q38" s="209"/>
      <c r="R38" s="204"/>
    </row>
    <row r="39" spans="2:18" ht="15.75" customHeight="1">
      <c r="B39" s="428" t="s">
        <v>277</v>
      </c>
      <c r="C39" s="428"/>
      <c r="D39" s="428">
        <v>1</v>
      </c>
      <c r="E39" s="428"/>
      <c r="F39" s="432">
        <f>D39/(D40*E40)</f>
        <v>4.1666666666666665E-5</v>
      </c>
      <c r="G39" s="433">
        <f>'Encarregado DF'!K143</f>
        <v>7287.1977096693909</v>
      </c>
      <c r="H39" s="433"/>
      <c r="I39" s="430">
        <f>+ROUNDUP(((D39/(D40*E40))*G39),2)</f>
        <v>0.31</v>
      </c>
      <c r="J39" s="3"/>
      <c r="K39" s="207"/>
      <c r="L39" s="217"/>
      <c r="M39" s="217"/>
      <c r="N39" s="217"/>
      <c r="O39" s="217"/>
      <c r="P39" s="217"/>
      <c r="Q39" s="211"/>
      <c r="R39" s="427"/>
    </row>
    <row r="40" spans="2:18" ht="15.75">
      <c r="B40" s="428"/>
      <c r="C40" s="428"/>
      <c r="D40" s="218">
        <v>30</v>
      </c>
      <c r="E40" s="218">
        <v>800</v>
      </c>
      <c r="F40" s="432"/>
      <c r="G40" s="433"/>
      <c r="H40" s="433"/>
      <c r="I40" s="430"/>
      <c r="J40" s="3"/>
      <c r="K40" s="207"/>
      <c r="L40" s="217"/>
      <c r="M40" s="217"/>
      <c r="N40" s="219"/>
      <c r="O40" s="219"/>
      <c r="P40" s="219"/>
      <c r="Q40" s="211"/>
      <c r="R40" s="427"/>
    </row>
    <row r="41" spans="2:18" ht="15.75">
      <c r="B41" s="428" t="s">
        <v>25</v>
      </c>
      <c r="C41" s="428"/>
      <c r="D41" s="428">
        <v>1</v>
      </c>
      <c r="E41" s="428"/>
      <c r="F41" s="429">
        <f>D41/D42</f>
        <v>1.25E-3</v>
      </c>
      <c r="G41" s="430">
        <f>'Servente DF'!K142</f>
        <v>4642.4416735747072</v>
      </c>
      <c r="H41" s="430"/>
      <c r="I41" s="430">
        <f>+ROUNDUP(((D41/D42)*G41),2)</f>
        <v>5.81</v>
      </c>
      <c r="J41" s="3"/>
      <c r="K41" s="207"/>
      <c r="L41" s="217"/>
      <c r="M41" s="217"/>
      <c r="N41" s="217"/>
      <c r="O41" s="217"/>
      <c r="P41" s="217"/>
      <c r="Q41" s="211"/>
      <c r="R41" s="427"/>
    </row>
    <row r="42" spans="2:18" ht="15.75">
      <c r="B42" s="428"/>
      <c r="C42" s="428"/>
      <c r="D42" s="428">
        <v>800</v>
      </c>
      <c r="E42" s="428"/>
      <c r="F42" s="429"/>
      <c r="G42" s="430"/>
      <c r="H42" s="430"/>
      <c r="I42" s="430"/>
      <c r="J42" s="3"/>
      <c r="K42" s="207"/>
      <c r="L42" s="217"/>
      <c r="M42" s="217"/>
      <c r="N42" s="217"/>
      <c r="O42" s="217"/>
      <c r="P42" s="217"/>
      <c r="Q42" s="211"/>
      <c r="R42" s="431"/>
    </row>
    <row r="43" spans="2:18" ht="15.75">
      <c r="B43" s="434"/>
      <c r="C43" s="434"/>
      <c r="D43" s="434"/>
      <c r="E43" s="434"/>
      <c r="F43" s="434"/>
      <c r="G43" s="434"/>
      <c r="H43" s="434"/>
      <c r="I43" s="220">
        <f>SUM(I39+I41)</f>
        <v>6.1199999999999992</v>
      </c>
      <c r="J43" s="3"/>
      <c r="K43" s="217"/>
      <c r="L43" s="217"/>
      <c r="M43" s="217"/>
      <c r="N43" s="217"/>
      <c r="O43" s="217"/>
      <c r="P43" s="217"/>
      <c r="Q43" s="210"/>
      <c r="R43" s="206"/>
    </row>
    <row r="44" spans="2:18">
      <c r="B44" s="221"/>
      <c r="C44" s="221"/>
      <c r="D44" s="221"/>
      <c r="E44" s="221"/>
      <c r="F44" s="221"/>
      <c r="G44" s="221"/>
      <c r="H44" s="221"/>
      <c r="I44" s="222"/>
      <c r="J44" s="3"/>
      <c r="K44" s="3"/>
      <c r="L44" s="3"/>
      <c r="M44" s="3"/>
      <c r="N44" s="3"/>
      <c r="O44" s="3"/>
      <c r="P44" s="3"/>
    </row>
    <row r="45" spans="2:18">
      <c r="B45" s="364" t="s">
        <v>27</v>
      </c>
      <c r="C45" s="364"/>
      <c r="D45" s="364"/>
      <c r="E45" s="364"/>
      <c r="F45" s="364"/>
      <c r="G45" s="364"/>
      <c r="H45" s="364"/>
      <c r="I45" s="364"/>
      <c r="J45" s="3"/>
      <c r="K45" s="3"/>
      <c r="L45" s="3"/>
      <c r="M45" s="3"/>
      <c r="N45" s="3"/>
      <c r="O45" s="3"/>
      <c r="P45" s="3"/>
    </row>
    <row r="46" spans="2:18">
      <c r="B46" s="424" t="s">
        <v>24</v>
      </c>
      <c r="C46" s="424"/>
      <c r="D46" s="435" t="s">
        <v>12</v>
      </c>
      <c r="E46" s="436"/>
      <c r="F46" s="437"/>
      <c r="G46" s="438" t="s">
        <v>13</v>
      </c>
      <c r="H46" s="438"/>
      <c r="I46" s="223" t="s">
        <v>495</v>
      </c>
      <c r="J46" s="3"/>
      <c r="K46" s="3"/>
      <c r="L46" s="3"/>
      <c r="M46" s="3"/>
      <c r="N46" s="3"/>
      <c r="O46" s="3"/>
      <c r="P46" s="3"/>
    </row>
    <row r="47" spans="2:18">
      <c r="B47" s="424"/>
      <c r="C47" s="424"/>
      <c r="D47" s="439" t="s">
        <v>496</v>
      </c>
      <c r="E47" s="440"/>
      <c r="F47" s="441"/>
      <c r="G47" s="442" t="s">
        <v>497</v>
      </c>
      <c r="H47" s="442"/>
      <c r="I47" s="224" t="s">
        <v>498</v>
      </c>
      <c r="J47" s="3"/>
      <c r="K47" s="3"/>
      <c r="L47" s="3"/>
      <c r="M47" s="3"/>
      <c r="N47" s="3"/>
      <c r="O47" s="3"/>
      <c r="P47" s="3"/>
    </row>
    <row r="48" spans="2:18">
      <c r="B48" s="424"/>
      <c r="C48" s="424"/>
      <c r="D48" s="435" t="s">
        <v>499</v>
      </c>
      <c r="E48" s="436"/>
      <c r="F48" s="437"/>
      <c r="G48" s="438" t="s">
        <v>500</v>
      </c>
      <c r="H48" s="438"/>
      <c r="I48" s="223" t="s">
        <v>501</v>
      </c>
      <c r="J48" s="3"/>
      <c r="K48" s="3"/>
      <c r="L48" s="3"/>
      <c r="M48" s="3"/>
      <c r="N48" s="3"/>
      <c r="O48" s="3"/>
      <c r="P48" s="3"/>
    </row>
    <row r="49" spans="2:16" ht="15" customHeight="1">
      <c r="B49" s="428" t="s">
        <v>277</v>
      </c>
      <c r="C49" s="428"/>
      <c r="D49" s="428">
        <v>1</v>
      </c>
      <c r="E49" s="428"/>
      <c r="F49" s="429">
        <f>(D49/(D50*E50))</f>
        <v>1.8518518518518518E-5</v>
      </c>
      <c r="G49" s="433">
        <f>'Encarregado DF'!K143</f>
        <v>7287.1977096693909</v>
      </c>
      <c r="H49" s="433"/>
      <c r="I49" s="430">
        <f>+ROUNDUP(((D49/(D50*E50))*G49),2)</f>
        <v>0.14000000000000001</v>
      </c>
      <c r="J49" s="3"/>
      <c r="K49" s="3"/>
      <c r="L49" s="3"/>
      <c r="M49" s="3"/>
      <c r="N49" s="3"/>
      <c r="O49" s="3"/>
      <c r="P49" s="3"/>
    </row>
    <row r="50" spans="2:16">
      <c r="B50" s="428"/>
      <c r="C50" s="428"/>
      <c r="D50" s="218">
        <v>30</v>
      </c>
      <c r="E50" s="218">
        <v>1800</v>
      </c>
      <c r="F50" s="429"/>
      <c r="G50" s="433"/>
      <c r="H50" s="433"/>
      <c r="I50" s="430"/>
      <c r="J50" s="3"/>
      <c r="K50" s="3"/>
      <c r="L50" s="3"/>
      <c r="M50" s="3"/>
      <c r="N50" s="3"/>
      <c r="O50" s="3"/>
      <c r="P50" s="3"/>
    </row>
    <row r="51" spans="2:16">
      <c r="B51" s="428" t="s">
        <v>25</v>
      </c>
      <c r="C51" s="428"/>
      <c r="D51" s="428">
        <v>1</v>
      </c>
      <c r="E51" s="428"/>
      <c r="F51" s="429">
        <f>D51/D52</f>
        <v>5.5555555555555556E-4</v>
      </c>
      <c r="G51" s="430">
        <f>'Servente DF'!K142</f>
        <v>4642.4416735747072</v>
      </c>
      <c r="H51" s="430"/>
      <c r="I51" s="430">
        <f>+ROUNDUP(((D51/D52)*G51),2)</f>
        <v>2.5799999999999996</v>
      </c>
      <c r="J51" s="3"/>
      <c r="K51" s="3"/>
      <c r="L51" s="3"/>
      <c r="M51" s="3"/>
      <c r="N51" s="3"/>
      <c r="O51" s="3"/>
      <c r="P51" s="3"/>
    </row>
    <row r="52" spans="2:16">
      <c r="B52" s="428"/>
      <c r="C52" s="428"/>
      <c r="D52" s="428">
        <v>1800</v>
      </c>
      <c r="E52" s="428"/>
      <c r="F52" s="429"/>
      <c r="G52" s="430"/>
      <c r="H52" s="430"/>
      <c r="I52" s="430"/>
      <c r="J52" s="3"/>
      <c r="K52" s="3"/>
      <c r="L52" s="3"/>
      <c r="M52" s="3"/>
      <c r="N52" s="3"/>
      <c r="O52" s="3"/>
      <c r="P52" s="3"/>
    </row>
    <row r="53" spans="2:16">
      <c r="B53" s="434"/>
      <c r="C53" s="434"/>
      <c r="D53" s="434"/>
      <c r="E53" s="434"/>
      <c r="F53" s="434"/>
      <c r="G53" s="434"/>
      <c r="H53" s="434"/>
      <c r="I53" s="220">
        <f>SUM(I49+I51)</f>
        <v>2.7199999999999998</v>
      </c>
      <c r="J53" s="3"/>
      <c r="K53" s="3"/>
      <c r="L53" s="3"/>
      <c r="M53" s="3"/>
      <c r="N53" s="3"/>
      <c r="O53" s="3"/>
      <c r="P53" s="3"/>
    </row>
    <row r="54" spans="2:16">
      <c r="B54" s="221"/>
      <c r="C54" s="221"/>
      <c r="D54" s="221"/>
      <c r="E54" s="221"/>
      <c r="F54" s="221"/>
      <c r="G54" s="221"/>
      <c r="H54" s="221"/>
      <c r="I54" s="222"/>
      <c r="J54" s="3"/>
      <c r="K54" s="3"/>
      <c r="L54" s="3"/>
      <c r="M54" s="3"/>
      <c r="N54" s="3"/>
      <c r="O54" s="3"/>
      <c r="P54" s="3"/>
    </row>
    <row r="55" spans="2:16">
      <c r="B55" s="221"/>
      <c r="C55" s="221"/>
      <c r="D55" s="221"/>
      <c r="E55" s="221"/>
      <c r="F55" s="221"/>
      <c r="G55" s="221"/>
      <c r="H55" s="221"/>
      <c r="I55" s="222"/>
      <c r="J55" s="3"/>
      <c r="K55" s="3"/>
      <c r="L55" s="3"/>
      <c r="M55" s="3"/>
      <c r="N55" s="3"/>
      <c r="O55" s="3"/>
      <c r="P55" s="3"/>
    </row>
    <row r="56" spans="2:16">
      <c r="B56" s="366" t="s">
        <v>538</v>
      </c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7"/>
      <c r="P56" s="235"/>
    </row>
    <row r="57" spans="2:16">
      <c r="B57" s="368" t="s">
        <v>24</v>
      </c>
      <c r="C57" s="368"/>
      <c r="D57" s="369" t="s">
        <v>12</v>
      </c>
      <c r="E57" s="370"/>
      <c r="F57" s="371"/>
      <c r="G57" s="369" t="s">
        <v>13</v>
      </c>
      <c r="H57" s="370"/>
      <c r="I57" s="371"/>
      <c r="J57" s="372" t="s">
        <v>14</v>
      </c>
      <c r="K57" s="372"/>
      <c r="L57" s="372"/>
      <c r="M57" s="199" t="s">
        <v>15</v>
      </c>
      <c r="N57" s="199" t="s">
        <v>16</v>
      </c>
      <c r="O57" s="199" t="s">
        <v>30</v>
      </c>
      <c r="P57" s="236"/>
    </row>
    <row r="58" spans="2:16" ht="45">
      <c r="B58" s="368"/>
      <c r="C58" s="368"/>
      <c r="D58" s="369" t="s">
        <v>502</v>
      </c>
      <c r="E58" s="370"/>
      <c r="F58" s="371"/>
      <c r="G58" s="369" t="s">
        <v>32</v>
      </c>
      <c r="H58" s="370"/>
      <c r="I58" s="371"/>
      <c r="J58" s="373" t="s">
        <v>322</v>
      </c>
      <c r="K58" s="373"/>
      <c r="L58" s="373"/>
      <c r="M58" s="199" t="s">
        <v>29</v>
      </c>
      <c r="N58" s="225" t="s">
        <v>31</v>
      </c>
      <c r="O58" s="225" t="s">
        <v>28</v>
      </c>
      <c r="P58" s="237"/>
    </row>
    <row r="59" spans="2:16" ht="15" customHeight="1">
      <c r="B59" s="374" t="s">
        <v>277</v>
      </c>
      <c r="C59" s="374"/>
      <c r="D59" s="375">
        <v>1</v>
      </c>
      <c r="E59" s="376"/>
      <c r="F59" s="377">
        <f>(D59/(D60*E60))</f>
        <v>1.1111111111111112E-4</v>
      </c>
      <c r="G59" s="378">
        <v>16</v>
      </c>
      <c r="H59" s="379"/>
      <c r="I59" s="380"/>
      <c r="J59" s="360">
        <v>1</v>
      </c>
      <c r="K59" s="361"/>
      <c r="L59" s="384">
        <f>J59/J60</f>
        <v>5.2977325704598437E-3</v>
      </c>
      <c r="M59" s="377">
        <f>((1/(30*300))*16*(1/188.76))</f>
        <v>9.418191236373056E-6</v>
      </c>
      <c r="N59" s="386">
        <f>'Encarregado DF'!K143</f>
        <v>7287.1977096693909</v>
      </c>
      <c r="O59" s="359">
        <f>ROUND((M59*N59),2)</f>
        <v>7.0000000000000007E-2</v>
      </c>
      <c r="P59" s="238"/>
    </row>
    <row r="60" spans="2:16">
      <c r="B60" s="374"/>
      <c r="C60" s="374"/>
      <c r="D60" s="226">
        <v>30</v>
      </c>
      <c r="E60" s="227">
        <v>300</v>
      </c>
      <c r="F60" s="377"/>
      <c r="G60" s="381"/>
      <c r="H60" s="382"/>
      <c r="I60" s="383"/>
      <c r="J60" s="360">
        <v>188.76</v>
      </c>
      <c r="K60" s="361"/>
      <c r="L60" s="385"/>
      <c r="M60" s="377"/>
      <c r="N60" s="386"/>
      <c r="O60" s="359"/>
      <c r="P60" s="238"/>
    </row>
    <row r="61" spans="2:16">
      <c r="B61" s="346" t="s">
        <v>25</v>
      </c>
      <c r="C61" s="346"/>
      <c r="D61" s="347">
        <v>1</v>
      </c>
      <c r="E61" s="347"/>
      <c r="F61" s="348">
        <f>(D61/D62)</f>
        <v>3.3333333333333335E-3</v>
      </c>
      <c r="G61" s="350">
        <v>16</v>
      </c>
      <c r="H61" s="351"/>
      <c r="I61" s="352"/>
      <c r="J61" s="356">
        <v>1</v>
      </c>
      <c r="K61" s="357"/>
      <c r="L61" s="348">
        <f>J61/J62</f>
        <v>5.2977325704598437E-3</v>
      </c>
      <c r="M61" s="358">
        <f>((D61/D62)*G61*(J61/J62))</f>
        <v>2.8254573709119167E-4</v>
      </c>
      <c r="N61" s="359">
        <f>'Jauzeiro DF'!K142</f>
        <v>4899.8562742347367</v>
      </c>
      <c r="O61" s="359">
        <f>ROUND((M61*N61),2)</f>
        <v>1.38</v>
      </c>
      <c r="P61" s="238"/>
    </row>
    <row r="62" spans="2:16">
      <c r="B62" s="346"/>
      <c r="C62" s="346"/>
      <c r="D62" s="365">
        <v>300</v>
      </c>
      <c r="E62" s="365"/>
      <c r="F62" s="349"/>
      <c r="G62" s="353"/>
      <c r="H62" s="354"/>
      <c r="I62" s="355"/>
      <c r="J62" s="446">
        <v>188.76</v>
      </c>
      <c r="K62" s="447"/>
      <c r="L62" s="349"/>
      <c r="M62" s="358"/>
      <c r="N62" s="359"/>
      <c r="O62" s="359"/>
      <c r="P62" s="238"/>
    </row>
    <row r="63" spans="2:16"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5"/>
      <c r="O63" s="155">
        <f>SUM(O59+O61)</f>
        <v>1.45</v>
      </c>
      <c r="P63" s="239"/>
    </row>
    <row r="64" spans="2:16">
      <c r="B64" s="443"/>
      <c r="C64" s="443"/>
      <c r="D64" s="443"/>
      <c r="E64" s="443"/>
      <c r="F64" s="443"/>
      <c r="G64" s="443"/>
      <c r="H64" s="443"/>
      <c r="I64" s="443"/>
      <c r="J64" s="443"/>
      <c r="K64" s="443"/>
      <c r="L64" s="443"/>
      <c r="M64" s="443"/>
      <c r="N64" s="443"/>
      <c r="O64" s="443"/>
      <c r="P64" s="231"/>
    </row>
    <row r="65" spans="2:16"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</row>
    <row r="66" spans="2:16">
      <c r="B66" s="366" t="s">
        <v>494</v>
      </c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7"/>
      <c r="P66" s="235"/>
    </row>
    <row r="67" spans="2:16">
      <c r="B67" s="368" t="s">
        <v>24</v>
      </c>
      <c r="C67" s="368"/>
      <c r="D67" s="369" t="s">
        <v>12</v>
      </c>
      <c r="E67" s="370"/>
      <c r="F67" s="371"/>
      <c r="G67" s="369" t="s">
        <v>13</v>
      </c>
      <c r="H67" s="370"/>
      <c r="I67" s="371"/>
      <c r="J67" s="372" t="s">
        <v>14</v>
      </c>
      <c r="K67" s="372"/>
      <c r="L67" s="372"/>
      <c r="M67" s="244" t="s">
        <v>15</v>
      </c>
      <c r="N67" s="244" t="s">
        <v>16</v>
      </c>
      <c r="O67" s="244" t="s">
        <v>30</v>
      </c>
      <c r="P67" s="236"/>
    </row>
    <row r="68" spans="2:16" ht="45">
      <c r="B68" s="368"/>
      <c r="C68" s="368"/>
      <c r="D68" s="369" t="s">
        <v>502</v>
      </c>
      <c r="E68" s="370"/>
      <c r="F68" s="371"/>
      <c r="G68" s="369" t="s">
        <v>32</v>
      </c>
      <c r="H68" s="370"/>
      <c r="I68" s="371"/>
      <c r="J68" s="373" t="s">
        <v>322</v>
      </c>
      <c r="K68" s="373"/>
      <c r="L68" s="373"/>
      <c r="M68" s="244" t="s">
        <v>29</v>
      </c>
      <c r="N68" s="245" t="s">
        <v>31</v>
      </c>
      <c r="O68" s="245" t="s">
        <v>28</v>
      </c>
      <c r="P68" s="237"/>
    </row>
    <row r="69" spans="2:16" ht="15" customHeight="1">
      <c r="B69" s="374" t="s">
        <v>277</v>
      </c>
      <c r="C69" s="374"/>
      <c r="D69" s="375">
        <v>1</v>
      </c>
      <c r="E69" s="376"/>
      <c r="F69" s="377">
        <f>(D69/(D70*E70))</f>
        <v>2.2727272727272726E-3</v>
      </c>
      <c r="G69" s="378">
        <v>8</v>
      </c>
      <c r="H69" s="379"/>
      <c r="I69" s="380"/>
      <c r="J69" s="360">
        <v>1</v>
      </c>
      <c r="K69" s="361"/>
      <c r="L69" s="384">
        <f>J69/J70</f>
        <v>8.8292424509977055E-4</v>
      </c>
      <c r="M69" s="377">
        <f>((1/(30*110))*8*(1/188.76))</f>
        <v>1.2842988049599621E-5</v>
      </c>
      <c r="N69" s="386">
        <f>'Encarregado DF'!K143</f>
        <v>7287.1977096693909</v>
      </c>
      <c r="O69" s="359">
        <f>ROUND((M69*N69),2)</f>
        <v>0.09</v>
      </c>
      <c r="P69" s="238"/>
    </row>
    <row r="70" spans="2:16">
      <c r="B70" s="374"/>
      <c r="C70" s="374"/>
      <c r="D70" s="247">
        <v>4</v>
      </c>
      <c r="E70" s="246">
        <v>110</v>
      </c>
      <c r="F70" s="377"/>
      <c r="G70" s="381"/>
      <c r="H70" s="382"/>
      <c r="I70" s="383"/>
      <c r="J70" s="360">
        <v>1132.5999999999999</v>
      </c>
      <c r="K70" s="361"/>
      <c r="L70" s="385"/>
      <c r="M70" s="377"/>
      <c r="N70" s="386"/>
      <c r="O70" s="359"/>
      <c r="P70" s="238"/>
    </row>
    <row r="71" spans="2:16">
      <c r="B71" s="346" t="s">
        <v>25</v>
      </c>
      <c r="C71" s="346"/>
      <c r="D71" s="347">
        <v>1</v>
      </c>
      <c r="E71" s="347"/>
      <c r="F71" s="348">
        <f>(D71/D72)</f>
        <v>9.0909090909090905E-3</v>
      </c>
      <c r="G71" s="350">
        <v>8</v>
      </c>
      <c r="H71" s="351"/>
      <c r="I71" s="352"/>
      <c r="J71" s="356">
        <v>1</v>
      </c>
      <c r="K71" s="357"/>
      <c r="L71" s="348">
        <f>J71/J72</f>
        <v>8.8292424509977055E-4</v>
      </c>
      <c r="M71" s="358">
        <f>((D71/D72)*G71*(J71/J72))</f>
        <v>6.4212672370892403E-5</v>
      </c>
      <c r="N71" s="359">
        <f>'Jauzeiro DF'!K142</f>
        <v>4899.8562742347367</v>
      </c>
      <c r="O71" s="359">
        <f>ROUND((M71*N71),2)</f>
        <v>0.31</v>
      </c>
      <c r="P71" s="238"/>
    </row>
    <row r="72" spans="2:16">
      <c r="B72" s="346"/>
      <c r="C72" s="346"/>
      <c r="D72" s="365">
        <v>110</v>
      </c>
      <c r="E72" s="365"/>
      <c r="F72" s="349"/>
      <c r="G72" s="353"/>
      <c r="H72" s="354"/>
      <c r="I72" s="355"/>
      <c r="J72" s="360">
        <v>1132.5999999999999</v>
      </c>
      <c r="K72" s="361"/>
      <c r="L72" s="349"/>
      <c r="M72" s="358"/>
      <c r="N72" s="359"/>
      <c r="O72" s="359"/>
      <c r="P72" s="238"/>
    </row>
    <row r="73" spans="2:16"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5"/>
      <c r="O73" s="155">
        <f>SUM(O69+O71)</f>
        <v>0.4</v>
      </c>
      <c r="P73" s="239"/>
    </row>
    <row r="74" spans="2:16" s="201" customFormat="1"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1"/>
      <c r="P74" s="281"/>
    </row>
    <row r="75" spans="2:16" s="201" customFormat="1"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1"/>
      <c r="P75" s="281"/>
    </row>
    <row r="76" spans="2:16">
      <c r="B76" s="366" t="s">
        <v>493</v>
      </c>
      <c r="C76" s="366"/>
      <c r="D76" s="366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7"/>
      <c r="P76" s="235"/>
    </row>
    <row r="77" spans="2:16">
      <c r="B77" s="368" t="s">
        <v>24</v>
      </c>
      <c r="C77" s="368"/>
      <c r="D77" s="369" t="s">
        <v>12</v>
      </c>
      <c r="E77" s="370"/>
      <c r="F77" s="371"/>
      <c r="G77" s="369" t="s">
        <v>13</v>
      </c>
      <c r="H77" s="370"/>
      <c r="I77" s="371"/>
      <c r="J77" s="372" t="s">
        <v>14</v>
      </c>
      <c r="K77" s="372"/>
      <c r="L77" s="372"/>
      <c r="M77" s="244" t="s">
        <v>15</v>
      </c>
      <c r="N77" s="244" t="s">
        <v>16</v>
      </c>
      <c r="O77" s="244" t="s">
        <v>30</v>
      </c>
      <c r="P77" s="236"/>
    </row>
    <row r="78" spans="2:16" ht="45">
      <c r="B78" s="368"/>
      <c r="C78" s="368"/>
      <c r="D78" s="369" t="s">
        <v>502</v>
      </c>
      <c r="E78" s="370"/>
      <c r="F78" s="371"/>
      <c r="G78" s="369" t="s">
        <v>32</v>
      </c>
      <c r="H78" s="370"/>
      <c r="I78" s="371"/>
      <c r="J78" s="373" t="s">
        <v>322</v>
      </c>
      <c r="K78" s="373"/>
      <c r="L78" s="373"/>
      <c r="M78" s="244" t="s">
        <v>29</v>
      </c>
      <c r="N78" s="245" t="s">
        <v>31</v>
      </c>
      <c r="O78" s="245" t="s">
        <v>28</v>
      </c>
      <c r="P78" s="237"/>
    </row>
    <row r="79" spans="2:16" ht="15" customHeight="1">
      <c r="B79" s="374" t="s">
        <v>277</v>
      </c>
      <c r="C79" s="374"/>
      <c r="D79" s="375">
        <v>1</v>
      </c>
      <c r="E79" s="376"/>
      <c r="F79" s="377">
        <f>(D79/(D80*E80))</f>
        <v>1.8518518518518518E-5</v>
      </c>
      <c r="G79" s="378">
        <v>24</v>
      </c>
      <c r="H79" s="379"/>
      <c r="I79" s="380"/>
      <c r="J79" s="360">
        <v>1</v>
      </c>
      <c r="K79" s="361"/>
      <c r="L79" s="384">
        <f>J79/J80</f>
        <v>5.2977325704598437E-3</v>
      </c>
      <c r="M79" s="377">
        <f>((1/(30*1800))*24*(1/188.76))</f>
        <v>2.354547809093264E-6</v>
      </c>
      <c r="N79" s="386">
        <f>'Encarregado DF'!K143</f>
        <v>7287.1977096693909</v>
      </c>
      <c r="O79" s="359">
        <f>ROUND((M79*N79),2)</f>
        <v>0.02</v>
      </c>
      <c r="P79" s="238"/>
    </row>
    <row r="80" spans="2:16">
      <c r="B80" s="374"/>
      <c r="C80" s="374"/>
      <c r="D80" s="247">
        <v>30</v>
      </c>
      <c r="E80" s="285">
        <v>1800</v>
      </c>
      <c r="F80" s="377"/>
      <c r="G80" s="381"/>
      <c r="H80" s="382"/>
      <c r="I80" s="383"/>
      <c r="J80" s="360">
        <v>188.76</v>
      </c>
      <c r="K80" s="361"/>
      <c r="L80" s="385"/>
      <c r="M80" s="377"/>
      <c r="N80" s="386"/>
      <c r="O80" s="359"/>
      <c r="P80" s="238"/>
    </row>
    <row r="81" spans="2:16">
      <c r="B81" s="346" t="s">
        <v>25</v>
      </c>
      <c r="C81" s="346"/>
      <c r="D81" s="347">
        <v>1</v>
      </c>
      <c r="E81" s="347"/>
      <c r="F81" s="348">
        <f>(D81/D82)</f>
        <v>5.5555555555555556E-4</v>
      </c>
      <c r="G81" s="350">
        <v>24</v>
      </c>
      <c r="H81" s="351"/>
      <c r="I81" s="352"/>
      <c r="J81" s="356">
        <v>1</v>
      </c>
      <c r="K81" s="357"/>
      <c r="L81" s="348">
        <f>J81/J82</f>
        <v>5.2977325704598437E-3</v>
      </c>
      <c r="M81" s="358">
        <f>((D81/D82)*G81*(J81/J82))</f>
        <v>7.0636434272797918E-5</v>
      </c>
      <c r="N81" s="359">
        <f>'Jauzeiro DF'!K142</f>
        <v>4899.8562742347367</v>
      </c>
      <c r="O81" s="359">
        <f>ROUND((M81*N81),2)</f>
        <v>0.35</v>
      </c>
      <c r="P81" s="238"/>
    </row>
    <row r="82" spans="2:16">
      <c r="B82" s="346"/>
      <c r="C82" s="346"/>
      <c r="D82" s="365">
        <v>1800</v>
      </c>
      <c r="E82" s="365"/>
      <c r="F82" s="349"/>
      <c r="G82" s="353"/>
      <c r="H82" s="354"/>
      <c r="I82" s="355"/>
      <c r="J82" s="360">
        <v>188.76</v>
      </c>
      <c r="K82" s="361"/>
      <c r="L82" s="349"/>
      <c r="M82" s="358"/>
      <c r="N82" s="359"/>
      <c r="O82" s="359"/>
      <c r="P82" s="238"/>
    </row>
    <row r="83" spans="2:16">
      <c r="B83" s="344"/>
      <c r="C83" s="344"/>
      <c r="D83" s="344"/>
      <c r="E83" s="344"/>
      <c r="F83" s="344"/>
      <c r="G83" s="344"/>
      <c r="H83" s="344"/>
      <c r="I83" s="344"/>
      <c r="J83" s="344"/>
      <c r="K83" s="344"/>
      <c r="L83" s="344"/>
      <c r="M83" s="344"/>
      <c r="N83" s="345"/>
      <c r="O83" s="155">
        <f>SUM(O79+O81)</f>
        <v>0.37</v>
      </c>
      <c r="P83" s="239"/>
    </row>
    <row r="84" spans="2:16"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</row>
    <row r="85" spans="2:16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>
      <c r="B87" s="362" t="s">
        <v>351</v>
      </c>
      <c r="C87" s="362"/>
      <c r="D87" s="362"/>
      <c r="E87" s="362"/>
      <c r="F87" s="362"/>
      <c r="G87" s="362"/>
      <c r="H87" s="362"/>
      <c r="I87" s="362"/>
      <c r="J87" s="362"/>
      <c r="K87" s="362"/>
      <c r="L87" s="362"/>
      <c r="M87" s="362"/>
    </row>
    <row r="88" spans="2:16">
      <c r="B88" s="363" t="s">
        <v>140</v>
      </c>
      <c r="C88" s="364" t="s">
        <v>139</v>
      </c>
      <c r="D88" s="390" t="s">
        <v>461</v>
      </c>
      <c r="E88" s="390"/>
      <c r="F88" s="390" t="s">
        <v>462</v>
      </c>
      <c r="G88" s="390"/>
      <c r="H88" s="390" t="s">
        <v>463</v>
      </c>
      <c r="I88" s="390"/>
      <c r="J88" s="391" t="s">
        <v>494</v>
      </c>
      <c r="K88" s="391"/>
      <c r="L88" s="391" t="s">
        <v>493</v>
      </c>
      <c r="M88" s="391"/>
    </row>
    <row r="89" spans="2:16">
      <c r="B89" s="363"/>
      <c r="C89" s="364"/>
      <c r="D89" s="242" t="s">
        <v>136</v>
      </c>
      <c r="E89" s="242" t="s">
        <v>137</v>
      </c>
      <c r="F89" s="242" t="s">
        <v>136</v>
      </c>
      <c r="G89" s="242" t="s">
        <v>137</v>
      </c>
      <c r="H89" s="242" t="s">
        <v>136</v>
      </c>
      <c r="I89" s="242" t="s">
        <v>137</v>
      </c>
      <c r="J89" s="242" t="s">
        <v>136</v>
      </c>
      <c r="K89" s="242" t="s">
        <v>137</v>
      </c>
      <c r="L89" s="242" t="s">
        <v>136</v>
      </c>
      <c r="M89" s="242" t="s">
        <v>137</v>
      </c>
    </row>
    <row r="90" spans="2:16">
      <c r="B90" s="362" t="s">
        <v>321</v>
      </c>
      <c r="C90" s="243" t="s">
        <v>138</v>
      </c>
      <c r="D90" s="132">
        <v>5.6</v>
      </c>
      <c r="E90" s="132">
        <v>6.73</v>
      </c>
      <c r="F90" s="132">
        <v>2.4900000000000002</v>
      </c>
      <c r="G90" s="132">
        <v>2.99</v>
      </c>
      <c r="H90" s="132">
        <v>1.26</v>
      </c>
      <c r="I90" s="132">
        <v>1.52</v>
      </c>
      <c r="J90" s="203">
        <v>0.4</v>
      </c>
      <c r="K90" s="203">
        <v>0.48</v>
      </c>
      <c r="L90" s="132">
        <v>2.4900000000000002</v>
      </c>
      <c r="M90" s="132">
        <v>2.99</v>
      </c>
    </row>
    <row r="91" spans="2:16">
      <c r="B91" s="362"/>
      <c r="C91" s="174" t="s">
        <v>350</v>
      </c>
      <c r="D91" s="392">
        <f>I43</f>
        <v>6.1199999999999992</v>
      </c>
      <c r="E91" s="393"/>
      <c r="F91" s="394">
        <f>I53</f>
        <v>2.7199999999999998</v>
      </c>
      <c r="G91" s="394"/>
      <c r="H91" s="394">
        <f>O63</f>
        <v>1.45</v>
      </c>
      <c r="I91" s="394"/>
      <c r="J91" s="395">
        <f>O73</f>
        <v>0.4</v>
      </c>
      <c r="K91" s="396"/>
      <c r="L91" s="397">
        <f>O83</f>
        <v>0.37</v>
      </c>
      <c r="M91" s="398"/>
    </row>
    <row r="93" spans="2:16">
      <c r="B93" s="171"/>
      <c r="C93" s="387" t="s">
        <v>464</v>
      </c>
      <c r="D93" s="387"/>
      <c r="E93" s="387"/>
      <c r="F93" s="387"/>
      <c r="G93" s="387"/>
      <c r="H93" s="387"/>
      <c r="I93" s="387"/>
    </row>
    <row r="94" spans="2:16" ht="15" customHeight="1">
      <c r="B94" s="310"/>
      <c r="C94" s="341" t="s">
        <v>545</v>
      </c>
      <c r="D94" s="342"/>
      <c r="E94" s="342"/>
      <c r="F94" s="342"/>
      <c r="G94" s="342"/>
      <c r="H94" s="342"/>
      <c r="I94" s="343"/>
    </row>
    <row r="95" spans="2:16">
      <c r="B95" s="388" t="s">
        <v>349</v>
      </c>
      <c r="C95" s="388"/>
      <c r="D95" s="388"/>
      <c r="E95" s="388"/>
      <c r="F95" s="388"/>
      <c r="G95" s="388"/>
      <c r="H95" s="388"/>
      <c r="I95" s="388"/>
    </row>
    <row r="104" spans="2:17">
      <c r="B104" s="388" t="s">
        <v>481</v>
      </c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8"/>
      <c r="N104" s="388"/>
      <c r="O104" s="388"/>
      <c r="P104" s="388"/>
      <c r="Q104" s="388"/>
    </row>
    <row r="105" spans="2:17" ht="15.75" thickBot="1"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>
      <c r="B106" s="407" t="s">
        <v>129</v>
      </c>
      <c r="C106" s="408" t="s">
        <v>474</v>
      </c>
      <c r="D106" s="189" t="s">
        <v>475</v>
      </c>
      <c r="E106" s="410" t="s">
        <v>476</v>
      </c>
      <c r="F106" s="411"/>
      <c r="G106" s="410" t="s">
        <v>352</v>
      </c>
      <c r="H106" s="412"/>
      <c r="I106" s="177"/>
      <c r="J106" s="413"/>
      <c r="K106" s="414"/>
      <c r="L106" s="176"/>
      <c r="M106" s="176"/>
      <c r="N106" s="176"/>
      <c r="O106" s="176"/>
      <c r="P106" s="176"/>
      <c r="Q106" s="177"/>
    </row>
    <row r="107" spans="2:17">
      <c r="B107" s="403"/>
      <c r="C107" s="409"/>
      <c r="D107" s="187" t="s">
        <v>353</v>
      </c>
      <c r="E107" s="401" t="s">
        <v>354</v>
      </c>
      <c r="F107" s="401"/>
      <c r="G107" s="401" t="s">
        <v>355</v>
      </c>
      <c r="H107" s="406"/>
      <c r="I107" s="178"/>
      <c r="J107" s="414"/>
      <c r="K107" s="414"/>
      <c r="L107" s="176"/>
      <c r="M107" s="176"/>
      <c r="N107" s="176"/>
      <c r="O107" s="176"/>
      <c r="P107" s="176"/>
      <c r="Q107" s="178"/>
    </row>
    <row r="108" spans="2:17">
      <c r="B108" s="179"/>
      <c r="C108" s="180"/>
      <c r="D108" s="180"/>
      <c r="E108" s="180"/>
      <c r="F108" s="180"/>
      <c r="G108" s="180"/>
      <c r="H108" s="181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>
      <c r="B109" s="403" t="s">
        <v>356</v>
      </c>
      <c r="C109" s="401" t="s">
        <v>477</v>
      </c>
      <c r="D109" s="187" t="s">
        <v>478</v>
      </c>
      <c r="E109" s="401" t="s">
        <v>479</v>
      </c>
      <c r="F109" s="401"/>
      <c r="G109" s="404" t="s">
        <v>358</v>
      </c>
      <c r="H109" s="405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>
      <c r="B110" s="403"/>
      <c r="C110" s="401"/>
      <c r="D110" s="187" t="s">
        <v>357</v>
      </c>
      <c r="E110" s="401" t="s">
        <v>357</v>
      </c>
      <c r="F110" s="401"/>
      <c r="G110" s="401" t="s">
        <v>359</v>
      </c>
      <c r="H110" s="40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>
      <c r="B111" s="179"/>
      <c r="C111" s="180"/>
      <c r="D111" s="180"/>
      <c r="E111" s="180"/>
      <c r="F111" s="180"/>
      <c r="G111" s="180"/>
      <c r="H111" s="181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>
      <c r="B112" s="399" t="s">
        <v>360</v>
      </c>
      <c r="C112" s="401" t="s">
        <v>361</v>
      </c>
      <c r="D112" s="401" t="s">
        <v>480</v>
      </c>
      <c r="E112" s="401"/>
      <c r="F112" s="190">
        <v>1</v>
      </c>
      <c r="G112" s="180"/>
      <c r="H112" s="181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ht="15.75" thickBot="1">
      <c r="B113" s="400"/>
      <c r="C113" s="402"/>
      <c r="D113" s="402">
        <v>300</v>
      </c>
      <c r="E113" s="402"/>
      <c r="F113" s="188">
        <v>15</v>
      </c>
      <c r="G113" s="182"/>
      <c r="H113" s="183"/>
      <c r="I113" s="176"/>
      <c r="J113" s="176"/>
      <c r="K113" s="176"/>
      <c r="L113" s="176"/>
      <c r="M113" s="176"/>
      <c r="N113" s="176"/>
      <c r="O113" s="176"/>
      <c r="P113" s="176"/>
      <c r="Q113" s="176"/>
    </row>
  </sheetData>
  <mergeCells count="180">
    <mergeCell ref="B64:O64"/>
    <mergeCell ref="B59:C60"/>
    <mergeCell ref="D59:E59"/>
    <mergeCell ref="F59:F60"/>
    <mergeCell ref="G59:I60"/>
    <mergeCell ref="B4:C4"/>
    <mergeCell ref="B63:N63"/>
    <mergeCell ref="J59:K59"/>
    <mergeCell ref="L59:L60"/>
    <mergeCell ref="M59:M60"/>
    <mergeCell ref="N59:N60"/>
    <mergeCell ref="O59:O60"/>
    <mergeCell ref="J60:K60"/>
    <mergeCell ref="B61:C62"/>
    <mergeCell ref="D61:E61"/>
    <mergeCell ref="F61:F62"/>
    <mergeCell ref="G61:I62"/>
    <mergeCell ref="J61:K61"/>
    <mergeCell ref="L61:L62"/>
    <mergeCell ref="M61:M62"/>
    <mergeCell ref="N61:N62"/>
    <mergeCell ref="O61:O62"/>
    <mergeCell ref="D62:E62"/>
    <mergeCell ref="J62:K62"/>
    <mergeCell ref="B53:H53"/>
    <mergeCell ref="B56:O56"/>
    <mergeCell ref="B57:C58"/>
    <mergeCell ref="D57:F57"/>
    <mergeCell ref="G57:I57"/>
    <mergeCell ref="J57:L57"/>
    <mergeCell ref="D58:F58"/>
    <mergeCell ref="G58:I58"/>
    <mergeCell ref="J58:L58"/>
    <mergeCell ref="B49:C50"/>
    <mergeCell ref="D49:E49"/>
    <mergeCell ref="F49:F50"/>
    <mergeCell ref="G49:H50"/>
    <mergeCell ref="I49:I50"/>
    <mergeCell ref="B51:C52"/>
    <mergeCell ref="D51:E51"/>
    <mergeCell ref="F51:F52"/>
    <mergeCell ref="G51:H52"/>
    <mergeCell ref="I51:I52"/>
    <mergeCell ref="D52:E52"/>
    <mergeCell ref="B43:H43"/>
    <mergeCell ref="B45:I45"/>
    <mergeCell ref="B46:C48"/>
    <mergeCell ref="D46:F46"/>
    <mergeCell ref="G46:H46"/>
    <mergeCell ref="D47:F47"/>
    <mergeCell ref="G47:H47"/>
    <mergeCell ref="D48:F48"/>
    <mergeCell ref="G48:H48"/>
    <mergeCell ref="R39:R40"/>
    <mergeCell ref="B41:C42"/>
    <mergeCell ref="D41:E41"/>
    <mergeCell ref="F41:F42"/>
    <mergeCell ref="G41:H42"/>
    <mergeCell ref="I41:I42"/>
    <mergeCell ref="R41:R42"/>
    <mergeCell ref="D42:E42"/>
    <mergeCell ref="B39:C40"/>
    <mergeCell ref="D39:E39"/>
    <mergeCell ref="F39:F40"/>
    <mergeCell ref="G39:H40"/>
    <mergeCell ref="I39:I40"/>
    <mergeCell ref="B30:D30"/>
    <mergeCell ref="B31:D31"/>
    <mergeCell ref="B26:D26"/>
    <mergeCell ref="B27:D27"/>
    <mergeCell ref="B28:D28"/>
    <mergeCell ref="B29:D29"/>
    <mergeCell ref="B32:D32"/>
    <mergeCell ref="B35:I35"/>
    <mergeCell ref="B36:C38"/>
    <mergeCell ref="D36:F36"/>
    <mergeCell ref="G36:H36"/>
    <mergeCell ref="D37:F37"/>
    <mergeCell ref="G37:H37"/>
    <mergeCell ref="D38:F38"/>
    <mergeCell ref="G38:H38"/>
    <mergeCell ref="B104:Q104"/>
    <mergeCell ref="B106:B107"/>
    <mergeCell ref="C106:C107"/>
    <mergeCell ref="E106:F106"/>
    <mergeCell ref="G106:H106"/>
    <mergeCell ref="J106:K106"/>
    <mergeCell ref="E107:F107"/>
    <mergeCell ref="G107:H107"/>
    <mergeCell ref="J107:K107"/>
    <mergeCell ref="B112:B113"/>
    <mergeCell ref="C112:C113"/>
    <mergeCell ref="D112:E112"/>
    <mergeCell ref="D113:E113"/>
    <mergeCell ref="B109:B110"/>
    <mergeCell ref="C109:C110"/>
    <mergeCell ref="E109:F109"/>
    <mergeCell ref="G109:H109"/>
    <mergeCell ref="E110:F110"/>
    <mergeCell ref="G110:H110"/>
    <mergeCell ref="D88:E88"/>
    <mergeCell ref="F88:G88"/>
    <mergeCell ref="H88:I88"/>
    <mergeCell ref="J88:K88"/>
    <mergeCell ref="L88:M88"/>
    <mergeCell ref="B90:B91"/>
    <mergeCell ref="D91:E91"/>
    <mergeCell ref="F91:G91"/>
    <mergeCell ref="H91:I91"/>
    <mergeCell ref="J91:K91"/>
    <mergeCell ref="L91:M91"/>
    <mergeCell ref="O71:O72"/>
    <mergeCell ref="D72:E72"/>
    <mergeCell ref="J72:K72"/>
    <mergeCell ref="B73:N73"/>
    <mergeCell ref="C93:I93"/>
    <mergeCell ref="B95:I95"/>
    <mergeCell ref="F22:G22"/>
    <mergeCell ref="B66:O66"/>
    <mergeCell ref="B67:C68"/>
    <mergeCell ref="D67:F67"/>
    <mergeCell ref="G67:I67"/>
    <mergeCell ref="J67:L67"/>
    <mergeCell ref="D68:F68"/>
    <mergeCell ref="G68:I68"/>
    <mergeCell ref="J68:L68"/>
    <mergeCell ref="B69:C70"/>
    <mergeCell ref="D69:E69"/>
    <mergeCell ref="F69:F70"/>
    <mergeCell ref="G69:I70"/>
    <mergeCell ref="J69:K69"/>
    <mergeCell ref="L69:L70"/>
    <mergeCell ref="M69:M70"/>
    <mergeCell ref="N69:N70"/>
    <mergeCell ref="O69:O70"/>
    <mergeCell ref="O81:O82"/>
    <mergeCell ref="D82:E82"/>
    <mergeCell ref="J82:K82"/>
    <mergeCell ref="B76:O76"/>
    <mergeCell ref="B77:C78"/>
    <mergeCell ref="D77:F77"/>
    <mergeCell ref="G77:I77"/>
    <mergeCell ref="J77:L77"/>
    <mergeCell ref="D78:F78"/>
    <mergeCell ref="G78:I78"/>
    <mergeCell ref="J78:L78"/>
    <mergeCell ref="B79:C80"/>
    <mergeCell ref="D79:E79"/>
    <mergeCell ref="F79:F80"/>
    <mergeCell ref="G79:I80"/>
    <mergeCell ref="J79:K79"/>
    <mergeCell ref="L79:L80"/>
    <mergeCell ref="M79:M80"/>
    <mergeCell ref="N79:N80"/>
    <mergeCell ref="O79:O80"/>
    <mergeCell ref="J80:K80"/>
    <mergeCell ref="B2:K2"/>
    <mergeCell ref="B9:G9"/>
    <mergeCell ref="C94:I94"/>
    <mergeCell ref="B83:N83"/>
    <mergeCell ref="B81:C82"/>
    <mergeCell ref="D81:E81"/>
    <mergeCell ref="F81:F82"/>
    <mergeCell ref="G81:I82"/>
    <mergeCell ref="J81:K81"/>
    <mergeCell ref="L81:L82"/>
    <mergeCell ref="M81:M82"/>
    <mergeCell ref="N81:N82"/>
    <mergeCell ref="G71:I72"/>
    <mergeCell ref="J71:K71"/>
    <mergeCell ref="L71:L72"/>
    <mergeCell ref="M71:M72"/>
    <mergeCell ref="N71:N72"/>
    <mergeCell ref="J70:K70"/>
    <mergeCell ref="B71:C72"/>
    <mergeCell ref="D71:E71"/>
    <mergeCell ref="F71:F72"/>
    <mergeCell ref="B87:M87"/>
    <mergeCell ref="B88:B89"/>
    <mergeCell ref="C88:C89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M143"/>
  <sheetViews>
    <sheetView topLeftCell="A124" workbookViewId="0">
      <selection activeCell="K143" sqref="K143"/>
    </sheetView>
  </sheetViews>
  <sheetFormatPr defaultRowHeight="15"/>
  <cols>
    <col min="2" max="2" width="14.42578125" customWidth="1"/>
    <col min="7" max="8" width="14.7109375" customWidth="1"/>
    <col min="9" max="9" width="14.85546875" customWidth="1"/>
    <col min="10" max="10" width="14.7109375" customWidth="1"/>
    <col min="11" max="11" width="26.42578125" customWidth="1"/>
    <col min="13" max="13" width="8.5703125" customWidth="1"/>
    <col min="14" max="14" width="9.7109375" customWidth="1"/>
    <col min="15" max="16" width="8.7109375" customWidth="1"/>
    <col min="17" max="17" width="9" customWidth="1"/>
    <col min="18" max="18" width="11.85546875" customWidth="1"/>
    <col min="19" max="19" width="9.5703125" customWidth="1"/>
    <col min="20" max="20" width="8.85546875" customWidth="1"/>
    <col min="21" max="21" width="12.85546875" customWidth="1"/>
    <col min="22" max="22" width="10.28515625" customWidth="1"/>
    <col min="23" max="23" width="9.85546875" customWidth="1"/>
    <col min="24" max="24" width="11.42578125" customWidth="1"/>
    <col min="25" max="25" width="9.85546875" customWidth="1"/>
  </cols>
  <sheetData>
    <row r="1" spans="1:25" ht="54" customHeight="1"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25" ht="81" customHeight="1">
      <c r="A2" s="301"/>
      <c r="B2" s="339" t="s">
        <v>487</v>
      </c>
      <c r="C2" s="339"/>
      <c r="D2" s="339"/>
      <c r="E2" s="339"/>
      <c r="F2" s="339"/>
      <c r="G2" s="339"/>
      <c r="H2" s="339"/>
      <c r="I2" s="339"/>
      <c r="J2" s="339"/>
      <c r="K2" s="339"/>
    </row>
    <row r="3" spans="1:25" ht="26.25">
      <c r="B3" s="461" t="s">
        <v>36</v>
      </c>
      <c r="C3" s="461"/>
      <c r="D3" s="461"/>
      <c r="E3" s="461"/>
      <c r="F3" s="461"/>
      <c r="G3" s="461"/>
      <c r="H3" s="461"/>
      <c r="I3" s="461"/>
      <c r="J3" s="461"/>
      <c r="K3" s="461"/>
    </row>
    <row r="4" spans="1:25">
      <c r="B4" s="67"/>
      <c r="C4" s="67"/>
      <c r="D4" s="3"/>
      <c r="E4" s="3"/>
      <c r="F4" s="3"/>
      <c r="G4" s="3"/>
      <c r="H4" s="3"/>
      <c r="I4" s="3"/>
      <c r="J4" s="3"/>
      <c r="K4" s="3"/>
    </row>
    <row r="5" spans="1:25" ht="30">
      <c r="B5" s="4" t="s">
        <v>17</v>
      </c>
      <c r="C5" s="462"/>
      <c r="D5" s="462"/>
      <c r="E5" s="462"/>
      <c r="F5" s="462"/>
      <c r="G5" s="462"/>
      <c r="H5" s="462"/>
      <c r="I5" s="462"/>
      <c r="J5" s="462"/>
      <c r="K5" s="462"/>
    </row>
    <row r="6" spans="1:25">
      <c r="B6" s="4" t="s">
        <v>37</v>
      </c>
      <c r="C6" s="462"/>
      <c r="D6" s="462"/>
      <c r="E6" s="462"/>
      <c r="F6" s="462"/>
      <c r="G6" s="462"/>
      <c r="H6" s="462"/>
      <c r="I6" s="462"/>
      <c r="J6" s="462"/>
      <c r="K6" s="462"/>
    </row>
    <row r="7" spans="1:25">
      <c r="B7" s="5" t="s">
        <v>18</v>
      </c>
      <c r="C7" s="463"/>
      <c r="D7" s="463"/>
      <c r="E7" s="463"/>
      <c r="F7" s="463"/>
      <c r="G7" s="463"/>
      <c r="H7" s="463"/>
      <c r="I7" s="463"/>
      <c r="J7" s="463"/>
      <c r="K7" s="463"/>
    </row>
    <row r="8" spans="1:25">
      <c r="B8" s="464"/>
      <c r="C8" s="464"/>
      <c r="D8" s="464"/>
      <c r="E8" s="464"/>
      <c r="F8" s="464"/>
      <c r="G8" s="464"/>
      <c r="H8" s="464"/>
      <c r="I8" s="464"/>
      <c r="J8" s="3"/>
      <c r="K8" s="3"/>
    </row>
    <row r="9" spans="1:25">
      <c r="B9" s="474" t="s">
        <v>38</v>
      </c>
      <c r="C9" s="474"/>
      <c r="D9" s="474"/>
      <c r="E9" s="474"/>
      <c r="F9" s="474"/>
      <c r="G9" s="474"/>
      <c r="H9" s="474"/>
      <c r="I9" s="474"/>
      <c r="J9" s="474"/>
      <c r="K9" s="474"/>
    </row>
    <row r="10" spans="1:25">
      <c r="B10" s="68" t="s">
        <v>12</v>
      </c>
      <c r="C10" s="465" t="s">
        <v>39</v>
      </c>
      <c r="D10" s="466"/>
      <c r="E10" s="466"/>
      <c r="F10" s="466"/>
      <c r="G10" s="466"/>
      <c r="H10" s="466"/>
      <c r="I10" s="466"/>
      <c r="J10" s="467" t="s">
        <v>468</v>
      </c>
      <c r="K10" s="467"/>
    </row>
    <row r="11" spans="1:25">
      <c r="B11" s="68" t="s">
        <v>13</v>
      </c>
      <c r="C11" s="465" t="s">
        <v>19</v>
      </c>
      <c r="D11" s="466"/>
      <c r="E11" s="466"/>
      <c r="F11" s="466"/>
      <c r="G11" s="466"/>
      <c r="H11" s="466"/>
      <c r="I11" s="466"/>
      <c r="J11" s="467" t="s">
        <v>40</v>
      </c>
      <c r="K11" s="467"/>
    </row>
    <row r="12" spans="1:25">
      <c r="B12" s="68" t="s">
        <v>14</v>
      </c>
      <c r="C12" s="465" t="s">
        <v>41</v>
      </c>
      <c r="D12" s="466"/>
      <c r="E12" s="466"/>
      <c r="F12" s="466"/>
      <c r="G12" s="466"/>
      <c r="H12" s="466"/>
      <c r="I12" s="466"/>
      <c r="J12" s="467" t="s">
        <v>466</v>
      </c>
      <c r="K12" s="467"/>
    </row>
    <row r="13" spans="1:25">
      <c r="B13" s="68" t="s">
        <v>14</v>
      </c>
      <c r="C13" s="465" t="s">
        <v>42</v>
      </c>
      <c r="D13" s="466"/>
      <c r="E13" s="466"/>
      <c r="F13" s="466"/>
      <c r="G13" s="466"/>
      <c r="H13" s="466"/>
      <c r="I13" s="466"/>
      <c r="J13" s="467" t="s">
        <v>467</v>
      </c>
      <c r="K13" s="467"/>
    </row>
    <row r="14" spans="1:25">
      <c r="B14" s="68" t="s">
        <v>15</v>
      </c>
      <c r="C14" s="465" t="s">
        <v>43</v>
      </c>
      <c r="D14" s="466"/>
      <c r="E14" s="466"/>
      <c r="F14" s="466"/>
      <c r="G14" s="466"/>
      <c r="H14" s="466"/>
      <c r="I14" s="466"/>
      <c r="J14" s="467">
        <v>12</v>
      </c>
      <c r="K14" s="467"/>
    </row>
    <row r="15" spans="1:25" ht="15.75" thickBot="1">
      <c r="B15" s="7"/>
      <c r="C15" s="7"/>
      <c r="D15" s="3"/>
      <c r="E15" s="3"/>
      <c r="F15" s="3"/>
      <c r="G15" s="3"/>
      <c r="H15" s="3"/>
      <c r="I15" s="3"/>
      <c r="J15" s="3"/>
      <c r="K15" s="3"/>
    </row>
    <row r="16" spans="1:25" ht="15.75" customHeight="1" thickBot="1">
      <c r="B16" s="468" t="s">
        <v>44</v>
      </c>
      <c r="C16" s="469"/>
      <c r="D16" s="469"/>
      <c r="E16" s="469"/>
      <c r="F16" s="469"/>
      <c r="G16" s="469"/>
      <c r="H16" s="469"/>
      <c r="I16" s="469"/>
      <c r="J16" s="469"/>
      <c r="K16" s="470"/>
      <c r="R16" s="65"/>
      <c r="S16" s="65"/>
      <c r="T16" s="65"/>
      <c r="U16" s="65"/>
      <c r="V16" s="65"/>
      <c r="W16" s="65"/>
      <c r="X16" s="65"/>
      <c r="Y16" s="65"/>
    </row>
    <row r="17" spans="2:21" ht="30">
      <c r="B17" s="471" t="s">
        <v>20</v>
      </c>
      <c r="C17" s="472"/>
      <c r="D17" s="472"/>
      <c r="E17" s="472"/>
      <c r="F17" s="472"/>
      <c r="G17" s="472"/>
      <c r="H17" s="472"/>
      <c r="I17" s="473"/>
      <c r="J17" s="8" t="s">
        <v>21</v>
      </c>
      <c r="K17" s="9" t="s">
        <v>45</v>
      </c>
    </row>
    <row r="18" spans="2:21" ht="15.75" customHeight="1">
      <c r="B18" s="487" t="s">
        <v>490</v>
      </c>
      <c r="C18" s="488"/>
      <c r="D18" s="488"/>
      <c r="E18" s="489"/>
      <c r="F18" s="496" t="s">
        <v>129</v>
      </c>
      <c r="G18" s="497"/>
      <c r="H18" s="497"/>
      <c r="I18" s="498"/>
      <c r="J18" s="499" t="s">
        <v>131</v>
      </c>
      <c r="K18" s="114"/>
      <c r="N18" s="73"/>
      <c r="O18" s="73"/>
      <c r="P18" s="73"/>
      <c r="Q18" s="73"/>
      <c r="R18" s="73"/>
      <c r="S18" s="73"/>
      <c r="U18" s="73"/>
    </row>
    <row r="19" spans="2:21" ht="15.75" customHeight="1">
      <c r="B19" s="490"/>
      <c r="C19" s="491"/>
      <c r="D19" s="491"/>
      <c r="E19" s="492"/>
      <c r="F19" s="496" t="s">
        <v>22</v>
      </c>
      <c r="G19" s="497"/>
      <c r="H19" s="497"/>
      <c r="I19" s="498"/>
      <c r="J19" s="500"/>
      <c r="K19" s="114"/>
      <c r="N19" s="73"/>
      <c r="O19" s="73"/>
      <c r="P19" s="73"/>
      <c r="Q19" s="73"/>
      <c r="R19" s="73"/>
      <c r="S19" s="116"/>
      <c r="U19" s="73"/>
    </row>
    <row r="20" spans="2:21" ht="15.75" customHeight="1">
      <c r="B20" s="490"/>
      <c r="C20" s="491"/>
      <c r="D20" s="491"/>
      <c r="E20" s="492"/>
      <c r="F20" s="496" t="s">
        <v>503</v>
      </c>
      <c r="G20" s="497"/>
      <c r="H20" s="497"/>
      <c r="I20" s="498"/>
      <c r="J20" s="500"/>
      <c r="K20" s="114"/>
      <c r="N20" s="73"/>
      <c r="O20" s="73"/>
      <c r="P20" s="73"/>
      <c r="Q20" s="73"/>
      <c r="R20" s="73"/>
      <c r="S20" s="116"/>
      <c r="U20" s="73"/>
    </row>
    <row r="21" spans="2:21" ht="15.75" customHeight="1">
      <c r="B21" s="490"/>
      <c r="C21" s="491"/>
      <c r="D21" s="491"/>
      <c r="E21" s="492"/>
      <c r="F21" s="496" t="s">
        <v>504</v>
      </c>
      <c r="G21" s="497"/>
      <c r="H21" s="497"/>
      <c r="I21" s="498"/>
      <c r="J21" s="500"/>
      <c r="K21" s="114"/>
      <c r="N21" s="73"/>
      <c r="O21" s="73"/>
      <c r="P21" s="73"/>
      <c r="Q21" s="73"/>
      <c r="R21" s="73"/>
      <c r="S21" s="116"/>
      <c r="U21" s="73"/>
    </row>
    <row r="22" spans="2:21" ht="15.75" customHeight="1">
      <c r="B22" s="493"/>
      <c r="C22" s="494"/>
      <c r="D22" s="494"/>
      <c r="E22" s="495"/>
      <c r="F22" s="496" t="s">
        <v>505</v>
      </c>
      <c r="G22" s="497"/>
      <c r="H22" s="497"/>
      <c r="I22" s="498"/>
      <c r="J22" s="501"/>
      <c r="K22" s="114"/>
      <c r="N22" s="73"/>
      <c r="O22" s="73"/>
      <c r="P22" s="73"/>
      <c r="Q22" s="73"/>
      <c r="R22" s="73"/>
      <c r="S22" s="116"/>
    </row>
    <row r="23" spans="2:21" ht="15.75" thickBot="1">
      <c r="B23" s="66"/>
      <c r="C23" s="66"/>
      <c r="D23" s="66"/>
      <c r="E23" s="66"/>
      <c r="F23" s="66"/>
      <c r="G23" s="66"/>
      <c r="H23" s="66"/>
      <c r="I23" s="3"/>
      <c r="J23" s="3"/>
      <c r="K23" s="3"/>
    </row>
    <row r="24" spans="2:21" ht="15.75" thickBot="1">
      <c r="B24" s="475" t="s">
        <v>46</v>
      </c>
      <c r="C24" s="476"/>
      <c r="D24" s="476"/>
      <c r="E24" s="476"/>
      <c r="F24" s="476"/>
      <c r="G24" s="476"/>
      <c r="H24" s="476"/>
      <c r="I24" s="476"/>
      <c r="J24" s="476"/>
      <c r="K24" s="477"/>
    </row>
    <row r="25" spans="2:21">
      <c r="B25" s="11">
        <v>1</v>
      </c>
      <c r="C25" s="478" t="s">
        <v>47</v>
      </c>
      <c r="D25" s="479"/>
      <c r="E25" s="479"/>
      <c r="F25" s="479"/>
      <c r="G25" s="479"/>
      <c r="H25" s="479"/>
      <c r="I25" s="479"/>
      <c r="J25" s="480"/>
      <c r="K25" s="12" t="s">
        <v>141</v>
      </c>
    </row>
    <row r="26" spans="2:21">
      <c r="B26" s="13">
        <v>2</v>
      </c>
      <c r="C26" s="481" t="s">
        <v>48</v>
      </c>
      <c r="D26" s="482"/>
      <c r="E26" s="482"/>
      <c r="F26" s="482"/>
      <c r="G26" s="482"/>
      <c r="H26" s="482"/>
      <c r="I26" s="482"/>
      <c r="J26" s="483"/>
      <c r="K26" s="150">
        <v>2575.91</v>
      </c>
    </row>
    <row r="27" spans="2:21">
      <c r="B27" s="13">
        <v>3</v>
      </c>
      <c r="C27" s="481" t="s">
        <v>49</v>
      </c>
      <c r="D27" s="482"/>
      <c r="E27" s="482"/>
      <c r="F27" s="482"/>
      <c r="G27" s="482"/>
      <c r="H27" s="482"/>
      <c r="I27" s="482"/>
      <c r="J27" s="483"/>
      <c r="K27" s="14" t="str">
        <f>B18</f>
        <v>Encarregado Geral</v>
      </c>
    </row>
    <row r="28" spans="2:21">
      <c r="B28" s="13">
        <v>4</v>
      </c>
      <c r="C28" s="481" t="s">
        <v>50</v>
      </c>
      <c r="D28" s="482"/>
      <c r="E28" s="482"/>
      <c r="F28" s="482"/>
      <c r="G28" s="482"/>
      <c r="H28" s="482"/>
      <c r="I28" s="482"/>
      <c r="J28" s="483"/>
      <c r="K28" s="15" t="s">
        <v>469</v>
      </c>
    </row>
    <row r="29" spans="2:21" ht="15.75" thickBot="1">
      <c r="B29" s="16">
        <v>5</v>
      </c>
      <c r="C29" s="484" t="s">
        <v>51</v>
      </c>
      <c r="D29" s="485"/>
      <c r="E29" s="485"/>
      <c r="F29" s="485"/>
      <c r="G29" s="485"/>
      <c r="H29" s="485"/>
      <c r="I29" s="485"/>
      <c r="J29" s="486"/>
      <c r="K29" s="136">
        <v>1</v>
      </c>
    </row>
    <row r="30" spans="2:21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21" ht="15.75" thickBot="1">
      <c r="B31" s="508" t="s">
        <v>52</v>
      </c>
      <c r="C31" s="508"/>
      <c r="D31" s="508"/>
      <c r="E31" s="508"/>
      <c r="F31" s="508"/>
      <c r="G31" s="508"/>
      <c r="H31" s="508"/>
      <c r="I31" s="508"/>
      <c r="J31" s="508"/>
      <c r="K31" s="3"/>
    </row>
    <row r="32" spans="2:21" ht="15.75" thickBot="1">
      <c r="B32" s="17" t="s">
        <v>53</v>
      </c>
      <c r="C32" s="509" t="s">
        <v>54</v>
      </c>
      <c r="D32" s="510"/>
      <c r="E32" s="510"/>
      <c r="F32" s="510"/>
      <c r="G32" s="510"/>
      <c r="H32" s="510"/>
      <c r="I32" s="510"/>
      <c r="J32" s="511"/>
      <c r="K32" s="18" t="s">
        <v>55</v>
      </c>
    </row>
    <row r="33" spans="2:11">
      <c r="B33" s="19" t="s">
        <v>12</v>
      </c>
      <c r="C33" s="478" t="s">
        <v>0</v>
      </c>
      <c r="D33" s="479"/>
      <c r="E33" s="479"/>
      <c r="F33" s="479"/>
      <c r="G33" s="479"/>
      <c r="H33" s="479"/>
      <c r="I33" s="479"/>
      <c r="J33" s="479"/>
      <c r="K33" s="150">
        <v>2575.91</v>
      </c>
    </row>
    <row r="34" spans="2:11">
      <c r="B34" s="20" t="s">
        <v>13</v>
      </c>
      <c r="C34" s="481" t="s">
        <v>56</v>
      </c>
      <c r="D34" s="482"/>
      <c r="E34" s="482"/>
      <c r="F34" s="482"/>
      <c r="G34" s="482"/>
      <c r="H34" s="482"/>
      <c r="I34" s="482"/>
      <c r="J34" s="482"/>
      <c r="K34" s="139"/>
    </row>
    <row r="35" spans="2:11">
      <c r="B35" s="20" t="s">
        <v>14</v>
      </c>
      <c r="C35" s="481" t="s">
        <v>57</v>
      </c>
      <c r="D35" s="482"/>
      <c r="E35" s="482"/>
      <c r="F35" s="482"/>
      <c r="G35" s="482"/>
      <c r="H35" s="482"/>
      <c r="I35" s="482"/>
      <c r="J35" s="482"/>
      <c r="K35" s="139"/>
    </row>
    <row r="36" spans="2:11">
      <c r="B36" s="20" t="s">
        <v>15</v>
      </c>
      <c r="C36" s="481" t="s">
        <v>58</v>
      </c>
      <c r="D36" s="482"/>
      <c r="E36" s="482"/>
      <c r="F36" s="482"/>
      <c r="G36" s="482"/>
      <c r="H36" s="482"/>
      <c r="I36" s="482"/>
      <c r="J36" s="482"/>
      <c r="K36" s="139"/>
    </row>
    <row r="37" spans="2:11">
      <c r="B37" s="20" t="s">
        <v>16</v>
      </c>
      <c r="C37" s="481" t="s">
        <v>59</v>
      </c>
      <c r="D37" s="482"/>
      <c r="E37" s="482"/>
      <c r="F37" s="482"/>
      <c r="G37" s="482"/>
      <c r="H37" s="482"/>
      <c r="I37" s="482"/>
      <c r="J37" s="482"/>
      <c r="K37" s="139"/>
    </row>
    <row r="38" spans="2:11">
      <c r="B38" s="20" t="s">
        <v>60</v>
      </c>
      <c r="C38" s="481" t="s">
        <v>61</v>
      </c>
      <c r="D38" s="482"/>
      <c r="E38" s="482"/>
      <c r="F38" s="482"/>
      <c r="G38" s="482"/>
      <c r="H38" s="482"/>
      <c r="I38" s="482"/>
      <c r="J38" s="482"/>
      <c r="K38" s="139"/>
    </row>
    <row r="39" spans="2:11" ht="15.75" thickBot="1">
      <c r="B39" s="21" t="s">
        <v>62</v>
      </c>
      <c r="C39" s="502" t="s">
        <v>63</v>
      </c>
      <c r="D39" s="503"/>
      <c r="E39" s="503"/>
      <c r="F39" s="503"/>
      <c r="G39" s="503"/>
      <c r="H39" s="503"/>
      <c r="I39" s="503"/>
      <c r="J39" s="503"/>
      <c r="K39" s="140"/>
    </row>
    <row r="40" spans="2:11" ht="15.75" thickBot="1">
      <c r="B40" s="468" t="s">
        <v>64</v>
      </c>
      <c r="C40" s="469"/>
      <c r="D40" s="469"/>
      <c r="E40" s="469"/>
      <c r="F40" s="469"/>
      <c r="G40" s="469"/>
      <c r="H40" s="469"/>
      <c r="I40" s="469"/>
      <c r="J40" s="469"/>
      <c r="K40" s="141">
        <f>SUM(K33:K39)</f>
        <v>2575.91</v>
      </c>
    </row>
    <row r="41" spans="2:11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5.75" thickBot="1">
      <c r="B42" s="504" t="s">
        <v>65</v>
      </c>
      <c r="C42" s="504"/>
      <c r="D42" s="504"/>
      <c r="E42" s="504"/>
      <c r="F42" s="504"/>
      <c r="G42" s="504"/>
      <c r="H42" s="504"/>
      <c r="I42" s="504"/>
      <c r="J42" s="504"/>
      <c r="K42" s="504"/>
    </row>
    <row r="43" spans="2:11" ht="15.75" thickBot="1">
      <c r="B43" s="505" t="s">
        <v>66</v>
      </c>
      <c r="C43" s="506"/>
      <c r="D43" s="506"/>
      <c r="E43" s="506"/>
      <c r="F43" s="506"/>
      <c r="G43" s="506"/>
      <c r="H43" s="506"/>
      <c r="I43" s="506"/>
      <c r="J43" s="506"/>
      <c r="K43" s="507"/>
    </row>
    <row r="44" spans="2:11">
      <c r="B44" s="22" t="s">
        <v>67</v>
      </c>
      <c r="C44" s="516" t="s">
        <v>68</v>
      </c>
      <c r="D44" s="517"/>
      <c r="E44" s="517"/>
      <c r="F44" s="517"/>
      <c r="G44" s="517"/>
      <c r="H44" s="517"/>
      <c r="I44" s="518"/>
      <c r="J44" s="23" t="s">
        <v>69</v>
      </c>
      <c r="K44" s="24" t="s">
        <v>55</v>
      </c>
    </row>
    <row r="45" spans="2:11">
      <c r="B45" s="25" t="s">
        <v>12</v>
      </c>
      <c r="C45" s="465" t="s">
        <v>70</v>
      </c>
      <c r="D45" s="466"/>
      <c r="E45" s="466"/>
      <c r="F45" s="466"/>
      <c r="G45" s="466"/>
      <c r="H45" s="466"/>
      <c r="I45" s="515"/>
      <c r="J45" s="26">
        <v>8.3299999999999999E-2</v>
      </c>
      <c r="K45" s="137">
        <f>J45*K40</f>
        <v>214.57330299999998</v>
      </c>
    </row>
    <row r="46" spans="2:11" ht="15.75" thickBot="1">
      <c r="B46" s="27" t="s">
        <v>13</v>
      </c>
      <c r="C46" s="519" t="s">
        <v>71</v>
      </c>
      <c r="D46" s="520"/>
      <c r="E46" s="520"/>
      <c r="F46" s="520"/>
      <c r="G46" s="520"/>
      <c r="H46" s="520"/>
      <c r="I46" s="521"/>
      <c r="J46" s="28">
        <v>0.121</v>
      </c>
      <c r="K46" s="142">
        <f>J46*K40</f>
        <v>311.68510999999995</v>
      </c>
    </row>
    <row r="47" spans="2:11" ht="15.75" thickBot="1">
      <c r="B47" s="522" t="s">
        <v>1</v>
      </c>
      <c r="C47" s="523"/>
      <c r="D47" s="523"/>
      <c r="E47" s="523"/>
      <c r="F47" s="523"/>
      <c r="G47" s="523"/>
      <c r="H47" s="523"/>
      <c r="I47" s="523"/>
      <c r="J47" s="523"/>
      <c r="K47" s="141">
        <f>SUM(K45:K46)</f>
        <v>526.2584129999999</v>
      </c>
    </row>
    <row r="48" spans="2:11" ht="15.75" thickBot="1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15.75" thickBot="1">
      <c r="B49" s="524" t="s">
        <v>72</v>
      </c>
      <c r="C49" s="525"/>
      <c r="D49" s="525"/>
      <c r="E49" s="525"/>
      <c r="F49" s="525"/>
      <c r="G49" s="525"/>
      <c r="H49" s="525"/>
      <c r="I49" s="525"/>
      <c r="J49" s="525"/>
      <c r="K49" s="526"/>
    </row>
    <row r="50" spans="2:11" ht="15.75" thickBot="1">
      <c r="B50" s="70" t="s">
        <v>73</v>
      </c>
      <c r="C50" s="527" t="s">
        <v>74</v>
      </c>
      <c r="D50" s="469"/>
      <c r="E50" s="469"/>
      <c r="F50" s="469"/>
      <c r="G50" s="469"/>
      <c r="H50" s="469"/>
      <c r="I50" s="528"/>
      <c r="J50" s="30" t="s">
        <v>69</v>
      </c>
      <c r="K50" s="31" t="s">
        <v>55</v>
      </c>
    </row>
    <row r="51" spans="2:11">
      <c r="B51" s="32" t="s">
        <v>12</v>
      </c>
      <c r="C51" s="512" t="s">
        <v>75</v>
      </c>
      <c r="D51" s="513"/>
      <c r="E51" s="513"/>
      <c r="F51" s="513"/>
      <c r="G51" s="513"/>
      <c r="H51" s="513"/>
      <c r="I51" s="514"/>
      <c r="J51" s="33">
        <v>0.2</v>
      </c>
      <c r="K51" s="143">
        <f>(K40+K47)*J51</f>
        <v>620.4336826</v>
      </c>
    </row>
    <row r="52" spans="2:11">
      <c r="B52" s="25" t="s">
        <v>13</v>
      </c>
      <c r="C52" s="465" t="s">
        <v>76</v>
      </c>
      <c r="D52" s="466"/>
      <c r="E52" s="466"/>
      <c r="F52" s="466"/>
      <c r="G52" s="466"/>
      <c r="H52" s="466"/>
      <c r="I52" s="515"/>
      <c r="J52" s="34">
        <v>2.5000000000000001E-2</v>
      </c>
      <c r="K52" s="137">
        <f>(K40+K47)*J52</f>
        <v>77.554210325</v>
      </c>
    </row>
    <row r="53" spans="2:11">
      <c r="B53" s="25" t="s">
        <v>14</v>
      </c>
      <c r="C53" s="465" t="s">
        <v>77</v>
      </c>
      <c r="D53" s="466"/>
      <c r="E53" s="466"/>
      <c r="F53" s="466"/>
      <c r="G53" s="466"/>
      <c r="H53" s="466"/>
      <c r="I53" s="515"/>
      <c r="J53" s="311">
        <v>0.06</v>
      </c>
      <c r="K53" s="137">
        <f>(K40+K47)*J53</f>
        <v>186.13010477999998</v>
      </c>
    </row>
    <row r="54" spans="2:11">
      <c r="B54" s="25" t="s">
        <v>15</v>
      </c>
      <c r="C54" s="465" t="s">
        <v>78</v>
      </c>
      <c r="D54" s="466"/>
      <c r="E54" s="466"/>
      <c r="F54" s="466"/>
      <c r="G54" s="466"/>
      <c r="H54" s="466"/>
      <c r="I54" s="515"/>
      <c r="J54" s="34">
        <v>1.4999999999999999E-2</v>
      </c>
      <c r="K54" s="137">
        <f>(K40+K47)*J54</f>
        <v>46.532526194999996</v>
      </c>
    </row>
    <row r="55" spans="2:11">
      <c r="B55" s="25" t="s">
        <v>16</v>
      </c>
      <c r="C55" s="465" t="s">
        <v>79</v>
      </c>
      <c r="D55" s="466"/>
      <c r="E55" s="466"/>
      <c r="F55" s="466"/>
      <c r="G55" s="466"/>
      <c r="H55" s="466"/>
      <c r="I55" s="515"/>
      <c r="J55" s="34">
        <v>0.01</v>
      </c>
      <c r="K55" s="137">
        <f>(K40+K47)*J55</f>
        <v>31.021684130000001</v>
      </c>
    </row>
    <row r="56" spans="2:11">
      <c r="B56" s="25" t="s">
        <v>60</v>
      </c>
      <c r="C56" s="465" t="s">
        <v>2</v>
      </c>
      <c r="D56" s="466"/>
      <c r="E56" s="466"/>
      <c r="F56" s="466"/>
      <c r="G56" s="466"/>
      <c r="H56" s="466"/>
      <c r="I56" s="515"/>
      <c r="J56" s="34">
        <v>6.0000000000000001E-3</v>
      </c>
      <c r="K56" s="137">
        <f>(K40+K47)*J56</f>
        <v>18.613010478</v>
      </c>
    </row>
    <row r="57" spans="2:11">
      <c r="B57" s="25" t="s">
        <v>62</v>
      </c>
      <c r="C57" s="465" t="s">
        <v>3</v>
      </c>
      <c r="D57" s="466"/>
      <c r="E57" s="466"/>
      <c r="F57" s="466"/>
      <c r="G57" s="466"/>
      <c r="H57" s="466"/>
      <c r="I57" s="515"/>
      <c r="J57" s="34">
        <v>2E-3</v>
      </c>
      <c r="K57" s="137">
        <f>(K40+K47)*J57</f>
        <v>6.2043368259999996</v>
      </c>
    </row>
    <row r="58" spans="2:11" ht="15.75" thickBot="1">
      <c r="B58" s="27" t="s">
        <v>80</v>
      </c>
      <c r="C58" s="519" t="s">
        <v>4</v>
      </c>
      <c r="D58" s="520"/>
      <c r="E58" s="520"/>
      <c r="F58" s="520"/>
      <c r="G58" s="520"/>
      <c r="H58" s="520"/>
      <c r="I58" s="521"/>
      <c r="J58" s="35">
        <v>0.08</v>
      </c>
      <c r="K58" s="142">
        <f>(K40+K47)*J58</f>
        <v>248.17347304</v>
      </c>
    </row>
    <row r="59" spans="2:11" ht="15.75" thickBot="1">
      <c r="B59" s="468" t="s">
        <v>1</v>
      </c>
      <c r="C59" s="469"/>
      <c r="D59" s="469"/>
      <c r="E59" s="469"/>
      <c r="F59" s="469"/>
      <c r="G59" s="469"/>
      <c r="H59" s="469"/>
      <c r="I59" s="528"/>
      <c r="J59" s="36">
        <f>SUM(J51:J58)</f>
        <v>0.39800000000000008</v>
      </c>
      <c r="K59" s="141">
        <f>SUM(K51:K58)</f>
        <v>1234.6630283740001</v>
      </c>
    </row>
    <row r="60" spans="2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ht="15.75" thickBot="1">
      <c r="B61" s="504" t="s">
        <v>81</v>
      </c>
      <c r="C61" s="504"/>
      <c r="D61" s="504"/>
      <c r="E61" s="504"/>
      <c r="F61" s="504"/>
      <c r="G61" s="504"/>
      <c r="H61" s="504"/>
      <c r="I61" s="504"/>
      <c r="J61" s="504"/>
      <c r="K61" s="504"/>
    </row>
    <row r="62" spans="2:11">
      <c r="B62" s="37" t="s">
        <v>82</v>
      </c>
      <c r="C62" s="529" t="s">
        <v>83</v>
      </c>
      <c r="D62" s="529"/>
      <c r="E62" s="529"/>
      <c r="F62" s="529"/>
      <c r="G62" s="529"/>
      <c r="H62" s="529"/>
      <c r="I62" s="529"/>
      <c r="J62" s="529"/>
      <c r="K62" s="38" t="s">
        <v>55</v>
      </c>
    </row>
    <row r="63" spans="2:11">
      <c r="B63" s="25" t="s">
        <v>12</v>
      </c>
      <c r="C63" s="465" t="s">
        <v>84</v>
      </c>
      <c r="D63" s="466"/>
      <c r="E63" s="466"/>
      <c r="F63" s="466"/>
      <c r="G63" s="466"/>
      <c r="H63" s="466"/>
      <c r="I63" s="466"/>
      <c r="J63" s="515"/>
      <c r="K63" s="137">
        <f>((5.5*2)*22)-(6%*K33)</f>
        <v>87.445400000000006</v>
      </c>
    </row>
    <row r="64" spans="2:11">
      <c r="B64" s="25" t="s">
        <v>13</v>
      </c>
      <c r="C64" s="465" t="s">
        <v>132</v>
      </c>
      <c r="D64" s="466"/>
      <c r="E64" s="466"/>
      <c r="F64" s="466"/>
      <c r="G64" s="466"/>
      <c r="H64" s="466"/>
      <c r="I64" s="466"/>
      <c r="J64" s="515"/>
      <c r="K64" s="144"/>
    </row>
    <row r="65" spans="2:11">
      <c r="B65" s="25" t="s">
        <v>14</v>
      </c>
      <c r="C65" s="465" t="s">
        <v>142</v>
      </c>
      <c r="D65" s="466"/>
      <c r="E65" s="466"/>
      <c r="F65" s="466"/>
      <c r="G65" s="466"/>
      <c r="H65" s="466"/>
      <c r="I65" s="466"/>
      <c r="J65" s="515"/>
      <c r="K65" s="150">
        <f>35*22</f>
        <v>770</v>
      </c>
    </row>
    <row r="66" spans="2:11">
      <c r="B66" s="25" t="s">
        <v>15</v>
      </c>
      <c r="C66" s="465" t="s">
        <v>85</v>
      </c>
      <c r="D66" s="466"/>
      <c r="E66" s="466"/>
      <c r="F66" s="466"/>
      <c r="G66" s="466"/>
      <c r="H66" s="466"/>
      <c r="I66" s="466"/>
      <c r="J66" s="515"/>
      <c r="K66" s="162"/>
    </row>
    <row r="67" spans="2:11">
      <c r="B67" s="25" t="s">
        <v>16</v>
      </c>
      <c r="C67" s="465" t="s">
        <v>86</v>
      </c>
      <c r="D67" s="466"/>
      <c r="E67" s="466"/>
      <c r="F67" s="466"/>
      <c r="G67" s="466"/>
      <c r="H67" s="466"/>
      <c r="I67" s="466"/>
      <c r="J67" s="515"/>
      <c r="K67" s="163"/>
    </row>
    <row r="68" spans="2:11">
      <c r="B68" s="25" t="s">
        <v>60</v>
      </c>
      <c r="C68" s="465" t="s">
        <v>143</v>
      </c>
      <c r="D68" s="466"/>
      <c r="E68" s="466"/>
      <c r="F68" s="466"/>
      <c r="G68" s="466"/>
      <c r="H68" s="466"/>
      <c r="I68" s="466"/>
      <c r="J68" s="69"/>
      <c r="K68" s="145"/>
    </row>
    <row r="69" spans="2:11" ht="15.75" thickBot="1">
      <c r="B69" s="27" t="s">
        <v>62</v>
      </c>
      <c r="C69" s="519" t="s">
        <v>34</v>
      </c>
      <c r="D69" s="520"/>
      <c r="E69" s="520"/>
      <c r="F69" s="520"/>
      <c r="G69" s="520"/>
      <c r="H69" s="520"/>
      <c r="I69" s="520"/>
      <c r="J69" s="521"/>
      <c r="K69" s="142"/>
    </row>
    <row r="70" spans="2:11" ht="15.75" thickBot="1">
      <c r="B70" s="522" t="s">
        <v>1</v>
      </c>
      <c r="C70" s="523"/>
      <c r="D70" s="523"/>
      <c r="E70" s="523"/>
      <c r="F70" s="523"/>
      <c r="G70" s="523"/>
      <c r="H70" s="523"/>
      <c r="I70" s="523"/>
      <c r="J70" s="523"/>
      <c r="K70" s="141">
        <f>SUM(K63:K69)</f>
        <v>857.44540000000006</v>
      </c>
    </row>
    <row r="71" spans="2:11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ht="15.75" thickBot="1">
      <c r="B72" s="504" t="s">
        <v>87</v>
      </c>
      <c r="C72" s="504"/>
      <c r="D72" s="504"/>
      <c r="E72" s="504"/>
      <c r="F72" s="504"/>
      <c r="G72" s="504"/>
      <c r="H72" s="504"/>
      <c r="I72" s="504"/>
      <c r="J72" s="504"/>
      <c r="K72" s="504"/>
    </row>
    <row r="73" spans="2:11">
      <c r="B73" s="37">
        <v>2</v>
      </c>
      <c r="C73" s="529" t="s">
        <v>88</v>
      </c>
      <c r="D73" s="529"/>
      <c r="E73" s="529"/>
      <c r="F73" s="529"/>
      <c r="G73" s="529"/>
      <c r="H73" s="529"/>
      <c r="I73" s="529"/>
      <c r="J73" s="529"/>
      <c r="K73" s="38" t="s">
        <v>55</v>
      </c>
    </row>
    <row r="74" spans="2:11">
      <c r="B74" s="25" t="s">
        <v>67</v>
      </c>
      <c r="C74" s="462" t="s">
        <v>68</v>
      </c>
      <c r="D74" s="462"/>
      <c r="E74" s="462"/>
      <c r="F74" s="462"/>
      <c r="G74" s="462"/>
      <c r="H74" s="462"/>
      <c r="I74" s="462"/>
      <c r="J74" s="462"/>
      <c r="K74" s="137">
        <f>K47</f>
        <v>526.2584129999999</v>
      </c>
    </row>
    <row r="75" spans="2:11">
      <c r="B75" s="25" t="s">
        <v>73</v>
      </c>
      <c r="C75" s="462" t="s">
        <v>74</v>
      </c>
      <c r="D75" s="462"/>
      <c r="E75" s="462"/>
      <c r="F75" s="462"/>
      <c r="G75" s="462"/>
      <c r="H75" s="462"/>
      <c r="I75" s="462"/>
      <c r="J75" s="462"/>
      <c r="K75" s="137">
        <f>K59</f>
        <v>1234.6630283740001</v>
      </c>
    </row>
    <row r="76" spans="2:11" ht="15.75" thickBot="1">
      <c r="B76" s="27" t="s">
        <v>82</v>
      </c>
      <c r="C76" s="531" t="s">
        <v>83</v>
      </c>
      <c r="D76" s="531"/>
      <c r="E76" s="531"/>
      <c r="F76" s="531"/>
      <c r="G76" s="531"/>
      <c r="H76" s="531"/>
      <c r="I76" s="531"/>
      <c r="J76" s="531"/>
      <c r="K76" s="142">
        <f>K70</f>
        <v>857.44540000000006</v>
      </c>
    </row>
    <row r="77" spans="2:11" ht="15.75" thickBot="1">
      <c r="B77" s="468" t="s">
        <v>1</v>
      </c>
      <c r="C77" s="469"/>
      <c r="D77" s="469"/>
      <c r="E77" s="469"/>
      <c r="F77" s="469"/>
      <c r="G77" s="469"/>
      <c r="H77" s="469"/>
      <c r="I77" s="469"/>
      <c r="J77" s="528"/>
      <c r="K77" s="141">
        <f>SUM(K74:K76)</f>
        <v>2618.3668413740002</v>
      </c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ht="15.75" thickBot="1">
      <c r="B79" s="504" t="s">
        <v>89</v>
      </c>
      <c r="C79" s="504"/>
      <c r="D79" s="504"/>
      <c r="E79" s="504"/>
      <c r="F79" s="504"/>
      <c r="G79" s="504"/>
      <c r="H79" s="504"/>
      <c r="I79" s="504"/>
      <c r="J79" s="504"/>
      <c r="K79" s="504"/>
    </row>
    <row r="80" spans="2:11" ht="15.75" thickBot="1">
      <c r="B80" s="70">
        <v>3</v>
      </c>
      <c r="C80" s="527" t="s">
        <v>90</v>
      </c>
      <c r="D80" s="469"/>
      <c r="E80" s="469"/>
      <c r="F80" s="469"/>
      <c r="G80" s="469"/>
      <c r="H80" s="469"/>
      <c r="I80" s="528"/>
      <c r="J80" s="30" t="s">
        <v>69</v>
      </c>
      <c r="K80" s="31" t="s">
        <v>55</v>
      </c>
    </row>
    <row r="81" spans="2:25">
      <c r="B81" s="32" t="s">
        <v>12</v>
      </c>
      <c r="C81" s="530" t="s">
        <v>91</v>
      </c>
      <c r="D81" s="530"/>
      <c r="E81" s="530"/>
      <c r="F81" s="530"/>
      <c r="G81" s="530"/>
      <c r="H81" s="530"/>
      <c r="I81" s="530"/>
      <c r="J81" s="312">
        <v>4.5999999999999999E-3</v>
      </c>
      <c r="K81" s="143">
        <f>($K$40+$K$77)*J81</f>
        <v>23.893673470320397</v>
      </c>
    </row>
    <row r="82" spans="2:25">
      <c r="B82" s="25" t="s">
        <v>13</v>
      </c>
      <c r="C82" s="462" t="s">
        <v>92</v>
      </c>
      <c r="D82" s="462"/>
      <c r="E82" s="462"/>
      <c r="F82" s="462"/>
      <c r="G82" s="462"/>
      <c r="H82" s="462"/>
      <c r="I82" s="462"/>
      <c r="J82" s="313">
        <f>(J81*J58)</f>
        <v>3.68E-4</v>
      </c>
      <c r="K82" s="143">
        <f t="shared" ref="K82:K86" si="0">($K$40+$K$77)*J82</f>
        <v>1.9114938776256318</v>
      </c>
    </row>
    <row r="83" spans="2:25">
      <c r="B83" s="25" t="s">
        <v>14</v>
      </c>
      <c r="C83" s="462" t="s">
        <v>93</v>
      </c>
      <c r="D83" s="462"/>
      <c r="E83" s="462"/>
      <c r="F83" s="462"/>
      <c r="G83" s="462"/>
      <c r="H83" s="462"/>
      <c r="I83" s="462"/>
      <c r="J83" s="313">
        <v>0.04</v>
      </c>
      <c r="K83" s="143">
        <f t="shared" si="0"/>
        <v>207.77107365495999</v>
      </c>
    </row>
    <row r="84" spans="2:25">
      <c r="B84" s="25" t="s">
        <v>15</v>
      </c>
      <c r="C84" s="462" t="s">
        <v>94</v>
      </c>
      <c r="D84" s="462"/>
      <c r="E84" s="462"/>
      <c r="F84" s="462"/>
      <c r="G84" s="462"/>
      <c r="H84" s="462"/>
      <c r="I84" s="462"/>
      <c r="J84" s="313">
        <v>1.9400000000000001E-2</v>
      </c>
      <c r="K84" s="143">
        <f t="shared" si="0"/>
        <v>100.7689707226556</v>
      </c>
      <c r="N84" s="315"/>
    </row>
    <row r="85" spans="2:25">
      <c r="B85" s="25" t="s">
        <v>16</v>
      </c>
      <c r="C85" s="462" t="s">
        <v>95</v>
      </c>
      <c r="D85" s="462"/>
      <c r="E85" s="462"/>
      <c r="F85" s="462"/>
      <c r="G85" s="462"/>
      <c r="H85" s="462"/>
      <c r="I85" s="462"/>
      <c r="J85" s="41">
        <f>(J84*J59)</f>
        <v>7.7212000000000018E-3</v>
      </c>
      <c r="K85" s="143">
        <f t="shared" si="0"/>
        <v>40.106050347616936</v>
      </c>
    </row>
    <row r="86" spans="2:25" ht="15.75" thickBot="1">
      <c r="B86" s="27" t="s">
        <v>60</v>
      </c>
      <c r="C86" s="531" t="s">
        <v>96</v>
      </c>
      <c r="D86" s="531"/>
      <c r="E86" s="531"/>
      <c r="F86" s="531"/>
      <c r="G86" s="531"/>
      <c r="H86" s="531"/>
      <c r="I86" s="531"/>
      <c r="J86" s="43"/>
      <c r="K86" s="143">
        <f t="shared" si="0"/>
        <v>0</v>
      </c>
    </row>
    <row r="87" spans="2:25" ht="15.75" thickBot="1">
      <c r="B87" s="468" t="s">
        <v>1</v>
      </c>
      <c r="C87" s="469"/>
      <c r="D87" s="469"/>
      <c r="E87" s="469"/>
      <c r="F87" s="469"/>
      <c r="G87" s="469"/>
      <c r="H87" s="469"/>
      <c r="I87" s="528"/>
      <c r="J87" s="44">
        <f>SUM(J81:J86)</f>
        <v>7.2089200000000006E-2</v>
      </c>
      <c r="K87" s="141">
        <f>SUM(K81:K86)</f>
        <v>374.45126207317855</v>
      </c>
    </row>
    <row r="88" spans="2: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25" ht="15.75" thickBot="1">
      <c r="B89" s="504" t="s">
        <v>97</v>
      </c>
      <c r="C89" s="504"/>
      <c r="D89" s="504"/>
      <c r="E89" s="504"/>
      <c r="F89" s="504"/>
      <c r="G89" s="504"/>
      <c r="H89" s="504"/>
      <c r="I89" s="504"/>
      <c r="J89" s="504"/>
      <c r="K89" s="504"/>
      <c r="N89" s="332" t="s">
        <v>135</v>
      </c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</row>
    <row r="90" spans="2:25" ht="15.75" customHeight="1">
      <c r="B90" s="449" t="s">
        <v>98</v>
      </c>
      <c r="C90" s="451" t="s">
        <v>99</v>
      </c>
      <c r="D90" s="452"/>
      <c r="E90" s="452"/>
      <c r="F90" s="452"/>
      <c r="G90" s="452"/>
      <c r="H90" s="452"/>
      <c r="I90" s="453"/>
      <c r="J90" s="457" t="s">
        <v>69</v>
      </c>
      <c r="K90" s="459" t="s">
        <v>55</v>
      </c>
      <c r="M90" s="74" t="s">
        <v>438</v>
      </c>
      <c r="N90" s="74" t="s">
        <v>144</v>
      </c>
      <c r="O90" s="74" t="s">
        <v>145</v>
      </c>
      <c r="P90" s="74" t="s">
        <v>455</v>
      </c>
      <c r="Q90" s="74" t="s">
        <v>456</v>
      </c>
      <c r="R90" s="74" t="s">
        <v>146</v>
      </c>
      <c r="S90" s="74" t="s">
        <v>151</v>
      </c>
      <c r="T90" s="74" t="s">
        <v>418</v>
      </c>
      <c r="U90" s="74" t="s">
        <v>457</v>
      </c>
      <c r="V90" s="74" t="s">
        <v>147</v>
      </c>
      <c r="W90" s="74" t="s">
        <v>458</v>
      </c>
      <c r="X90" s="74" t="s">
        <v>452</v>
      </c>
      <c r="Y90" s="532" t="s">
        <v>133</v>
      </c>
    </row>
    <row r="91" spans="2:25" ht="15.75" thickBot="1">
      <c r="B91" s="450"/>
      <c r="C91" s="454"/>
      <c r="D91" s="455"/>
      <c r="E91" s="455"/>
      <c r="F91" s="455"/>
      <c r="G91" s="455"/>
      <c r="H91" s="455"/>
      <c r="I91" s="456"/>
      <c r="J91" s="458"/>
      <c r="K91" s="460"/>
      <c r="M91" s="169" t="s">
        <v>150</v>
      </c>
      <c r="N91" s="74" t="s">
        <v>148</v>
      </c>
      <c r="O91" s="74" t="s">
        <v>149</v>
      </c>
      <c r="P91" s="74" t="s">
        <v>150</v>
      </c>
      <c r="Q91" s="74" t="s">
        <v>367</v>
      </c>
      <c r="R91" s="74" t="s">
        <v>150</v>
      </c>
      <c r="S91" s="74" t="s">
        <v>152</v>
      </c>
      <c r="T91" s="74" t="s">
        <v>154</v>
      </c>
      <c r="U91" s="74" t="s">
        <v>377</v>
      </c>
      <c r="V91" s="74" t="s">
        <v>386</v>
      </c>
      <c r="W91" s="75" t="s">
        <v>153</v>
      </c>
      <c r="X91" s="74" t="s">
        <v>393</v>
      </c>
      <c r="Y91" s="532"/>
    </row>
    <row r="92" spans="2:25">
      <c r="B92" s="45" t="s">
        <v>12</v>
      </c>
      <c r="C92" s="512" t="s">
        <v>100</v>
      </c>
      <c r="D92" s="513"/>
      <c r="E92" s="513"/>
      <c r="F92" s="513"/>
      <c r="G92" s="513"/>
      <c r="H92" s="513"/>
      <c r="I92" s="514"/>
      <c r="J92" s="314">
        <v>0</v>
      </c>
      <c r="K92" s="138">
        <f>(K$59+K$40)*J92</f>
        <v>0</v>
      </c>
    </row>
    <row r="93" spans="2:25">
      <c r="B93" s="68" t="s">
        <v>13</v>
      </c>
      <c r="C93" s="465" t="s">
        <v>101</v>
      </c>
      <c r="D93" s="466"/>
      <c r="E93" s="466"/>
      <c r="F93" s="466"/>
      <c r="G93" s="466"/>
      <c r="H93" s="466"/>
      <c r="I93" s="515"/>
      <c r="J93" s="46">
        <f>Y93</f>
        <v>9.5825000000000007E-3</v>
      </c>
      <c r="K93" s="138">
        <f t="shared" ref="K93:K97" si="1">(K$59+K$40)*J93</f>
        <v>36.514816044393854</v>
      </c>
      <c r="M93" s="72">
        <v>2.8E-3</v>
      </c>
      <c r="N93" s="72">
        <v>6.6E-3</v>
      </c>
      <c r="O93" s="72">
        <v>1.66E-2</v>
      </c>
      <c r="P93" s="72">
        <v>2.8E-3</v>
      </c>
      <c r="Q93" s="72">
        <v>2.8E-3</v>
      </c>
      <c r="R93" s="72">
        <v>1.2800000000000001E-2</v>
      </c>
      <c r="S93" s="72">
        <v>5.4000000000000003E-3</v>
      </c>
      <c r="T93" s="72">
        <v>2.8E-3</v>
      </c>
      <c r="U93" s="72">
        <v>2.7000000000000001E-3</v>
      </c>
      <c r="V93" s="72">
        <v>4.1700000000000001E-2</v>
      </c>
      <c r="W93" s="72">
        <v>4.1000000000000003E-3</v>
      </c>
      <c r="X93" s="72">
        <v>1.389E-2</v>
      </c>
      <c r="Y93" s="168">
        <f>AVERAGE(M93:X93)</f>
        <v>9.5825000000000007E-3</v>
      </c>
    </row>
    <row r="94" spans="2:25">
      <c r="B94" s="68" t="s">
        <v>14</v>
      </c>
      <c r="C94" s="465" t="s">
        <v>102</v>
      </c>
      <c r="D94" s="466"/>
      <c r="E94" s="466"/>
      <c r="F94" s="466"/>
      <c r="G94" s="466"/>
      <c r="H94" s="466"/>
      <c r="I94" s="515"/>
      <c r="J94" s="46">
        <f>Y94</f>
        <v>3.925E-4</v>
      </c>
      <c r="K94" s="138">
        <f t="shared" si="1"/>
        <v>1.4956499136367949</v>
      </c>
      <c r="M94" s="72">
        <v>2.0000000000000001E-4</v>
      </c>
      <c r="N94" s="72">
        <v>1E-3</v>
      </c>
      <c r="O94" s="72">
        <v>1E-3</v>
      </c>
      <c r="P94" s="72">
        <v>2.0000000000000001E-4</v>
      </c>
      <c r="Q94" s="72">
        <v>2.0000000000000001E-4</v>
      </c>
      <c r="R94" s="72">
        <v>2.0000000000000001E-4</v>
      </c>
      <c r="S94" s="72">
        <v>1E-4</v>
      </c>
      <c r="T94" s="72">
        <v>2.0000000000000001E-4</v>
      </c>
      <c r="U94" s="72">
        <v>2.0000000000000001E-4</v>
      </c>
      <c r="V94" s="72">
        <v>1E-3</v>
      </c>
      <c r="W94" s="72">
        <v>2.0000000000000001E-4</v>
      </c>
      <c r="X94" s="72">
        <v>2.1000000000000001E-4</v>
      </c>
      <c r="Y94" s="168">
        <f>AVERAGE(M94:X94)</f>
        <v>3.925E-4</v>
      </c>
    </row>
    <row r="95" spans="2:25">
      <c r="B95" s="68" t="s">
        <v>15</v>
      </c>
      <c r="C95" s="465" t="s">
        <v>103</v>
      </c>
      <c r="D95" s="466"/>
      <c r="E95" s="466"/>
      <c r="F95" s="466"/>
      <c r="G95" s="466"/>
      <c r="H95" s="466"/>
      <c r="I95" s="515"/>
      <c r="J95" s="46">
        <f>Y95</f>
        <v>3.231666666666667E-3</v>
      </c>
      <c r="K95" s="138">
        <f t="shared" si="1"/>
        <v>12.31450183669531</v>
      </c>
      <c r="M95" s="72">
        <v>3.3E-3</v>
      </c>
      <c r="N95" s="72">
        <v>4.1999999999999997E-3</v>
      </c>
      <c r="O95" s="72">
        <v>4.1999999999999997E-3</v>
      </c>
      <c r="P95" s="72">
        <v>3.3E-3</v>
      </c>
      <c r="Q95" s="72">
        <v>3.3E-3</v>
      </c>
      <c r="R95" s="72">
        <v>3.3E-3</v>
      </c>
      <c r="S95" s="72">
        <v>3.3E-3</v>
      </c>
      <c r="T95" s="72">
        <v>3.3E-3</v>
      </c>
      <c r="U95" s="72">
        <v>1E-3</v>
      </c>
      <c r="V95" s="72">
        <v>6.3E-3</v>
      </c>
      <c r="W95" s="72">
        <v>5.0000000000000001E-4</v>
      </c>
      <c r="X95" s="72">
        <v>2.7799999999999999E-3</v>
      </c>
      <c r="Y95" s="168">
        <f>AVERAGE(M95:X95)</f>
        <v>3.231666666666667E-3</v>
      </c>
    </row>
    <row r="96" spans="2:25">
      <c r="B96" s="68" t="s">
        <v>16</v>
      </c>
      <c r="C96" s="465" t="s">
        <v>104</v>
      </c>
      <c r="D96" s="466"/>
      <c r="E96" s="466"/>
      <c r="F96" s="466"/>
      <c r="G96" s="466"/>
      <c r="H96" s="466"/>
      <c r="I96" s="515"/>
      <c r="J96" s="46">
        <f>Y96</f>
        <v>7.0299999999999996E-4</v>
      </c>
      <c r="K96" s="138">
        <f t="shared" si="1"/>
        <v>2.6788328389469216</v>
      </c>
      <c r="M96" s="72"/>
      <c r="N96" s="72">
        <v>2.0000000000000001E-4</v>
      </c>
      <c r="O96" s="72">
        <v>2.0000000000000001E-4</v>
      </c>
      <c r="P96" s="72">
        <v>6.9999999999999999E-4</v>
      </c>
      <c r="Q96" s="72">
        <v>6.9999999999999999E-4</v>
      </c>
      <c r="R96" s="72">
        <v>5.9999999999999995E-4</v>
      </c>
      <c r="S96" s="72">
        <v>1E-4</v>
      </c>
      <c r="T96" s="72">
        <v>6.9999999999999999E-4</v>
      </c>
      <c r="U96" s="72">
        <v>2.9999999999999997E-4</v>
      </c>
      <c r="V96" s="72">
        <v>2.0000000000000001E-4</v>
      </c>
      <c r="W96" s="72"/>
      <c r="X96" s="72">
        <v>3.3300000000000001E-3</v>
      </c>
      <c r="Y96" s="168">
        <f>AVERAGE(M96:X96)</f>
        <v>7.0299999999999996E-4</v>
      </c>
    </row>
    <row r="97" spans="2:27" ht="15.75" thickBot="1">
      <c r="B97" s="47" t="s">
        <v>60</v>
      </c>
      <c r="C97" s="519" t="s">
        <v>459</v>
      </c>
      <c r="D97" s="520"/>
      <c r="E97" s="520"/>
      <c r="F97" s="520"/>
      <c r="G97" s="520"/>
      <c r="H97" s="520"/>
      <c r="I97" s="521"/>
      <c r="J97" s="46">
        <f>Y97</f>
        <v>8.0533333333333342E-3</v>
      </c>
      <c r="K97" s="138">
        <f t="shared" si="1"/>
        <v>30.687814788505282</v>
      </c>
      <c r="M97" s="72">
        <v>2.8E-3</v>
      </c>
      <c r="N97" s="72"/>
      <c r="O97" s="72"/>
      <c r="P97" s="72">
        <v>1.15E-2</v>
      </c>
      <c r="Q97" s="72">
        <v>1.15E-2</v>
      </c>
      <c r="R97" s="72"/>
      <c r="S97" s="72">
        <v>1.47E-2</v>
      </c>
      <c r="T97" s="72">
        <v>5.5999999999999999E-3</v>
      </c>
      <c r="U97" s="72"/>
      <c r="V97" s="72"/>
      <c r="W97" s="72">
        <v>2.2200000000000002E-3</v>
      </c>
      <c r="X97" s="72"/>
      <c r="Y97" s="168">
        <f>AVERAGE(M97:X97)</f>
        <v>8.0533333333333342E-3</v>
      </c>
    </row>
    <row r="98" spans="2:27" ht="15.75" thickBot="1">
      <c r="B98" s="468" t="s">
        <v>1</v>
      </c>
      <c r="C98" s="469"/>
      <c r="D98" s="469"/>
      <c r="E98" s="469"/>
      <c r="F98" s="469"/>
      <c r="G98" s="469"/>
      <c r="H98" s="469"/>
      <c r="I98" s="528"/>
      <c r="J98" s="44">
        <f>SUM(J92:J97)</f>
        <v>2.1963000000000003E-2</v>
      </c>
      <c r="K98" s="141">
        <f>SUM(K92:K97)</f>
        <v>83.691615422178174</v>
      </c>
    </row>
    <row r="99" spans="2:27">
      <c r="B99" s="545" t="s">
        <v>443</v>
      </c>
      <c r="C99" s="545"/>
      <c r="D99" s="545"/>
      <c r="E99" s="545"/>
      <c r="F99" s="545"/>
      <c r="G99" s="545"/>
      <c r="H99" s="545"/>
      <c r="I99" s="545"/>
      <c r="J99" s="545"/>
      <c r="K99" s="545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63"/>
    </row>
    <row r="100" spans="2:27" ht="33" customHeight="1">
      <c r="B100" s="546"/>
      <c r="C100" s="546"/>
      <c r="D100" s="546"/>
      <c r="E100" s="546"/>
      <c r="F100" s="546"/>
      <c r="G100" s="546"/>
      <c r="H100" s="546"/>
      <c r="I100" s="546"/>
      <c r="J100" s="546"/>
      <c r="K100" s="546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63"/>
    </row>
    <row r="101" spans="2:27" ht="15.75" thickBot="1">
      <c r="B101" s="504" t="s">
        <v>105</v>
      </c>
      <c r="C101" s="504"/>
      <c r="D101" s="504"/>
      <c r="E101" s="504"/>
      <c r="F101" s="504"/>
      <c r="G101" s="504"/>
      <c r="H101" s="504"/>
      <c r="I101" s="504"/>
      <c r="J101" s="504"/>
      <c r="K101" s="504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63"/>
    </row>
    <row r="102" spans="2:27" ht="15.75" thickBot="1">
      <c r="B102" s="70" t="s">
        <v>106</v>
      </c>
      <c r="C102" s="527" t="s">
        <v>107</v>
      </c>
      <c r="D102" s="469"/>
      <c r="E102" s="469"/>
      <c r="F102" s="469"/>
      <c r="G102" s="469"/>
      <c r="H102" s="469"/>
      <c r="I102" s="528"/>
      <c r="J102" s="30" t="s">
        <v>69</v>
      </c>
      <c r="K102" s="31" t="s">
        <v>55</v>
      </c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63"/>
    </row>
    <row r="103" spans="2:27" ht="15.75" thickBot="1">
      <c r="B103" s="48" t="s">
        <v>12</v>
      </c>
      <c r="C103" s="533" t="s">
        <v>108</v>
      </c>
      <c r="D103" s="534"/>
      <c r="E103" s="534"/>
      <c r="F103" s="534"/>
      <c r="G103" s="534"/>
      <c r="H103" s="534"/>
      <c r="I103" s="535"/>
      <c r="J103" s="49">
        <v>0</v>
      </c>
      <c r="K103" s="146"/>
      <c r="N103" s="72"/>
      <c r="O103" s="73"/>
      <c r="P103" s="73"/>
      <c r="Q103" s="73"/>
      <c r="R103" s="72"/>
      <c r="S103" s="72"/>
      <c r="T103" s="72"/>
      <c r="U103" s="72"/>
      <c r="V103" s="72"/>
      <c r="W103" s="72"/>
      <c r="X103" s="72"/>
      <c r="Y103" s="63"/>
    </row>
    <row r="104" spans="2:27" ht="15.75" thickBot="1">
      <c r="B104" s="522" t="s">
        <v>1</v>
      </c>
      <c r="C104" s="523"/>
      <c r="D104" s="523"/>
      <c r="E104" s="523"/>
      <c r="F104" s="523"/>
      <c r="G104" s="523"/>
      <c r="H104" s="523"/>
      <c r="I104" s="523"/>
      <c r="J104" s="523"/>
      <c r="K104" s="50"/>
      <c r="Y104" s="63"/>
    </row>
    <row r="105" spans="2:27">
      <c r="B105" s="3"/>
      <c r="C105" s="3"/>
      <c r="D105" s="3"/>
      <c r="E105" s="3"/>
      <c r="F105" s="3"/>
      <c r="G105" s="3"/>
      <c r="H105" s="3"/>
      <c r="I105" s="3"/>
      <c r="J105" s="3"/>
      <c r="K105" s="3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63"/>
    </row>
    <row r="106" spans="2:27" ht="15.75" thickBot="1">
      <c r="B106" s="504" t="s">
        <v>109</v>
      </c>
      <c r="C106" s="504"/>
      <c r="D106" s="504"/>
      <c r="E106" s="504"/>
      <c r="F106" s="504"/>
      <c r="G106" s="504"/>
      <c r="H106" s="504"/>
      <c r="I106" s="504"/>
      <c r="J106" s="504"/>
      <c r="K106" s="504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63"/>
    </row>
    <row r="107" spans="2:27">
      <c r="B107" s="37">
        <v>4</v>
      </c>
      <c r="C107" s="536" t="s">
        <v>110</v>
      </c>
      <c r="D107" s="537"/>
      <c r="E107" s="537"/>
      <c r="F107" s="537"/>
      <c r="G107" s="537"/>
      <c r="H107" s="537"/>
      <c r="I107" s="538"/>
      <c r="J107" s="51" t="s">
        <v>69</v>
      </c>
      <c r="K107" s="38" t="s">
        <v>55</v>
      </c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63"/>
    </row>
    <row r="108" spans="2:27">
      <c r="B108" s="25" t="s">
        <v>98</v>
      </c>
      <c r="C108" s="539" t="s">
        <v>111</v>
      </c>
      <c r="D108" s="540"/>
      <c r="E108" s="540"/>
      <c r="F108" s="540"/>
      <c r="G108" s="540"/>
      <c r="H108" s="540"/>
      <c r="I108" s="541"/>
      <c r="J108" s="52">
        <f>J98</f>
        <v>2.1963000000000003E-2</v>
      </c>
      <c r="K108" s="147">
        <f>K98</f>
        <v>83.691615422178174</v>
      </c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63"/>
    </row>
    <row r="109" spans="2:27" ht="15.75" thickBot="1">
      <c r="B109" s="27" t="s">
        <v>106</v>
      </c>
      <c r="C109" s="542" t="s">
        <v>112</v>
      </c>
      <c r="D109" s="543"/>
      <c r="E109" s="543"/>
      <c r="F109" s="543"/>
      <c r="G109" s="543"/>
      <c r="H109" s="543"/>
      <c r="I109" s="544"/>
      <c r="J109" s="53">
        <v>0</v>
      </c>
      <c r="K109" s="148"/>
      <c r="N109" s="72"/>
      <c r="O109" s="73"/>
      <c r="P109" s="73"/>
      <c r="Q109" s="73"/>
      <c r="R109" s="72"/>
      <c r="S109" s="72"/>
      <c r="T109" s="72"/>
      <c r="U109" s="72"/>
      <c r="V109" s="72"/>
      <c r="W109" s="72"/>
      <c r="X109" s="72"/>
      <c r="Y109" s="63"/>
      <c r="Z109" s="63"/>
      <c r="AA109" s="63"/>
    </row>
    <row r="110" spans="2:27" ht="15.75" thickBot="1">
      <c r="B110" s="468" t="s">
        <v>1</v>
      </c>
      <c r="C110" s="469"/>
      <c r="D110" s="469"/>
      <c r="E110" s="469"/>
      <c r="F110" s="469"/>
      <c r="G110" s="469"/>
      <c r="H110" s="469"/>
      <c r="I110" s="469"/>
      <c r="J110" s="528"/>
      <c r="K110" s="141">
        <f>SUM(K108:K109)</f>
        <v>83.691615422178174</v>
      </c>
      <c r="Y110" s="63"/>
    </row>
    <row r="111" spans="2:27">
      <c r="B111" s="3"/>
      <c r="C111" s="3"/>
      <c r="D111" s="3"/>
      <c r="E111" s="3"/>
      <c r="F111" s="3"/>
      <c r="G111" s="3"/>
      <c r="H111" s="3"/>
      <c r="I111" s="3"/>
      <c r="J111" s="3"/>
      <c r="K111" s="3"/>
      <c r="Y111" s="63"/>
    </row>
    <row r="112" spans="2:27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39" ht="15.75" thickBot="1">
      <c r="B113" s="504" t="s">
        <v>113</v>
      </c>
      <c r="C113" s="504"/>
      <c r="D113" s="504"/>
      <c r="E113" s="504"/>
      <c r="F113" s="504"/>
      <c r="G113" s="504"/>
      <c r="H113" s="504"/>
      <c r="I113" s="504"/>
      <c r="J113" s="504"/>
      <c r="K113" s="504"/>
      <c r="N113" s="72"/>
      <c r="O113" s="72"/>
      <c r="P113" s="72"/>
      <c r="Q113" s="72"/>
      <c r="R113" s="72"/>
      <c r="S113" s="72"/>
      <c r="T113" s="72"/>
      <c r="U113" s="72"/>
      <c r="V113" s="72"/>
      <c r="X113" s="72"/>
      <c r="Y113" s="63"/>
    </row>
    <row r="114" spans="2:39" ht="15.75" thickBot="1">
      <c r="B114" s="70">
        <v>5</v>
      </c>
      <c r="C114" s="469" t="s">
        <v>5</v>
      </c>
      <c r="D114" s="469"/>
      <c r="E114" s="469"/>
      <c r="F114" s="469"/>
      <c r="G114" s="469"/>
      <c r="H114" s="469"/>
      <c r="I114" s="469"/>
      <c r="J114" s="469"/>
      <c r="K114" s="54" t="s">
        <v>55</v>
      </c>
      <c r="N114" s="72"/>
      <c r="O114" s="72"/>
      <c r="P114" s="72"/>
      <c r="Q114" s="72"/>
      <c r="R114" s="72"/>
      <c r="S114" s="72"/>
      <c r="T114" s="72"/>
      <c r="U114" s="72"/>
      <c r="V114" s="72"/>
      <c r="X114" s="72"/>
      <c r="Y114" s="63"/>
    </row>
    <row r="115" spans="2:39">
      <c r="B115" s="113" t="s">
        <v>12</v>
      </c>
      <c r="C115" s="549" t="s">
        <v>134</v>
      </c>
      <c r="D115" s="550"/>
      <c r="E115" s="550"/>
      <c r="F115" s="550"/>
      <c r="G115" s="550"/>
      <c r="H115" s="550"/>
      <c r="I115" s="550"/>
      <c r="J115" s="550"/>
      <c r="K115" s="154"/>
      <c r="N115" s="72"/>
      <c r="O115" s="72"/>
      <c r="P115" s="72"/>
      <c r="Q115" s="72"/>
      <c r="R115" s="72"/>
      <c r="S115" s="72"/>
      <c r="T115" s="72"/>
      <c r="U115" s="72"/>
      <c r="V115" s="72"/>
      <c r="X115" s="72"/>
      <c r="Y115" s="63"/>
    </row>
    <row r="116" spans="2:39">
      <c r="B116" s="32" t="s">
        <v>12</v>
      </c>
      <c r="C116" s="530" t="s">
        <v>319</v>
      </c>
      <c r="D116" s="530"/>
      <c r="E116" s="530"/>
      <c r="F116" s="530"/>
      <c r="G116" s="530"/>
      <c r="H116" s="530"/>
      <c r="I116" s="530"/>
      <c r="J116" s="530"/>
      <c r="K116" s="151"/>
      <c r="N116" s="72"/>
      <c r="O116" s="72"/>
      <c r="P116" s="72"/>
      <c r="Q116" s="72"/>
      <c r="R116" s="72"/>
      <c r="S116" s="72"/>
      <c r="T116" s="72"/>
      <c r="U116" s="72"/>
      <c r="V116" s="72"/>
      <c r="X116" s="72"/>
      <c r="Y116" s="63"/>
    </row>
    <row r="117" spans="2:39">
      <c r="B117" s="25" t="s">
        <v>13</v>
      </c>
      <c r="C117" s="462" t="s">
        <v>320</v>
      </c>
      <c r="D117" s="462"/>
      <c r="E117" s="462"/>
      <c r="F117" s="462"/>
      <c r="G117" s="462"/>
      <c r="H117" s="462"/>
      <c r="I117" s="462"/>
      <c r="J117" s="462"/>
      <c r="K117" s="150"/>
      <c r="N117" s="72"/>
      <c r="O117" s="72"/>
      <c r="P117" s="72"/>
      <c r="Q117" s="72"/>
      <c r="R117" s="72"/>
      <c r="S117" s="72"/>
      <c r="T117" s="72"/>
      <c r="U117" s="72"/>
      <c r="V117" s="72"/>
      <c r="X117" s="72"/>
      <c r="Y117" s="63"/>
    </row>
    <row r="118" spans="2:39">
      <c r="B118" s="25" t="s">
        <v>14</v>
      </c>
      <c r="C118" s="462" t="s">
        <v>114</v>
      </c>
      <c r="D118" s="462"/>
      <c r="E118" s="462"/>
      <c r="F118" s="462"/>
      <c r="G118" s="462"/>
      <c r="H118" s="462"/>
      <c r="I118" s="462"/>
      <c r="J118" s="462"/>
      <c r="K118" s="150">
        <f>Uniformes!AH18</f>
        <v>28.607499999999998</v>
      </c>
      <c r="O118" s="72"/>
      <c r="P118" s="72"/>
      <c r="Q118" s="72"/>
      <c r="R118" s="72"/>
      <c r="S118" s="72"/>
      <c r="T118" s="72"/>
      <c r="V118" s="72"/>
      <c r="X118" s="72"/>
      <c r="Y118" s="63"/>
    </row>
    <row r="119" spans="2:39" ht="15.75" thickBot="1">
      <c r="B119" s="27" t="s">
        <v>15</v>
      </c>
      <c r="C119" s="531"/>
      <c r="D119" s="531"/>
      <c r="E119" s="531"/>
      <c r="F119" s="531"/>
      <c r="G119" s="531"/>
      <c r="H119" s="531"/>
      <c r="I119" s="531"/>
      <c r="J119" s="531"/>
      <c r="K119" s="152"/>
      <c r="Y119" s="63"/>
    </row>
    <row r="120" spans="2:39" ht="15.75" thickBot="1">
      <c r="B120" s="468" t="s">
        <v>1</v>
      </c>
      <c r="C120" s="469"/>
      <c r="D120" s="469"/>
      <c r="E120" s="469"/>
      <c r="F120" s="469"/>
      <c r="G120" s="469"/>
      <c r="H120" s="469"/>
      <c r="I120" s="469"/>
      <c r="J120" s="528"/>
      <c r="K120" s="141">
        <f>SUM(K116:K119)</f>
        <v>28.607499999999998</v>
      </c>
      <c r="N120" s="76"/>
      <c r="Y120" s="63"/>
    </row>
    <row r="121" spans="2:39">
      <c r="B121" s="547"/>
      <c r="C121" s="547"/>
      <c r="D121" s="547"/>
      <c r="E121" s="547"/>
      <c r="F121" s="547"/>
      <c r="G121" s="547"/>
      <c r="H121" s="547"/>
      <c r="I121" s="3"/>
      <c r="J121" s="3"/>
      <c r="K121" s="3"/>
    </row>
    <row r="122" spans="2:39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39" ht="15.75" thickBot="1">
      <c r="B123" s="548" t="s">
        <v>115</v>
      </c>
      <c r="C123" s="548"/>
      <c r="D123" s="548"/>
      <c r="E123" s="548"/>
      <c r="F123" s="548"/>
      <c r="G123" s="548"/>
      <c r="H123" s="548"/>
      <c r="I123" s="548"/>
      <c r="J123" s="548"/>
      <c r="K123" s="548"/>
    </row>
    <row r="124" spans="2:39" ht="15.75" thickBot="1">
      <c r="B124" s="70">
        <v>6</v>
      </c>
      <c r="C124" s="469" t="s">
        <v>6</v>
      </c>
      <c r="D124" s="469"/>
      <c r="E124" s="469"/>
      <c r="F124" s="469"/>
      <c r="G124" s="469"/>
      <c r="H124" s="469"/>
      <c r="I124" s="469"/>
      <c r="J124" s="55" t="s">
        <v>116</v>
      </c>
      <c r="K124" s="54" t="s">
        <v>55</v>
      </c>
      <c r="M124" s="448" t="s">
        <v>155</v>
      </c>
      <c r="N124" s="448"/>
      <c r="O124" s="448"/>
      <c r="P124" s="448"/>
      <c r="Q124" s="448"/>
      <c r="R124" s="448"/>
      <c r="S124" s="448"/>
      <c r="T124" s="448"/>
      <c r="U124" s="448"/>
      <c r="V124" s="448"/>
      <c r="W124" s="448"/>
      <c r="X124" s="448"/>
      <c r="Y124" s="448"/>
      <c r="Z124" s="448"/>
      <c r="AA124" s="448"/>
      <c r="AB124" s="448"/>
      <c r="AC124" s="448"/>
      <c r="AD124" s="448"/>
      <c r="AE124" s="448"/>
    </row>
    <row r="125" spans="2:39">
      <c r="B125" s="32" t="s">
        <v>12</v>
      </c>
      <c r="C125" s="530" t="s">
        <v>7</v>
      </c>
      <c r="D125" s="530"/>
      <c r="E125" s="530"/>
      <c r="F125" s="530"/>
      <c r="G125" s="530"/>
      <c r="H125" s="530"/>
      <c r="I125" s="530"/>
      <c r="J125" s="56">
        <v>0.03</v>
      </c>
      <c r="K125" s="151">
        <f>J125*K141</f>
        <v>170.43081656608067</v>
      </c>
      <c r="M125" s="64" t="s">
        <v>157</v>
      </c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</row>
    <row r="126" spans="2:39">
      <c r="B126" s="25" t="s">
        <v>13</v>
      </c>
      <c r="C126" s="462" t="s">
        <v>9</v>
      </c>
      <c r="D126" s="462"/>
      <c r="E126" s="462"/>
      <c r="F126" s="462"/>
      <c r="G126" s="462"/>
      <c r="H126" s="462"/>
      <c r="I126" s="462"/>
      <c r="J126" s="57">
        <v>6.7900000000000002E-2</v>
      </c>
      <c r="K126" s="150">
        <f>J126*(K125+$K$141)</f>
        <v>397.31400060606614</v>
      </c>
      <c r="M126" s="64" t="s">
        <v>157</v>
      </c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</row>
    <row r="127" spans="2:39">
      <c r="B127" s="25" t="s">
        <v>14</v>
      </c>
      <c r="C127" s="462" t="s">
        <v>8</v>
      </c>
      <c r="D127" s="462"/>
      <c r="E127" s="462"/>
      <c r="F127" s="462"/>
      <c r="G127" s="462"/>
      <c r="H127" s="462"/>
      <c r="I127" s="462"/>
      <c r="J127" s="58">
        <f>SUM(J128:J131)</f>
        <v>0.14250000000000002</v>
      </c>
      <c r="K127" s="150"/>
    </row>
    <row r="128" spans="2:39">
      <c r="B128" s="25"/>
      <c r="C128" s="68"/>
      <c r="D128" s="462" t="s">
        <v>117</v>
      </c>
      <c r="E128" s="462"/>
      <c r="F128" s="462"/>
      <c r="G128" s="462"/>
      <c r="H128" s="462"/>
      <c r="I128" s="462"/>
      <c r="J128" s="59">
        <f>1.65%+7.6%</f>
        <v>9.2499999999999999E-2</v>
      </c>
      <c r="K128" s="150">
        <f>(K141+K125+K126)/(1-J127)*J128</f>
        <v>674.06578814441866</v>
      </c>
      <c r="M128" s="64" t="s">
        <v>156</v>
      </c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</row>
    <row r="129" spans="2:31">
      <c r="B129" s="25"/>
      <c r="C129" s="68"/>
      <c r="D129" s="462" t="s">
        <v>118</v>
      </c>
      <c r="E129" s="462"/>
      <c r="F129" s="462"/>
      <c r="G129" s="462"/>
      <c r="H129" s="462"/>
      <c r="I129" s="462"/>
      <c r="J129" s="26">
        <v>0</v>
      </c>
      <c r="K129" s="150"/>
    </row>
    <row r="130" spans="2:31">
      <c r="B130" s="25"/>
      <c r="C130" s="68"/>
      <c r="D130" s="462" t="s">
        <v>119</v>
      </c>
      <c r="E130" s="462"/>
      <c r="F130" s="462"/>
      <c r="G130" s="462"/>
      <c r="H130" s="462"/>
      <c r="I130" s="462"/>
      <c r="J130" s="59">
        <v>0.05</v>
      </c>
      <c r="K130" s="150">
        <f>(K141+K125+K126)/(1-J127)*J130</f>
        <v>364.35988548346955</v>
      </c>
      <c r="M130" s="64" t="s">
        <v>156</v>
      </c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</row>
    <row r="131" spans="2:31" ht="15.75" thickBot="1">
      <c r="B131" s="27"/>
      <c r="C131" s="47"/>
      <c r="D131" s="531" t="s">
        <v>120</v>
      </c>
      <c r="E131" s="531"/>
      <c r="F131" s="531"/>
      <c r="G131" s="531"/>
      <c r="H131" s="531"/>
      <c r="I131" s="531"/>
      <c r="J131" s="28">
        <v>0</v>
      </c>
      <c r="K131" s="152"/>
    </row>
    <row r="132" spans="2:31" ht="15.75" thickBot="1">
      <c r="B132" s="468" t="s">
        <v>1</v>
      </c>
      <c r="C132" s="469"/>
      <c r="D132" s="469"/>
      <c r="E132" s="469"/>
      <c r="F132" s="469"/>
      <c r="G132" s="469"/>
      <c r="H132" s="469"/>
      <c r="I132" s="469"/>
      <c r="J132" s="528"/>
      <c r="K132" s="141">
        <f>SUM(K125:K131)</f>
        <v>1606.1704908000349</v>
      </c>
    </row>
    <row r="133" spans="2:31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31" ht="15.75" thickBot="1">
      <c r="B134" s="504" t="s">
        <v>121</v>
      </c>
      <c r="C134" s="504"/>
      <c r="D134" s="504"/>
      <c r="E134" s="504"/>
      <c r="F134" s="504"/>
      <c r="G134" s="504"/>
      <c r="H134" s="504"/>
      <c r="I134" s="504"/>
      <c r="J134" s="504"/>
      <c r="K134" s="504"/>
    </row>
    <row r="135" spans="2:31" ht="15.75" thickBot="1">
      <c r="B135" s="468" t="s">
        <v>122</v>
      </c>
      <c r="C135" s="469"/>
      <c r="D135" s="469"/>
      <c r="E135" s="469"/>
      <c r="F135" s="469"/>
      <c r="G135" s="469"/>
      <c r="H135" s="469"/>
      <c r="I135" s="469"/>
      <c r="J135" s="528"/>
      <c r="K135" s="31" t="s">
        <v>55</v>
      </c>
    </row>
    <row r="136" spans="2:31">
      <c r="B136" s="60" t="s">
        <v>12</v>
      </c>
      <c r="C136" s="530" t="s">
        <v>123</v>
      </c>
      <c r="D136" s="530"/>
      <c r="E136" s="530"/>
      <c r="F136" s="530"/>
      <c r="G136" s="530"/>
      <c r="H136" s="530"/>
      <c r="I136" s="530"/>
      <c r="J136" s="530"/>
      <c r="K136" s="143">
        <f>K40</f>
        <v>2575.91</v>
      </c>
    </row>
    <row r="137" spans="2:31">
      <c r="B137" s="71" t="s">
        <v>13</v>
      </c>
      <c r="C137" s="462" t="s">
        <v>65</v>
      </c>
      <c r="D137" s="462"/>
      <c r="E137" s="462"/>
      <c r="F137" s="462"/>
      <c r="G137" s="462"/>
      <c r="H137" s="462"/>
      <c r="I137" s="462"/>
      <c r="J137" s="462"/>
      <c r="K137" s="137">
        <f>K77</f>
        <v>2618.3668413740002</v>
      </c>
    </row>
    <row r="138" spans="2:31">
      <c r="B138" s="71" t="s">
        <v>14</v>
      </c>
      <c r="C138" s="462" t="s">
        <v>124</v>
      </c>
      <c r="D138" s="462"/>
      <c r="E138" s="462"/>
      <c r="F138" s="462"/>
      <c r="G138" s="462"/>
      <c r="H138" s="462"/>
      <c r="I138" s="462"/>
      <c r="J138" s="462"/>
      <c r="K138" s="137">
        <f>K87</f>
        <v>374.45126207317855</v>
      </c>
    </row>
    <row r="139" spans="2:31">
      <c r="B139" s="71" t="s">
        <v>15</v>
      </c>
      <c r="C139" s="462" t="s">
        <v>125</v>
      </c>
      <c r="D139" s="462"/>
      <c r="E139" s="462"/>
      <c r="F139" s="462"/>
      <c r="G139" s="462"/>
      <c r="H139" s="462"/>
      <c r="I139" s="462"/>
      <c r="J139" s="462"/>
      <c r="K139" s="137">
        <f>K110</f>
        <v>83.691615422178174</v>
      </c>
    </row>
    <row r="140" spans="2:31">
      <c r="B140" s="71" t="s">
        <v>16</v>
      </c>
      <c r="C140" s="462" t="s">
        <v>113</v>
      </c>
      <c r="D140" s="462"/>
      <c r="E140" s="462"/>
      <c r="F140" s="462"/>
      <c r="G140" s="462"/>
      <c r="H140" s="462"/>
      <c r="I140" s="462"/>
      <c r="J140" s="462"/>
      <c r="K140" s="150">
        <f>K120</f>
        <v>28.607499999999998</v>
      </c>
    </row>
    <row r="141" spans="2:31">
      <c r="B141" s="551" t="s">
        <v>126</v>
      </c>
      <c r="C141" s="552"/>
      <c r="D141" s="552"/>
      <c r="E141" s="552"/>
      <c r="F141" s="552"/>
      <c r="G141" s="552"/>
      <c r="H141" s="552"/>
      <c r="I141" s="552"/>
      <c r="J141" s="552"/>
      <c r="K141" s="150">
        <f>SUM(K136:K140)</f>
        <v>5681.0272188693561</v>
      </c>
    </row>
    <row r="142" spans="2:31" ht="15.75" thickBot="1">
      <c r="B142" s="62" t="s">
        <v>60</v>
      </c>
      <c r="C142" s="531" t="s">
        <v>115</v>
      </c>
      <c r="D142" s="531"/>
      <c r="E142" s="531"/>
      <c r="F142" s="531"/>
      <c r="G142" s="531"/>
      <c r="H142" s="531"/>
      <c r="I142" s="531"/>
      <c r="J142" s="531"/>
      <c r="K142" s="152">
        <f>K132</f>
        <v>1606.1704908000349</v>
      </c>
    </row>
    <row r="143" spans="2:31" ht="15.75" thickBot="1">
      <c r="B143" s="553" t="s">
        <v>127</v>
      </c>
      <c r="C143" s="554"/>
      <c r="D143" s="554"/>
      <c r="E143" s="554"/>
      <c r="F143" s="554"/>
      <c r="G143" s="554"/>
      <c r="H143" s="554"/>
      <c r="I143" s="554"/>
      <c r="J143" s="554"/>
      <c r="K143" s="153">
        <f>SUM(K141:K142)</f>
        <v>7287.1977096693909</v>
      </c>
    </row>
  </sheetData>
  <mergeCells count="139">
    <mergeCell ref="B141:J141"/>
    <mergeCell ref="C142:J142"/>
    <mergeCell ref="B143:J143"/>
    <mergeCell ref="B132:J132"/>
    <mergeCell ref="B134:K134"/>
    <mergeCell ref="B135:J135"/>
    <mergeCell ref="C136:J136"/>
    <mergeCell ref="C137:J137"/>
    <mergeCell ref="C138:J138"/>
    <mergeCell ref="D128:I128"/>
    <mergeCell ref="D129:I129"/>
    <mergeCell ref="D130:I130"/>
    <mergeCell ref="D131:I131"/>
    <mergeCell ref="C125:I125"/>
    <mergeCell ref="C126:I126"/>
    <mergeCell ref="C127:I127"/>
    <mergeCell ref="C139:J139"/>
    <mergeCell ref="C140:J140"/>
    <mergeCell ref="C118:J118"/>
    <mergeCell ref="C119:J119"/>
    <mergeCell ref="B120:J120"/>
    <mergeCell ref="B121:H121"/>
    <mergeCell ref="B123:K123"/>
    <mergeCell ref="C124:I124"/>
    <mergeCell ref="B110:J110"/>
    <mergeCell ref="B113:K113"/>
    <mergeCell ref="C114:J114"/>
    <mergeCell ref="C115:J115"/>
    <mergeCell ref="C116:J116"/>
    <mergeCell ref="C117:J117"/>
    <mergeCell ref="C103:I103"/>
    <mergeCell ref="B104:J104"/>
    <mergeCell ref="B106:K106"/>
    <mergeCell ref="C107:I107"/>
    <mergeCell ref="C108:I108"/>
    <mergeCell ref="C109:I109"/>
    <mergeCell ref="C96:I96"/>
    <mergeCell ref="C97:I97"/>
    <mergeCell ref="B98:I98"/>
    <mergeCell ref="B99:K100"/>
    <mergeCell ref="B101:K101"/>
    <mergeCell ref="C102:I102"/>
    <mergeCell ref="Y90:Y91"/>
    <mergeCell ref="C92:I92"/>
    <mergeCell ref="C93:I93"/>
    <mergeCell ref="C94:I94"/>
    <mergeCell ref="C95:I95"/>
    <mergeCell ref="C84:I84"/>
    <mergeCell ref="C85:I85"/>
    <mergeCell ref="C86:I86"/>
    <mergeCell ref="B87:I87"/>
    <mergeCell ref="B89:K89"/>
    <mergeCell ref="N89:Y89"/>
    <mergeCell ref="B77:J77"/>
    <mergeCell ref="B79:K79"/>
    <mergeCell ref="C80:I80"/>
    <mergeCell ref="C81:I81"/>
    <mergeCell ref="C82:I82"/>
    <mergeCell ref="C83:I83"/>
    <mergeCell ref="B70:J70"/>
    <mergeCell ref="B72:K72"/>
    <mergeCell ref="C73:J73"/>
    <mergeCell ref="C74:J74"/>
    <mergeCell ref="C75:J75"/>
    <mergeCell ref="C76:J76"/>
    <mergeCell ref="C64:J64"/>
    <mergeCell ref="C65:J65"/>
    <mergeCell ref="C66:J66"/>
    <mergeCell ref="C67:J67"/>
    <mergeCell ref="C68:I68"/>
    <mergeCell ref="C69:J69"/>
    <mergeCell ref="C57:I57"/>
    <mergeCell ref="C58:I58"/>
    <mergeCell ref="B59:I59"/>
    <mergeCell ref="B61:K61"/>
    <mergeCell ref="C62:J62"/>
    <mergeCell ref="C63:J63"/>
    <mergeCell ref="C51:I51"/>
    <mergeCell ref="C52:I52"/>
    <mergeCell ref="C53:I53"/>
    <mergeCell ref="C54:I54"/>
    <mergeCell ref="C55:I55"/>
    <mergeCell ref="C56:I56"/>
    <mergeCell ref="C44:I44"/>
    <mergeCell ref="C45:I45"/>
    <mergeCell ref="C46:I46"/>
    <mergeCell ref="B47:J47"/>
    <mergeCell ref="B49:K49"/>
    <mergeCell ref="C50:I50"/>
    <mergeCell ref="C37:J37"/>
    <mergeCell ref="C38:J38"/>
    <mergeCell ref="C39:J39"/>
    <mergeCell ref="B40:J40"/>
    <mergeCell ref="B42:K42"/>
    <mergeCell ref="B43:K43"/>
    <mergeCell ref="B31:J31"/>
    <mergeCell ref="C32:J32"/>
    <mergeCell ref="C33:J33"/>
    <mergeCell ref="C34:J34"/>
    <mergeCell ref="C35:J35"/>
    <mergeCell ref="C36:J36"/>
    <mergeCell ref="J12:K12"/>
    <mergeCell ref="B24:K24"/>
    <mergeCell ref="C25:J25"/>
    <mergeCell ref="C26:J26"/>
    <mergeCell ref="C27:J27"/>
    <mergeCell ref="C28:J28"/>
    <mergeCell ref="C29:J29"/>
    <mergeCell ref="B18:E22"/>
    <mergeCell ref="F18:I18"/>
    <mergeCell ref="J18:J22"/>
    <mergeCell ref="F19:I19"/>
    <mergeCell ref="F22:I22"/>
    <mergeCell ref="F20:I20"/>
    <mergeCell ref="F21:I21"/>
    <mergeCell ref="M124:AE124"/>
    <mergeCell ref="B1:K1"/>
    <mergeCell ref="B90:B91"/>
    <mergeCell ref="C90:I91"/>
    <mergeCell ref="J90:J91"/>
    <mergeCell ref="K90:K91"/>
    <mergeCell ref="B2:K2"/>
    <mergeCell ref="B3:K3"/>
    <mergeCell ref="C5:K5"/>
    <mergeCell ref="C6:K6"/>
    <mergeCell ref="C7:K7"/>
    <mergeCell ref="B8:I8"/>
    <mergeCell ref="C13:I13"/>
    <mergeCell ref="J13:K13"/>
    <mergeCell ref="C14:I14"/>
    <mergeCell ref="J14:K14"/>
    <mergeCell ref="B16:K16"/>
    <mergeCell ref="B17:I17"/>
    <mergeCell ref="B9:K9"/>
    <mergeCell ref="C10:I10"/>
    <mergeCell ref="J10:K10"/>
    <mergeCell ref="C11:I11"/>
    <mergeCell ref="J11:K11"/>
    <mergeCell ref="C12:I1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AM142"/>
  <sheetViews>
    <sheetView topLeftCell="A121" workbookViewId="0">
      <selection activeCell="K142" sqref="K142"/>
    </sheetView>
  </sheetViews>
  <sheetFormatPr defaultRowHeight="15"/>
  <cols>
    <col min="2" max="2" width="14.42578125" customWidth="1"/>
    <col min="7" max="8" width="14.7109375" customWidth="1"/>
    <col min="9" max="9" width="14.85546875" customWidth="1"/>
    <col min="10" max="10" width="14.7109375" customWidth="1"/>
    <col min="11" max="11" width="26.42578125" customWidth="1"/>
    <col min="13" max="13" width="8.42578125" customWidth="1"/>
    <col min="14" max="14" width="9.28515625" customWidth="1"/>
    <col min="15" max="15" width="8.7109375" customWidth="1"/>
    <col min="16" max="16" width="10.42578125" customWidth="1"/>
    <col min="17" max="17" width="8.85546875" customWidth="1"/>
    <col min="18" max="18" width="10.42578125" customWidth="1"/>
    <col min="19" max="19" width="9" customWidth="1"/>
    <col min="20" max="20" width="10" customWidth="1"/>
    <col min="21" max="21" width="12.5703125" customWidth="1"/>
    <col min="22" max="22" width="8.7109375" customWidth="1"/>
    <col min="23" max="23" width="10.140625" customWidth="1"/>
    <col min="24" max="24" width="12" customWidth="1"/>
    <col min="25" max="25" width="9.7109375" customWidth="1"/>
  </cols>
  <sheetData>
    <row r="2" spans="2:11" ht="44.25" customHeight="1"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2:11" ht="88.5" customHeight="1">
      <c r="B3" s="533" t="s">
        <v>487</v>
      </c>
      <c r="C3" s="534"/>
      <c r="D3" s="534"/>
      <c r="E3" s="534"/>
      <c r="F3" s="534"/>
      <c r="G3" s="534"/>
      <c r="H3" s="534"/>
      <c r="I3" s="534"/>
      <c r="J3" s="534"/>
      <c r="K3" s="534"/>
    </row>
    <row r="4" spans="2:11" ht="26.25">
      <c r="B4" s="561" t="s">
        <v>36</v>
      </c>
      <c r="C4" s="461"/>
      <c r="D4" s="461"/>
      <c r="E4" s="461"/>
      <c r="F4" s="461"/>
      <c r="G4" s="461"/>
      <c r="H4" s="461"/>
      <c r="I4" s="461"/>
      <c r="J4" s="461"/>
      <c r="K4" s="461"/>
    </row>
    <row r="5" spans="2:11">
      <c r="B5" s="2"/>
      <c r="C5" s="2"/>
      <c r="D5" s="3"/>
      <c r="E5" s="3"/>
      <c r="F5" s="3"/>
      <c r="G5" s="3"/>
      <c r="H5" s="3"/>
      <c r="I5" s="3"/>
      <c r="J5" s="3"/>
      <c r="K5" s="3"/>
    </row>
    <row r="6" spans="2:11" ht="30">
      <c r="B6" s="4" t="s">
        <v>17</v>
      </c>
      <c r="C6" s="462"/>
      <c r="D6" s="462"/>
      <c r="E6" s="462"/>
      <c r="F6" s="462"/>
      <c r="G6" s="462"/>
      <c r="H6" s="462"/>
      <c r="I6" s="462"/>
      <c r="J6" s="462"/>
      <c r="K6" s="462"/>
    </row>
    <row r="7" spans="2:11">
      <c r="B7" s="4" t="s">
        <v>37</v>
      </c>
      <c r="C7" s="462"/>
      <c r="D7" s="462"/>
      <c r="E7" s="462"/>
      <c r="F7" s="462"/>
      <c r="G7" s="462"/>
      <c r="H7" s="462"/>
      <c r="I7" s="462"/>
      <c r="J7" s="462"/>
      <c r="K7" s="462"/>
    </row>
    <row r="8" spans="2:11">
      <c r="B8" s="5" t="s">
        <v>18</v>
      </c>
      <c r="C8" s="463"/>
      <c r="D8" s="463"/>
      <c r="E8" s="463"/>
      <c r="F8" s="463"/>
      <c r="G8" s="463"/>
      <c r="H8" s="463"/>
      <c r="I8" s="463"/>
      <c r="J8" s="463"/>
      <c r="K8" s="463"/>
    </row>
    <row r="9" spans="2:11">
      <c r="B9" s="464"/>
      <c r="C9" s="464"/>
      <c r="D9" s="464"/>
      <c r="E9" s="464"/>
      <c r="F9" s="464"/>
      <c r="G9" s="464"/>
      <c r="H9" s="464"/>
      <c r="I9" s="464"/>
      <c r="J9" s="3"/>
      <c r="K9" s="3"/>
    </row>
    <row r="10" spans="2:11">
      <c r="B10" s="474" t="s">
        <v>38</v>
      </c>
      <c r="C10" s="474"/>
      <c r="D10" s="474"/>
      <c r="E10" s="474"/>
      <c r="F10" s="474"/>
      <c r="G10" s="474"/>
      <c r="H10" s="474"/>
      <c r="I10" s="474"/>
      <c r="J10" s="474"/>
      <c r="K10" s="474"/>
    </row>
    <row r="11" spans="2:11">
      <c r="B11" s="6" t="s">
        <v>12</v>
      </c>
      <c r="C11" s="465" t="s">
        <v>39</v>
      </c>
      <c r="D11" s="466"/>
      <c r="E11" s="466"/>
      <c r="F11" s="466"/>
      <c r="G11" s="466"/>
      <c r="H11" s="466"/>
      <c r="I11" s="466"/>
      <c r="J11" s="467" t="s">
        <v>468</v>
      </c>
      <c r="K11" s="467"/>
    </row>
    <row r="12" spans="2:11">
      <c r="B12" s="6" t="s">
        <v>13</v>
      </c>
      <c r="C12" s="465" t="s">
        <v>19</v>
      </c>
      <c r="D12" s="466"/>
      <c r="E12" s="466"/>
      <c r="F12" s="466"/>
      <c r="G12" s="466"/>
      <c r="H12" s="466"/>
      <c r="I12" s="466"/>
      <c r="J12" s="467" t="s">
        <v>40</v>
      </c>
      <c r="K12" s="467"/>
    </row>
    <row r="13" spans="2:11">
      <c r="B13" s="6" t="s">
        <v>14</v>
      </c>
      <c r="C13" s="465" t="s">
        <v>41</v>
      </c>
      <c r="D13" s="466"/>
      <c r="E13" s="466"/>
      <c r="F13" s="466"/>
      <c r="G13" s="466"/>
      <c r="H13" s="466"/>
      <c r="I13" s="466"/>
      <c r="J13" s="467" t="s">
        <v>466</v>
      </c>
      <c r="K13" s="467"/>
    </row>
    <row r="14" spans="2:11">
      <c r="B14" s="6" t="s">
        <v>14</v>
      </c>
      <c r="C14" s="465" t="s">
        <v>42</v>
      </c>
      <c r="D14" s="466"/>
      <c r="E14" s="466"/>
      <c r="F14" s="466"/>
      <c r="G14" s="466"/>
      <c r="H14" s="466"/>
      <c r="I14" s="466"/>
      <c r="J14" s="467" t="s">
        <v>467</v>
      </c>
      <c r="K14" s="467"/>
    </row>
    <row r="15" spans="2:11">
      <c r="B15" s="6" t="s">
        <v>15</v>
      </c>
      <c r="C15" s="465" t="s">
        <v>43</v>
      </c>
      <c r="D15" s="466"/>
      <c r="E15" s="466"/>
      <c r="F15" s="466"/>
      <c r="G15" s="466"/>
      <c r="H15" s="466"/>
      <c r="I15" s="466"/>
      <c r="J15" s="467">
        <v>12</v>
      </c>
      <c r="K15" s="467"/>
    </row>
    <row r="16" spans="2:11" ht="15.75" thickBot="1">
      <c r="B16" s="7"/>
      <c r="C16" s="7"/>
      <c r="D16" s="3"/>
      <c r="E16" s="3"/>
      <c r="F16" s="3"/>
      <c r="G16" s="3"/>
      <c r="H16" s="3"/>
      <c r="I16" s="3"/>
      <c r="J16" s="3"/>
      <c r="K16" s="3"/>
    </row>
    <row r="17" spans="2:25" ht="15.75" thickBot="1">
      <c r="B17" s="468" t="s">
        <v>44</v>
      </c>
      <c r="C17" s="469"/>
      <c r="D17" s="469"/>
      <c r="E17" s="469"/>
      <c r="F17" s="469"/>
      <c r="G17" s="469"/>
      <c r="H17" s="469"/>
      <c r="I17" s="469"/>
      <c r="J17" s="469"/>
      <c r="K17" s="470"/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2:25" ht="30">
      <c r="B18" s="558" t="s">
        <v>20</v>
      </c>
      <c r="C18" s="559"/>
      <c r="D18" s="559"/>
      <c r="E18" s="559"/>
      <c r="F18" s="559"/>
      <c r="G18" s="559"/>
      <c r="H18" s="559"/>
      <c r="I18" s="560"/>
      <c r="J18" s="8" t="s">
        <v>21</v>
      </c>
      <c r="K18" s="9" t="s">
        <v>45</v>
      </c>
    </row>
    <row r="19" spans="2:25" ht="15.75" customHeight="1">
      <c r="B19" s="562" t="s">
        <v>128</v>
      </c>
      <c r="C19" s="563"/>
      <c r="D19" s="563"/>
      <c r="E19" s="563"/>
      <c r="F19" s="565" t="s">
        <v>129</v>
      </c>
      <c r="G19" s="565"/>
      <c r="H19" s="565"/>
      <c r="I19" s="565"/>
      <c r="J19" s="564" t="s">
        <v>131</v>
      </c>
      <c r="K19" s="114"/>
      <c r="N19" s="73"/>
      <c r="O19" s="73"/>
      <c r="P19" s="73"/>
      <c r="Q19" s="73"/>
    </row>
    <row r="20" spans="2:25" ht="15.75">
      <c r="B20" s="562"/>
      <c r="C20" s="563"/>
      <c r="D20" s="563"/>
      <c r="E20" s="563"/>
      <c r="F20" s="565" t="s">
        <v>22</v>
      </c>
      <c r="G20" s="565"/>
      <c r="H20" s="565"/>
      <c r="I20" s="565"/>
      <c r="J20" s="564"/>
      <c r="K20" s="114"/>
      <c r="N20" s="73"/>
      <c r="O20" s="73"/>
      <c r="P20" s="73"/>
    </row>
    <row r="21" spans="2:25" ht="15.75">
      <c r="B21" s="562"/>
      <c r="C21" s="563"/>
      <c r="D21" s="563"/>
      <c r="E21" s="563"/>
      <c r="F21" s="565" t="s">
        <v>130</v>
      </c>
      <c r="G21" s="565"/>
      <c r="H21" s="565"/>
      <c r="I21" s="565"/>
      <c r="J21" s="564"/>
      <c r="K21" s="114"/>
      <c r="N21" s="73"/>
      <c r="O21" s="73"/>
      <c r="P21" s="73"/>
    </row>
    <row r="22" spans="2:25" ht="15.75" thickBot="1">
      <c r="B22" s="10"/>
      <c r="C22" s="10"/>
      <c r="D22" s="10"/>
      <c r="E22" s="10"/>
      <c r="F22" s="10"/>
      <c r="G22" s="10"/>
      <c r="H22" s="10"/>
      <c r="I22" s="3"/>
      <c r="J22" s="3"/>
      <c r="K22" s="3"/>
    </row>
    <row r="23" spans="2:25" ht="15.75" thickBot="1">
      <c r="B23" s="475" t="s">
        <v>46</v>
      </c>
      <c r="C23" s="476"/>
      <c r="D23" s="476"/>
      <c r="E23" s="476"/>
      <c r="F23" s="476"/>
      <c r="G23" s="476"/>
      <c r="H23" s="476"/>
      <c r="I23" s="476"/>
      <c r="J23" s="476"/>
      <c r="K23" s="477"/>
    </row>
    <row r="24" spans="2:25">
      <c r="B24" s="11">
        <v>1</v>
      </c>
      <c r="C24" s="478" t="s">
        <v>47</v>
      </c>
      <c r="D24" s="479"/>
      <c r="E24" s="479"/>
      <c r="F24" s="479"/>
      <c r="G24" s="479"/>
      <c r="H24" s="479"/>
      <c r="I24" s="479"/>
      <c r="J24" s="480"/>
      <c r="K24" s="12" t="s">
        <v>141</v>
      </c>
    </row>
    <row r="25" spans="2:25">
      <c r="B25" s="13">
        <v>2</v>
      </c>
      <c r="C25" s="481" t="s">
        <v>48</v>
      </c>
      <c r="D25" s="482"/>
      <c r="E25" s="482"/>
      <c r="F25" s="482"/>
      <c r="G25" s="482"/>
      <c r="H25" s="482"/>
      <c r="I25" s="482"/>
      <c r="J25" s="483"/>
      <c r="K25" s="150">
        <v>1287.96</v>
      </c>
    </row>
    <row r="26" spans="2:25">
      <c r="B26" s="13">
        <v>3</v>
      </c>
      <c r="C26" s="481" t="s">
        <v>49</v>
      </c>
      <c r="D26" s="482"/>
      <c r="E26" s="482"/>
      <c r="F26" s="482"/>
      <c r="G26" s="482"/>
      <c r="H26" s="482"/>
      <c r="I26" s="482"/>
      <c r="J26" s="483"/>
      <c r="K26" s="14" t="str">
        <f>B19</f>
        <v>Servente de Limpeza</v>
      </c>
    </row>
    <row r="27" spans="2:25">
      <c r="B27" s="13">
        <v>4</v>
      </c>
      <c r="C27" s="481" t="s">
        <v>50</v>
      </c>
      <c r="D27" s="482"/>
      <c r="E27" s="482"/>
      <c r="F27" s="482"/>
      <c r="G27" s="482"/>
      <c r="H27" s="482"/>
      <c r="I27" s="482"/>
      <c r="J27" s="483"/>
      <c r="K27" s="15" t="s">
        <v>469</v>
      </c>
    </row>
    <row r="28" spans="2:25" ht="15.75" thickBot="1">
      <c r="B28" s="16">
        <v>5</v>
      </c>
      <c r="C28" s="484" t="s">
        <v>51</v>
      </c>
      <c r="D28" s="485"/>
      <c r="E28" s="485"/>
      <c r="F28" s="485"/>
      <c r="G28" s="485"/>
      <c r="H28" s="485"/>
      <c r="I28" s="485"/>
      <c r="J28" s="486"/>
      <c r="K28" s="136">
        <v>1</v>
      </c>
    </row>
    <row r="29" spans="2: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25" ht="15.75" thickBot="1">
      <c r="B30" s="508" t="s">
        <v>52</v>
      </c>
      <c r="C30" s="508"/>
      <c r="D30" s="508"/>
      <c r="E30" s="508"/>
      <c r="F30" s="508"/>
      <c r="G30" s="508"/>
      <c r="H30" s="508"/>
      <c r="I30" s="508"/>
      <c r="J30" s="508"/>
      <c r="K30" s="3"/>
    </row>
    <row r="31" spans="2:25" ht="15.75" thickBot="1">
      <c r="B31" s="17" t="s">
        <v>53</v>
      </c>
      <c r="C31" s="509" t="s">
        <v>54</v>
      </c>
      <c r="D31" s="510"/>
      <c r="E31" s="510"/>
      <c r="F31" s="510"/>
      <c r="G31" s="510"/>
      <c r="H31" s="510"/>
      <c r="I31" s="510"/>
      <c r="J31" s="511"/>
      <c r="K31" s="18" t="s">
        <v>55</v>
      </c>
    </row>
    <row r="32" spans="2:25">
      <c r="B32" s="19" t="s">
        <v>12</v>
      </c>
      <c r="C32" s="478" t="s">
        <v>0</v>
      </c>
      <c r="D32" s="479"/>
      <c r="E32" s="479"/>
      <c r="F32" s="479"/>
      <c r="G32" s="479"/>
      <c r="H32" s="479"/>
      <c r="I32" s="479"/>
      <c r="J32" s="479"/>
      <c r="K32" s="173">
        <f>K25</f>
        <v>1287.96</v>
      </c>
    </row>
    <row r="33" spans="2:11">
      <c r="B33" s="20" t="s">
        <v>13</v>
      </c>
      <c r="C33" s="481" t="s">
        <v>56</v>
      </c>
      <c r="D33" s="482"/>
      <c r="E33" s="482"/>
      <c r="F33" s="482"/>
      <c r="G33" s="482"/>
      <c r="H33" s="482"/>
      <c r="I33" s="482"/>
      <c r="J33" s="482"/>
      <c r="K33" s="139"/>
    </row>
    <row r="34" spans="2:11">
      <c r="B34" s="20" t="s">
        <v>14</v>
      </c>
      <c r="C34" s="481" t="s">
        <v>57</v>
      </c>
      <c r="D34" s="482"/>
      <c r="E34" s="482"/>
      <c r="F34" s="482"/>
      <c r="G34" s="482"/>
      <c r="H34" s="482"/>
      <c r="I34" s="482"/>
      <c r="J34" s="482"/>
      <c r="K34" s="139"/>
    </row>
    <row r="35" spans="2:11">
      <c r="B35" s="20" t="s">
        <v>15</v>
      </c>
      <c r="C35" s="481" t="s">
        <v>58</v>
      </c>
      <c r="D35" s="482"/>
      <c r="E35" s="482"/>
      <c r="F35" s="482"/>
      <c r="G35" s="482"/>
      <c r="H35" s="482"/>
      <c r="I35" s="482"/>
      <c r="J35" s="482"/>
      <c r="K35" s="139"/>
    </row>
    <row r="36" spans="2:11">
      <c r="B36" s="20" t="s">
        <v>16</v>
      </c>
      <c r="C36" s="481" t="s">
        <v>59</v>
      </c>
      <c r="D36" s="482"/>
      <c r="E36" s="482"/>
      <c r="F36" s="482"/>
      <c r="G36" s="482"/>
      <c r="H36" s="482"/>
      <c r="I36" s="482"/>
      <c r="J36" s="482"/>
      <c r="K36" s="139"/>
    </row>
    <row r="37" spans="2:11">
      <c r="B37" s="20" t="s">
        <v>60</v>
      </c>
      <c r="C37" s="481" t="s">
        <v>61</v>
      </c>
      <c r="D37" s="482"/>
      <c r="E37" s="482"/>
      <c r="F37" s="482"/>
      <c r="G37" s="482"/>
      <c r="H37" s="482"/>
      <c r="I37" s="482"/>
      <c r="J37" s="482"/>
      <c r="K37" s="139"/>
    </row>
    <row r="38" spans="2:11" ht="15.75" thickBot="1">
      <c r="B38" s="21" t="s">
        <v>62</v>
      </c>
      <c r="C38" s="502" t="s">
        <v>63</v>
      </c>
      <c r="D38" s="503"/>
      <c r="E38" s="503"/>
      <c r="F38" s="503"/>
      <c r="G38" s="503"/>
      <c r="H38" s="503"/>
      <c r="I38" s="503"/>
      <c r="J38" s="503"/>
      <c r="K38" s="140"/>
    </row>
    <row r="39" spans="2:11" ht="15.75" thickBot="1">
      <c r="B39" s="468" t="s">
        <v>64</v>
      </c>
      <c r="C39" s="469"/>
      <c r="D39" s="469"/>
      <c r="E39" s="469"/>
      <c r="F39" s="469"/>
      <c r="G39" s="469"/>
      <c r="H39" s="469"/>
      <c r="I39" s="469"/>
      <c r="J39" s="469"/>
      <c r="K39" s="141">
        <f>SUM(K32:K38)</f>
        <v>1287.96</v>
      </c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5.75" thickBot="1">
      <c r="B41" s="504" t="s">
        <v>65</v>
      </c>
      <c r="C41" s="504"/>
      <c r="D41" s="504"/>
      <c r="E41" s="504"/>
      <c r="F41" s="504"/>
      <c r="G41" s="504"/>
      <c r="H41" s="504"/>
      <c r="I41" s="504"/>
      <c r="J41" s="504"/>
      <c r="K41" s="504"/>
    </row>
    <row r="42" spans="2:11" ht="15.75" thickBot="1">
      <c r="B42" s="505" t="s">
        <v>66</v>
      </c>
      <c r="C42" s="506"/>
      <c r="D42" s="506"/>
      <c r="E42" s="506"/>
      <c r="F42" s="506"/>
      <c r="G42" s="506"/>
      <c r="H42" s="506"/>
      <c r="I42" s="506"/>
      <c r="J42" s="506"/>
      <c r="K42" s="507"/>
    </row>
    <row r="43" spans="2:11">
      <c r="B43" s="22" t="s">
        <v>67</v>
      </c>
      <c r="C43" s="516" t="s">
        <v>68</v>
      </c>
      <c r="D43" s="517"/>
      <c r="E43" s="517"/>
      <c r="F43" s="517"/>
      <c r="G43" s="517"/>
      <c r="H43" s="517"/>
      <c r="I43" s="518"/>
      <c r="J43" s="23" t="s">
        <v>69</v>
      </c>
      <c r="K43" s="24" t="s">
        <v>55</v>
      </c>
    </row>
    <row r="44" spans="2:11">
      <c r="B44" s="25" t="s">
        <v>12</v>
      </c>
      <c r="C44" s="465" t="s">
        <v>70</v>
      </c>
      <c r="D44" s="466"/>
      <c r="E44" s="466"/>
      <c r="F44" s="466"/>
      <c r="G44" s="466"/>
      <c r="H44" s="466"/>
      <c r="I44" s="515"/>
      <c r="J44" s="26">
        <v>8.3299999999999999E-2</v>
      </c>
      <c r="K44" s="137">
        <f>J44*K39</f>
        <v>107.287068</v>
      </c>
    </row>
    <row r="45" spans="2:11" ht="15.75" thickBot="1">
      <c r="B45" s="27" t="s">
        <v>13</v>
      </c>
      <c r="C45" s="519" t="s">
        <v>71</v>
      </c>
      <c r="D45" s="520"/>
      <c r="E45" s="520"/>
      <c r="F45" s="520"/>
      <c r="G45" s="520"/>
      <c r="H45" s="520"/>
      <c r="I45" s="521"/>
      <c r="J45" s="28">
        <v>0.121</v>
      </c>
      <c r="K45" s="142">
        <f>J45*K39</f>
        <v>155.84316000000001</v>
      </c>
    </row>
    <row r="46" spans="2:11" ht="15.75" thickBot="1">
      <c r="B46" s="522" t="s">
        <v>1</v>
      </c>
      <c r="C46" s="523"/>
      <c r="D46" s="523"/>
      <c r="E46" s="523"/>
      <c r="F46" s="523"/>
      <c r="G46" s="523"/>
      <c r="H46" s="523"/>
      <c r="I46" s="523"/>
      <c r="J46" s="523"/>
      <c r="K46" s="141">
        <f>SUM(K44:K45)</f>
        <v>263.13022799999999</v>
      </c>
    </row>
    <row r="47" spans="2:11" ht="15.75" thickBot="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5.75" thickBot="1">
      <c r="B48" s="524" t="s">
        <v>72</v>
      </c>
      <c r="C48" s="525"/>
      <c r="D48" s="525"/>
      <c r="E48" s="525"/>
      <c r="F48" s="525"/>
      <c r="G48" s="525"/>
      <c r="H48" s="525"/>
      <c r="I48" s="525"/>
      <c r="J48" s="525"/>
      <c r="K48" s="526"/>
    </row>
    <row r="49" spans="2:11" ht="15.75" thickBot="1">
      <c r="B49" s="29" t="s">
        <v>73</v>
      </c>
      <c r="C49" s="527" t="s">
        <v>74</v>
      </c>
      <c r="D49" s="469"/>
      <c r="E49" s="469"/>
      <c r="F49" s="469"/>
      <c r="G49" s="469"/>
      <c r="H49" s="469"/>
      <c r="I49" s="528"/>
      <c r="J49" s="30" t="s">
        <v>69</v>
      </c>
      <c r="K49" s="31" t="s">
        <v>55</v>
      </c>
    </row>
    <row r="50" spans="2:11">
      <c r="B50" s="32" t="s">
        <v>12</v>
      </c>
      <c r="C50" s="512" t="s">
        <v>75</v>
      </c>
      <c r="D50" s="513"/>
      <c r="E50" s="513"/>
      <c r="F50" s="513"/>
      <c r="G50" s="513"/>
      <c r="H50" s="513"/>
      <c r="I50" s="514"/>
      <c r="J50" s="33">
        <v>0.2</v>
      </c>
      <c r="K50" s="143">
        <f>(K39+K46)*J50</f>
        <v>310.21804560000004</v>
      </c>
    </row>
    <row r="51" spans="2:11">
      <c r="B51" s="25" t="s">
        <v>13</v>
      </c>
      <c r="C51" s="465" t="s">
        <v>76</v>
      </c>
      <c r="D51" s="466"/>
      <c r="E51" s="466"/>
      <c r="F51" s="466"/>
      <c r="G51" s="466"/>
      <c r="H51" s="466"/>
      <c r="I51" s="515"/>
      <c r="J51" s="34">
        <v>2.5000000000000001E-2</v>
      </c>
      <c r="K51" s="137">
        <f>(K39+K46)*J51</f>
        <v>38.777255700000005</v>
      </c>
    </row>
    <row r="52" spans="2:11">
      <c r="B52" s="25" t="s">
        <v>14</v>
      </c>
      <c r="C52" s="465" t="s">
        <v>77</v>
      </c>
      <c r="D52" s="466"/>
      <c r="E52" s="466"/>
      <c r="F52" s="466"/>
      <c r="G52" s="466"/>
      <c r="H52" s="466"/>
      <c r="I52" s="515"/>
      <c r="J52" s="311">
        <v>0.06</v>
      </c>
      <c r="K52" s="137">
        <f>(K39+K46)*J52</f>
        <v>93.065413679999992</v>
      </c>
    </row>
    <row r="53" spans="2:11">
      <c r="B53" s="25" t="s">
        <v>15</v>
      </c>
      <c r="C53" s="465" t="s">
        <v>78</v>
      </c>
      <c r="D53" s="466"/>
      <c r="E53" s="466"/>
      <c r="F53" s="466"/>
      <c r="G53" s="466"/>
      <c r="H53" s="466"/>
      <c r="I53" s="515"/>
      <c r="J53" s="34">
        <v>1.4999999999999999E-2</v>
      </c>
      <c r="K53" s="137">
        <f>(K39+K46)*J53</f>
        <v>23.266353419999998</v>
      </c>
    </row>
    <row r="54" spans="2:11">
      <c r="B54" s="25" t="s">
        <v>16</v>
      </c>
      <c r="C54" s="465" t="s">
        <v>79</v>
      </c>
      <c r="D54" s="466"/>
      <c r="E54" s="466"/>
      <c r="F54" s="466"/>
      <c r="G54" s="466"/>
      <c r="H54" s="466"/>
      <c r="I54" s="515"/>
      <c r="J54" s="34">
        <v>0.01</v>
      </c>
      <c r="K54" s="137">
        <f>(K39+K46)*J54</f>
        <v>15.51090228</v>
      </c>
    </row>
    <row r="55" spans="2:11">
      <c r="B55" s="25" t="s">
        <v>60</v>
      </c>
      <c r="C55" s="465" t="s">
        <v>2</v>
      </c>
      <c r="D55" s="466"/>
      <c r="E55" s="466"/>
      <c r="F55" s="466"/>
      <c r="G55" s="466"/>
      <c r="H55" s="466"/>
      <c r="I55" s="515"/>
      <c r="J55" s="34">
        <v>6.0000000000000001E-3</v>
      </c>
      <c r="K55" s="137">
        <f>(K39+K46)*J55</f>
        <v>9.3065413679999995</v>
      </c>
    </row>
    <row r="56" spans="2:11">
      <c r="B56" s="25" t="s">
        <v>62</v>
      </c>
      <c r="C56" s="465" t="s">
        <v>3</v>
      </c>
      <c r="D56" s="466"/>
      <c r="E56" s="466"/>
      <c r="F56" s="466"/>
      <c r="G56" s="466"/>
      <c r="H56" s="466"/>
      <c r="I56" s="515"/>
      <c r="J56" s="34">
        <v>2E-3</v>
      </c>
      <c r="K56" s="137">
        <f>(K39+K46)*J56</f>
        <v>3.1021804560000001</v>
      </c>
    </row>
    <row r="57" spans="2:11" ht="15.75" thickBot="1">
      <c r="B57" s="27" t="s">
        <v>80</v>
      </c>
      <c r="C57" s="519" t="s">
        <v>4</v>
      </c>
      <c r="D57" s="520"/>
      <c r="E57" s="520"/>
      <c r="F57" s="520"/>
      <c r="G57" s="520"/>
      <c r="H57" s="520"/>
      <c r="I57" s="521"/>
      <c r="J57" s="35">
        <v>0.08</v>
      </c>
      <c r="K57" s="142">
        <f>(K39+K46)*J57</f>
        <v>124.08721824</v>
      </c>
    </row>
    <row r="58" spans="2:11" ht="15.75" thickBot="1">
      <c r="B58" s="468" t="s">
        <v>1</v>
      </c>
      <c r="C58" s="469"/>
      <c r="D58" s="469"/>
      <c r="E58" s="469"/>
      <c r="F58" s="469"/>
      <c r="G58" s="469"/>
      <c r="H58" s="469"/>
      <c r="I58" s="528"/>
      <c r="J58" s="36">
        <f>SUM(J50:J57)</f>
        <v>0.39800000000000008</v>
      </c>
      <c r="K58" s="141">
        <f>SUM(K50:K57)</f>
        <v>617.33391074400004</v>
      </c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ht="15.75" thickBot="1">
      <c r="B60" s="504" t="s">
        <v>81</v>
      </c>
      <c r="C60" s="504"/>
      <c r="D60" s="504"/>
      <c r="E60" s="504"/>
      <c r="F60" s="504"/>
      <c r="G60" s="504"/>
      <c r="H60" s="504"/>
      <c r="I60" s="504"/>
      <c r="J60" s="504"/>
      <c r="K60" s="504"/>
    </row>
    <row r="61" spans="2:11">
      <c r="B61" s="37" t="s">
        <v>82</v>
      </c>
      <c r="C61" s="529" t="s">
        <v>83</v>
      </c>
      <c r="D61" s="529"/>
      <c r="E61" s="529"/>
      <c r="F61" s="529"/>
      <c r="G61" s="529"/>
      <c r="H61" s="529"/>
      <c r="I61" s="529"/>
      <c r="J61" s="529"/>
      <c r="K61" s="38" t="s">
        <v>55</v>
      </c>
    </row>
    <row r="62" spans="2:11">
      <c r="B62" s="25" t="s">
        <v>12</v>
      </c>
      <c r="C62" s="465" t="s">
        <v>84</v>
      </c>
      <c r="D62" s="466"/>
      <c r="E62" s="466"/>
      <c r="F62" s="466"/>
      <c r="G62" s="466"/>
      <c r="H62" s="466"/>
      <c r="I62" s="466"/>
      <c r="J62" s="515"/>
      <c r="K62" s="137">
        <f>((5.5*2)*22)-(6%*K32)</f>
        <v>164.72239999999999</v>
      </c>
    </row>
    <row r="63" spans="2:11">
      <c r="B63" s="25" t="s">
        <v>13</v>
      </c>
      <c r="C63" s="465" t="s">
        <v>132</v>
      </c>
      <c r="D63" s="466"/>
      <c r="E63" s="466"/>
      <c r="F63" s="466"/>
      <c r="G63" s="466"/>
      <c r="H63" s="466"/>
      <c r="I63" s="466"/>
      <c r="J63" s="515"/>
      <c r="K63" s="144"/>
    </row>
    <row r="64" spans="2:11">
      <c r="B64" s="25" t="s">
        <v>14</v>
      </c>
      <c r="C64" s="465" t="s">
        <v>142</v>
      </c>
      <c r="D64" s="466"/>
      <c r="E64" s="466"/>
      <c r="F64" s="466"/>
      <c r="G64" s="466"/>
      <c r="H64" s="466"/>
      <c r="I64" s="466"/>
      <c r="J64" s="515"/>
      <c r="K64" s="150">
        <f>35*22</f>
        <v>770</v>
      </c>
    </row>
    <row r="65" spans="2:11">
      <c r="B65" s="25" t="s">
        <v>15</v>
      </c>
      <c r="C65" s="465" t="s">
        <v>85</v>
      </c>
      <c r="D65" s="466"/>
      <c r="E65" s="466"/>
      <c r="F65" s="466"/>
      <c r="G65" s="466"/>
      <c r="H65" s="466"/>
      <c r="I65" s="466"/>
      <c r="J65" s="515"/>
      <c r="K65" s="162"/>
    </row>
    <row r="66" spans="2:11">
      <c r="B66" s="25" t="s">
        <v>16</v>
      </c>
      <c r="C66" s="465" t="s">
        <v>86</v>
      </c>
      <c r="D66" s="466"/>
      <c r="E66" s="466"/>
      <c r="F66" s="466"/>
      <c r="G66" s="466"/>
      <c r="H66" s="466"/>
      <c r="I66" s="466"/>
      <c r="J66" s="515"/>
      <c r="K66" s="163"/>
    </row>
    <row r="67" spans="2:11">
      <c r="B67" s="25" t="s">
        <v>60</v>
      </c>
      <c r="C67" s="465" t="s">
        <v>143</v>
      </c>
      <c r="D67" s="466"/>
      <c r="E67" s="466"/>
      <c r="F67" s="466"/>
      <c r="G67" s="466"/>
      <c r="H67" s="466"/>
      <c r="I67" s="466"/>
      <c r="J67" s="39"/>
      <c r="K67" s="145"/>
    </row>
    <row r="68" spans="2:11" ht="15.75" thickBot="1">
      <c r="B68" s="27" t="s">
        <v>62</v>
      </c>
      <c r="C68" s="519" t="s">
        <v>34</v>
      </c>
      <c r="D68" s="520"/>
      <c r="E68" s="520"/>
      <c r="F68" s="520"/>
      <c r="G68" s="520"/>
      <c r="H68" s="520"/>
      <c r="I68" s="520"/>
      <c r="J68" s="521"/>
      <c r="K68" s="142"/>
    </row>
    <row r="69" spans="2:11" ht="15.75" thickBot="1">
      <c r="B69" s="522" t="s">
        <v>1</v>
      </c>
      <c r="C69" s="523"/>
      <c r="D69" s="523"/>
      <c r="E69" s="523"/>
      <c r="F69" s="523"/>
      <c r="G69" s="523"/>
      <c r="H69" s="523"/>
      <c r="I69" s="523"/>
      <c r="J69" s="523"/>
      <c r="K69" s="141">
        <f>SUM(K62:K68)</f>
        <v>934.72239999999999</v>
      </c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ht="15.75" thickBot="1">
      <c r="B71" s="504" t="s">
        <v>87</v>
      </c>
      <c r="C71" s="504"/>
      <c r="D71" s="504"/>
      <c r="E71" s="504"/>
      <c r="F71" s="504"/>
      <c r="G71" s="504"/>
      <c r="H71" s="504"/>
      <c r="I71" s="504"/>
      <c r="J71" s="504"/>
      <c r="K71" s="504"/>
    </row>
    <row r="72" spans="2:11">
      <c r="B72" s="37">
        <v>2</v>
      </c>
      <c r="C72" s="529" t="s">
        <v>88</v>
      </c>
      <c r="D72" s="529"/>
      <c r="E72" s="529"/>
      <c r="F72" s="529"/>
      <c r="G72" s="529"/>
      <c r="H72" s="529"/>
      <c r="I72" s="529"/>
      <c r="J72" s="529"/>
      <c r="K72" s="38" t="s">
        <v>55</v>
      </c>
    </row>
    <row r="73" spans="2:11">
      <c r="B73" s="25" t="s">
        <v>67</v>
      </c>
      <c r="C73" s="462" t="s">
        <v>68</v>
      </c>
      <c r="D73" s="462"/>
      <c r="E73" s="462"/>
      <c r="F73" s="462"/>
      <c r="G73" s="462"/>
      <c r="H73" s="462"/>
      <c r="I73" s="462"/>
      <c r="J73" s="462"/>
      <c r="K73" s="137">
        <f>K46</f>
        <v>263.13022799999999</v>
      </c>
    </row>
    <row r="74" spans="2:11">
      <c r="B74" s="25" t="s">
        <v>73</v>
      </c>
      <c r="C74" s="462" t="s">
        <v>74</v>
      </c>
      <c r="D74" s="462"/>
      <c r="E74" s="462"/>
      <c r="F74" s="462"/>
      <c r="G74" s="462"/>
      <c r="H74" s="462"/>
      <c r="I74" s="462"/>
      <c r="J74" s="462"/>
      <c r="K74" s="137">
        <f>K58</f>
        <v>617.33391074400004</v>
      </c>
    </row>
    <row r="75" spans="2:11" ht="15.75" thickBot="1">
      <c r="B75" s="27" t="s">
        <v>82</v>
      </c>
      <c r="C75" s="531" t="s">
        <v>83</v>
      </c>
      <c r="D75" s="531"/>
      <c r="E75" s="531"/>
      <c r="F75" s="531"/>
      <c r="G75" s="531"/>
      <c r="H75" s="531"/>
      <c r="I75" s="531"/>
      <c r="J75" s="531"/>
      <c r="K75" s="142">
        <f>K69</f>
        <v>934.72239999999999</v>
      </c>
    </row>
    <row r="76" spans="2:11" ht="15.75" thickBot="1">
      <c r="B76" s="468" t="s">
        <v>1</v>
      </c>
      <c r="C76" s="469"/>
      <c r="D76" s="469"/>
      <c r="E76" s="469"/>
      <c r="F76" s="469"/>
      <c r="G76" s="469"/>
      <c r="H76" s="469"/>
      <c r="I76" s="469"/>
      <c r="J76" s="528"/>
      <c r="K76" s="141">
        <f>SUM(K73:K75)</f>
        <v>1815.186538744</v>
      </c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ht="15.75" thickBot="1">
      <c r="B78" s="504" t="s">
        <v>89</v>
      </c>
      <c r="C78" s="504"/>
      <c r="D78" s="504"/>
      <c r="E78" s="504"/>
      <c r="F78" s="504"/>
      <c r="G78" s="504"/>
      <c r="H78" s="504"/>
      <c r="I78" s="504"/>
      <c r="J78" s="504"/>
      <c r="K78" s="504"/>
    </row>
    <row r="79" spans="2:11" ht="15.75" thickBot="1">
      <c r="B79" s="29">
        <v>3</v>
      </c>
      <c r="C79" s="527" t="s">
        <v>90</v>
      </c>
      <c r="D79" s="469"/>
      <c r="E79" s="469"/>
      <c r="F79" s="469"/>
      <c r="G79" s="469"/>
      <c r="H79" s="469"/>
      <c r="I79" s="528"/>
      <c r="J79" s="30" t="s">
        <v>69</v>
      </c>
      <c r="K79" s="31" t="s">
        <v>55</v>
      </c>
    </row>
    <row r="80" spans="2:11">
      <c r="B80" s="32" t="s">
        <v>12</v>
      </c>
      <c r="C80" s="530" t="s">
        <v>91</v>
      </c>
      <c r="D80" s="530"/>
      <c r="E80" s="530"/>
      <c r="F80" s="530"/>
      <c r="G80" s="530"/>
      <c r="H80" s="530"/>
      <c r="I80" s="530"/>
      <c r="J80" s="40">
        <v>4.5999999999999999E-3</v>
      </c>
      <c r="K80" s="143">
        <f>($K$39+$K$76)*J80</f>
        <v>14.274474078222401</v>
      </c>
    </row>
    <row r="81" spans="2:25">
      <c r="B81" s="25" t="s">
        <v>13</v>
      </c>
      <c r="C81" s="462" t="s">
        <v>92</v>
      </c>
      <c r="D81" s="462"/>
      <c r="E81" s="462"/>
      <c r="F81" s="462"/>
      <c r="G81" s="462"/>
      <c r="H81" s="462"/>
      <c r="I81" s="462"/>
      <c r="J81" s="41">
        <f>(J80*J57)</f>
        <v>3.68E-4</v>
      </c>
      <c r="K81" s="143">
        <f t="shared" ref="K81:K85" si="0">($K$39+$K$76)*J81</f>
        <v>1.1419579262577921</v>
      </c>
    </row>
    <row r="82" spans="2:25">
      <c r="B82" s="25" t="s">
        <v>14</v>
      </c>
      <c r="C82" s="462" t="s">
        <v>93</v>
      </c>
      <c r="D82" s="462"/>
      <c r="E82" s="462"/>
      <c r="F82" s="462"/>
      <c r="G82" s="462"/>
      <c r="H82" s="462"/>
      <c r="I82" s="462"/>
      <c r="J82" s="41">
        <v>0.04</v>
      </c>
      <c r="K82" s="143">
        <f t="shared" si="0"/>
        <v>124.12586154976002</v>
      </c>
    </row>
    <row r="83" spans="2:25">
      <c r="B83" s="25" t="s">
        <v>15</v>
      </c>
      <c r="C83" s="462" t="s">
        <v>94</v>
      </c>
      <c r="D83" s="462"/>
      <c r="E83" s="462"/>
      <c r="F83" s="462"/>
      <c r="G83" s="462"/>
      <c r="H83" s="462"/>
      <c r="I83" s="462"/>
      <c r="J83" s="42">
        <v>1.9400000000000001E-2</v>
      </c>
      <c r="K83" s="143">
        <f t="shared" si="0"/>
        <v>60.201042851633609</v>
      </c>
    </row>
    <row r="84" spans="2:25">
      <c r="B84" s="25" t="s">
        <v>16</v>
      </c>
      <c r="C84" s="462" t="s">
        <v>95</v>
      </c>
      <c r="D84" s="462"/>
      <c r="E84" s="462"/>
      <c r="F84" s="462"/>
      <c r="G84" s="462"/>
      <c r="H84" s="462"/>
      <c r="I84" s="462"/>
      <c r="J84" s="41">
        <f>(J83*J58)</f>
        <v>7.7212000000000018E-3</v>
      </c>
      <c r="K84" s="143">
        <f t="shared" si="0"/>
        <v>23.96001505495018</v>
      </c>
    </row>
    <row r="85" spans="2:25" ht="15.75" thickBot="1">
      <c r="B85" s="27" t="s">
        <v>60</v>
      </c>
      <c r="C85" s="531" t="s">
        <v>96</v>
      </c>
      <c r="D85" s="531"/>
      <c r="E85" s="531"/>
      <c r="F85" s="531"/>
      <c r="G85" s="531"/>
      <c r="H85" s="531"/>
      <c r="I85" s="531"/>
      <c r="J85" s="43"/>
      <c r="K85" s="143">
        <f t="shared" si="0"/>
        <v>0</v>
      </c>
    </row>
    <row r="86" spans="2:25" ht="15.75" thickBot="1">
      <c r="B86" s="468" t="s">
        <v>1</v>
      </c>
      <c r="C86" s="469"/>
      <c r="D86" s="469"/>
      <c r="E86" s="469"/>
      <c r="F86" s="469"/>
      <c r="G86" s="469"/>
      <c r="H86" s="469"/>
      <c r="I86" s="528"/>
      <c r="J86" s="44">
        <f>SUM(J80:J85)</f>
        <v>7.2089200000000006E-2</v>
      </c>
      <c r="K86" s="141">
        <f>SUM(K80:K85)</f>
        <v>223.70335146082402</v>
      </c>
    </row>
    <row r="87" spans="2: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25" ht="15.75" thickBot="1">
      <c r="B88" s="504" t="s">
        <v>97</v>
      </c>
      <c r="C88" s="504"/>
      <c r="D88" s="504"/>
      <c r="E88" s="504"/>
      <c r="F88" s="504"/>
      <c r="G88" s="504"/>
      <c r="H88" s="504"/>
      <c r="I88" s="504"/>
      <c r="J88" s="504"/>
      <c r="K88" s="504"/>
      <c r="N88" s="332" t="s">
        <v>135</v>
      </c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</row>
    <row r="89" spans="2:25" ht="15" customHeight="1">
      <c r="B89" s="449" t="s">
        <v>98</v>
      </c>
      <c r="C89" s="451" t="s">
        <v>99</v>
      </c>
      <c r="D89" s="452"/>
      <c r="E89" s="452"/>
      <c r="F89" s="452"/>
      <c r="G89" s="452"/>
      <c r="H89" s="452"/>
      <c r="I89" s="453"/>
      <c r="J89" s="457" t="s">
        <v>69</v>
      </c>
      <c r="K89" s="459" t="s">
        <v>55</v>
      </c>
      <c r="M89" s="74" t="s">
        <v>438</v>
      </c>
      <c r="N89" s="74" t="s">
        <v>144</v>
      </c>
      <c r="O89" s="74" t="s">
        <v>145</v>
      </c>
      <c r="P89" s="74" t="s">
        <v>455</v>
      </c>
      <c r="Q89" s="74" t="s">
        <v>456</v>
      </c>
      <c r="R89" s="74" t="s">
        <v>460</v>
      </c>
      <c r="S89" s="74" t="s">
        <v>151</v>
      </c>
      <c r="T89" s="74" t="s">
        <v>418</v>
      </c>
      <c r="U89" s="74" t="s">
        <v>457</v>
      </c>
      <c r="V89" s="74" t="s">
        <v>147</v>
      </c>
      <c r="W89" s="74" t="s">
        <v>458</v>
      </c>
      <c r="X89" s="74" t="s">
        <v>452</v>
      </c>
      <c r="Y89" s="532" t="s">
        <v>133</v>
      </c>
    </row>
    <row r="90" spans="2:25" ht="15.75" thickBot="1">
      <c r="B90" s="450"/>
      <c r="C90" s="454"/>
      <c r="D90" s="455"/>
      <c r="E90" s="455"/>
      <c r="F90" s="455"/>
      <c r="G90" s="455"/>
      <c r="H90" s="455"/>
      <c r="I90" s="456"/>
      <c r="J90" s="458"/>
      <c r="K90" s="460"/>
      <c r="M90" s="169" t="s">
        <v>150</v>
      </c>
      <c r="N90" s="74" t="s">
        <v>148</v>
      </c>
      <c r="O90" s="74" t="s">
        <v>149</v>
      </c>
      <c r="P90" s="74" t="s">
        <v>150</v>
      </c>
      <c r="Q90" s="74" t="s">
        <v>367</v>
      </c>
      <c r="R90" s="74" t="s">
        <v>150</v>
      </c>
      <c r="S90" s="74" t="s">
        <v>152</v>
      </c>
      <c r="T90" s="74" t="s">
        <v>154</v>
      </c>
      <c r="U90" s="74" t="s">
        <v>377</v>
      </c>
      <c r="V90" s="74" t="s">
        <v>386</v>
      </c>
      <c r="W90" s="75" t="s">
        <v>153</v>
      </c>
      <c r="X90" s="74" t="s">
        <v>393</v>
      </c>
      <c r="Y90" s="532"/>
    </row>
    <row r="91" spans="2:25">
      <c r="B91" s="45" t="s">
        <v>12</v>
      </c>
      <c r="C91" s="530" t="s">
        <v>100</v>
      </c>
      <c r="D91" s="530"/>
      <c r="E91" s="530"/>
      <c r="F91" s="530"/>
      <c r="G91" s="530"/>
      <c r="H91" s="530"/>
      <c r="I91" s="530"/>
      <c r="J91" s="161">
        <v>0</v>
      </c>
      <c r="K91" s="138">
        <f>(K$58+K$39)*J91</f>
        <v>0</v>
      </c>
    </row>
    <row r="92" spans="2:25">
      <c r="B92" s="6" t="s">
        <v>13</v>
      </c>
      <c r="C92" s="465" t="s">
        <v>101</v>
      </c>
      <c r="D92" s="466"/>
      <c r="E92" s="466"/>
      <c r="F92" s="466"/>
      <c r="G92" s="466"/>
      <c r="H92" s="466"/>
      <c r="I92" s="515"/>
      <c r="J92" s="46">
        <f>Y92</f>
        <v>9.5825000000000007E-3</v>
      </c>
      <c r="K92" s="138">
        <f t="shared" ref="K92:K96" si="1">(K$58+K$39)*J92</f>
        <v>18.257478899704385</v>
      </c>
      <c r="M92" s="72">
        <v>2.8E-3</v>
      </c>
      <c r="N92" s="72">
        <v>6.6E-3</v>
      </c>
      <c r="O92" s="72">
        <v>1.66E-2</v>
      </c>
      <c r="P92" s="72">
        <v>2.8E-3</v>
      </c>
      <c r="Q92" s="72">
        <v>2.8E-3</v>
      </c>
      <c r="R92" s="72">
        <v>1.2800000000000001E-2</v>
      </c>
      <c r="S92" s="72">
        <v>5.4000000000000003E-3</v>
      </c>
      <c r="T92" s="72">
        <v>2.8E-3</v>
      </c>
      <c r="U92" s="72">
        <v>2.7000000000000001E-3</v>
      </c>
      <c r="V92" s="72">
        <v>4.1700000000000001E-2</v>
      </c>
      <c r="W92" s="72">
        <v>4.1000000000000003E-3</v>
      </c>
      <c r="X92" s="72">
        <v>1.389E-2</v>
      </c>
      <c r="Y92" s="168">
        <f>AVERAGE(M92:X92)</f>
        <v>9.5825000000000007E-3</v>
      </c>
    </row>
    <row r="93" spans="2:25">
      <c r="B93" s="6" t="s">
        <v>14</v>
      </c>
      <c r="C93" s="465" t="s">
        <v>102</v>
      </c>
      <c r="D93" s="466"/>
      <c r="E93" s="466"/>
      <c r="F93" s="466"/>
      <c r="G93" s="466"/>
      <c r="H93" s="466"/>
      <c r="I93" s="515"/>
      <c r="J93" s="46">
        <f t="shared" ref="J93:J96" si="2">Y93</f>
        <v>3.925E-4</v>
      </c>
      <c r="K93" s="138">
        <f t="shared" si="1"/>
        <v>0.74782785996702006</v>
      </c>
      <c r="M93" s="72">
        <v>2.0000000000000001E-4</v>
      </c>
      <c r="N93" s="72">
        <v>1E-3</v>
      </c>
      <c r="O93" s="72">
        <v>1E-3</v>
      </c>
      <c r="P93" s="72">
        <v>2.0000000000000001E-4</v>
      </c>
      <c r="Q93" s="72">
        <v>2.0000000000000001E-4</v>
      </c>
      <c r="R93" s="72">
        <v>2.0000000000000001E-4</v>
      </c>
      <c r="S93" s="72">
        <v>1E-4</v>
      </c>
      <c r="T93" s="72">
        <v>2.0000000000000001E-4</v>
      </c>
      <c r="U93" s="72">
        <v>2.0000000000000001E-4</v>
      </c>
      <c r="V93" s="72">
        <v>1E-3</v>
      </c>
      <c r="W93" s="72">
        <v>2.0000000000000001E-4</v>
      </c>
      <c r="X93" s="72">
        <v>2.1000000000000001E-4</v>
      </c>
      <c r="Y93" s="168">
        <f>AVERAGE(M93:X93)</f>
        <v>3.925E-4</v>
      </c>
    </row>
    <row r="94" spans="2:25">
      <c r="B94" s="6" t="s">
        <v>15</v>
      </c>
      <c r="C94" s="465" t="s">
        <v>103</v>
      </c>
      <c r="D94" s="466"/>
      <c r="E94" s="466"/>
      <c r="F94" s="466"/>
      <c r="G94" s="466"/>
      <c r="H94" s="466"/>
      <c r="I94" s="515"/>
      <c r="J94" s="46">
        <f t="shared" si="2"/>
        <v>3.231666666666667E-3</v>
      </c>
      <c r="K94" s="138">
        <f t="shared" si="1"/>
        <v>6.1572748215543616</v>
      </c>
      <c r="M94" s="72">
        <v>3.3E-3</v>
      </c>
      <c r="N94" s="72">
        <v>4.1999999999999997E-3</v>
      </c>
      <c r="O94" s="72">
        <v>4.1999999999999997E-3</v>
      </c>
      <c r="P94" s="72">
        <v>3.3E-3</v>
      </c>
      <c r="Q94" s="72">
        <v>3.3E-3</v>
      </c>
      <c r="R94" s="72">
        <v>3.3E-3</v>
      </c>
      <c r="S94" s="72">
        <v>3.3E-3</v>
      </c>
      <c r="T94" s="72">
        <v>3.3E-3</v>
      </c>
      <c r="U94" s="72">
        <v>1E-3</v>
      </c>
      <c r="V94" s="72">
        <v>6.3E-3</v>
      </c>
      <c r="W94" s="72">
        <v>5.0000000000000001E-4</v>
      </c>
      <c r="X94" s="72">
        <v>2.7799999999999999E-3</v>
      </c>
      <c r="Y94" s="168">
        <f>AVERAGE(M94:X94)</f>
        <v>3.231666666666667E-3</v>
      </c>
    </row>
    <row r="95" spans="2:25">
      <c r="B95" s="6" t="s">
        <v>16</v>
      </c>
      <c r="C95" s="465" t="s">
        <v>104</v>
      </c>
      <c r="D95" s="466"/>
      <c r="E95" s="466"/>
      <c r="F95" s="466"/>
      <c r="G95" s="466"/>
      <c r="H95" s="466"/>
      <c r="I95" s="515"/>
      <c r="J95" s="46">
        <f t="shared" si="2"/>
        <v>7.0299999999999996E-4</v>
      </c>
      <c r="K95" s="138">
        <f t="shared" si="1"/>
        <v>1.3394216192530322</v>
      </c>
      <c r="M95" s="72"/>
      <c r="N95" s="72">
        <v>2.0000000000000001E-4</v>
      </c>
      <c r="O95" s="72">
        <v>2.0000000000000001E-4</v>
      </c>
      <c r="P95" s="72">
        <v>6.9999999999999999E-4</v>
      </c>
      <c r="Q95" s="72">
        <v>6.9999999999999999E-4</v>
      </c>
      <c r="R95" s="72">
        <v>5.9999999999999995E-4</v>
      </c>
      <c r="S95" s="72">
        <v>1E-4</v>
      </c>
      <c r="T95" s="72">
        <v>6.9999999999999999E-4</v>
      </c>
      <c r="U95" s="72">
        <v>2.9999999999999997E-4</v>
      </c>
      <c r="V95" s="72">
        <v>2.0000000000000001E-4</v>
      </c>
      <c r="W95" s="72"/>
      <c r="X95" s="72">
        <v>3.3300000000000001E-3</v>
      </c>
      <c r="Y95" s="168">
        <f>AVERAGE(M95:X95)</f>
        <v>7.0299999999999996E-4</v>
      </c>
    </row>
    <row r="96" spans="2:25" ht="15.75" customHeight="1" thickBot="1">
      <c r="B96" s="47" t="s">
        <v>60</v>
      </c>
      <c r="C96" s="519" t="s">
        <v>459</v>
      </c>
      <c r="D96" s="520"/>
      <c r="E96" s="520"/>
      <c r="F96" s="520"/>
      <c r="G96" s="520"/>
      <c r="H96" s="520"/>
      <c r="I96" s="521"/>
      <c r="J96" s="46">
        <f t="shared" si="2"/>
        <v>8.0533333333333342E-3</v>
      </c>
      <c r="K96" s="138">
        <f t="shared" si="1"/>
        <v>15.343966961191683</v>
      </c>
      <c r="M96" s="72">
        <v>2.8E-3</v>
      </c>
      <c r="N96" s="72"/>
      <c r="O96" s="72"/>
      <c r="P96" s="72">
        <v>1.15E-2</v>
      </c>
      <c r="Q96" s="72">
        <v>1.15E-2</v>
      </c>
      <c r="R96" s="72"/>
      <c r="S96" s="72">
        <v>1.47E-2</v>
      </c>
      <c r="T96" s="72">
        <v>5.5999999999999999E-3</v>
      </c>
      <c r="U96" s="72"/>
      <c r="V96" s="72"/>
      <c r="W96" s="72">
        <v>2.2200000000000002E-3</v>
      </c>
      <c r="X96" s="72"/>
      <c r="Y96" s="168">
        <f>AVERAGE(M96:X96)</f>
        <v>8.0533333333333342E-3</v>
      </c>
    </row>
    <row r="97" spans="2:27" ht="15.75" thickBot="1">
      <c r="B97" s="468" t="s">
        <v>1</v>
      </c>
      <c r="C97" s="469"/>
      <c r="D97" s="469"/>
      <c r="E97" s="469"/>
      <c r="F97" s="469"/>
      <c r="G97" s="469"/>
      <c r="H97" s="469"/>
      <c r="I97" s="528"/>
      <c r="J97" s="44">
        <f>SUM(J91:J96)</f>
        <v>2.1963000000000003E-2</v>
      </c>
      <c r="K97" s="141">
        <f>SUM(K91:K96)</f>
        <v>41.845970161670479</v>
      </c>
    </row>
    <row r="98" spans="2:27">
      <c r="B98" s="545" t="s">
        <v>385</v>
      </c>
      <c r="C98" s="545"/>
      <c r="D98" s="545"/>
      <c r="E98" s="545"/>
      <c r="F98" s="545"/>
      <c r="G98" s="545"/>
      <c r="H98" s="545"/>
      <c r="I98" s="545"/>
      <c r="J98" s="545"/>
      <c r="K98" s="545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63"/>
    </row>
    <row r="99" spans="2:27" ht="35.25" customHeight="1">
      <c r="B99" s="546"/>
      <c r="C99" s="546"/>
      <c r="D99" s="546"/>
      <c r="E99" s="546"/>
      <c r="F99" s="546"/>
      <c r="G99" s="546"/>
      <c r="H99" s="546"/>
      <c r="I99" s="546"/>
      <c r="J99" s="546"/>
      <c r="K99" s="546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63"/>
    </row>
    <row r="100" spans="2:27" ht="15.75" thickBot="1">
      <c r="B100" s="504" t="s">
        <v>105</v>
      </c>
      <c r="C100" s="504"/>
      <c r="D100" s="504"/>
      <c r="E100" s="504"/>
      <c r="F100" s="504"/>
      <c r="G100" s="504"/>
      <c r="H100" s="504"/>
      <c r="I100" s="504"/>
      <c r="J100" s="504"/>
      <c r="K100" s="504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63"/>
    </row>
    <row r="101" spans="2:27" ht="15.75" thickBot="1">
      <c r="B101" s="29" t="s">
        <v>106</v>
      </c>
      <c r="C101" s="527" t="s">
        <v>107</v>
      </c>
      <c r="D101" s="469"/>
      <c r="E101" s="469"/>
      <c r="F101" s="469"/>
      <c r="G101" s="469"/>
      <c r="H101" s="469"/>
      <c r="I101" s="528"/>
      <c r="J101" s="30" t="s">
        <v>69</v>
      </c>
      <c r="K101" s="31" t="s">
        <v>55</v>
      </c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63"/>
    </row>
    <row r="102" spans="2:27" ht="15.75" thickBot="1">
      <c r="B102" s="48" t="s">
        <v>12</v>
      </c>
      <c r="C102" s="533" t="s">
        <v>108</v>
      </c>
      <c r="D102" s="534"/>
      <c r="E102" s="534"/>
      <c r="F102" s="534"/>
      <c r="G102" s="534"/>
      <c r="H102" s="534"/>
      <c r="I102" s="535"/>
      <c r="J102" s="49">
        <v>0</v>
      </c>
      <c r="K102" s="146"/>
      <c r="N102" s="72"/>
      <c r="O102" s="73"/>
      <c r="P102" s="72"/>
      <c r="Q102" s="72"/>
      <c r="R102" s="72"/>
      <c r="S102" s="72"/>
      <c r="T102" s="72"/>
      <c r="U102" s="72"/>
      <c r="V102" s="72"/>
      <c r="W102" s="72"/>
      <c r="X102" s="72"/>
      <c r="Y102" s="63"/>
    </row>
    <row r="103" spans="2:27" ht="15.75" thickBot="1">
      <c r="B103" s="522" t="s">
        <v>1</v>
      </c>
      <c r="C103" s="523"/>
      <c r="D103" s="523"/>
      <c r="E103" s="523"/>
      <c r="F103" s="523"/>
      <c r="G103" s="523"/>
      <c r="H103" s="523"/>
      <c r="I103" s="523"/>
      <c r="J103" s="523"/>
      <c r="K103" s="50"/>
      <c r="Y103" s="63"/>
    </row>
    <row r="104" spans="2:27">
      <c r="B104" s="3"/>
      <c r="C104" s="3"/>
      <c r="D104" s="3"/>
      <c r="E104" s="3"/>
      <c r="F104" s="3"/>
      <c r="G104" s="3"/>
      <c r="H104" s="3"/>
      <c r="I104" s="3"/>
      <c r="J104" s="3"/>
      <c r="K104" s="3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63"/>
    </row>
    <row r="105" spans="2:27" ht="15.75" thickBot="1">
      <c r="B105" s="504" t="s">
        <v>109</v>
      </c>
      <c r="C105" s="504"/>
      <c r="D105" s="504"/>
      <c r="E105" s="504"/>
      <c r="F105" s="504"/>
      <c r="G105" s="504"/>
      <c r="H105" s="504"/>
      <c r="I105" s="504"/>
      <c r="J105" s="504"/>
      <c r="K105" s="504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63"/>
    </row>
    <row r="106" spans="2:27">
      <c r="B106" s="37">
        <v>4</v>
      </c>
      <c r="C106" s="536" t="s">
        <v>110</v>
      </c>
      <c r="D106" s="537"/>
      <c r="E106" s="537"/>
      <c r="F106" s="537"/>
      <c r="G106" s="537"/>
      <c r="H106" s="537"/>
      <c r="I106" s="538"/>
      <c r="J106" s="51" t="s">
        <v>69</v>
      </c>
      <c r="K106" s="38" t="s">
        <v>55</v>
      </c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63"/>
    </row>
    <row r="107" spans="2:27">
      <c r="B107" s="25" t="s">
        <v>98</v>
      </c>
      <c r="C107" s="539" t="s">
        <v>111</v>
      </c>
      <c r="D107" s="540"/>
      <c r="E107" s="540"/>
      <c r="F107" s="540"/>
      <c r="G107" s="540"/>
      <c r="H107" s="540"/>
      <c r="I107" s="541"/>
      <c r="J107" s="52">
        <f>J97</f>
        <v>2.1963000000000003E-2</v>
      </c>
      <c r="K107" s="147">
        <f>K97</f>
        <v>41.845970161670479</v>
      </c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63"/>
    </row>
    <row r="108" spans="2:27" ht="15.75" thickBot="1">
      <c r="B108" s="27" t="s">
        <v>106</v>
      </c>
      <c r="C108" s="542" t="s">
        <v>112</v>
      </c>
      <c r="D108" s="543"/>
      <c r="E108" s="543"/>
      <c r="F108" s="543"/>
      <c r="G108" s="543"/>
      <c r="H108" s="543"/>
      <c r="I108" s="544"/>
      <c r="J108" s="53">
        <v>0</v>
      </c>
      <c r="K108" s="148"/>
      <c r="N108" s="72"/>
      <c r="O108" s="73"/>
      <c r="P108" s="72"/>
      <c r="Q108" s="72"/>
      <c r="R108" s="72"/>
      <c r="S108" s="72"/>
      <c r="T108" s="72"/>
      <c r="U108" s="72"/>
      <c r="V108" s="72"/>
      <c r="W108" s="72"/>
      <c r="X108" s="72"/>
      <c r="Y108" s="63"/>
      <c r="Z108" s="63"/>
      <c r="AA108" s="63"/>
    </row>
    <row r="109" spans="2:27" ht="15.75" thickBot="1">
      <c r="B109" s="468" t="s">
        <v>1</v>
      </c>
      <c r="C109" s="469"/>
      <c r="D109" s="469"/>
      <c r="E109" s="469"/>
      <c r="F109" s="469"/>
      <c r="G109" s="469"/>
      <c r="H109" s="469"/>
      <c r="I109" s="469"/>
      <c r="J109" s="528"/>
      <c r="K109" s="141">
        <f>SUM(K107:K108)</f>
        <v>41.845970161670479</v>
      </c>
      <c r="Y109" s="63"/>
    </row>
    <row r="110" spans="2:27">
      <c r="B110" s="3"/>
      <c r="C110" s="3"/>
      <c r="D110" s="3"/>
      <c r="E110" s="3"/>
      <c r="F110" s="3"/>
      <c r="G110" s="3"/>
      <c r="H110" s="3"/>
      <c r="I110" s="3"/>
      <c r="J110" s="3"/>
      <c r="K110" s="3"/>
      <c r="Y110" s="63"/>
    </row>
    <row r="111" spans="2:27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27" ht="15.75" thickBot="1">
      <c r="B112" s="504" t="s">
        <v>113</v>
      </c>
      <c r="C112" s="504"/>
      <c r="D112" s="504"/>
      <c r="E112" s="504"/>
      <c r="F112" s="504"/>
      <c r="G112" s="504"/>
      <c r="H112" s="504"/>
      <c r="I112" s="504"/>
      <c r="J112" s="504"/>
      <c r="K112" s="504"/>
      <c r="N112" s="72"/>
      <c r="O112" s="72"/>
      <c r="P112" s="72"/>
      <c r="Q112" s="72"/>
      <c r="R112" s="72"/>
      <c r="S112" s="72"/>
      <c r="T112" s="72"/>
      <c r="V112" s="72"/>
      <c r="W112" s="72"/>
      <c r="X112" s="72"/>
      <c r="Y112" s="63"/>
    </row>
    <row r="113" spans="2:39" ht="15.75" thickBot="1">
      <c r="B113" s="29">
        <v>5</v>
      </c>
      <c r="C113" s="469" t="s">
        <v>5</v>
      </c>
      <c r="D113" s="469"/>
      <c r="E113" s="469"/>
      <c r="F113" s="469"/>
      <c r="G113" s="469"/>
      <c r="H113" s="469"/>
      <c r="I113" s="469"/>
      <c r="J113" s="469"/>
      <c r="K113" s="54" t="s">
        <v>55</v>
      </c>
      <c r="N113" s="72"/>
      <c r="O113" s="72"/>
      <c r="P113" s="72"/>
      <c r="Q113" s="72"/>
      <c r="R113" s="72"/>
      <c r="S113" s="72"/>
      <c r="T113" s="72"/>
      <c r="V113" s="72"/>
      <c r="W113" s="72"/>
      <c r="X113" s="72"/>
      <c r="Y113" s="63"/>
    </row>
    <row r="114" spans="2:39">
      <c r="B114" s="113" t="s">
        <v>12</v>
      </c>
      <c r="C114" s="549" t="s">
        <v>134</v>
      </c>
      <c r="D114" s="550"/>
      <c r="E114" s="550"/>
      <c r="F114" s="550"/>
      <c r="G114" s="550"/>
      <c r="H114" s="550"/>
      <c r="I114" s="550"/>
      <c r="J114" s="550"/>
      <c r="K114" s="149">
        <f>Equipamentos!AP21</f>
        <v>2.4648629032258063</v>
      </c>
      <c r="N114" s="72"/>
      <c r="O114" s="72"/>
      <c r="P114" s="72"/>
      <c r="Q114" s="72"/>
      <c r="R114" s="72"/>
      <c r="S114" s="72"/>
      <c r="T114" s="72"/>
      <c r="V114" s="72"/>
      <c r="W114" s="72"/>
      <c r="X114" s="72"/>
      <c r="Y114" s="63"/>
    </row>
    <row r="115" spans="2:39">
      <c r="B115" s="32" t="s">
        <v>12</v>
      </c>
      <c r="C115" s="530" t="s">
        <v>319</v>
      </c>
      <c r="D115" s="530"/>
      <c r="E115" s="530"/>
      <c r="F115" s="530"/>
      <c r="G115" s="530"/>
      <c r="H115" s="530"/>
      <c r="I115" s="530"/>
      <c r="J115" s="530"/>
      <c r="K115" s="151">
        <f>'Materiais Uso Excepcional'!BX50</f>
        <v>66.350161290322575</v>
      </c>
      <c r="N115" s="72"/>
      <c r="O115" s="72"/>
      <c r="P115" s="72"/>
      <c r="Q115" s="72"/>
      <c r="R115" s="72"/>
      <c r="S115" s="72"/>
      <c r="T115" s="72"/>
      <c r="V115" s="72"/>
      <c r="W115" s="72"/>
      <c r="X115" s="72"/>
      <c r="Y115" s="63"/>
    </row>
    <row r="116" spans="2:39">
      <c r="B116" s="25" t="s">
        <v>13</v>
      </c>
      <c r="C116" s="462" t="s">
        <v>320</v>
      </c>
      <c r="D116" s="462"/>
      <c r="E116" s="462"/>
      <c r="F116" s="462"/>
      <c r="G116" s="462"/>
      <c r="H116" s="462"/>
      <c r="I116" s="462"/>
      <c r="J116" s="462"/>
      <c r="K116" s="150">
        <f>'Materiais Uso Contín Mensal'!AN42</f>
        <v>156.878064516129</v>
      </c>
      <c r="N116" s="72"/>
      <c r="O116" s="72"/>
      <c r="P116" s="72"/>
      <c r="Q116" s="72"/>
      <c r="R116" s="72"/>
      <c r="S116" s="72"/>
      <c r="T116" s="72"/>
      <c r="V116" s="72"/>
      <c r="W116" s="72"/>
      <c r="X116" s="72"/>
      <c r="Y116" s="63"/>
    </row>
    <row r="117" spans="2:39">
      <c r="B117" s="25" t="s">
        <v>14</v>
      </c>
      <c r="C117" s="462" t="s">
        <v>114</v>
      </c>
      <c r="D117" s="462"/>
      <c r="E117" s="462"/>
      <c r="F117" s="462"/>
      <c r="G117" s="462"/>
      <c r="H117" s="462"/>
      <c r="I117" s="462"/>
      <c r="J117" s="462"/>
      <c r="K117" s="150">
        <f>Uniformes!AH26</f>
        <v>27.2775</v>
      </c>
      <c r="O117" s="72"/>
      <c r="P117" s="72"/>
      <c r="Q117" s="72"/>
      <c r="R117" s="72"/>
      <c r="T117" s="72"/>
      <c r="V117" s="72"/>
      <c r="W117" s="72"/>
      <c r="X117" s="72"/>
      <c r="Y117" s="63"/>
    </row>
    <row r="118" spans="2:39" ht="15.75" customHeight="1" thickBot="1">
      <c r="B118" s="27" t="s">
        <v>15</v>
      </c>
      <c r="C118" s="555"/>
      <c r="D118" s="556"/>
      <c r="E118" s="556"/>
      <c r="F118" s="556"/>
      <c r="G118" s="556"/>
      <c r="H118" s="556"/>
      <c r="I118" s="556"/>
      <c r="J118" s="557"/>
      <c r="K118" s="152"/>
      <c r="Y118" s="63"/>
    </row>
    <row r="119" spans="2:39" ht="15.75" thickBot="1">
      <c r="B119" s="468" t="s">
        <v>1</v>
      </c>
      <c r="C119" s="469"/>
      <c r="D119" s="469"/>
      <c r="E119" s="469"/>
      <c r="F119" s="469"/>
      <c r="G119" s="469"/>
      <c r="H119" s="469"/>
      <c r="I119" s="469"/>
      <c r="J119" s="528"/>
      <c r="K119" s="141">
        <f>SUM(K115:K118)</f>
        <v>250.50572580645158</v>
      </c>
      <c r="N119" s="76"/>
      <c r="Y119" s="63"/>
    </row>
    <row r="120" spans="2:39">
      <c r="B120" s="547"/>
      <c r="C120" s="547"/>
      <c r="D120" s="547"/>
      <c r="E120" s="547"/>
      <c r="F120" s="547"/>
      <c r="G120" s="547"/>
      <c r="H120" s="547"/>
      <c r="I120" s="3"/>
      <c r="J120" s="3"/>
      <c r="K120" s="3"/>
    </row>
    <row r="121" spans="2:39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39" ht="15.75" thickBot="1">
      <c r="B122" s="548" t="s">
        <v>115</v>
      </c>
      <c r="C122" s="548"/>
      <c r="D122" s="548"/>
      <c r="E122" s="548"/>
      <c r="F122" s="548"/>
      <c r="G122" s="548"/>
      <c r="H122" s="548"/>
      <c r="I122" s="548"/>
      <c r="J122" s="548"/>
      <c r="K122" s="548"/>
    </row>
    <row r="123" spans="2:39" ht="15.75" thickBot="1">
      <c r="B123" s="29">
        <v>6</v>
      </c>
      <c r="C123" s="469" t="s">
        <v>6</v>
      </c>
      <c r="D123" s="469"/>
      <c r="E123" s="469"/>
      <c r="F123" s="469"/>
      <c r="G123" s="469"/>
      <c r="H123" s="469"/>
      <c r="I123" s="469"/>
      <c r="J123" s="55" t="s">
        <v>116</v>
      </c>
      <c r="K123" s="54" t="s">
        <v>55</v>
      </c>
      <c r="M123" s="170" t="s">
        <v>155</v>
      </c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</row>
    <row r="124" spans="2:39">
      <c r="B124" s="32" t="s">
        <v>12</v>
      </c>
      <c r="C124" s="530" t="s">
        <v>7</v>
      </c>
      <c r="D124" s="530"/>
      <c r="E124" s="530"/>
      <c r="F124" s="530"/>
      <c r="G124" s="530"/>
      <c r="H124" s="530"/>
      <c r="I124" s="530"/>
      <c r="J124" s="56">
        <v>0.03</v>
      </c>
      <c r="K124" s="151">
        <f>J124*K140</f>
        <v>108.57604758518838</v>
      </c>
      <c r="M124" s="64" t="s">
        <v>157</v>
      </c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</row>
    <row r="125" spans="2:39">
      <c r="B125" s="25" t="s">
        <v>13</v>
      </c>
      <c r="C125" s="462" t="s">
        <v>9</v>
      </c>
      <c r="D125" s="462"/>
      <c r="E125" s="462"/>
      <c r="F125" s="462"/>
      <c r="G125" s="462"/>
      <c r="H125" s="462"/>
      <c r="I125" s="462"/>
      <c r="J125" s="57">
        <v>6.7900000000000002E-2</v>
      </c>
      <c r="K125" s="150">
        <f>J125*(K124+$K$140)</f>
        <v>253.11610133217735</v>
      </c>
      <c r="M125" s="64" t="s">
        <v>157</v>
      </c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</row>
    <row r="126" spans="2:39">
      <c r="B126" s="25" t="s">
        <v>14</v>
      </c>
      <c r="C126" s="462" t="s">
        <v>8</v>
      </c>
      <c r="D126" s="462"/>
      <c r="E126" s="462"/>
      <c r="F126" s="462"/>
      <c r="G126" s="462"/>
      <c r="H126" s="462"/>
      <c r="I126" s="462"/>
      <c r="J126" s="58">
        <f>SUM(J127:J130)</f>
        <v>0.14250000000000002</v>
      </c>
      <c r="K126" s="150"/>
    </row>
    <row r="127" spans="2:39">
      <c r="B127" s="25"/>
      <c r="C127" s="6"/>
      <c r="D127" s="462" t="s">
        <v>117</v>
      </c>
      <c r="E127" s="462"/>
      <c r="F127" s="462"/>
      <c r="G127" s="462"/>
      <c r="H127" s="462"/>
      <c r="I127" s="462"/>
      <c r="J127" s="59">
        <f>1.65%+7.6%</f>
        <v>9.2499999999999999E-2</v>
      </c>
      <c r="K127" s="150">
        <f>(K140+K124+K125)/(1-J126)*J127</f>
        <v>429.42585480566049</v>
      </c>
      <c r="M127" s="64" t="s">
        <v>156</v>
      </c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</row>
    <row r="128" spans="2:39">
      <c r="B128" s="25"/>
      <c r="C128" s="6"/>
      <c r="D128" s="462" t="s">
        <v>118</v>
      </c>
      <c r="E128" s="462"/>
      <c r="F128" s="462"/>
      <c r="G128" s="462"/>
      <c r="H128" s="462"/>
      <c r="I128" s="462"/>
      <c r="J128" s="26">
        <v>0</v>
      </c>
      <c r="K128" s="150"/>
    </row>
    <row r="129" spans="2:31">
      <c r="B129" s="25"/>
      <c r="C129" s="6"/>
      <c r="D129" s="462" t="s">
        <v>119</v>
      </c>
      <c r="E129" s="462"/>
      <c r="F129" s="462"/>
      <c r="G129" s="462"/>
      <c r="H129" s="462"/>
      <c r="I129" s="462"/>
      <c r="J129" s="59">
        <v>0.05</v>
      </c>
      <c r="K129" s="150">
        <f>(K140+K124+K125)/(1-J126)*J129</f>
        <v>232.12208367873541</v>
      </c>
      <c r="M129" s="64" t="s">
        <v>156</v>
      </c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</row>
    <row r="130" spans="2:31" ht="15.75" thickBot="1">
      <c r="B130" s="27"/>
      <c r="C130" s="47"/>
      <c r="D130" s="531" t="s">
        <v>120</v>
      </c>
      <c r="E130" s="531"/>
      <c r="F130" s="531"/>
      <c r="G130" s="531"/>
      <c r="H130" s="531"/>
      <c r="I130" s="531"/>
      <c r="J130" s="28">
        <v>0</v>
      </c>
      <c r="K130" s="152"/>
    </row>
    <row r="131" spans="2:31" ht="15.75" thickBot="1">
      <c r="B131" s="468" t="s">
        <v>1</v>
      </c>
      <c r="C131" s="469"/>
      <c r="D131" s="469"/>
      <c r="E131" s="469"/>
      <c r="F131" s="469"/>
      <c r="G131" s="469"/>
      <c r="H131" s="469"/>
      <c r="I131" s="469"/>
      <c r="J131" s="528"/>
      <c r="K131" s="141">
        <f>SUM(K124:K130)</f>
        <v>1023.2400874017617</v>
      </c>
    </row>
    <row r="132" spans="2:3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31" ht="15.75" thickBot="1">
      <c r="B133" s="504" t="s">
        <v>121</v>
      </c>
      <c r="C133" s="504"/>
      <c r="D133" s="504"/>
      <c r="E133" s="504"/>
      <c r="F133" s="504"/>
      <c r="G133" s="504"/>
      <c r="H133" s="504"/>
      <c r="I133" s="504"/>
      <c r="J133" s="504"/>
      <c r="K133" s="504"/>
    </row>
    <row r="134" spans="2:31" ht="15.75" thickBot="1">
      <c r="B134" s="468" t="s">
        <v>122</v>
      </c>
      <c r="C134" s="469"/>
      <c r="D134" s="469"/>
      <c r="E134" s="469"/>
      <c r="F134" s="469"/>
      <c r="G134" s="469"/>
      <c r="H134" s="469"/>
      <c r="I134" s="469"/>
      <c r="J134" s="528"/>
      <c r="K134" s="31" t="s">
        <v>55</v>
      </c>
    </row>
    <row r="135" spans="2:31">
      <c r="B135" s="60" t="s">
        <v>12</v>
      </c>
      <c r="C135" s="530" t="s">
        <v>123</v>
      </c>
      <c r="D135" s="530"/>
      <c r="E135" s="530"/>
      <c r="F135" s="530"/>
      <c r="G135" s="530"/>
      <c r="H135" s="530"/>
      <c r="I135" s="530"/>
      <c r="J135" s="530"/>
      <c r="K135" s="143">
        <f>K39</f>
        <v>1287.96</v>
      </c>
    </row>
    <row r="136" spans="2:31">
      <c r="B136" s="61" t="s">
        <v>13</v>
      </c>
      <c r="C136" s="462" t="s">
        <v>65</v>
      </c>
      <c r="D136" s="462"/>
      <c r="E136" s="462"/>
      <c r="F136" s="462"/>
      <c r="G136" s="462"/>
      <c r="H136" s="462"/>
      <c r="I136" s="462"/>
      <c r="J136" s="462"/>
      <c r="K136" s="137">
        <f>K76</f>
        <v>1815.186538744</v>
      </c>
    </row>
    <row r="137" spans="2:31">
      <c r="B137" s="61" t="s">
        <v>14</v>
      </c>
      <c r="C137" s="462" t="s">
        <v>124</v>
      </c>
      <c r="D137" s="462"/>
      <c r="E137" s="462"/>
      <c r="F137" s="462"/>
      <c r="G137" s="462"/>
      <c r="H137" s="462"/>
      <c r="I137" s="462"/>
      <c r="J137" s="462"/>
      <c r="K137" s="137">
        <f>K86</f>
        <v>223.70335146082402</v>
      </c>
    </row>
    <row r="138" spans="2:31">
      <c r="B138" s="61" t="s">
        <v>15</v>
      </c>
      <c r="C138" s="462" t="s">
        <v>125</v>
      </c>
      <c r="D138" s="462"/>
      <c r="E138" s="462"/>
      <c r="F138" s="462"/>
      <c r="G138" s="462"/>
      <c r="H138" s="462"/>
      <c r="I138" s="462"/>
      <c r="J138" s="462"/>
      <c r="K138" s="137">
        <f>K109</f>
        <v>41.845970161670479</v>
      </c>
    </row>
    <row r="139" spans="2:31">
      <c r="B139" s="61" t="s">
        <v>16</v>
      </c>
      <c r="C139" s="462" t="s">
        <v>113</v>
      </c>
      <c r="D139" s="462"/>
      <c r="E139" s="462"/>
      <c r="F139" s="462"/>
      <c r="G139" s="462"/>
      <c r="H139" s="462"/>
      <c r="I139" s="462"/>
      <c r="J139" s="462"/>
      <c r="K139" s="150">
        <f>K119</f>
        <v>250.50572580645158</v>
      </c>
    </row>
    <row r="140" spans="2:31">
      <c r="B140" s="551" t="s">
        <v>126</v>
      </c>
      <c r="C140" s="552"/>
      <c r="D140" s="552"/>
      <c r="E140" s="552"/>
      <c r="F140" s="552"/>
      <c r="G140" s="552"/>
      <c r="H140" s="552"/>
      <c r="I140" s="552"/>
      <c r="J140" s="552"/>
      <c r="K140" s="150">
        <f>SUM(K135:K139)</f>
        <v>3619.201586172946</v>
      </c>
    </row>
    <row r="141" spans="2:31" ht="15.75" thickBot="1">
      <c r="B141" s="62" t="s">
        <v>60</v>
      </c>
      <c r="C141" s="531" t="s">
        <v>115</v>
      </c>
      <c r="D141" s="531"/>
      <c r="E141" s="531"/>
      <c r="F141" s="531"/>
      <c r="G141" s="531"/>
      <c r="H141" s="531"/>
      <c r="I141" s="531"/>
      <c r="J141" s="531"/>
      <c r="K141" s="152">
        <f>K131</f>
        <v>1023.2400874017617</v>
      </c>
    </row>
    <row r="142" spans="2:31" ht="15.75" thickBot="1">
      <c r="B142" s="553" t="s">
        <v>127</v>
      </c>
      <c r="C142" s="554"/>
      <c r="D142" s="554"/>
      <c r="E142" s="554"/>
      <c r="F142" s="554"/>
      <c r="G142" s="554"/>
      <c r="H142" s="554"/>
      <c r="I142" s="554"/>
      <c r="J142" s="554"/>
      <c r="K142" s="153">
        <f>SUM(K140:K141)</f>
        <v>4642.4416735747072</v>
      </c>
    </row>
  </sheetData>
  <mergeCells count="136">
    <mergeCell ref="Y89:Y90"/>
    <mergeCell ref="C114:J114"/>
    <mergeCell ref="B19:E21"/>
    <mergeCell ref="J19:J21"/>
    <mergeCell ref="B42:K42"/>
    <mergeCell ref="C43:I43"/>
    <mergeCell ref="C44:I44"/>
    <mergeCell ref="C28:J28"/>
    <mergeCell ref="B30:J30"/>
    <mergeCell ref="C31:J31"/>
    <mergeCell ref="C32:J32"/>
    <mergeCell ref="C33:J33"/>
    <mergeCell ref="C34:J34"/>
    <mergeCell ref="B23:K23"/>
    <mergeCell ref="C24:J24"/>
    <mergeCell ref="C25:J25"/>
    <mergeCell ref="C26:J26"/>
    <mergeCell ref="C27:J27"/>
    <mergeCell ref="B46:J46"/>
    <mergeCell ref="B48:K48"/>
    <mergeCell ref="N88:Y88"/>
    <mergeCell ref="F19:I19"/>
    <mergeCell ref="F20:I20"/>
    <mergeCell ref="F21:I21"/>
    <mergeCell ref="B3:K3"/>
    <mergeCell ref="B4:K4"/>
    <mergeCell ref="C6:K6"/>
    <mergeCell ref="C7:K7"/>
    <mergeCell ref="C8:K8"/>
    <mergeCell ref="B9:I9"/>
    <mergeCell ref="C14:I14"/>
    <mergeCell ref="J14:K14"/>
    <mergeCell ref="C15:I15"/>
    <mergeCell ref="J15:K15"/>
    <mergeCell ref="B17:K17"/>
    <mergeCell ref="B18:I18"/>
    <mergeCell ref="B10:K10"/>
    <mergeCell ref="C11:I11"/>
    <mergeCell ref="J11:K11"/>
    <mergeCell ref="C12:I12"/>
    <mergeCell ref="J12:K12"/>
    <mergeCell ref="C13:I13"/>
    <mergeCell ref="J13:K13"/>
    <mergeCell ref="C35:J35"/>
    <mergeCell ref="C36:J36"/>
    <mergeCell ref="C37:J37"/>
    <mergeCell ref="C38:J38"/>
    <mergeCell ref="B39:J39"/>
    <mergeCell ref="B41:K41"/>
    <mergeCell ref="C55:I55"/>
    <mergeCell ref="C45:I45"/>
    <mergeCell ref="C56:I56"/>
    <mergeCell ref="C57:I57"/>
    <mergeCell ref="B58:I58"/>
    <mergeCell ref="B60:K60"/>
    <mergeCell ref="C61:J61"/>
    <mergeCell ref="C49:I49"/>
    <mergeCell ref="C50:I50"/>
    <mergeCell ref="C51:I51"/>
    <mergeCell ref="C52:I52"/>
    <mergeCell ref="C53:I53"/>
    <mergeCell ref="C54:I54"/>
    <mergeCell ref="B69:J69"/>
    <mergeCell ref="B71:K71"/>
    <mergeCell ref="C72:J72"/>
    <mergeCell ref="C73:J73"/>
    <mergeCell ref="C74:J74"/>
    <mergeCell ref="C75:J75"/>
    <mergeCell ref="C62:J62"/>
    <mergeCell ref="C64:J64"/>
    <mergeCell ref="C65:J65"/>
    <mergeCell ref="C66:J66"/>
    <mergeCell ref="C67:I67"/>
    <mergeCell ref="C68:J68"/>
    <mergeCell ref="C63:J63"/>
    <mergeCell ref="C83:I83"/>
    <mergeCell ref="C84:I84"/>
    <mergeCell ref="C85:I85"/>
    <mergeCell ref="B86:I86"/>
    <mergeCell ref="B88:K88"/>
    <mergeCell ref="B76:J76"/>
    <mergeCell ref="B78:K78"/>
    <mergeCell ref="C79:I79"/>
    <mergeCell ref="C80:I80"/>
    <mergeCell ref="C81:I81"/>
    <mergeCell ref="C82:I82"/>
    <mergeCell ref="B97:I97"/>
    <mergeCell ref="B98:K99"/>
    <mergeCell ref="B100:K100"/>
    <mergeCell ref="C101:I101"/>
    <mergeCell ref="C102:I102"/>
    <mergeCell ref="B103:J103"/>
    <mergeCell ref="C91:I91"/>
    <mergeCell ref="C92:I92"/>
    <mergeCell ref="C93:I93"/>
    <mergeCell ref="C94:I94"/>
    <mergeCell ref="C95:I95"/>
    <mergeCell ref="C96:I96"/>
    <mergeCell ref="C125:I125"/>
    <mergeCell ref="C126:I126"/>
    <mergeCell ref="C113:J113"/>
    <mergeCell ref="C115:J115"/>
    <mergeCell ref="C116:J116"/>
    <mergeCell ref="C117:J117"/>
    <mergeCell ref="C118:J118"/>
    <mergeCell ref="B119:J119"/>
    <mergeCell ref="B105:K105"/>
    <mergeCell ref="C106:I106"/>
    <mergeCell ref="C107:I107"/>
    <mergeCell ref="C108:I108"/>
    <mergeCell ref="B109:J109"/>
    <mergeCell ref="B112:K112"/>
    <mergeCell ref="B2:K2"/>
    <mergeCell ref="B89:B90"/>
    <mergeCell ref="C89:I90"/>
    <mergeCell ref="J89:J90"/>
    <mergeCell ref="K89:K90"/>
    <mergeCell ref="B140:J140"/>
    <mergeCell ref="C141:J141"/>
    <mergeCell ref="B142:J142"/>
    <mergeCell ref="B134:J134"/>
    <mergeCell ref="C135:J135"/>
    <mergeCell ref="C136:J136"/>
    <mergeCell ref="C137:J137"/>
    <mergeCell ref="C138:J138"/>
    <mergeCell ref="C139:J139"/>
    <mergeCell ref="D127:I127"/>
    <mergeCell ref="D128:I128"/>
    <mergeCell ref="D129:I129"/>
    <mergeCell ref="D130:I130"/>
    <mergeCell ref="B131:J131"/>
    <mergeCell ref="B133:K133"/>
    <mergeCell ref="B120:H120"/>
    <mergeCell ref="B122:K122"/>
    <mergeCell ref="C123:I123"/>
    <mergeCell ref="C124:I12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AM142"/>
  <sheetViews>
    <sheetView topLeftCell="A124" workbookViewId="0">
      <selection activeCell="K142" sqref="K142"/>
    </sheetView>
  </sheetViews>
  <sheetFormatPr defaultRowHeight="15"/>
  <cols>
    <col min="2" max="2" width="14.42578125" customWidth="1"/>
    <col min="7" max="8" width="14.7109375" customWidth="1"/>
    <col min="9" max="9" width="14.85546875" customWidth="1"/>
    <col min="10" max="10" width="14.7109375" customWidth="1"/>
    <col min="11" max="11" width="26.42578125" customWidth="1"/>
    <col min="13" max="13" width="8.42578125" customWidth="1"/>
    <col min="14" max="14" width="9.28515625" customWidth="1"/>
    <col min="15" max="15" width="8.7109375" customWidth="1"/>
    <col min="16" max="16" width="10.42578125" customWidth="1"/>
    <col min="17" max="17" width="8.85546875" customWidth="1"/>
    <col min="18" max="18" width="10.42578125" customWidth="1"/>
    <col min="19" max="19" width="9" customWidth="1"/>
    <col min="20" max="20" width="10" customWidth="1"/>
    <col min="21" max="21" width="12.5703125" customWidth="1"/>
    <col min="22" max="22" width="8.7109375" customWidth="1"/>
    <col min="23" max="23" width="10.140625" customWidth="1"/>
    <col min="24" max="24" width="12" customWidth="1"/>
    <col min="25" max="25" width="9.7109375" customWidth="1"/>
  </cols>
  <sheetData>
    <row r="2" spans="2:11" ht="44.25" customHeight="1"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2:11" ht="88.5" customHeight="1">
      <c r="B3" s="533" t="s">
        <v>487</v>
      </c>
      <c r="C3" s="534"/>
      <c r="D3" s="534"/>
      <c r="E3" s="534"/>
      <c r="F3" s="534"/>
      <c r="G3" s="534"/>
      <c r="H3" s="534"/>
      <c r="I3" s="534"/>
      <c r="J3" s="534"/>
      <c r="K3" s="534"/>
    </row>
    <row r="4" spans="2:11" ht="26.25">
      <c r="B4" s="561" t="s">
        <v>36</v>
      </c>
      <c r="C4" s="461"/>
      <c r="D4" s="461"/>
      <c r="E4" s="461"/>
      <c r="F4" s="461"/>
      <c r="G4" s="461"/>
      <c r="H4" s="461"/>
      <c r="I4" s="461"/>
      <c r="J4" s="461"/>
      <c r="K4" s="461"/>
    </row>
    <row r="5" spans="2:11">
      <c r="B5" s="194"/>
      <c r="C5" s="194"/>
      <c r="D5" s="3"/>
      <c r="E5" s="3"/>
      <c r="F5" s="3"/>
      <c r="G5" s="3"/>
      <c r="H5" s="3"/>
      <c r="I5" s="3"/>
      <c r="J5" s="3"/>
      <c r="K5" s="3"/>
    </row>
    <row r="6" spans="2:11" ht="30">
      <c r="B6" s="4" t="s">
        <v>17</v>
      </c>
      <c r="C6" s="462"/>
      <c r="D6" s="462"/>
      <c r="E6" s="462"/>
      <c r="F6" s="462"/>
      <c r="G6" s="462"/>
      <c r="H6" s="462"/>
      <c r="I6" s="462"/>
      <c r="J6" s="462"/>
      <c r="K6" s="462"/>
    </row>
    <row r="7" spans="2:11">
      <c r="B7" s="4" t="s">
        <v>37</v>
      </c>
      <c r="C7" s="462"/>
      <c r="D7" s="462"/>
      <c r="E7" s="462"/>
      <c r="F7" s="462"/>
      <c r="G7" s="462"/>
      <c r="H7" s="462"/>
      <c r="I7" s="462"/>
      <c r="J7" s="462"/>
      <c r="K7" s="462"/>
    </row>
    <row r="8" spans="2:11">
      <c r="B8" s="5" t="s">
        <v>18</v>
      </c>
      <c r="C8" s="463"/>
      <c r="D8" s="463"/>
      <c r="E8" s="463"/>
      <c r="F8" s="463"/>
      <c r="G8" s="463"/>
      <c r="H8" s="463"/>
      <c r="I8" s="463"/>
      <c r="J8" s="463"/>
      <c r="K8" s="463"/>
    </row>
    <row r="9" spans="2:11">
      <c r="B9" s="464"/>
      <c r="C9" s="464"/>
      <c r="D9" s="464"/>
      <c r="E9" s="464"/>
      <c r="F9" s="464"/>
      <c r="G9" s="464"/>
      <c r="H9" s="464"/>
      <c r="I9" s="464"/>
      <c r="J9" s="3"/>
      <c r="K9" s="3"/>
    </row>
    <row r="10" spans="2:11">
      <c r="B10" s="474" t="s">
        <v>38</v>
      </c>
      <c r="C10" s="474"/>
      <c r="D10" s="474"/>
      <c r="E10" s="474"/>
      <c r="F10" s="474"/>
      <c r="G10" s="474"/>
      <c r="H10" s="474"/>
      <c r="I10" s="474"/>
      <c r="J10" s="474"/>
      <c r="K10" s="474"/>
    </row>
    <row r="11" spans="2:11">
      <c r="B11" s="195" t="s">
        <v>12</v>
      </c>
      <c r="C11" s="465" t="s">
        <v>39</v>
      </c>
      <c r="D11" s="466"/>
      <c r="E11" s="466"/>
      <c r="F11" s="466"/>
      <c r="G11" s="466"/>
      <c r="H11" s="466"/>
      <c r="I11" s="466"/>
      <c r="J11" s="467" t="s">
        <v>468</v>
      </c>
      <c r="K11" s="467"/>
    </row>
    <row r="12" spans="2:11">
      <c r="B12" s="195" t="s">
        <v>13</v>
      </c>
      <c r="C12" s="465" t="s">
        <v>19</v>
      </c>
      <c r="D12" s="466"/>
      <c r="E12" s="466"/>
      <c r="F12" s="466"/>
      <c r="G12" s="466"/>
      <c r="H12" s="466"/>
      <c r="I12" s="466"/>
      <c r="J12" s="467" t="s">
        <v>40</v>
      </c>
      <c r="K12" s="467"/>
    </row>
    <row r="13" spans="2:11">
      <c r="B13" s="195" t="s">
        <v>14</v>
      </c>
      <c r="C13" s="465" t="s">
        <v>41</v>
      </c>
      <c r="D13" s="466"/>
      <c r="E13" s="466"/>
      <c r="F13" s="466"/>
      <c r="G13" s="466"/>
      <c r="H13" s="466"/>
      <c r="I13" s="466"/>
      <c r="J13" s="467" t="s">
        <v>466</v>
      </c>
      <c r="K13" s="467"/>
    </row>
    <row r="14" spans="2:11">
      <c r="B14" s="195" t="s">
        <v>14</v>
      </c>
      <c r="C14" s="465" t="s">
        <v>42</v>
      </c>
      <c r="D14" s="466"/>
      <c r="E14" s="466"/>
      <c r="F14" s="466"/>
      <c r="G14" s="466"/>
      <c r="H14" s="466"/>
      <c r="I14" s="466"/>
      <c r="J14" s="467" t="s">
        <v>467</v>
      </c>
      <c r="K14" s="467"/>
    </row>
    <row r="15" spans="2:11">
      <c r="B15" s="195" t="s">
        <v>15</v>
      </c>
      <c r="C15" s="465" t="s">
        <v>43</v>
      </c>
      <c r="D15" s="466"/>
      <c r="E15" s="466"/>
      <c r="F15" s="466"/>
      <c r="G15" s="466"/>
      <c r="H15" s="466"/>
      <c r="I15" s="466"/>
      <c r="J15" s="467">
        <v>12</v>
      </c>
      <c r="K15" s="467"/>
    </row>
    <row r="16" spans="2:11" ht="15.75" thickBot="1">
      <c r="B16" s="7"/>
      <c r="C16" s="7"/>
      <c r="D16" s="3"/>
      <c r="E16" s="3"/>
      <c r="F16" s="3"/>
      <c r="G16" s="3"/>
      <c r="H16" s="3"/>
      <c r="I16" s="3"/>
      <c r="J16" s="3"/>
      <c r="K16" s="3"/>
    </row>
    <row r="17" spans="2:25" ht="15.75" thickBot="1">
      <c r="B17" s="468" t="s">
        <v>44</v>
      </c>
      <c r="C17" s="469"/>
      <c r="D17" s="469"/>
      <c r="E17" s="469"/>
      <c r="F17" s="469"/>
      <c r="G17" s="469"/>
      <c r="H17" s="469"/>
      <c r="I17" s="469"/>
      <c r="J17" s="469"/>
      <c r="K17" s="470"/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2:25" ht="30">
      <c r="B18" s="558" t="s">
        <v>20</v>
      </c>
      <c r="C18" s="559"/>
      <c r="D18" s="559"/>
      <c r="E18" s="559"/>
      <c r="F18" s="559"/>
      <c r="G18" s="559"/>
      <c r="H18" s="559"/>
      <c r="I18" s="560"/>
      <c r="J18" s="192" t="s">
        <v>21</v>
      </c>
      <c r="K18" s="9" t="s">
        <v>45</v>
      </c>
    </row>
    <row r="19" spans="2:25" ht="15.75" customHeight="1">
      <c r="B19" s="562" t="s">
        <v>488</v>
      </c>
      <c r="C19" s="563"/>
      <c r="D19" s="563"/>
      <c r="E19" s="563"/>
      <c r="F19" s="565" t="s">
        <v>129</v>
      </c>
      <c r="G19" s="565"/>
      <c r="H19" s="565"/>
      <c r="I19" s="565"/>
      <c r="J19" s="564" t="s">
        <v>131</v>
      </c>
      <c r="K19" s="114"/>
      <c r="N19" s="73"/>
      <c r="O19" s="73"/>
      <c r="P19" s="73"/>
      <c r="Q19" s="73"/>
    </row>
    <row r="20" spans="2:25" ht="15.75">
      <c r="B20" s="562"/>
      <c r="C20" s="563"/>
      <c r="D20" s="563"/>
      <c r="E20" s="563"/>
      <c r="F20" s="565" t="s">
        <v>22</v>
      </c>
      <c r="G20" s="565"/>
      <c r="H20" s="565"/>
      <c r="I20" s="565"/>
      <c r="J20" s="564"/>
      <c r="K20" s="114"/>
      <c r="N20" s="73"/>
      <c r="O20" s="73"/>
      <c r="P20" s="73"/>
    </row>
    <row r="21" spans="2:25" ht="15.75">
      <c r="B21" s="562"/>
      <c r="C21" s="563"/>
      <c r="D21" s="563"/>
      <c r="E21" s="563"/>
      <c r="F21" s="565" t="s">
        <v>130</v>
      </c>
      <c r="G21" s="565"/>
      <c r="H21" s="565"/>
      <c r="I21" s="565"/>
      <c r="J21" s="564"/>
      <c r="K21" s="114"/>
      <c r="N21" s="73"/>
      <c r="O21" s="73"/>
      <c r="P21" s="73"/>
    </row>
    <row r="22" spans="2:25" ht="15.75" thickBot="1">
      <c r="B22" s="193"/>
      <c r="C22" s="193"/>
      <c r="D22" s="193"/>
      <c r="E22" s="193"/>
      <c r="F22" s="193"/>
      <c r="G22" s="193"/>
      <c r="H22" s="193"/>
      <c r="I22" s="3"/>
      <c r="J22" s="3"/>
      <c r="K22" s="3"/>
    </row>
    <row r="23" spans="2:25" ht="15.75" thickBot="1">
      <c r="B23" s="475" t="s">
        <v>46</v>
      </c>
      <c r="C23" s="476"/>
      <c r="D23" s="476"/>
      <c r="E23" s="476"/>
      <c r="F23" s="476"/>
      <c r="G23" s="476"/>
      <c r="H23" s="476"/>
      <c r="I23" s="476"/>
      <c r="J23" s="476"/>
      <c r="K23" s="477"/>
    </row>
    <row r="24" spans="2:25">
      <c r="B24" s="11">
        <v>1</v>
      </c>
      <c r="C24" s="478" t="s">
        <v>47</v>
      </c>
      <c r="D24" s="479"/>
      <c r="E24" s="479"/>
      <c r="F24" s="479"/>
      <c r="G24" s="479"/>
      <c r="H24" s="479"/>
      <c r="I24" s="479"/>
      <c r="J24" s="480"/>
      <c r="K24" s="12" t="s">
        <v>141</v>
      </c>
    </row>
    <row r="25" spans="2:25">
      <c r="B25" s="13">
        <v>2</v>
      </c>
      <c r="C25" s="481" t="s">
        <v>48</v>
      </c>
      <c r="D25" s="482"/>
      <c r="E25" s="482"/>
      <c r="F25" s="482"/>
      <c r="G25" s="482"/>
      <c r="H25" s="482"/>
      <c r="I25" s="482"/>
      <c r="J25" s="483"/>
      <c r="K25" s="150">
        <v>1901.53</v>
      </c>
    </row>
    <row r="26" spans="2:25">
      <c r="B26" s="13">
        <v>3</v>
      </c>
      <c r="C26" s="481" t="s">
        <v>49</v>
      </c>
      <c r="D26" s="482"/>
      <c r="E26" s="482"/>
      <c r="F26" s="482"/>
      <c r="G26" s="482"/>
      <c r="H26" s="482"/>
      <c r="I26" s="482"/>
      <c r="J26" s="483"/>
      <c r="K26" s="14" t="str">
        <f>B19</f>
        <v>Jardineiro</v>
      </c>
    </row>
    <row r="27" spans="2:25">
      <c r="B27" s="13">
        <v>4</v>
      </c>
      <c r="C27" s="481" t="s">
        <v>50</v>
      </c>
      <c r="D27" s="482"/>
      <c r="E27" s="482"/>
      <c r="F27" s="482"/>
      <c r="G27" s="482"/>
      <c r="H27" s="482"/>
      <c r="I27" s="482"/>
      <c r="J27" s="483"/>
      <c r="K27" s="15" t="s">
        <v>469</v>
      </c>
    </row>
    <row r="28" spans="2:25" ht="15.75" thickBot="1">
      <c r="B28" s="16">
        <v>5</v>
      </c>
      <c r="C28" s="484" t="s">
        <v>51</v>
      </c>
      <c r="D28" s="485"/>
      <c r="E28" s="485"/>
      <c r="F28" s="485"/>
      <c r="G28" s="485"/>
      <c r="H28" s="485"/>
      <c r="I28" s="485"/>
      <c r="J28" s="486"/>
      <c r="K28" s="136">
        <v>1</v>
      </c>
    </row>
    <row r="29" spans="2: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25" ht="15.75" thickBot="1">
      <c r="B30" s="508" t="s">
        <v>52</v>
      </c>
      <c r="C30" s="508"/>
      <c r="D30" s="508"/>
      <c r="E30" s="508"/>
      <c r="F30" s="508"/>
      <c r="G30" s="508"/>
      <c r="H30" s="508"/>
      <c r="I30" s="508"/>
      <c r="J30" s="508"/>
      <c r="K30" s="3"/>
    </row>
    <row r="31" spans="2:25" ht="15.75" thickBot="1">
      <c r="B31" s="17" t="s">
        <v>53</v>
      </c>
      <c r="C31" s="509" t="s">
        <v>54</v>
      </c>
      <c r="D31" s="510"/>
      <c r="E31" s="510"/>
      <c r="F31" s="510"/>
      <c r="G31" s="510"/>
      <c r="H31" s="510"/>
      <c r="I31" s="510"/>
      <c r="J31" s="511"/>
      <c r="K31" s="18" t="s">
        <v>55</v>
      </c>
    </row>
    <row r="32" spans="2:25">
      <c r="B32" s="19" t="s">
        <v>12</v>
      </c>
      <c r="C32" s="478" t="s">
        <v>0</v>
      </c>
      <c r="D32" s="479"/>
      <c r="E32" s="479"/>
      <c r="F32" s="479"/>
      <c r="G32" s="479"/>
      <c r="H32" s="479"/>
      <c r="I32" s="479"/>
      <c r="J32" s="479"/>
      <c r="K32" s="173">
        <f>K25</f>
        <v>1901.53</v>
      </c>
    </row>
    <row r="33" spans="2:11">
      <c r="B33" s="20" t="s">
        <v>13</v>
      </c>
      <c r="C33" s="481" t="s">
        <v>56</v>
      </c>
      <c r="D33" s="482"/>
      <c r="E33" s="482"/>
      <c r="F33" s="482"/>
      <c r="G33" s="482"/>
      <c r="H33" s="482"/>
      <c r="I33" s="482"/>
      <c r="J33" s="482"/>
      <c r="K33" s="139"/>
    </row>
    <row r="34" spans="2:11">
      <c r="B34" s="20" t="s">
        <v>14</v>
      </c>
      <c r="C34" s="481" t="s">
        <v>57</v>
      </c>
      <c r="D34" s="482"/>
      <c r="E34" s="482"/>
      <c r="F34" s="482"/>
      <c r="G34" s="482"/>
      <c r="H34" s="482"/>
      <c r="I34" s="482"/>
      <c r="J34" s="482"/>
      <c r="K34" s="139"/>
    </row>
    <row r="35" spans="2:11">
      <c r="B35" s="20" t="s">
        <v>15</v>
      </c>
      <c r="C35" s="481" t="s">
        <v>58</v>
      </c>
      <c r="D35" s="482"/>
      <c r="E35" s="482"/>
      <c r="F35" s="482"/>
      <c r="G35" s="482"/>
      <c r="H35" s="482"/>
      <c r="I35" s="482"/>
      <c r="J35" s="482"/>
      <c r="K35" s="139"/>
    </row>
    <row r="36" spans="2:11">
      <c r="B36" s="20" t="s">
        <v>16</v>
      </c>
      <c r="C36" s="481" t="s">
        <v>59</v>
      </c>
      <c r="D36" s="482"/>
      <c r="E36" s="482"/>
      <c r="F36" s="482"/>
      <c r="G36" s="482"/>
      <c r="H36" s="482"/>
      <c r="I36" s="482"/>
      <c r="J36" s="482"/>
      <c r="K36" s="139"/>
    </row>
    <row r="37" spans="2:11">
      <c r="B37" s="20" t="s">
        <v>60</v>
      </c>
      <c r="C37" s="481" t="s">
        <v>61</v>
      </c>
      <c r="D37" s="482"/>
      <c r="E37" s="482"/>
      <c r="F37" s="482"/>
      <c r="G37" s="482"/>
      <c r="H37" s="482"/>
      <c r="I37" s="482"/>
      <c r="J37" s="482"/>
      <c r="K37" s="139"/>
    </row>
    <row r="38" spans="2:11" ht="15.75" thickBot="1">
      <c r="B38" s="21" t="s">
        <v>62</v>
      </c>
      <c r="C38" s="502" t="s">
        <v>63</v>
      </c>
      <c r="D38" s="503"/>
      <c r="E38" s="503"/>
      <c r="F38" s="503"/>
      <c r="G38" s="503"/>
      <c r="H38" s="503"/>
      <c r="I38" s="503"/>
      <c r="J38" s="503"/>
      <c r="K38" s="140"/>
    </row>
    <row r="39" spans="2:11" ht="15.75" thickBot="1">
      <c r="B39" s="468" t="s">
        <v>64</v>
      </c>
      <c r="C39" s="469"/>
      <c r="D39" s="469"/>
      <c r="E39" s="469"/>
      <c r="F39" s="469"/>
      <c r="G39" s="469"/>
      <c r="H39" s="469"/>
      <c r="I39" s="469"/>
      <c r="J39" s="469"/>
      <c r="K39" s="141">
        <f>SUM(K32:K38)</f>
        <v>1901.53</v>
      </c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5.75" thickBot="1">
      <c r="B41" s="504" t="s">
        <v>65</v>
      </c>
      <c r="C41" s="504"/>
      <c r="D41" s="504"/>
      <c r="E41" s="504"/>
      <c r="F41" s="504"/>
      <c r="G41" s="504"/>
      <c r="H41" s="504"/>
      <c r="I41" s="504"/>
      <c r="J41" s="504"/>
      <c r="K41" s="504"/>
    </row>
    <row r="42" spans="2:11" ht="15.75" thickBot="1">
      <c r="B42" s="505" t="s">
        <v>66</v>
      </c>
      <c r="C42" s="506"/>
      <c r="D42" s="506"/>
      <c r="E42" s="506"/>
      <c r="F42" s="506"/>
      <c r="G42" s="506"/>
      <c r="H42" s="506"/>
      <c r="I42" s="506"/>
      <c r="J42" s="506"/>
      <c r="K42" s="507"/>
    </row>
    <row r="43" spans="2:11">
      <c r="B43" s="22" t="s">
        <v>67</v>
      </c>
      <c r="C43" s="516" t="s">
        <v>68</v>
      </c>
      <c r="D43" s="517"/>
      <c r="E43" s="517"/>
      <c r="F43" s="517"/>
      <c r="G43" s="517"/>
      <c r="H43" s="517"/>
      <c r="I43" s="518"/>
      <c r="J43" s="23" t="s">
        <v>69</v>
      </c>
      <c r="K43" s="24" t="s">
        <v>55</v>
      </c>
    </row>
    <row r="44" spans="2:11">
      <c r="B44" s="25" t="s">
        <v>12</v>
      </c>
      <c r="C44" s="465" t="s">
        <v>70</v>
      </c>
      <c r="D44" s="466"/>
      <c r="E44" s="466"/>
      <c r="F44" s="466"/>
      <c r="G44" s="466"/>
      <c r="H44" s="466"/>
      <c r="I44" s="515"/>
      <c r="J44" s="26">
        <v>8.3299999999999999E-2</v>
      </c>
      <c r="K44" s="137">
        <f>J44*K39</f>
        <v>158.39744899999999</v>
      </c>
    </row>
    <row r="45" spans="2:11" ht="15.75" thickBot="1">
      <c r="B45" s="27" t="s">
        <v>13</v>
      </c>
      <c r="C45" s="519" t="s">
        <v>71</v>
      </c>
      <c r="D45" s="520"/>
      <c r="E45" s="520"/>
      <c r="F45" s="520"/>
      <c r="G45" s="520"/>
      <c r="H45" s="520"/>
      <c r="I45" s="521"/>
      <c r="J45" s="28">
        <v>0.121</v>
      </c>
      <c r="K45" s="142">
        <f>J45*K39</f>
        <v>230.08512999999999</v>
      </c>
    </row>
    <row r="46" spans="2:11" ht="15.75" thickBot="1">
      <c r="B46" s="522" t="s">
        <v>1</v>
      </c>
      <c r="C46" s="523"/>
      <c r="D46" s="523"/>
      <c r="E46" s="523"/>
      <c r="F46" s="523"/>
      <c r="G46" s="523"/>
      <c r="H46" s="523"/>
      <c r="I46" s="523"/>
      <c r="J46" s="523"/>
      <c r="K46" s="141">
        <f>SUM(K44:K45)</f>
        <v>388.48257899999999</v>
      </c>
    </row>
    <row r="47" spans="2:11" ht="15.75" thickBot="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5.75" thickBot="1">
      <c r="B48" s="524" t="s">
        <v>72</v>
      </c>
      <c r="C48" s="525"/>
      <c r="D48" s="525"/>
      <c r="E48" s="525"/>
      <c r="F48" s="525"/>
      <c r="G48" s="525"/>
      <c r="H48" s="525"/>
      <c r="I48" s="525"/>
      <c r="J48" s="525"/>
      <c r="K48" s="526"/>
    </row>
    <row r="49" spans="2:11" ht="15.75" thickBot="1">
      <c r="B49" s="197" t="s">
        <v>73</v>
      </c>
      <c r="C49" s="527" t="s">
        <v>74</v>
      </c>
      <c r="D49" s="469"/>
      <c r="E49" s="469"/>
      <c r="F49" s="469"/>
      <c r="G49" s="469"/>
      <c r="H49" s="469"/>
      <c r="I49" s="528"/>
      <c r="J49" s="30" t="s">
        <v>69</v>
      </c>
      <c r="K49" s="31" t="s">
        <v>55</v>
      </c>
    </row>
    <row r="50" spans="2:11">
      <c r="B50" s="32" t="s">
        <v>12</v>
      </c>
      <c r="C50" s="512" t="s">
        <v>75</v>
      </c>
      <c r="D50" s="513"/>
      <c r="E50" s="513"/>
      <c r="F50" s="513"/>
      <c r="G50" s="513"/>
      <c r="H50" s="513"/>
      <c r="I50" s="514"/>
      <c r="J50" s="33">
        <v>0.2</v>
      </c>
      <c r="K50" s="143">
        <f>(K39+K46)*J50</f>
        <v>458.00251580000008</v>
      </c>
    </row>
    <row r="51" spans="2:11">
      <c r="B51" s="25" t="s">
        <v>13</v>
      </c>
      <c r="C51" s="465" t="s">
        <v>76</v>
      </c>
      <c r="D51" s="466"/>
      <c r="E51" s="466"/>
      <c r="F51" s="466"/>
      <c r="G51" s="466"/>
      <c r="H51" s="466"/>
      <c r="I51" s="515"/>
      <c r="J51" s="34">
        <v>2.5000000000000001E-2</v>
      </c>
      <c r="K51" s="137">
        <f>(K39+K46)*J51</f>
        <v>57.25031447500001</v>
      </c>
    </row>
    <row r="52" spans="2:11">
      <c r="B52" s="25" t="s">
        <v>14</v>
      </c>
      <c r="C52" s="465" t="s">
        <v>77</v>
      </c>
      <c r="D52" s="466"/>
      <c r="E52" s="466"/>
      <c r="F52" s="466"/>
      <c r="G52" s="466"/>
      <c r="H52" s="466"/>
      <c r="I52" s="515"/>
      <c r="J52" s="311">
        <v>0.06</v>
      </c>
      <c r="K52" s="137">
        <f>(K39+K46)*J52</f>
        <v>137.40075474</v>
      </c>
    </row>
    <row r="53" spans="2:11">
      <c r="B53" s="25" t="s">
        <v>15</v>
      </c>
      <c r="C53" s="465" t="s">
        <v>78</v>
      </c>
      <c r="D53" s="466"/>
      <c r="E53" s="466"/>
      <c r="F53" s="466"/>
      <c r="G53" s="466"/>
      <c r="H53" s="466"/>
      <c r="I53" s="515"/>
      <c r="J53" s="34">
        <v>1.4999999999999999E-2</v>
      </c>
      <c r="K53" s="137">
        <f>(K39+K46)*J53</f>
        <v>34.350188684999999</v>
      </c>
    </row>
    <row r="54" spans="2:11">
      <c r="B54" s="25" t="s">
        <v>16</v>
      </c>
      <c r="C54" s="465" t="s">
        <v>79</v>
      </c>
      <c r="D54" s="466"/>
      <c r="E54" s="466"/>
      <c r="F54" s="466"/>
      <c r="G54" s="466"/>
      <c r="H54" s="466"/>
      <c r="I54" s="515"/>
      <c r="J54" s="34">
        <v>0.01</v>
      </c>
      <c r="K54" s="137">
        <f>(K39+K46)*J54</f>
        <v>22.900125790000001</v>
      </c>
    </row>
    <row r="55" spans="2:11">
      <c r="B55" s="25" t="s">
        <v>60</v>
      </c>
      <c r="C55" s="465" t="s">
        <v>2</v>
      </c>
      <c r="D55" s="466"/>
      <c r="E55" s="466"/>
      <c r="F55" s="466"/>
      <c r="G55" s="466"/>
      <c r="H55" s="466"/>
      <c r="I55" s="515"/>
      <c r="J55" s="34">
        <v>6.0000000000000001E-3</v>
      </c>
      <c r="K55" s="137">
        <f>(K39+K46)*J55</f>
        <v>13.740075474000001</v>
      </c>
    </row>
    <row r="56" spans="2:11">
      <c r="B56" s="25" t="s">
        <v>62</v>
      </c>
      <c r="C56" s="465" t="s">
        <v>3</v>
      </c>
      <c r="D56" s="466"/>
      <c r="E56" s="466"/>
      <c r="F56" s="466"/>
      <c r="G56" s="466"/>
      <c r="H56" s="466"/>
      <c r="I56" s="515"/>
      <c r="J56" s="34">
        <v>2E-3</v>
      </c>
      <c r="K56" s="137">
        <f>(K39+K46)*J56</f>
        <v>4.5800251580000007</v>
      </c>
    </row>
    <row r="57" spans="2:11" ht="15.75" thickBot="1">
      <c r="B57" s="27" t="s">
        <v>80</v>
      </c>
      <c r="C57" s="519" t="s">
        <v>4</v>
      </c>
      <c r="D57" s="520"/>
      <c r="E57" s="520"/>
      <c r="F57" s="520"/>
      <c r="G57" s="520"/>
      <c r="H57" s="520"/>
      <c r="I57" s="521"/>
      <c r="J57" s="35">
        <v>0.08</v>
      </c>
      <c r="K57" s="142">
        <f>(K39+K46)*J57</f>
        <v>183.20100632</v>
      </c>
    </row>
    <row r="58" spans="2:11" ht="15.75" thickBot="1">
      <c r="B58" s="468" t="s">
        <v>1</v>
      </c>
      <c r="C58" s="469"/>
      <c r="D58" s="469"/>
      <c r="E58" s="469"/>
      <c r="F58" s="469"/>
      <c r="G58" s="469"/>
      <c r="H58" s="469"/>
      <c r="I58" s="528"/>
      <c r="J58" s="36">
        <f>SUM(J50:J57)</f>
        <v>0.39800000000000008</v>
      </c>
      <c r="K58" s="141">
        <f>SUM(K50:K57)</f>
        <v>911.42500644200015</v>
      </c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ht="15.75" thickBot="1">
      <c r="B60" s="504" t="s">
        <v>81</v>
      </c>
      <c r="C60" s="504"/>
      <c r="D60" s="504"/>
      <c r="E60" s="504"/>
      <c r="F60" s="504"/>
      <c r="G60" s="504"/>
      <c r="H60" s="504"/>
      <c r="I60" s="504"/>
      <c r="J60" s="504"/>
      <c r="K60" s="504"/>
    </row>
    <row r="61" spans="2:11">
      <c r="B61" s="37" t="s">
        <v>82</v>
      </c>
      <c r="C61" s="529" t="s">
        <v>83</v>
      </c>
      <c r="D61" s="529"/>
      <c r="E61" s="529"/>
      <c r="F61" s="529"/>
      <c r="G61" s="529"/>
      <c r="H61" s="529"/>
      <c r="I61" s="529"/>
      <c r="J61" s="529"/>
      <c r="K61" s="38" t="s">
        <v>55</v>
      </c>
    </row>
    <row r="62" spans="2:11">
      <c r="B62" s="25" t="s">
        <v>12</v>
      </c>
      <c r="C62" s="465" t="s">
        <v>84</v>
      </c>
      <c r="D62" s="466"/>
      <c r="E62" s="466"/>
      <c r="F62" s="466"/>
      <c r="G62" s="466"/>
      <c r="H62" s="466"/>
      <c r="I62" s="466"/>
      <c r="J62" s="515"/>
      <c r="K62" s="137">
        <f>((5.5*2)*22)-(6%*K32)</f>
        <v>127.90820000000001</v>
      </c>
    </row>
    <row r="63" spans="2:11">
      <c r="B63" s="25" t="s">
        <v>13</v>
      </c>
      <c r="C63" s="465" t="s">
        <v>132</v>
      </c>
      <c r="D63" s="466"/>
      <c r="E63" s="466"/>
      <c r="F63" s="466"/>
      <c r="G63" s="466"/>
      <c r="H63" s="466"/>
      <c r="I63" s="466"/>
      <c r="J63" s="515"/>
      <c r="K63" s="144"/>
    </row>
    <row r="64" spans="2:11">
      <c r="B64" s="25" t="s">
        <v>14</v>
      </c>
      <c r="C64" s="465" t="s">
        <v>142</v>
      </c>
      <c r="D64" s="466"/>
      <c r="E64" s="466"/>
      <c r="F64" s="466"/>
      <c r="G64" s="466"/>
      <c r="H64" s="466"/>
      <c r="I64" s="466"/>
      <c r="J64" s="515"/>
      <c r="K64" s="150">
        <f>35*22</f>
        <v>770</v>
      </c>
    </row>
    <row r="65" spans="2:11">
      <c r="B65" s="25" t="s">
        <v>15</v>
      </c>
      <c r="C65" s="465" t="s">
        <v>85</v>
      </c>
      <c r="D65" s="466"/>
      <c r="E65" s="466"/>
      <c r="F65" s="466"/>
      <c r="G65" s="466"/>
      <c r="H65" s="466"/>
      <c r="I65" s="466"/>
      <c r="J65" s="515"/>
      <c r="K65" s="162"/>
    </row>
    <row r="66" spans="2:11">
      <c r="B66" s="25" t="s">
        <v>16</v>
      </c>
      <c r="C66" s="465" t="s">
        <v>86</v>
      </c>
      <c r="D66" s="466"/>
      <c r="E66" s="466"/>
      <c r="F66" s="466"/>
      <c r="G66" s="466"/>
      <c r="H66" s="466"/>
      <c r="I66" s="466"/>
      <c r="J66" s="515"/>
      <c r="K66" s="163"/>
    </row>
    <row r="67" spans="2:11">
      <c r="B67" s="25" t="s">
        <v>60</v>
      </c>
      <c r="C67" s="465" t="s">
        <v>143</v>
      </c>
      <c r="D67" s="466"/>
      <c r="E67" s="466"/>
      <c r="F67" s="466"/>
      <c r="G67" s="466"/>
      <c r="H67" s="466"/>
      <c r="I67" s="466"/>
      <c r="J67" s="196"/>
      <c r="K67" s="145"/>
    </row>
    <row r="68" spans="2:11" ht="15.75" thickBot="1">
      <c r="B68" s="27" t="s">
        <v>62</v>
      </c>
      <c r="C68" s="519" t="s">
        <v>34</v>
      </c>
      <c r="D68" s="520"/>
      <c r="E68" s="520"/>
      <c r="F68" s="520"/>
      <c r="G68" s="520"/>
      <c r="H68" s="520"/>
      <c r="I68" s="520"/>
      <c r="J68" s="521"/>
      <c r="K68" s="142"/>
    </row>
    <row r="69" spans="2:11" ht="15.75" thickBot="1">
      <c r="B69" s="522" t="s">
        <v>1</v>
      </c>
      <c r="C69" s="523"/>
      <c r="D69" s="523"/>
      <c r="E69" s="523"/>
      <c r="F69" s="523"/>
      <c r="G69" s="523"/>
      <c r="H69" s="523"/>
      <c r="I69" s="523"/>
      <c r="J69" s="523"/>
      <c r="K69" s="141">
        <f>SUM(K62:K68)</f>
        <v>897.90819999999997</v>
      </c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ht="15.75" thickBot="1">
      <c r="B71" s="504" t="s">
        <v>87</v>
      </c>
      <c r="C71" s="504"/>
      <c r="D71" s="504"/>
      <c r="E71" s="504"/>
      <c r="F71" s="504"/>
      <c r="G71" s="504"/>
      <c r="H71" s="504"/>
      <c r="I71" s="504"/>
      <c r="J71" s="504"/>
      <c r="K71" s="504"/>
    </row>
    <row r="72" spans="2:11">
      <c r="B72" s="37">
        <v>2</v>
      </c>
      <c r="C72" s="529" t="s">
        <v>88</v>
      </c>
      <c r="D72" s="529"/>
      <c r="E72" s="529"/>
      <c r="F72" s="529"/>
      <c r="G72" s="529"/>
      <c r="H72" s="529"/>
      <c r="I72" s="529"/>
      <c r="J72" s="529"/>
      <c r="K72" s="38" t="s">
        <v>55</v>
      </c>
    </row>
    <row r="73" spans="2:11">
      <c r="B73" s="25" t="s">
        <v>67</v>
      </c>
      <c r="C73" s="462" t="s">
        <v>68</v>
      </c>
      <c r="D73" s="462"/>
      <c r="E73" s="462"/>
      <c r="F73" s="462"/>
      <c r="G73" s="462"/>
      <c r="H73" s="462"/>
      <c r="I73" s="462"/>
      <c r="J73" s="462"/>
      <c r="K73" s="137">
        <f>K46</f>
        <v>388.48257899999999</v>
      </c>
    </row>
    <row r="74" spans="2:11">
      <c r="B74" s="25" t="s">
        <v>73</v>
      </c>
      <c r="C74" s="462" t="s">
        <v>74</v>
      </c>
      <c r="D74" s="462"/>
      <c r="E74" s="462"/>
      <c r="F74" s="462"/>
      <c r="G74" s="462"/>
      <c r="H74" s="462"/>
      <c r="I74" s="462"/>
      <c r="J74" s="462"/>
      <c r="K74" s="137">
        <f>K58</f>
        <v>911.42500644200015</v>
      </c>
    </row>
    <row r="75" spans="2:11" ht="15.75" thickBot="1">
      <c r="B75" s="27" t="s">
        <v>82</v>
      </c>
      <c r="C75" s="531" t="s">
        <v>83</v>
      </c>
      <c r="D75" s="531"/>
      <c r="E75" s="531"/>
      <c r="F75" s="531"/>
      <c r="G75" s="531"/>
      <c r="H75" s="531"/>
      <c r="I75" s="531"/>
      <c r="J75" s="531"/>
      <c r="K75" s="142">
        <f>K69</f>
        <v>897.90819999999997</v>
      </c>
    </row>
    <row r="76" spans="2:11" ht="15.75" thickBot="1">
      <c r="B76" s="468" t="s">
        <v>1</v>
      </c>
      <c r="C76" s="469"/>
      <c r="D76" s="469"/>
      <c r="E76" s="469"/>
      <c r="F76" s="469"/>
      <c r="G76" s="469"/>
      <c r="H76" s="469"/>
      <c r="I76" s="469"/>
      <c r="J76" s="528"/>
      <c r="K76" s="141">
        <f>SUM(K73:K75)</f>
        <v>2197.8157854420001</v>
      </c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ht="15.75" thickBot="1">
      <c r="B78" s="504" t="s">
        <v>89</v>
      </c>
      <c r="C78" s="504"/>
      <c r="D78" s="504"/>
      <c r="E78" s="504"/>
      <c r="F78" s="504"/>
      <c r="G78" s="504"/>
      <c r="H78" s="504"/>
      <c r="I78" s="504"/>
      <c r="J78" s="504"/>
      <c r="K78" s="504"/>
    </row>
    <row r="79" spans="2:11" ht="15.75" thickBot="1">
      <c r="B79" s="197">
        <v>3</v>
      </c>
      <c r="C79" s="527" t="s">
        <v>90</v>
      </c>
      <c r="D79" s="469"/>
      <c r="E79" s="469"/>
      <c r="F79" s="469"/>
      <c r="G79" s="469"/>
      <c r="H79" s="469"/>
      <c r="I79" s="528"/>
      <c r="J79" s="30" t="s">
        <v>69</v>
      </c>
      <c r="K79" s="31" t="s">
        <v>55</v>
      </c>
    </row>
    <row r="80" spans="2:11">
      <c r="B80" s="32" t="s">
        <v>12</v>
      </c>
      <c r="C80" s="530" t="s">
        <v>91</v>
      </c>
      <c r="D80" s="530"/>
      <c r="E80" s="530"/>
      <c r="F80" s="530"/>
      <c r="G80" s="530"/>
      <c r="H80" s="530"/>
      <c r="I80" s="530"/>
      <c r="J80" s="40">
        <v>4.5999999999999999E-3</v>
      </c>
      <c r="K80" s="143">
        <f>($K$39+$K$76)*J80</f>
        <v>18.856990613033201</v>
      </c>
    </row>
    <row r="81" spans="2:25">
      <c r="B81" s="25" t="s">
        <v>13</v>
      </c>
      <c r="C81" s="462" t="s">
        <v>92</v>
      </c>
      <c r="D81" s="462"/>
      <c r="E81" s="462"/>
      <c r="F81" s="462"/>
      <c r="G81" s="462"/>
      <c r="H81" s="462"/>
      <c r="I81" s="462"/>
      <c r="J81" s="41">
        <f>(J80*J57)</f>
        <v>3.68E-4</v>
      </c>
      <c r="K81" s="143">
        <f t="shared" ref="K81:K85" si="0">($K$39+$K$76)*J81</f>
        <v>1.508559249042656</v>
      </c>
    </row>
    <row r="82" spans="2:25">
      <c r="B82" s="25" t="s">
        <v>14</v>
      </c>
      <c r="C82" s="462" t="s">
        <v>93</v>
      </c>
      <c r="D82" s="462"/>
      <c r="E82" s="462"/>
      <c r="F82" s="462"/>
      <c r="G82" s="462"/>
      <c r="H82" s="462"/>
      <c r="I82" s="462"/>
      <c r="J82" s="41">
        <v>0.04</v>
      </c>
      <c r="K82" s="143">
        <f t="shared" si="0"/>
        <v>163.97383141768</v>
      </c>
    </row>
    <row r="83" spans="2:25">
      <c r="B83" s="25" t="s">
        <v>15</v>
      </c>
      <c r="C83" s="462" t="s">
        <v>94</v>
      </c>
      <c r="D83" s="462"/>
      <c r="E83" s="462"/>
      <c r="F83" s="462"/>
      <c r="G83" s="462"/>
      <c r="H83" s="462"/>
      <c r="I83" s="462"/>
      <c r="J83" s="42">
        <v>1.9400000000000001E-2</v>
      </c>
      <c r="K83" s="143">
        <f t="shared" si="0"/>
        <v>79.527308237574815</v>
      </c>
    </row>
    <row r="84" spans="2:25">
      <c r="B84" s="25" t="s">
        <v>16</v>
      </c>
      <c r="C84" s="462" t="s">
        <v>95</v>
      </c>
      <c r="D84" s="462"/>
      <c r="E84" s="462"/>
      <c r="F84" s="462"/>
      <c r="G84" s="462"/>
      <c r="H84" s="462"/>
      <c r="I84" s="462"/>
      <c r="J84" s="41">
        <f>(J83*J58)</f>
        <v>7.7212000000000018E-3</v>
      </c>
      <c r="K84" s="143">
        <f t="shared" si="0"/>
        <v>31.651868678554781</v>
      </c>
    </row>
    <row r="85" spans="2:25" ht="15.75" thickBot="1">
      <c r="B85" s="27" t="s">
        <v>60</v>
      </c>
      <c r="C85" s="531" t="s">
        <v>96</v>
      </c>
      <c r="D85" s="531"/>
      <c r="E85" s="531"/>
      <c r="F85" s="531"/>
      <c r="G85" s="531"/>
      <c r="H85" s="531"/>
      <c r="I85" s="531"/>
      <c r="J85" s="43"/>
      <c r="K85" s="143">
        <f t="shared" si="0"/>
        <v>0</v>
      </c>
    </row>
    <row r="86" spans="2:25" ht="15.75" thickBot="1">
      <c r="B86" s="468" t="s">
        <v>1</v>
      </c>
      <c r="C86" s="469"/>
      <c r="D86" s="469"/>
      <c r="E86" s="469"/>
      <c r="F86" s="469"/>
      <c r="G86" s="469"/>
      <c r="H86" s="469"/>
      <c r="I86" s="528"/>
      <c r="J86" s="44">
        <f>SUM(J80:J85)</f>
        <v>7.2089200000000006E-2</v>
      </c>
      <c r="K86" s="141">
        <f>SUM(K80:K85)</f>
        <v>295.51855819588542</v>
      </c>
    </row>
    <row r="87" spans="2: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25" ht="15.75" thickBot="1">
      <c r="B88" s="504" t="s">
        <v>97</v>
      </c>
      <c r="C88" s="504"/>
      <c r="D88" s="504"/>
      <c r="E88" s="504"/>
      <c r="F88" s="504"/>
      <c r="G88" s="504"/>
      <c r="H88" s="504"/>
      <c r="I88" s="504"/>
      <c r="J88" s="504"/>
      <c r="K88" s="504"/>
      <c r="N88" s="332" t="s">
        <v>135</v>
      </c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</row>
    <row r="89" spans="2:25" ht="15" customHeight="1">
      <c r="B89" s="449" t="s">
        <v>98</v>
      </c>
      <c r="C89" s="451" t="s">
        <v>99</v>
      </c>
      <c r="D89" s="452"/>
      <c r="E89" s="452"/>
      <c r="F89" s="452"/>
      <c r="G89" s="452"/>
      <c r="H89" s="452"/>
      <c r="I89" s="453"/>
      <c r="J89" s="457" t="s">
        <v>69</v>
      </c>
      <c r="K89" s="459" t="s">
        <v>55</v>
      </c>
      <c r="M89" s="74" t="s">
        <v>438</v>
      </c>
      <c r="N89" s="74" t="s">
        <v>144</v>
      </c>
      <c r="O89" s="74" t="s">
        <v>145</v>
      </c>
      <c r="P89" s="74" t="s">
        <v>455</v>
      </c>
      <c r="Q89" s="74" t="s">
        <v>456</v>
      </c>
      <c r="R89" s="74" t="s">
        <v>460</v>
      </c>
      <c r="S89" s="74" t="s">
        <v>151</v>
      </c>
      <c r="T89" s="74" t="s">
        <v>418</v>
      </c>
      <c r="U89" s="74" t="s">
        <v>457</v>
      </c>
      <c r="V89" s="74" t="s">
        <v>147</v>
      </c>
      <c r="W89" s="74" t="s">
        <v>458</v>
      </c>
      <c r="X89" s="74" t="s">
        <v>452</v>
      </c>
      <c r="Y89" s="532" t="s">
        <v>133</v>
      </c>
    </row>
    <row r="90" spans="2:25" ht="15.75" thickBot="1">
      <c r="B90" s="450"/>
      <c r="C90" s="454"/>
      <c r="D90" s="455"/>
      <c r="E90" s="455"/>
      <c r="F90" s="455"/>
      <c r="G90" s="455"/>
      <c r="H90" s="455"/>
      <c r="I90" s="456"/>
      <c r="J90" s="458"/>
      <c r="K90" s="460"/>
      <c r="M90" s="169" t="s">
        <v>150</v>
      </c>
      <c r="N90" s="74" t="s">
        <v>148</v>
      </c>
      <c r="O90" s="74" t="s">
        <v>149</v>
      </c>
      <c r="P90" s="74" t="s">
        <v>150</v>
      </c>
      <c r="Q90" s="74" t="s">
        <v>367</v>
      </c>
      <c r="R90" s="74" t="s">
        <v>150</v>
      </c>
      <c r="S90" s="74" t="s">
        <v>152</v>
      </c>
      <c r="T90" s="74" t="s">
        <v>154</v>
      </c>
      <c r="U90" s="74" t="s">
        <v>377</v>
      </c>
      <c r="V90" s="74" t="s">
        <v>386</v>
      </c>
      <c r="W90" s="75" t="s">
        <v>153</v>
      </c>
      <c r="X90" s="74" t="s">
        <v>393</v>
      </c>
      <c r="Y90" s="532"/>
    </row>
    <row r="91" spans="2:25">
      <c r="B91" s="45" t="s">
        <v>12</v>
      </c>
      <c r="C91" s="530" t="s">
        <v>100</v>
      </c>
      <c r="D91" s="530"/>
      <c r="E91" s="530"/>
      <c r="F91" s="530"/>
      <c r="G91" s="530"/>
      <c r="H91" s="530"/>
      <c r="I91" s="530"/>
      <c r="J91" s="161">
        <v>0</v>
      </c>
      <c r="K91" s="138">
        <f>(K$58+K$39)*J91</f>
        <v>0</v>
      </c>
    </row>
    <row r="92" spans="2:25">
      <c r="B92" s="195" t="s">
        <v>13</v>
      </c>
      <c r="C92" s="465" t="s">
        <v>101</v>
      </c>
      <c r="D92" s="466"/>
      <c r="E92" s="466"/>
      <c r="F92" s="466"/>
      <c r="G92" s="466"/>
      <c r="H92" s="466"/>
      <c r="I92" s="515"/>
      <c r="J92" s="46">
        <f>Y92</f>
        <v>9.5825000000000007E-3</v>
      </c>
      <c r="K92" s="138">
        <f t="shared" ref="K92:K96" si="1">(K$58+K$39)*J92</f>
        <v>26.955141349230466</v>
      </c>
      <c r="M92" s="72">
        <v>2.8E-3</v>
      </c>
      <c r="N92" s="72">
        <v>6.6E-3</v>
      </c>
      <c r="O92" s="72">
        <v>1.66E-2</v>
      </c>
      <c r="P92" s="72">
        <v>2.8E-3</v>
      </c>
      <c r="Q92" s="72">
        <v>2.8E-3</v>
      </c>
      <c r="R92" s="72">
        <v>1.2800000000000001E-2</v>
      </c>
      <c r="S92" s="72">
        <v>5.4000000000000003E-3</v>
      </c>
      <c r="T92" s="72">
        <v>2.8E-3</v>
      </c>
      <c r="U92" s="72">
        <v>2.7000000000000001E-3</v>
      </c>
      <c r="V92" s="72">
        <v>4.1700000000000001E-2</v>
      </c>
      <c r="W92" s="72">
        <v>4.1000000000000003E-3</v>
      </c>
      <c r="X92" s="72">
        <v>1.389E-2</v>
      </c>
      <c r="Y92" s="168">
        <f>AVERAGE(M92:X92)</f>
        <v>9.5825000000000007E-3</v>
      </c>
    </row>
    <row r="93" spans="2:25">
      <c r="B93" s="195" t="s">
        <v>14</v>
      </c>
      <c r="C93" s="465" t="s">
        <v>102</v>
      </c>
      <c r="D93" s="466"/>
      <c r="E93" s="466"/>
      <c r="F93" s="466"/>
      <c r="G93" s="466"/>
      <c r="H93" s="466"/>
      <c r="I93" s="515"/>
      <c r="J93" s="46">
        <f t="shared" ref="J93:J96" si="2">Y93</f>
        <v>3.925E-4</v>
      </c>
      <c r="K93" s="138">
        <f t="shared" si="1"/>
        <v>1.1040848400284851</v>
      </c>
      <c r="M93" s="72">
        <v>2.0000000000000001E-4</v>
      </c>
      <c r="N93" s="72">
        <v>1E-3</v>
      </c>
      <c r="O93" s="72">
        <v>1E-3</v>
      </c>
      <c r="P93" s="72">
        <v>2.0000000000000001E-4</v>
      </c>
      <c r="Q93" s="72">
        <v>2.0000000000000001E-4</v>
      </c>
      <c r="R93" s="72">
        <v>2.0000000000000001E-4</v>
      </c>
      <c r="S93" s="72">
        <v>1E-4</v>
      </c>
      <c r="T93" s="72">
        <v>2.0000000000000001E-4</v>
      </c>
      <c r="U93" s="72">
        <v>2.0000000000000001E-4</v>
      </c>
      <c r="V93" s="72">
        <v>1E-3</v>
      </c>
      <c r="W93" s="72">
        <v>2.0000000000000001E-4</v>
      </c>
      <c r="X93" s="72">
        <v>2.1000000000000001E-4</v>
      </c>
      <c r="Y93" s="168">
        <f>AVERAGE(M93:X93)</f>
        <v>3.925E-4</v>
      </c>
    </row>
    <row r="94" spans="2:25">
      <c r="B94" s="195" t="s">
        <v>15</v>
      </c>
      <c r="C94" s="465" t="s">
        <v>103</v>
      </c>
      <c r="D94" s="466"/>
      <c r="E94" s="466"/>
      <c r="F94" s="466"/>
      <c r="G94" s="466"/>
      <c r="H94" s="466"/>
      <c r="I94" s="515"/>
      <c r="J94" s="46">
        <f t="shared" si="2"/>
        <v>3.231666666666667E-3</v>
      </c>
      <c r="K94" s="138">
        <f t="shared" si="1"/>
        <v>9.0905329291517312</v>
      </c>
      <c r="M94" s="72">
        <v>3.3E-3</v>
      </c>
      <c r="N94" s="72">
        <v>4.1999999999999997E-3</v>
      </c>
      <c r="O94" s="72">
        <v>4.1999999999999997E-3</v>
      </c>
      <c r="P94" s="72">
        <v>3.3E-3</v>
      </c>
      <c r="Q94" s="72">
        <v>3.3E-3</v>
      </c>
      <c r="R94" s="72">
        <v>3.3E-3</v>
      </c>
      <c r="S94" s="72">
        <v>3.3E-3</v>
      </c>
      <c r="T94" s="72">
        <v>3.3E-3</v>
      </c>
      <c r="U94" s="72">
        <v>1E-3</v>
      </c>
      <c r="V94" s="72">
        <v>6.3E-3</v>
      </c>
      <c r="W94" s="72">
        <v>5.0000000000000001E-4</v>
      </c>
      <c r="X94" s="72">
        <v>2.7799999999999999E-3</v>
      </c>
      <c r="Y94" s="168">
        <f>AVERAGE(M94:X94)</f>
        <v>3.231666666666667E-3</v>
      </c>
    </row>
    <row r="95" spans="2:25">
      <c r="B95" s="195" t="s">
        <v>16</v>
      </c>
      <c r="C95" s="465" t="s">
        <v>104</v>
      </c>
      <c r="D95" s="466"/>
      <c r="E95" s="466"/>
      <c r="F95" s="466"/>
      <c r="G95" s="466"/>
      <c r="H95" s="466"/>
      <c r="I95" s="515"/>
      <c r="J95" s="46">
        <f t="shared" si="2"/>
        <v>7.0299999999999996E-4</v>
      </c>
      <c r="K95" s="138">
        <f t="shared" si="1"/>
        <v>1.977507369528726</v>
      </c>
      <c r="M95" s="72"/>
      <c r="N95" s="72">
        <v>2.0000000000000001E-4</v>
      </c>
      <c r="O95" s="72">
        <v>2.0000000000000001E-4</v>
      </c>
      <c r="P95" s="72">
        <v>6.9999999999999999E-4</v>
      </c>
      <c r="Q95" s="72">
        <v>6.9999999999999999E-4</v>
      </c>
      <c r="R95" s="72">
        <v>5.9999999999999995E-4</v>
      </c>
      <c r="S95" s="72">
        <v>1E-4</v>
      </c>
      <c r="T95" s="72">
        <v>6.9999999999999999E-4</v>
      </c>
      <c r="U95" s="72">
        <v>2.9999999999999997E-4</v>
      </c>
      <c r="V95" s="72">
        <v>2.0000000000000001E-4</v>
      </c>
      <c r="W95" s="72"/>
      <c r="X95" s="72">
        <v>3.3300000000000001E-3</v>
      </c>
      <c r="Y95" s="168">
        <f>AVERAGE(M95:X95)</f>
        <v>7.0299999999999996E-4</v>
      </c>
    </row>
    <row r="96" spans="2:25" ht="15.75" customHeight="1" thickBot="1">
      <c r="B96" s="47" t="s">
        <v>60</v>
      </c>
      <c r="C96" s="519" t="s">
        <v>459</v>
      </c>
      <c r="D96" s="520"/>
      <c r="E96" s="520"/>
      <c r="F96" s="520"/>
      <c r="G96" s="520"/>
      <c r="H96" s="520"/>
      <c r="I96" s="521"/>
      <c r="J96" s="46">
        <f t="shared" si="2"/>
        <v>8.0533333333333342E-3</v>
      </c>
      <c r="K96" s="138">
        <f t="shared" si="1"/>
        <v>22.653664318546241</v>
      </c>
      <c r="M96" s="72">
        <v>2.8E-3</v>
      </c>
      <c r="N96" s="72"/>
      <c r="O96" s="72"/>
      <c r="P96" s="72">
        <v>1.15E-2</v>
      </c>
      <c r="Q96" s="72">
        <v>1.15E-2</v>
      </c>
      <c r="R96" s="72"/>
      <c r="S96" s="72">
        <v>1.47E-2</v>
      </c>
      <c r="T96" s="72">
        <v>5.5999999999999999E-3</v>
      </c>
      <c r="U96" s="72"/>
      <c r="V96" s="72"/>
      <c r="W96" s="72">
        <v>2.2200000000000002E-3</v>
      </c>
      <c r="X96" s="72"/>
      <c r="Y96" s="168">
        <f>AVERAGE(M96:X96)</f>
        <v>8.0533333333333342E-3</v>
      </c>
    </row>
    <row r="97" spans="2:27" ht="15.75" thickBot="1">
      <c r="B97" s="468" t="s">
        <v>1</v>
      </c>
      <c r="C97" s="469"/>
      <c r="D97" s="469"/>
      <c r="E97" s="469"/>
      <c r="F97" s="469"/>
      <c r="G97" s="469"/>
      <c r="H97" s="469"/>
      <c r="I97" s="528"/>
      <c r="J97" s="44">
        <f>SUM(J91:J96)</f>
        <v>2.1963000000000003E-2</v>
      </c>
      <c r="K97" s="141">
        <f>SUM(K91:K96)</f>
        <v>61.780930806485649</v>
      </c>
    </row>
    <row r="98" spans="2:27">
      <c r="B98" s="545" t="s">
        <v>385</v>
      </c>
      <c r="C98" s="545"/>
      <c r="D98" s="545"/>
      <c r="E98" s="545"/>
      <c r="F98" s="545"/>
      <c r="G98" s="545"/>
      <c r="H98" s="545"/>
      <c r="I98" s="545"/>
      <c r="J98" s="545"/>
      <c r="K98" s="545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63"/>
    </row>
    <row r="99" spans="2:27" ht="35.25" customHeight="1">
      <c r="B99" s="546"/>
      <c r="C99" s="546"/>
      <c r="D99" s="546"/>
      <c r="E99" s="546"/>
      <c r="F99" s="546"/>
      <c r="G99" s="546"/>
      <c r="H99" s="546"/>
      <c r="I99" s="546"/>
      <c r="J99" s="546"/>
      <c r="K99" s="546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63"/>
    </row>
    <row r="100" spans="2:27" ht="15.75" thickBot="1">
      <c r="B100" s="504" t="s">
        <v>105</v>
      </c>
      <c r="C100" s="504"/>
      <c r="D100" s="504"/>
      <c r="E100" s="504"/>
      <c r="F100" s="504"/>
      <c r="G100" s="504"/>
      <c r="H100" s="504"/>
      <c r="I100" s="504"/>
      <c r="J100" s="504"/>
      <c r="K100" s="504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63"/>
    </row>
    <row r="101" spans="2:27" ht="15.75" thickBot="1">
      <c r="B101" s="197" t="s">
        <v>106</v>
      </c>
      <c r="C101" s="527" t="s">
        <v>107</v>
      </c>
      <c r="D101" s="469"/>
      <c r="E101" s="469"/>
      <c r="F101" s="469"/>
      <c r="G101" s="469"/>
      <c r="H101" s="469"/>
      <c r="I101" s="528"/>
      <c r="J101" s="30" t="s">
        <v>69</v>
      </c>
      <c r="K101" s="31" t="s">
        <v>55</v>
      </c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63"/>
    </row>
    <row r="102" spans="2:27" ht="15.75" thickBot="1">
      <c r="B102" s="48" t="s">
        <v>12</v>
      </c>
      <c r="C102" s="533" t="s">
        <v>108</v>
      </c>
      <c r="D102" s="534"/>
      <c r="E102" s="534"/>
      <c r="F102" s="534"/>
      <c r="G102" s="534"/>
      <c r="H102" s="534"/>
      <c r="I102" s="535"/>
      <c r="J102" s="49">
        <v>0</v>
      </c>
      <c r="K102" s="146"/>
      <c r="N102" s="72"/>
      <c r="O102" s="73"/>
      <c r="P102" s="72"/>
      <c r="Q102" s="72"/>
      <c r="R102" s="72"/>
      <c r="S102" s="72"/>
      <c r="T102" s="72"/>
      <c r="U102" s="72"/>
      <c r="V102" s="72"/>
      <c r="W102" s="72"/>
      <c r="X102" s="72"/>
      <c r="Y102" s="63"/>
    </row>
    <row r="103" spans="2:27" ht="15.75" thickBot="1">
      <c r="B103" s="522" t="s">
        <v>1</v>
      </c>
      <c r="C103" s="523"/>
      <c r="D103" s="523"/>
      <c r="E103" s="523"/>
      <c r="F103" s="523"/>
      <c r="G103" s="523"/>
      <c r="H103" s="523"/>
      <c r="I103" s="523"/>
      <c r="J103" s="523"/>
      <c r="K103" s="50"/>
      <c r="Y103" s="63"/>
    </row>
    <row r="104" spans="2:27">
      <c r="B104" s="3"/>
      <c r="C104" s="3"/>
      <c r="D104" s="3"/>
      <c r="E104" s="3"/>
      <c r="F104" s="3"/>
      <c r="G104" s="3"/>
      <c r="H104" s="3"/>
      <c r="I104" s="3"/>
      <c r="J104" s="3"/>
      <c r="K104" s="3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63"/>
    </row>
    <row r="105" spans="2:27" ht="15.75" thickBot="1">
      <c r="B105" s="504" t="s">
        <v>109</v>
      </c>
      <c r="C105" s="504"/>
      <c r="D105" s="504"/>
      <c r="E105" s="504"/>
      <c r="F105" s="504"/>
      <c r="G105" s="504"/>
      <c r="H105" s="504"/>
      <c r="I105" s="504"/>
      <c r="J105" s="504"/>
      <c r="K105" s="504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63"/>
    </row>
    <row r="106" spans="2:27">
      <c r="B106" s="37">
        <v>4</v>
      </c>
      <c r="C106" s="536" t="s">
        <v>110</v>
      </c>
      <c r="D106" s="537"/>
      <c r="E106" s="537"/>
      <c r="F106" s="537"/>
      <c r="G106" s="537"/>
      <c r="H106" s="537"/>
      <c r="I106" s="538"/>
      <c r="J106" s="191" t="s">
        <v>69</v>
      </c>
      <c r="K106" s="38" t="s">
        <v>55</v>
      </c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63"/>
    </row>
    <row r="107" spans="2:27">
      <c r="B107" s="25" t="s">
        <v>98</v>
      </c>
      <c r="C107" s="539" t="s">
        <v>111</v>
      </c>
      <c r="D107" s="540"/>
      <c r="E107" s="540"/>
      <c r="F107" s="540"/>
      <c r="G107" s="540"/>
      <c r="H107" s="540"/>
      <c r="I107" s="541"/>
      <c r="J107" s="52">
        <f>J97</f>
        <v>2.1963000000000003E-2</v>
      </c>
      <c r="K107" s="147">
        <f>K97</f>
        <v>61.780930806485649</v>
      </c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63"/>
    </row>
    <row r="108" spans="2:27" ht="15.75" thickBot="1">
      <c r="B108" s="27" t="s">
        <v>106</v>
      </c>
      <c r="C108" s="542" t="s">
        <v>112</v>
      </c>
      <c r="D108" s="543"/>
      <c r="E108" s="543"/>
      <c r="F108" s="543"/>
      <c r="G108" s="543"/>
      <c r="H108" s="543"/>
      <c r="I108" s="544"/>
      <c r="J108" s="53">
        <v>0</v>
      </c>
      <c r="K108" s="148"/>
      <c r="N108" s="72"/>
      <c r="O108" s="73"/>
      <c r="P108" s="72"/>
      <c r="Q108" s="72"/>
      <c r="R108" s="72"/>
      <c r="S108" s="72"/>
      <c r="T108" s="72"/>
      <c r="U108" s="72"/>
      <c r="V108" s="72"/>
      <c r="W108" s="72"/>
      <c r="X108" s="72"/>
      <c r="Y108" s="63"/>
      <c r="Z108" s="63"/>
      <c r="AA108" s="63"/>
    </row>
    <row r="109" spans="2:27" ht="15.75" thickBot="1">
      <c r="B109" s="468" t="s">
        <v>1</v>
      </c>
      <c r="C109" s="469"/>
      <c r="D109" s="469"/>
      <c r="E109" s="469"/>
      <c r="F109" s="469"/>
      <c r="G109" s="469"/>
      <c r="H109" s="469"/>
      <c r="I109" s="469"/>
      <c r="J109" s="528"/>
      <c r="K109" s="141">
        <f>SUM(K107:K108)</f>
        <v>61.780930806485649</v>
      </c>
      <c r="Y109" s="63"/>
    </row>
    <row r="110" spans="2:27">
      <c r="B110" s="3"/>
      <c r="C110" s="3"/>
      <c r="D110" s="3"/>
      <c r="E110" s="3"/>
      <c r="F110" s="3"/>
      <c r="G110" s="3"/>
      <c r="H110" s="3"/>
      <c r="I110" s="3"/>
      <c r="J110" s="3"/>
      <c r="K110" s="3"/>
      <c r="Y110" s="63"/>
    </row>
    <row r="111" spans="2:27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27" ht="15.75" thickBot="1">
      <c r="B112" s="504" t="s">
        <v>113</v>
      </c>
      <c r="C112" s="504"/>
      <c r="D112" s="504"/>
      <c r="E112" s="504"/>
      <c r="F112" s="504"/>
      <c r="G112" s="504"/>
      <c r="H112" s="504"/>
      <c r="I112" s="504"/>
      <c r="J112" s="504"/>
      <c r="K112" s="504"/>
      <c r="N112" s="72"/>
      <c r="O112" s="72"/>
      <c r="P112" s="72"/>
      <c r="Q112" s="72"/>
      <c r="R112" s="72"/>
      <c r="S112" s="72"/>
      <c r="T112" s="72"/>
      <c r="V112" s="72"/>
      <c r="W112" s="72"/>
      <c r="X112" s="72"/>
      <c r="Y112" s="63"/>
    </row>
    <row r="113" spans="2:39" ht="15.75" thickBot="1">
      <c r="B113" s="197">
        <v>5</v>
      </c>
      <c r="C113" s="469" t="s">
        <v>5</v>
      </c>
      <c r="D113" s="469"/>
      <c r="E113" s="469"/>
      <c r="F113" s="469"/>
      <c r="G113" s="469"/>
      <c r="H113" s="469"/>
      <c r="I113" s="469"/>
      <c r="J113" s="469"/>
      <c r="K113" s="54" t="s">
        <v>55</v>
      </c>
      <c r="N113" s="72"/>
      <c r="O113" s="72"/>
      <c r="P113" s="72"/>
      <c r="Q113" s="72"/>
      <c r="R113" s="72"/>
      <c r="S113" s="72"/>
      <c r="T113" s="72"/>
      <c r="V113" s="72"/>
      <c r="W113" s="72"/>
      <c r="X113" s="72"/>
      <c r="Y113" s="63"/>
    </row>
    <row r="114" spans="2:39">
      <c r="B114" s="113" t="s">
        <v>12</v>
      </c>
      <c r="C114" s="549" t="s">
        <v>134</v>
      </c>
      <c r="D114" s="550"/>
      <c r="E114" s="550"/>
      <c r="F114" s="550"/>
      <c r="G114" s="550"/>
      <c r="H114" s="550"/>
      <c r="I114" s="550"/>
      <c r="J114" s="550"/>
      <c r="K114" s="149">
        <v>0</v>
      </c>
      <c r="N114" s="72"/>
      <c r="O114" s="72"/>
      <c r="P114" s="72"/>
      <c r="Q114" s="72"/>
      <c r="R114" s="72"/>
      <c r="S114" s="72"/>
      <c r="T114" s="72"/>
      <c r="V114" s="72"/>
      <c r="W114" s="72"/>
      <c r="X114" s="72"/>
      <c r="Y114" s="63"/>
    </row>
    <row r="115" spans="2:39">
      <c r="B115" s="32" t="s">
        <v>12</v>
      </c>
      <c r="C115" s="530" t="s">
        <v>319</v>
      </c>
      <c r="D115" s="530"/>
      <c r="E115" s="530"/>
      <c r="F115" s="530"/>
      <c r="G115" s="530"/>
      <c r="H115" s="530"/>
      <c r="I115" s="530"/>
      <c r="J115" s="530"/>
      <c r="K115" s="151">
        <v>0</v>
      </c>
      <c r="N115" s="72"/>
      <c r="O115" s="72"/>
      <c r="P115" s="72"/>
      <c r="Q115" s="72"/>
      <c r="R115" s="72"/>
      <c r="S115" s="72"/>
      <c r="T115" s="72"/>
      <c r="V115" s="72"/>
      <c r="W115" s="72"/>
      <c r="X115" s="72"/>
      <c r="Y115" s="63"/>
    </row>
    <row r="116" spans="2:39">
      <c r="B116" s="25" t="s">
        <v>13</v>
      </c>
      <c r="C116" s="462" t="s">
        <v>320</v>
      </c>
      <c r="D116" s="462"/>
      <c r="E116" s="462"/>
      <c r="F116" s="462"/>
      <c r="G116" s="462"/>
      <c r="H116" s="462"/>
      <c r="I116" s="462"/>
      <c r="J116" s="462"/>
      <c r="K116" s="150">
        <v>0</v>
      </c>
      <c r="N116" s="72"/>
      <c r="O116" s="72"/>
      <c r="P116" s="72"/>
      <c r="Q116" s="72"/>
      <c r="R116" s="72"/>
      <c r="S116" s="72"/>
      <c r="T116" s="72"/>
      <c r="V116" s="72"/>
      <c r="W116" s="72"/>
      <c r="X116" s="72"/>
      <c r="Y116" s="63"/>
    </row>
    <row r="117" spans="2:39">
      <c r="B117" s="25" t="s">
        <v>14</v>
      </c>
      <c r="C117" s="462" t="s">
        <v>114</v>
      </c>
      <c r="D117" s="462"/>
      <c r="E117" s="462"/>
      <c r="F117" s="462"/>
      <c r="G117" s="462"/>
      <c r="H117" s="462"/>
      <c r="I117" s="462"/>
      <c r="J117" s="462"/>
      <c r="K117" s="150">
        <f>Uniformes!AH36</f>
        <v>17.776666666666667</v>
      </c>
      <c r="O117" s="72"/>
      <c r="P117" s="72"/>
      <c r="Q117" s="72"/>
      <c r="R117" s="72"/>
      <c r="T117" s="72"/>
      <c r="V117" s="72"/>
      <c r="W117" s="72"/>
      <c r="X117" s="72"/>
      <c r="Y117" s="63"/>
    </row>
    <row r="118" spans="2:39" ht="15.75" customHeight="1" thickBot="1">
      <c r="B118" s="27" t="s">
        <v>15</v>
      </c>
      <c r="C118" s="555"/>
      <c r="D118" s="556"/>
      <c r="E118" s="556"/>
      <c r="F118" s="556"/>
      <c r="G118" s="556"/>
      <c r="H118" s="556"/>
      <c r="I118" s="556"/>
      <c r="J118" s="557"/>
      <c r="K118" s="152"/>
      <c r="Y118" s="63"/>
    </row>
    <row r="119" spans="2:39" ht="15.75" thickBot="1">
      <c r="B119" s="468" t="s">
        <v>1</v>
      </c>
      <c r="C119" s="469"/>
      <c r="D119" s="469"/>
      <c r="E119" s="469"/>
      <c r="F119" s="469"/>
      <c r="G119" s="469"/>
      <c r="H119" s="469"/>
      <c r="I119" s="469"/>
      <c r="J119" s="528"/>
      <c r="K119" s="141">
        <f>SUM(K115:K118)</f>
        <v>17.776666666666667</v>
      </c>
      <c r="N119" s="76"/>
      <c r="Y119" s="63"/>
    </row>
    <row r="120" spans="2:39">
      <c r="B120" s="547"/>
      <c r="C120" s="547"/>
      <c r="D120" s="547"/>
      <c r="E120" s="547"/>
      <c r="F120" s="547"/>
      <c r="G120" s="547"/>
      <c r="H120" s="547"/>
      <c r="I120" s="3"/>
      <c r="J120" s="3"/>
      <c r="K120" s="3"/>
    </row>
    <row r="121" spans="2:39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39" ht="15.75" thickBot="1">
      <c r="B122" s="548" t="s">
        <v>115</v>
      </c>
      <c r="C122" s="548"/>
      <c r="D122" s="548"/>
      <c r="E122" s="548"/>
      <c r="F122" s="548"/>
      <c r="G122" s="548"/>
      <c r="H122" s="548"/>
      <c r="I122" s="548"/>
      <c r="J122" s="548"/>
      <c r="K122" s="548"/>
    </row>
    <row r="123" spans="2:39" ht="15.75" thickBot="1">
      <c r="B123" s="197">
        <v>6</v>
      </c>
      <c r="C123" s="469" t="s">
        <v>6</v>
      </c>
      <c r="D123" s="469"/>
      <c r="E123" s="469"/>
      <c r="F123" s="469"/>
      <c r="G123" s="469"/>
      <c r="H123" s="469"/>
      <c r="I123" s="469"/>
      <c r="J123" s="55" t="s">
        <v>116</v>
      </c>
      <c r="K123" s="54" t="s">
        <v>55</v>
      </c>
      <c r="M123" s="170" t="s">
        <v>155</v>
      </c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</row>
    <row r="124" spans="2:39">
      <c r="B124" s="32" t="s">
        <v>12</v>
      </c>
      <c r="C124" s="530" t="s">
        <v>7</v>
      </c>
      <c r="D124" s="530"/>
      <c r="E124" s="530"/>
      <c r="F124" s="530"/>
      <c r="G124" s="530"/>
      <c r="H124" s="530"/>
      <c r="I124" s="530"/>
      <c r="J124" s="56">
        <v>0.03</v>
      </c>
      <c r="K124" s="151">
        <f>J124*K140</f>
        <v>134.23265823333114</v>
      </c>
      <c r="M124" s="64" t="s">
        <v>157</v>
      </c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</row>
    <row r="125" spans="2:39">
      <c r="B125" s="25" t="s">
        <v>13</v>
      </c>
      <c r="C125" s="462" t="s">
        <v>9</v>
      </c>
      <c r="D125" s="462"/>
      <c r="E125" s="462"/>
      <c r="F125" s="462"/>
      <c r="G125" s="462"/>
      <c r="H125" s="462"/>
      <c r="I125" s="462"/>
      <c r="J125" s="57">
        <v>6.7900000000000002E-2</v>
      </c>
      <c r="K125" s="150">
        <f>J125*(K124+$K$140)</f>
        <v>312.92764729548264</v>
      </c>
      <c r="M125" s="64" t="s">
        <v>157</v>
      </c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</row>
    <row r="126" spans="2:39">
      <c r="B126" s="25" t="s">
        <v>14</v>
      </c>
      <c r="C126" s="462" t="s">
        <v>8</v>
      </c>
      <c r="D126" s="462"/>
      <c r="E126" s="462"/>
      <c r="F126" s="462"/>
      <c r="G126" s="462"/>
      <c r="H126" s="462"/>
      <c r="I126" s="462"/>
      <c r="J126" s="58">
        <f>SUM(J127:J130)</f>
        <v>0.14250000000000002</v>
      </c>
      <c r="K126" s="150"/>
    </row>
    <row r="127" spans="2:39">
      <c r="B127" s="25"/>
      <c r="C127" s="195"/>
      <c r="D127" s="462" t="s">
        <v>117</v>
      </c>
      <c r="E127" s="462"/>
      <c r="F127" s="462"/>
      <c r="G127" s="462"/>
      <c r="H127" s="462"/>
      <c r="I127" s="462"/>
      <c r="J127" s="59">
        <f>1.65%+7.6%</f>
        <v>9.2499999999999999E-2</v>
      </c>
      <c r="K127" s="150">
        <f>(K140+K124+K125)/(1-J126)*J127</f>
        <v>530.89954264045048</v>
      </c>
      <c r="M127" s="64" t="s">
        <v>156</v>
      </c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</row>
    <row r="128" spans="2:39">
      <c r="B128" s="25"/>
      <c r="C128" s="195"/>
      <c r="D128" s="462" t="s">
        <v>118</v>
      </c>
      <c r="E128" s="462"/>
      <c r="F128" s="462"/>
      <c r="G128" s="462"/>
      <c r="H128" s="462"/>
      <c r="I128" s="462"/>
      <c r="J128" s="26">
        <v>0</v>
      </c>
      <c r="K128" s="150"/>
    </row>
    <row r="129" spans="2:31">
      <c r="B129" s="25"/>
      <c r="C129" s="195"/>
      <c r="D129" s="462" t="s">
        <v>119</v>
      </c>
      <c r="E129" s="462"/>
      <c r="F129" s="462"/>
      <c r="G129" s="462"/>
      <c r="H129" s="462"/>
      <c r="I129" s="462"/>
      <c r="J129" s="59">
        <v>0.05</v>
      </c>
      <c r="K129" s="150">
        <f>(K140+K124+K125)/(1-J126)*J129</f>
        <v>286.97272575159485</v>
      </c>
      <c r="M129" s="64" t="s">
        <v>156</v>
      </c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</row>
    <row r="130" spans="2:31" ht="15.75" thickBot="1">
      <c r="B130" s="27"/>
      <c r="C130" s="47"/>
      <c r="D130" s="531" t="s">
        <v>120</v>
      </c>
      <c r="E130" s="531"/>
      <c r="F130" s="531"/>
      <c r="G130" s="531"/>
      <c r="H130" s="531"/>
      <c r="I130" s="531"/>
      <c r="J130" s="28">
        <v>0</v>
      </c>
      <c r="K130" s="152"/>
    </row>
    <row r="131" spans="2:31" ht="15.75" thickBot="1">
      <c r="B131" s="468" t="s">
        <v>1</v>
      </c>
      <c r="C131" s="469"/>
      <c r="D131" s="469"/>
      <c r="E131" s="469"/>
      <c r="F131" s="469"/>
      <c r="G131" s="469"/>
      <c r="H131" s="469"/>
      <c r="I131" s="469"/>
      <c r="J131" s="528"/>
      <c r="K131" s="141">
        <f>SUM(K124:K130)</f>
        <v>1265.032573920859</v>
      </c>
    </row>
    <row r="132" spans="2:3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31" ht="15.75" thickBot="1">
      <c r="B133" s="504" t="s">
        <v>121</v>
      </c>
      <c r="C133" s="504"/>
      <c r="D133" s="504"/>
      <c r="E133" s="504"/>
      <c r="F133" s="504"/>
      <c r="G133" s="504"/>
      <c r="H133" s="504"/>
      <c r="I133" s="504"/>
      <c r="J133" s="504"/>
      <c r="K133" s="504"/>
    </row>
    <row r="134" spans="2:31" ht="15.75" thickBot="1">
      <c r="B134" s="468" t="s">
        <v>122</v>
      </c>
      <c r="C134" s="469"/>
      <c r="D134" s="469"/>
      <c r="E134" s="469"/>
      <c r="F134" s="469"/>
      <c r="G134" s="469"/>
      <c r="H134" s="469"/>
      <c r="I134" s="469"/>
      <c r="J134" s="528"/>
      <c r="K134" s="31" t="s">
        <v>55</v>
      </c>
    </row>
    <row r="135" spans="2:31">
      <c r="B135" s="60" t="s">
        <v>12</v>
      </c>
      <c r="C135" s="530" t="s">
        <v>123</v>
      </c>
      <c r="D135" s="530"/>
      <c r="E135" s="530"/>
      <c r="F135" s="530"/>
      <c r="G135" s="530"/>
      <c r="H135" s="530"/>
      <c r="I135" s="530"/>
      <c r="J135" s="530"/>
      <c r="K135" s="143">
        <f>K39</f>
        <v>1901.53</v>
      </c>
    </row>
    <row r="136" spans="2:31">
      <c r="B136" s="198" t="s">
        <v>13</v>
      </c>
      <c r="C136" s="462" t="s">
        <v>65</v>
      </c>
      <c r="D136" s="462"/>
      <c r="E136" s="462"/>
      <c r="F136" s="462"/>
      <c r="G136" s="462"/>
      <c r="H136" s="462"/>
      <c r="I136" s="462"/>
      <c r="J136" s="462"/>
      <c r="K136" s="137">
        <f>K76</f>
        <v>2197.8157854420001</v>
      </c>
    </row>
    <row r="137" spans="2:31">
      <c r="B137" s="198" t="s">
        <v>14</v>
      </c>
      <c r="C137" s="462" t="s">
        <v>124</v>
      </c>
      <c r="D137" s="462"/>
      <c r="E137" s="462"/>
      <c r="F137" s="462"/>
      <c r="G137" s="462"/>
      <c r="H137" s="462"/>
      <c r="I137" s="462"/>
      <c r="J137" s="462"/>
      <c r="K137" s="137">
        <f>K86</f>
        <v>295.51855819588542</v>
      </c>
    </row>
    <row r="138" spans="2:31">
      <c r="B138" s="198" t="s">
        <v>15</v>
      </c>
      <c r="C138" s="462" t="s">
        <v>125</v>
      </c>
      <c r="D138" s="462"/>
      <c r="E138" s="462"/>
      <c r="F138" s="462"/>
      <c r="G138" s="462"/>
      <c r="H138" s="462"/>
      <c r="I138" s="462"/>
      <c r="J138" s="462"/>
      <c r="K138" s="137">
        <f>K109</f>
        <v>61.780930806485649</v>
      </c>
    </row>
    <row r="139" spans="2:31">
      <c r="B139" s="198" t="s">
        <v>16</v>
      </c>
      <c r="C139" s="462" t="s">
        <v>113</v>
      </c>
      <c r="D139" s="462"/>
      <c r="E139" s="462"/>
      <c r="F139" s="462"/>
      <c r="G139" s="462"/>
      <c r="H139" s="462"/>
      <c r="I139" s="462"/>
      <c r="J139" s="462"/>
      <c r="K139" s="150">
        <f>K119</f>
        <v>17.776666666666667</v>
      </c>
    </row>
    <row r="140" spans="2:31">
      <c r="B140" s="551" t="s">
        <v>126</v>
      </c>
      <c r="C140" s="552"/>
      <c r="D140" s="552"/>
      <c r="E140" s="552"/>
      <c r="F140" s="552"/>
      <c r="G140" s="552"/>
      <c r="H140" s="552"/>
      <c r="I140" s="552"/>
      <c r="J140" s="552"/>
      <c r="K140" s="150">
        <f>SUM(K135:K139)</f>
        <v>4474.421941111038</v>
      </c>
    </row>
    <row r="141" spans="2:31" ht="15.75" thickBot="1">
      <c r="B141" s="62" t="s">
        <v>60</v>
      </c>
      <c r="C141" s="531" t="s">
        <v>115</v>
      </c>
      <c r="D141" s="531"/>
      <c r="E141" s="531"/>
      <c r="F141" s="531"/>
      <c r="G141" s="531"/>
      <c r="H141" s="531"/>
      <c r="I141" s="531"/>
      <c r="J141" s="531"/>
      <c r="K141" s="152">
        <f>K131</f>
        <v>1265.032573920859</v>
      </c>
    </row>
    <row r="142" spans="2:31" ht="15.75" thickBot="1">
      <c r="B142" s="553" t="s">
        <v>127</v>
      </c>
      <c r="C142" s="554"/>
      <c r="D142" s="554"/>
      <c r="E142" s="554"/>
      <c r="F142" s="554"/>
      <c r="G142" s="554"/>
      <c r="H142" s="554"/>
      <c r="I142" s="554"/>
      <c r="J142" s="554"/>
      <c r="K142" s="153">
        <f>SUM(K140:K141)</f>
        <v>5739.4545150318972</v>
      </c>
    </row>
  </sheetData>
  <mergeCells count="136">
    <mergeCell ref="B2:K2"/>
    <mergeCell ref="B3:K3"/>
    <mergeCell ref="B4:K4"/>
    <mergeCell ref="C6:K6"/>
    <mergeCell ref="C7:K7"/>
    <mergeCell ref="C8:K8"/>
    <mergeCell ref="C13:I13"/>
    <mergeCell ref="J13:K13"/>
    <mergeCell ref="C14:I14"/>
    <mergeCell ref="J14:K14"/>
    <mergeCell ref="C15:I15"/>
    <mergeCell ref="J15:K15"/>
    <mergeCell ref="B9:I9"/>
    <mergeCell ref="B10:K10"/>
    <mergeCell ref="C11:I11"/>
    <mergeCell ref="J11:K11"/>
    <mergeCell ref="C12:I12"/>
    <mergeCell ref="J12:K12"/>
    <mergeCell ref="B23:K23"/>
    <mergeCell ref="C24:J24"/>
    <mergeCell ref="C25:J25"/>
    <mergeCell ref="C26:J26"/>
    <mergeCell ref="C27:J27"/>
    <mergeCell ref="C28:J28"/>
    <mergeCell ref="B17:K17"/>
    <mergeCell ref="B18:I18"/>
    <mergeCell ref="B19:E21"/>
    <mergeCell ref="F19:I19"/>
    <mergeCell ref="J19:J21"/>
    <mergeCell ref="F20:I20"/>
    <mergeCell ref="F21:I21"/>
    <mergeCell ref="C36:J36"/>
    <mergeCell ref="C37:J37"/>
    <mergeCell ref="C38:J38"/>
    <mergeCell ref="B39:J39"/>
    <mergeCell ref="B41:K41"/>
    <mergeCell ref="B42:K42"/>
    <mergeCell ref="B30:J30"/>
    <mergeCell ref="C31:J31"/>
    <mergeCell ref="C32:J32"/>
    <mergeCell ref="C33:J33"/>
    <mergeCell ref="C34:J34"/>
    <mergeCell ref="C35:J35"/>
    <mergeCell ref="C50:I50"/>
    <mergeCell ref="C51:I51"/>
    <mergeCell ref="C52:I52"/>
    <mergeCell ref="C53:I53"/>
    <mergeCell ref="C54:I54"/>
    <mergeCell ref="C55:I55"/>
    <mergeCell ref="C43:I43"/>
    <mergeCell ref="C44:I44"/>
    <mergeCell ref="C45:I45"/>
    <mergeCell ref="B46:J46"/>
    <mergeCell ref="B48:K48"/>
    <mergeCell ref="C49:I49"/>
    <mergeCell ref="C63:J63"/>
    <mergeCell ref="C64:J64"/>
    <mergeCell ref="C65:J65"/>
    <mergeCell ref="C66:J66"/>
    <mergeCell ref="C67:I67"/>
    <mergeCell ref="C68:J68"/>
    <mergeCell ref="C56:I56"/>
    <mergeCell ref="C57:I57"/>
    <mergeCell ref="B58:I58"/>
    <mergeCell ref="B60:K60"/>
    <mergeCell ref="C61:J61"/>
    <mergeCell ref="C62:J62"/>
    <mergeCell ref="B76:J76"/>
    <mergeCell ref="B78:K78"/>
    <mergeCell ref="C79:I79"/>
    <mergeCell ref="C80:I80"/>
    <mergeCell ref="C81:I81"/>
    <mergeCell ref="C82:I82"/>
    <mergeCell ref="B69:J69"/>
    <mergeCell ref="B71:K71"/>
    <mergeCell ref="C72:J72"/>
    <mergeCell ref="C73:J73"/>
    <mergeCell ref="C74:J74"/>
    <mergeCell ref="C75:J75"/>
    <mergeCell ref="B89:B90"/>
    <mergeCell ref="C89:I90"/>
    <mergeCell ref="J89:J90"/>
    <mergeCell ref="K89:K90"/>
    <mergeCell ref="Y89:Y90"/>
    <mergeCell ref="C91:I91"/>
    <mergeCell ref="C83:I83"/>
    <mergeCell ref="C84:I84"/>
    <mergeCell ref="C85:I85"/>
    <mergeCell ref="B86:I86"/>
    <mergeCell ref="B88:K88"/>
    <mergeCell ref="N88:Y88"/>
    <mergeCell ref="B98:K99"/>
    <mergeCell ref="B100:K100"/>
    <mergeCell ref="C101:I101"/>
    <mergeCell ref="C102:I102"/>
    <mergeCell ref="B103:J103"/>
    <mergeCell ref="B105:K105"/>
    <mergeCell ref="C92:I92"/>
    <mergeCell ref="C93:I93"/>
    <mergeCell ref="C94:I94"/>
    <mergeCell ref="C95:I95"/>
    <mergeCell ref="C96:I96"/>
    <mergeCell ref="B97:I97"/>
    <mergeCell ref="C114:J114"/>
    <mergeCell ref="C115:J115"/>
    <mergeCell ref="C116:J116"/>
    <mergeCell ref="C117:J117"/>
    <mergeCell ref="C118:J118"/>
    <mergeCell ref="B119:J119"/>
    <mergeCell ref="C106:I106"/>
    <mergeCell ref="C107:I107"/>
    <mergeCell ref="C108:I108"/>
    <mergeCell ref="B109:J109"/>
    <mergeCell ref="B112:K112"/>
    <mergeCell ref="C113:J113"/>
    <mergeCell ref="D127:I127"/>
    <mergeCell ref="D128:I128"/>
    <mergeCell ref="D129:I129"/>
    <mergeCell ref="D130:I130"/>
    <mergeCell ref="B131:J131"/>
    <mergeCell ref="B133:K133"/>
    <mergeCell ref="B120:H120"/>
    <mergeCell ref="B122:K122"/>
    <mergeCell ref="C123:I123"/>
    <mergeCell ref="C124:I124"/>
    <mergeCell ref="C125:I125"/>
    <mergeCell ref="C126:I126"/>
    <mergeCell ref="B140:J140"/>
    <mergeCell ref="C141:J141"/>
    <mergeCell ref="B142:J142"/>
    <mergeCell ref="B134:J134"/>
    <mergeCell ref="C135:J135"/>
    <mergeCell ref="C136:J136"/>
    <mergeCell ref="C137:J137"/>
    <mergeCell ref="C138:J138"/>
    <mergeCell ref="C139:J139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AM142"/>
  <sheetViews>
    <sheetView topLeftCell="A118" workbookViewId="0">
      <selection activeCell="K150" sqref="K150"/>
    </sheetView>
  </sheetViews>
  <sheetFormatPr defaultRowHeight="15"/>
  <cols>
    <col min="2" max="2" width="14.42578125" customWidth="1"/>
    <col min="7" max="8" width="14.7109375" customWidth="1"/>
    <col min="9" max="9" width="14.85546875" customWidth="1"/>
    <col min="10" max="10" width="14.7109375" customWidth="1"/>
    <col min="11" max="11" width="26.42578125" customWidth="1"/>
    <col min="13" max="13" width="8.42578125" customWidth="1"/>
    <col min="14" max="14" width="9.28515625" customWidth="1"/>
    <col min="15" max="15" width="8.7109375" customWidth="1"/>
    <col min="16" max="16" width="10.42578125" customWidth="1"/>
    <col min="17" max="17" width="8.85546875" customWidth="1"/>
    <col min="18" max="18" width="10.42578125" customWidth="1"/>
    <col min="19" max="19" width="9" customWidth="1"/>
    <col min="20" max="20" width="10" customWidth="1"/>
    <col min="21" max="21" width="12.5703125" customWidth="1"/>
    <col min="22" max="22" width="8.7109375" customWidth="1"/>
    <col min="23" max="23" width="10.140625" customWidth="1"/>
    <col min="24" max="24" width="12" customWidth="1"/>
    <col min="25" max="25" width="9.7109375" customWidth="1"/>
  </cols>
  <sheetData>
    <row r="2" spans="2:11" ht="44.25" customHeight="1"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2:11" ht="88.5" customHeight="1">
      <c r="B3" s="533" t="s">
        <v>487</v>
      </c>
      <c r="C3" s="534"/>
      <c r="D3" s="534"/>
      <c r="E3" s="534"/>
      <c r="F3" s="534"/>
      <c r="G3" s="534"/>
      <c r="H3" s="534"/>
      <c r="I3" s="534"/>
      <c r="J3" s="534"/>
      <c r="K3" s="534"/>
    </row>
    <row r="4" spans="2:11" ht="26.25">
      <c r="B4" s="561" t="s">
        <v>36</v>
      </c>
      <c r="C4" s="461"/>
      <c r="D4" s="461"/>
      <c r="E4" s="461"/>
      <c r="F4" s="461"/>
      <c r="G4" s="461"/>
      <c r="H4" s="461"/>
      <c r="I4" s="461"/>
      <c r="J4" s="461"/>
      <c r="K4" s="461"/>
    </row>
    <row r="5" spans="2:11">
      <c r="B5" s="194"/>
      <c r="C5" s="194"/>
      <c r="D5" s="3"/>
      <c r="E5" s="3"/>
      <c r="F5" s="3"/>
      <c r="G5" s="3"/>
      <c r="H5" s="3"/>
      <c r="I5" s="3"/>
      <c r="J5" s="3"/>
      <c r="K5" s="3"/>
    </row>
    <row r="6" spans="2:11" ht="30">
      <c r="B6" s="4" t="s">
        <v>17</v>
      </c>
      <c r="C6" s="462"/>
      <c r="D6" s="462"/>
      <c r="E6" s="462"/>
      <c r="F6" s="462"/>
      <c r="G6" s="462"/>
      <c r="H6" s="462"/>
      <c r="I6" s="462"/>
      <c r="J6" s="462"/>
      <c r="K6" s="462"/>
    </row>
    <row r="7" spans="2:11">
      <c r="B7" s="4" t="s">
        <v>37</v>
      </c>
      <c r="C7" s="462"/>
      <c r="D7" s="462"/>
      <c r="E7" s="462"/>
      <c r="F7" s="462"/>
      <c r="G7" s="462"/>
      <c r="H7" s="462"/>
      <c r="I7" s="462"/>
      <c r="J7" s="462"/>
      <c r="K7" s="462"/>
    </row>
    <row r="8" spans="2:11">
      <c r="B8" s="5" t="s">
        <v>18</v>
      </c>
      <c r="C8" s="463"/>
      <c r="D8" s="463"/>
      <c r="E8" s="463"/>
      <c r="F8" s="463"/>
      <c r="G8" s="463"/>
      <c r="H8" s="463"/>
      <c r="I8" s="463"/>
      <c r="J8" s="463"/>
      <c r="K8" s="463"/>
    </row>
    <row r="9" spans="2:11">
      <c r="B9" s="464"/>
      <c r="C9" s="464"/>
      <c r="D9" s="464"/>
      <c r="E9" s="464"/>
      <c r="F9" s="464"/>
      <c r="G9" s="464"/>
      <c r="H9" s="464"/>
      <c r="I9" s="464"/>
      <c r="J9" s="3"/>
      <c r="K9" s="3"/>
    </row>
    <row r="10" spans="2:11">
      <c r="B10" s="474" t="s">
        <v>38</v>
      </c>
      <c r="C10" s="474"/>
      <c r="D10" s="474"/>
      <c r="E10" s="474"/>
      <c r="F10" s="474"/>
      <c r="G10" s="474"/>
      <c r="H10" s="474"/>
      <c r="I10" s="474"/>
      <c r="J10" s="474"/>
      <c r="K10" s="474"/>
    </row>
    <row r="11" spans="2:11">
      <c r="B11" s="195" t="s">
        <v>12</v>
      </c>
      <c r="C11" s="465" t="s">
        <v>39</v>
      </c>
      <c r="D11" s="466"/>
      <c r="E11" s="466"/>
      <c r="F11" s="466"/>
      <c r="G11" s="466"/>
      <c r="H11" s="466"/>
      <c r="I11" s="466"/>
      <c r="J11" s="467" t="s">
        <v>468</v>
      </c>
      <c r="K11" s="467"/>
    </row>
    <row r="12" spans="2:11">
      <c r="B12" s="195" t="s">
        <v>13</v>
      </c>
      <c r="C12" s="465" t="s">
        <v>19</v>
      </c>
      <c r="D12" s="466"/>
      <c r="E12" s="466"/>
      <c r="F12" s="466"/>
      <c r="G12" s="466"/>
      <c r="H12" s="466"/>
      <c r="I12" s="466"/>
      <c r="J12" s="467" t="s">
        <v>40</v>
      </c>
      <c r="K12" s="467"/>
    </row>
    <row r="13" spans="2:11">
      <c r="B13" s="195" t="s">
        <v>14</v>
      </c>
      <c r="C13" s="465" t="s">
        <v>41</v>
      </c>
      <c r="D13" s="466"/>
      <c r="E13" s="466"/>
      <c r="F13" s="466"/>
      <c r="G13" s="466"/>
      <c r="H13" s="466"/>
      <c r="I13" s="466"/>
      <c r="J13" s="467" t="s">
        <v>466</v>
      </c>
      <c r="K13" s="467"/>
    </row>
    <row r="14" spans="2:11">
      <c r="B14" s="195" t="s">
        <v>14</v>
      </c>
      <c r="C14" s="465" t="s">
        <v>42</v>
      </c>
      <c r="D14" s="466"/>
      <c r="E14" s="466"/>
      <c r="F14" s="466"/>
      <c r="G14" s="466"/>
      <c r="H14" s="466"/>
      <c r="I14" s="466"/>
      <c r="J14" s="467" t="s">
        <v>467</v>
      </c>
      <c r="K14" s="467"/>
    </row>
    <row r="15" spans="2:11">
      <c r="B15" s="195" t="s">
        <v>15</v>
      </c>
      <c r="C15" s="465" t="s">
        <v>43</v>
      </c>
      <c r="D15" s="466"/>
      <c r="E15" s="466"/>
      <c r="F15" s="466"/>
      <c r="G15" s="466"/>
      <c r="H15" s="466"/>
      <c r="I15" s="466"/>
      <c r="J15" s="467">
        <v>12</v>
      </c>
      <c r="K15" s="467"/>
    </row>
    <row r="16" spans="2:11" ht="15.75" thickBot="1">
      <c r="B16" s="7"/>
      <c r="C16" s="7"/>
      <c r="D16" s="3"/>
      <c r="E16" s="3"/>
      <c r="F16" s="3"/>
      <c r="G16" s="3"/>
      <c r="H16" s="3"/>
      <c r="I16" s="3"/>
      <c r="J16" s="3"/>
      <c r="K16" s="3"/>
    </row>
    <row r="17" spans="2:25" ht="15.75" thickBot="1">
      <c r="B17" s="468" t="s">
        <v>44</v>
      </c>
      <c r="C17" s="469"/>
      <c r="D17" s="469"/>
      <c r="E17" s="469"/>
      <c r="F17" s="469"/>
      <c r="G17" s="469"/>
      <c r="H17" s="469"/>
      <c r="I17" s="469"/>
      <c r="J17" s="469"/>
      <c r="K17" s="470"/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2:25" ht="30">
      <c r="B18" s="558" t="s">
        <v>20</v>
      </c>
      <c r="C18" s="559"/>
      <c r="D18" s="559"/>
      <c r="E18" s="559"/>
      <c r="F18" s="559"/>
      <c r="G18" s="559"/>
      <c r="H18" s="559"/>
      <c r="I18" s="560"/>
      <c r="J18" s="192" t="s">
        <v>21</v>
      </c>
      <c r="K18" s="9" t="s">
        <v>45</v>
      </c>
    </row>
    <row r="19" spans="2:25" ht="15.75" customHeight="1">
      <c r="B19" s="562" t="s">
        <v>489</v>
      </c>
      <c r="C19" s="563"/>
      <c r="D19" s="563"/>
      <c r="E19" s="563"/>
      <c r="F19" s="565" t="s">
        <v>129</v>
      </c>
      <c r="G19" s="565"/>
      <c r="H19" s="565"/>
      <c r="I19" s="565"/>
      <c r="J19" s="564" t="s">
        <v>131</v>
      </c>
      <c r="K19" s="114"/>
      <c r="N19" s="73"/>
      <c r="O19" s="73"/>
      <c r="P19" s="73"/>
      <c r="Q19" s="73"/>
    </row>
    <row r="20" spans="2:25" ht="15.75">
      <c r="B20" s="562"/>
      <c r="C20" s="563"/>
      <c r="D20" s="563"/>
      <c r="E20" s="563"/>
      <c r="F20" s="565" t="s">
        <v>22</v>
      </c>
      <c r="G20" s="565"/>
      <c r="H20" s="565"/>
      <c r="I20" s="565"/>
      <c r="J20" s="564"/>
      <c r="K20" s="114"/>
      <c r="N20" s="73"/>
      <c r="O20" s="73"/>
      <c r="P20" s="73"/>
    </row>
    <row r="21" spans="2:25" ht="15.75">
      <c r="B21" s="562"/>
      <c r="C21" s="563"/>
      <c r="D21" s="563"/>
      <c r="E21" s="563"/>
      <c r="F21" s="565" t="s">
        <v>130</v>
      </c>
      <c r="G21" s="565"/>
      <c r="H21" s="565"/>
      <c r="I21" s="565"/>
      <c r="J21" s="564"/>
      <c r="K21" s="114"/>
      <c r="N21" s="73"/>
      <c r="O21" s="73"/>
      <c r="P21" s="73"/>
    </row>
    <row r="22" spans="2:25" ht="15.75" thickBot="1">
      <c r="B22" s="193"/>
      <c r="C22" s="193"/>
      <c r="D22" s="193"/>
      <c r="E22" s="193"/>
      <c r="F22" s="193"/>
      <c r="G22" s="193"/>
      <c r="H22" s="193"/>
      <c r="I22" s="3"/>
      <c r="J22" s="3"/>
      <c r="K22" s="3"/>
    </row>
    <row r="23" spans="2:25" ht="15.75" thickBot="1">
      <c r="B23" s="475" t="s">
        <v>46</v>
      </c>
      <c r="C23" s="476"/>
      <c r="D23" s="476"/>
      <c r="E23" s="476"/>
      <c r="F23" s="476"/>
      <c r="G23" s="476"/>
      <c r="H23" s="476"/>
      <c r="I23" s="476"/>
      <c r="J23" s="476"/>
      <c r="K23" s="477"/>
    </row>
    <row r="24" spans="2:25">
      <c r="B24" s="11">
        <v>1</v>
      </c>
      <c r="C24" s="478" t="s">
        <v>47</v>
      </c>
      <c r="D24" s="479"/>
      <c r="E24" s="479"/>
      <c r="F24" s="479"/>
      <c r="G24" s="479"/>
      <c r="H24" s="479"/>
      <c r="I24" s="479"/>
      <c r="J24" s="480"/>
      <c r="K24" s="12" t="s">
        <v>141</v>
      </c>
    </row>
    <row r="25" spans="2:25">
      <c r="B25" s="13">
        <v>2</v>
      </c>
      <c r="C25" s="481" t="s">
        <v>48</v>
      </c>
      <c r="D25" s="482"/>
      <c r="E25" s="482"/>
      <c r="F25" s="482"/>
      <c r="G25" s="482"/>
      <c r="H25" s="482"/>
      <c r="I25" s="482"/>
      <c r="J25" s="483"/>
      <c r="K25" s="150">
        <v>1527.03</v>
      </c>
    </row>
    <row r="26" spans="2:25">
      <c r="B26" s="13">
        <v>3</v>
      </c>
      <c r="C26" s="481" t="s">
        <v>49</v>
      </c>
      <c r="D26" s="482"/>
      <c r="E26" s="482"/>
      <c r="F26" s="482"/>
      <c r="G26" s="482"/>
      <c r="H26" s="482"/>
      <c r="I26" s="482"/>
      <c r="J26" s="483"/>
      <c r="K26" s="14" t="str">
        <f>B19</f>
        <v>Jauzeiro</v>
      </c>
    </row>
    <row r="27" spans="2:25">
      <c r="B27" s="13">
        <v>4</v>
      </c>
      <c r="C27" s="481" t="s">
        <v>50</v>
      </c>
      <c r="D27" s="482"/>
      <c r="E27" s="482"/>
      <c r="F27" s="482"/>
      <c r="G27" s="482"/>
      <c r="H27" s="482"/>
      <c r="I27" s="482"/>
      <c r="J27" s="483"/>
      <c r="K27" s="15" t="s">
        <v>469</v>
      </c>
    </row>
    <row r="28" spans="2:25" ht="15.75" thickBot="1">
      <c r="B28" s="16">
        <v>5</v>
      </c>
      <c r="C28" s="484" t="s">
        <v>51</v>
      </c>
      <c r="D28" s="485"/>
      <c r="E28" s="485"/>
      <c r="F28" s="485"/>
      <c r="G28" s="485"/>
      <c r="H28" s="485"/>
      <c r="I28" s="485"/>
      <c r="J28" s="486"/>
      <c r="K28" s="136">
        <v>1</v>
      </c>
    </row>
    <row r="29" spans="2: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25" ht="15.75" thickBot="1">
      <c r="B30" s="508" t="s">
        <v>52</v>
      </c>
      <c r="C30" s="508"/>
      <c r="D30" s="508"/>
      <c r="E30" s="508"/>
      <c r="F30" s="508"/>
      <c r="G30" s="508"/>
      <c r="H30" s="508"/>
      <c r="I30" s="508"/>
      <c r="J30" s="508"/>
      <c r="K30" s="3"/>
    </row>
    <row r="31" spans="2:25" ht="15.75" thickBot="1">
      <c r="B31" s="17" t="s">
        <v>53</v>
      </c>
      <c r="C31" s="509" t="s">
        <v>54</v>
      </c>
      <c r="D31" s="510"/>
      <c r="E31" s="510"/>
      <c r="F31" s="510"/>
      <c r="G31" s="510"/>
      <c r="H31" s="510"/>
      <c r="I31" s="510"/>
      <c r="J31" s="511"/>
      <c r="K31" s="18" t="s">
        <v>55</v>
      </c>
    </row>
    <row r="32" spans="2:25">
      <c r="B32" s="19" t="s">
        <v>12</v>
      </c>
      <c r="C32" s="478" t="s">
        <v>0</v>
      </c>
      <c r="D32" s="479"/>
      <c r="E32" s="479"/>
      <c r="F32" s="479"/>
      <c r="G32" s="479"/>
      <c r="H32" s="479"/>
      <c r="I32" s="479"/>
      <c r="J32" s="479"/>
      <c r="K32" s="173">
        <f>K25</f>
        <v>1527.03</v>
      </c>
    </row>
    <row r="33" spans="2:11">
      <c r="B33" s="20" t="s">
        <v>13</v>
      </c>
      <c r="C33" s="481" t="s">
        <v>56</v>
      </c>
      <c r="D33" s="482"/>
      <c r="E33" s="482"/>
      <c r="F33" s="482"/>
      <c r="G33" s="482"/>
      <c r="H33" s="482"/>
      <c r="I33" s="482"/>
      <c r="J33" s="482"/>
      <c r="K33" s="139"/>
    </row>
    <row r="34" spans="2:11">
      <c r="B34" s="20" t="s">
        <v>14</v>
      </c>
      <c r="C34" s="481" t="s">
        <v>57</v>
      </c>
      <c r="D34" s="482"/>
      <c r="E34" s="482"/>
      <c r="F34" s="482"/>
      <c r="G34" s="482"/>
      <c r="H34" s="482"/>
      <c r="I34" s="482"/>
      <c r="J34" s="482"/>
      <c r="K34" s="139"/>
    </row>
    <row r="35" spans="2:11">
      <c r="B35" s="20" t="s">
        <v>15</v>
      </c>
      <c r="C35" s="481" t="s">
        <v>58</v>
      </c>
      <c r="D35" s="482"/>
      <c r="E35" s="482"/>
      <c r="F35" s="482"/>
      <c r="G35" s="482"/>
      <c r="H35" s="482"/>
      <c r="I35" s="482"/>
      <c r="J35" s="482"/>
      <c r="K35" s="139"/>
    </row>
    <row r="36" spans="2:11">
      <c r="B36" s="20" t="s">
        <v>16</v>
      </c>
      <c r="C36" s="481" t="s">
        <v>59</v>
      </c>
      <c r="D36" s="482"/>
      <c r="E36" s="482"/>
      <c r="F36" s="482"/>
      <c r="G36" s="482"/>
      <c r="H36" s="482"/>
      <c r="I36" s="482"/>
      <c r="J36" s="482"/>
      <c r="K36" s="139"/>
    </row>
    <row r="37" spans="2:11">
      <c r="B37" s="20" t="s">
        <v>60</v>
      </c>
      <c r="C37" s="481" t="s">
        <v>61</v>
      </c>
      <c r="D37" s="482"/>
      <c r="E37" s="482"/>
      <c r="F37" s="482"/>
      <c r="G37" s="482"/>
      <c r="H37" s="482"/>
      <c r="I37" s="482"/>
      <c r="J37" s="482"/>
      <c r="K37" s="139"/>
    </row>
    <row r="38" spans="2:11" ht="15.75" thickBot="1">
      <c r="B38" s="21" t="s">
        <v>62</v>
      </c>
      <c r="C38" s="502" t="s">
        <v>63</v>
      </c>
      <c r="D38" s="503"/>
      <c r="E38" s="503"/>
      <c r="F38" s="503"/>
      <c r="G38" s="503"/>
      <c r="H38" s="503"/>
      <c r="I38" s="503"/>
      <c r="J38" s="503"/>
      <c r="K38" s="140"/>
    </row>
    <row r="39" spans="2:11" ht="15.75" thickBot="1">
      <c r="B39" s="468" t="s">
        <v>64</v>
      </c>
      <c r="C39" s="469"/>
      <c r="D39" s="469"/>
      <c r="E39" s="469"/>
      <c r="F39" s="469"/>
      <c r="G39" s="469"/>
      <c r="H39" s="469"/>
      <c r="I39" s="469"/>
      <c r="J39" s="469"/>
      <c r="K39" s="141">
        <f>SUM(K32:K38)</f>
        <v>1527.03</v>
      </c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5.75" thickBot="1">
      <c r="B41" s="504" t="s">
        <v>65</v>
      </c>
      <c r="C41" s="504"/>
      <c r="D41" s="504"/>
      <c r="E41" s="504"/>
      <c r="F41" s="504"/>
      <c r="G41" s="504"/>
      <c r="H41" s="504"/>
      <c r="I41" s="504"/>
      <c r="J41" s="504"/>
      <c r="K41" s="504"/>
    </row>
    <row r="42" spans="2:11" ht="15.75" thickBot="1">
      <c r="B42" s="505" t="s">
        <v>66</v>
      </c>
      <c r="C42" s="506"/>
      <c r="D42" s="506"/>
      <c r="E42" s="506"/>
      <c r="F42" s="506"/>
      <c r="G42" s="506"/>
      <c r="H42" s="506"/>
      <c r="I42" s="506"/>
      <c r="J42" s="506"/>
      <c r="K42" s="507"/>
    </row>
    <row r="43" spans="2:11">
      <c r="B43" s="22" t="s">
        <v>67</v>
      </c>
      <c r="C43" s="516" t="s">
        <v>68</v>
      </c>
      <c r="D43" s="517"/>
      <c r="E43" s="517"/>
      <c r="F43" s="517"/>
      <c r="G43" s="517"/>
      <c r="H43" s="517"/>
      <c r="I43" s="518"/>
      <c r="J43" s="23" t="s">
        <v>69</v>
      </c>
      <c r="K43" s="24" t="s">
        <v>55</v>
      </c>
    </row>
    <row r="44" spans="2:11">
      <c r="B44" s="25" t="s">
        <v>12</v>
      </c>
      <c r="C44" s="465" t="s">
        <v>70</v>
      </c>
      <c r="D44" s="466"/>
      <c r="E44" s="466"/>
      <c r="F44" s="466"/>
      <c r="G44" s="466"/>
      <c r="H44" s="466"/>
      <c r="I44" s="515"/>
      <c r="J44" s="26">
        <v>8.3299999999999999E-2</v>
      </c>
      <c r="K44" s="137">
        <f>J44*K39</f>
        <v>127.201599</v>
      </c>
    </row>
    <row r="45" spans="2:11" ht="15.75" thickBot="1">
      <c r="B45" s="27" t="s">
        <v>13</v>
      </c>
      <c r="C45" s="519" t="s">
        <v>71</v>
      </c>
      <c r="D45" s="520"/>
      <c r="E45" s="520"/>
      <c r="F45" s="520"/>
      <c r="G45" s="520"/>
      <c r="H45" s="520"/>
      <c r="I45" s="521"/>
      <c r="J45" s="28">
        <v>0.121</v>
      </c>
      <c r="K45" s="142">
        <f>J45*K39</f>
        <v>184.77062999999998</v>
      </c>
    </row>
    <row r="46" spans="2:11" ht="15.75" thickBot="1">
      <c r="B46" s="522" t="s">
        <v>1</v>
      </c>
      <c r="C46" s="523"/>
      <c r="D46" s="523"/>
      <c r="E46" s="523"/>
      <c r="F46" s="523"/>
      <c r="G46" s="523"/>
      <c r="H46" s="523"/>
      <c r="I46" s="523"/>
      <c r="J46" s="523"/>
      <c r="K46" s="141">
        <f>SUM(K44:K45)</f>
        <v>311.97222899999997</v>
      </c>
    </row>
    <row r="47" spans="2:11" ht="15.75" thickBot="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5.75" thickBot="1">
      <c r="B48" s="524" t="s">
        <v>72</v>
      </c>
      <c r="C48" s="525"/>
      <c r="D48" s="525"/>
      <c r="E48" s="525"/>
      <c r="F48" s="525"/>
      <c r="G48" s="525"/>
      <c r="H48" s="525"/>
      <c r="I48" s="525"/>
      <c r="J48" s="525"/>
      <c r="K48" s="526"/>
    </row>
    <row r="49" spans="2:11" ht="15.75" thickBot="1">
      <c r="B49" s="197" t="s">
        <v>73</v>
      </c>
      <c r="C49" s="527" t="s">
        <v>74</v>
      </c>
      <c r="D49" s="469"/>
      <c r="E49" s="469"/>
      <c r="F49" s="469"/>
      <c r="G49" s="469"/>
      <c r="H49" s="469"/>
      <c r="I49" s="528"/>
      <c r="J49" s="30" t="s">
        <v>69</v>
      </c>
      <c r="K49" s="31" t="s">
        <v>55</v>
      </c>
    </row>
    <row r="50" spans="2:11">
      <c r="B50" s="32" t="s">
        <v>12</v>
      </c>
      <c r="C50" s="512" t="s">
        <v>75</v>
      </c>
      <c r="D50" s="513"/>
      <c r="E50" s="513"/>
      <c r="F50" s="513"/>
      <c r="G50" s="513"/>
      <c r="H50" s="513"/>
      <c r="I50" s="514"/>
      <c r="J50" s="33">
        <v>0.2</v>
      </c>
      <c r="K50" s="143">
        <f>(K39+K46)*J50</f>
        <v>367.80044580000003</v>
      </c>
    </row>
    <row r="51" spans="2:11">
      <c r="B51" s="25" t="s">
        <v>13</v>
      </c>
      <c r="C51" s="465" t="s">
        <v>76</v>
      </c>
      <c r="D51" s="466"/>
      <c r="E51" s="466"/>
      <c r="F51" s="466"/>
      <c r="G51" s="466"/>
      <c r="H51" s="466"/>
      <c r="I51" s="515"/>
      <c r="J51" s="34">
        <v>2.5000000000000001E-2</v>
      </c>
      <c r="K51" s="137">
        <f>(K39+K46)*J51</f>
        <v>45.975055725000004</v>
      </c>
    </row>
    <row r="52" spans="2:11">
      <c r="B52" s="25" t="s">
        <v>14</v>
      </c>
      <c r="C52" s="465" t="s">
        <v>77</v>
      </c>
      <c r="D52" s="466"/>
      <c r="E52" s="466"/>
      <c r="F52" s="466"/>
      <c r="G52" s="466"/>
      <c r="H52" s="466"/>
      <c r="I52" s="515"/>
      <c r="J52" s="311">
        <v>0.06</v>
      </c>
      <c r="K52" s="137">
        <f>(K39+K46)*J52</f>
        <v>110.34013374</v>
      </c>
    </row>
    <row r="53" spans="2:11">
      <c r="B53" s="25" t="s">
        <v>15</v>
      </c>
      <c r="C53" s="465" t="s">
        <v>78</v>
      </c>
      <c r="D53" s="466"/>
      <c r="E53" s="466"/>
      <c r="F53" s="466"/>
      <c r="G53" s="466"/>
      <c r="H53" s="466"/>
      <c r="I53" s="515"/>
      <c r="J53" s="34">
        <v>1.4999999999999999E-2</v>
      </c>
      <c r="K53" s="137">
        <f>(K39+K46)*J53</f>
        <v>27.585033435</v>
      </c>
    </row>
    <row r="54" spans="2:11">
      <c r="B54" s="25" t="s">
        <v>16</v>
      </c>
      <c r="C54" s="465" t="s">
        <v>79</v>
      </c>
      <c r="D54" s="466"/>
      <c r="E54" s="466"/>
      <c r="F54" s="466"/>
      <c r="G54" s="466"/>
      <c r="H54" s="466"/>
      <c r="I54" s="515"/>
      <c r="J54" s="34">
        <v>0.01</v>
      </c>
      <c r="K54" s="137">
        <f>(K39+K46)*J54</f>
        <v>18.390022290000001</v>
      </c>
    </row>
    <row r="55" spans="2:11">
      <c r="B55" s="25" t="s">
        <v>60</v>
      </c>
      <c r="C55" s="465" t="s">
        <v>2</v>
      </c>
      <c r="D55" s="466"/>
      <c r="E55" s="466"/>
      <c r="F55" s="466"/>
      <c r="G55" s="466"/>
      <c r="H55" s="466"/>
      <c r="I55" s="515"/>
      <c r="J55" s="34">
        <v>6.0000000000000001E-3</v>
      </c>
      <c r="K55" s="137">
        <f>(K39+K46)*J55</f>
        <v>11.034013374000001</v>
      </c>
    </row>
    <row r="56" spans="2:11">
      <c r="B56" s="25" t="s">
        <v>62</v>
      </c>
      <c r="C56" s="465" t="s">
        <v>3</v>
      </c>
      <c r="D56" s="466"/>
      <c r="E56" s="466"/>
      <c r="F56" s="466"/>
      <c r="G56" s="466"/>
      <c r="H56" s="466"/>
      <c r="I56" s="515"/>
      <c r="J56" s="34">
        <v>2E-3</v>
      </c>
      <c r="K56" s="137">
        <f>(K39+K46)*J56</f>
        <v>3.6780044579999998</v>
      </c>
    </row>
    <row r="57" spans="2:11" ht="15.75" thickBot="1">
      <c r="B57" s="27" t="s">
        <v>80</v>
      </c>
      <c r="C57" s="519" t="s">
        <v>4</v>
      </c>
      <c r="D57" s="520"/>
      <c r="E57" s="520"/>
      <c r="F57" s="520"/>
      <c r="G57" s="520"/>
      <c r="H57" s="520"/>
      <c r="I57" s="521"/>
      <c r="J57" s="35">
        <v>0.08</v>
      </c>
      <c r="K57" s="142">
        <f>(K39+K46)*J57</f>
        <v>147.12017832000001</v>
      </c>
    </row>
    <row r="58" spans="2:11" ht="15.75" thickBot="1">
      <c r="B58" s="468" t="s">
        <v>1</v>
      </c>
      <c r="C58" s="469"/>
      <c r="D58" s="469"/>
      <c r="E58" s="469"/>
      <c r="F58" s="469"/>
      <c r="G58" s="469"/>
      <c r="H58" s="469"/>
      <c r="I58" s="528"/>
      <c r="J58" s="36">
        <f>SUM(J50:J57)</f>
        <v>0.39800000000000008</v>
      </c>
      <c r="K58" s="141">
        <f>SUM(K50:K57)</f>
        <v>731.92288714200015</v>
      </c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ht="15.75" thickBot="1">
      <c r="B60" s="504" t="s">
        <v>81</v>
      </c>
      <c r="C60" s="504"/>
      <c r="D60" s="504"/>
      <c r="E60" s="504"/>
      <c r="F60" s="504"/>
      <c r="G60" s="504"/>
      <c r="H60" s="504"/>
      <c r="I60" s="504"/>
      <c r="J60" s="504"/>
      <c r="K60" s="504"/>
    </row>
    <row r="61" spans="2:11">
      <c r="B61" s="37" t="s">
        <v>82</v>
      </c>
      <c r="C61" s="529" t="s">
        <v>83</v>
      </c>
      <c r="D61" s="529"/>
      <c r="E61" s="529"/>
      <c r="F61" s="529"/>
      <c r="G61" s="529"/>
      <c r="H61" s="529"/>
      <c r="I61" s="529"/>
      <c r="J61" s="529"/>
      <c r="K61" s="38" t="s">
        <v>55</v>
      </c>
    </row>
    <row r="62" spans="2:11">
      <c r="B62" s="25" t="s">
        <v>12</v>
      </c>
      <c r="C62" s="465" t="s">
        <v>84</v>
      </c>
      <c r="D62" s="466"/>
      <c r="E62" s="466"/>
      <c r="F62" s="466"/>
      <c r="G62" s="466"/>
      <c r="H62" s="466"/>
      <c r="I62" s="466"/>
      <c r="J62" s="515"/>
      <c r="K62" s="137">
        <f>((5.5*2)*22)-(6%*K32)</f>
        <v>150.37819999999999</v>
      </c>
    </row>
    <row r="63" spans="2:11">
      <c r="B63" s="25" t="s">
        <v>13</v>
      </c>
      <c r="C63" s="465" t="s">
        <v>132</v>
      </c>
      <c r="D63" s="466"/>
      <c r="E63" s="466"/>
      <c r="F63" s="466"/>
      <c r="G63" s="466"/>
      <c r="H63" s="466"/>
      <c r="I63" s="466"/>
      <c r="J63" s="515"/>
      <c r="K63" s="144"/>
    </row>
    <row r="64" spans="2:11">
      <c r="B64" s="25" t="s">
        <v>14</v>
      </c>
      <c r="C64" s="465" t="s">
        <v>142</v>
      </c>
      <c r="D64" s="466"/>
      <c r="E64" s="466"/>
      <c r="F64" s="466"/>
      <c r="G64" s="466"/>
      <c r="H64" s="466"/>
      <c r="I64" s="466"/>
      <c r="J64" s="515"/>
      <c r="K64" s="150">
        <f>35*22</f>
        <v>770</v>
      </c>
    </row>
    <row r="65" spans="2:11">
      <c r="B65" s="25" t="s">
        <v>15</v>
      </c>
      <c r="C65" s="465" t="s">
        <v>85</v>
      </c>
      <c r="D65" s="466"/>
      <c r="E65" s="466"/>
      <c r="F65" s="466"/>
      <c r="G65" s="466"/>
      <c r="H65" s="466"/>
      <c r="I65" s="466"/>
      <c r="J65" s="515"/>
      <c r="K65" s="162"/>
    </row>
    <row r="66" spans="2:11">
      <c r="B66" s="25" t="s">
        <v>16</v>
      </c>
      <c r="C66" s="465" t="s">
        <v>86</v>
      </c>
      <c r="D66" s="466"/>
      <c r="E66" s="466"/>
      <c r="F66" s="466"/>
      <c r="G66" s="466"/>
      <c r="H66" s="466"/>
      <c r="I66" s="466"/>
      <c r="J66" s="515"/>
      <c r="K66" s="163"/>
    </row>
    <row r="67" spans="2:11">
      <c r="B67" s="25" t="s">
        <v>60</v>
      </c>
      <c r="C67" s="465" t="s">
        <v>143</v>
      </c>
      <c r="D67" s="466"/>
      <c r="E67" s="466"/>
      <c r="F67" s="466"/>
      <c r="G67" s="466"/>
      <c r="H67" s="466"/>
      <c r="I67" s="466"/>
      <c r="J67" s="196"/>
      <c r="K67" s="145"/>
    </row>
    <row r="68" spans="2:11" ht="15.75" thickBot="1">
      <c r="B68" s="27" t="s">
        <v>62</v>
      </c>
      <c r="C68" s="519" t="s">
        <v>34</v>
      </c>
      <c r="D68" s="520"/>
      <c r="E68" s="520"/>
      <c r="F68" s="520"/>
      <c r="G68" s="520"/>
      <c r="H68" s="520"/>
      <c r="I68" s="520"/>
      <c r="J68" s="521"/>
      <c r="K68" s="142"/>
    </row>
    <row r="69" spans="2:11" ht="15.75" thickBot="1">
      <c r="B69" s="522" t="s">
        <v>1</v>
      </c>
      <c r="C69" s="523"/>
      <c r="D69" s="523"/>
      <c r="E69" s="523"/>
      <c r="F69" s="523"/>
      <c r="G69" s="523"/>
      <c r="H69" s="523"/>
      <c r="I69" s="523"/>
      <c r="J69" s="523"/>
      <c r="K69" s="141">
        <f>SUM(K62:K68)</f>
        <v>920.37819999999999</v>
      </c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ht="15.75" thickBot="1">
      <c r="B71" s="504" t="s">
        <v>87</v>
      </c>
      <c r="C71" s="504"/>
      <c r="D71" s="504"/>
      <c r="E71" s="504"/>
      <c r="F71" s="504"/>
      <c r="G71" s="504"/>
      <c r="H71" s="504"/>
      <c r="I71" s="504"/>
      <c r="J71" s="504"/>
      <c r="K71" s="504"/>
    </row>
    <row r="72" spans="2:11">
      <c r="B72" s="37">
        <v>2</v>
      </c>
      <c r="C72" s="529" t="s">
        <v>88</v>
      </c>
      <c r="D72" s="529"/>
      <c r="E72" s="529"/>
      <c r="F72" s="529"/>
      <c r="G72" s="529"/>
      <c r="H72" s="529"/>
      <c r="I72" s="529"/>
      <c r="J72" s="529"/>
      <c r="K72" s="38" t="s">
        <v>55</v>
      </c>
    </row>
    <row r="73" spans="2:11">
      <c r="B73" s="25" t="s">
        <v>67</v>
      </c>
      <c r="C73" s="462" t="s">
        <v>68</v>
      </c>
      <c r="D73" s="462"/>
      <c r="E73" s="462"/>
      <c r="F73" s="462"/>
      <c r="G73" s="462"/>
      <c r="H73" s="462"/>
      <c r="I73" s="462"/>
      <c r="J73" s="462"/>
      <c r="K73" s="137">
        <f>K46</f>
        <v>311.97222899999997</v>
      </c>
    </row>
    <row r="74" spans="2:11">
      <c r="B74" s="25" t="s">
        <v>73</v>
      </c>
      <c r="C74" s="462" t="s">
        <v>74</v>
      </c>
      <c r="D74" s="462"/>
      <c r="E74" s="462"/>
      <c r="F74" s="462"/>
      <c r="G74" s="462"/>
      <c r="H74" s="462"/>
      <c r="I74" s="462"/>
      <c r="J74" s="462"/>
      <c r="K74" s="137">
        <f>K58</f>
        <v>731.92288714200015</v>
      </c>
    </row>
    <row r="75" spans="2:11" ht="15.75" thickBot="1">
      <c r="B75" s="27" t="s">
        <v>82</v>
      </c>
      <c r="C75" s="531" t="s">
        <v>83</v>
      </c>
      <c r="D75" s="531"/>
      <c r="E75" s="531"/>
      <c r="F75" s="531"/>
      <c r="G75" s="531"/>
      <c r="H75" s="531"/>
      <c r="I75" s="531"/>
      <c r="J75" s="531"/>
      <c r="K75" s="142">
        <f>K69</f>
        <v>920.37819999999999</v>
      </c>
    </row>
    <row r="76" spans="2:11" ht="15.75" thickBot="1">
      <c r="B76" s="468" t="s">
        <v>1</v>
      </c>
      <c r="C76" s="469"/>
      <c r="D76" s="469"/>
      <c r="E76" s="469"/>
      <c r="F76" s="469"/>
      <c r="G76" s="469"/>
      <c r="H76" s="469"/>
      <c r="I76" s="469"/>
      <c r="J76" s="528"/>
      <c r="K76" s="141">
        <f>SUM(K73:K75)</f>
        <v>1964.2733161420001</v>
      </c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ht="15.75" thickBot="1">
      <c r="B78" s="504" t="s">
        <v>89</v>
      </c>
      <c r="C78" s="504"/>
      <c r="D78" s="504"/>
      <c r="E78" s="504"/>
      <c r="F78" s="504"/>
      <c r="G78" s="504"/>
      <c r="H78" s="504"/>
      <c r="I78" s="504"/>
      <c r="J78" s="504"/>
      <c r="K78" s="504"/>
    </row>
    <row r="79" spans="2:11" ht="15.75" thickBot="1">
      <c r="B79" s="197">
        <v>3</v>
      </c>
      <c r="C79" s="527" t="s">
        <v>90</v>
      </c>
      <c r="D79" s="469"/>
      <c r="E79" s="469"/>
      <c r="F79" s="469"/>
      <c r="G79" s="469"/>
      <c r="H79" s="469"/>
      <c r="I79" s="528"/>
      <c r="J79" s="30" t="s">
        <v>69</v>
      </c>
      <c r="K79" s="31" t="s">
        <v>55</v>
      </c>
    </row>
    <row r="80" spans="2:11">
      <c r="B80" s="32" t="s">
        <v>12</v>
      </c>
      <c r="C80" s="530" t="s">
        <v>91</v>
      </c>
      <c r="D80" s="530"/>
      <c r="E80" s="530"/>
      <c r="F80" s="530"/>
      <c r="G80" s="530"/>
      <c r="H80" s="530"/>
      <c r="I80" s="530"/>
      <c r="J80" s="40">
        <v>4.5999999999999999E-3</v>
      </c>
      <c r="K80" s="143">
        <f>($K$39+$K$76)*J80</f>
        <v>16.059995254253199</v>
      </c>
    </row>
    <row r="81" spans="2:25">
      <c r="B81" s="25" t="s">
        <v>13</v>
      </c>
      <c r="C81" s="462" t="s">
        <v>92</v>
      </c>
      <c r="D81" s="462"/>
      <c r="E81" s="462"/>
      <c r="F81" s="462"/>
      <c r="G81" s="462"/>
      <c r="H81" s="462"/>
      <c r="I81" s="462"/>
      <c r="J81" s="41">
        <f>(J80*J57)</f>
        <v>3.68E-4</v>
      </c>
      <c r="K81" s="143">
        <f t="shared" ref="K81:K85" si="0">($K$39+$K$76)*J81</f>
        <v>1.2847996203402559</v>
      </c>
    </row>
    <row r="82" spans="2:25">
      <c r="B82" s="25" t="s">
        <v>14</v>
      </c>
      <c r="C82" s="462" t="s">
        <v>93</v>
      </c>
      <c r="D82" s="462"/>
      <c r="E82" s="462"/>
      <c r="F82" s="462"/>
      <c r="G82" s="462"/>
      <c r="H82" s="462"/>
      <c r="I82" s="462"/>
      <c r="J82" s="41">
        <v>0.04</v>
      </c>
      <c r="K82" s="143">
        <f t="shared" si="0"/>
        <v>139.65213264567998</v>
      </c>
    </row>
    <row r="83" spans="2:25">
      <c r="B83" s="25" t="s">
        <v>15</v>
      </c>
      <c r="C83" s="462" t="s">
        <v>94</v>
      </c>
      <c r="D83" s="462"/>
      <c r="E83" s="462"/>
      <c r="F83" s="462"/>
      <c r="G83" s="462"/>
      <c r="H83" s="462"/>
      <c r="I83" s="462"/>
      <c r="J83" s="42">
        <v>1.9400000000000001E-2</v>
      </c>
      <c r="K83" s="143">
        <f t="shared" si="0"/>
        <v>67.731284333154804</v>
      </c>
    </row>
    <row r="84" spans="2:25">
      <c r="B84" s="25" t="s">
        <v>16</v>
      </c>
      <c r="C84" s="462" t="s">
        <v>95</v>
      </c>
      <c r="D84" s="462"/>
      <c r="E84" s="462"/>
      <c r="F84" s="462"/>
      <c r="G84" s="462"/>
      <c r="H84" s="462"/>
      <c r="I84" s="462"/>
      <c r="J84" s="41">
        <f>(J83*J58)</f>
        <v>7.7212000000000018E-3</v>
      </c>
      <c r="K84" s="143">
        <f t="shared" si="0"/>
        <v>26.957051164595615</v>
      </c>
    </row>
    <row r="85" spans="2:25" ht="15.75" thickBot="1">
      <c r="B85" s="27" t="s">
        <v>60</v>
      </c>
      <c r="C85" s="531" t="s">
        <v>96</v>
      </c>
      <c r="D85" s="531"/>
      <c r="E85" s="531"/>
      <c r="F85" s="531"/>
      <c r="G85" s="531"/>
      <c r="H85" s="531"/>
      <c r="I85" s="531"/>
      <c r="J85" s="43"/>
      <c r="K85" s="143">
        <f t="shared" si="0"/>
        <v>0</v>
      </c>
    </row>
    <row r="86" spans="2:25" ht="15.75" thickBot="1">
      <c r="B86" s="468" t="s">
        <v>1</v>
      </c>
      <c r="C86" s="469"/>
      <c r="D86" s="469"/>
      <c r="E86" s="469"/>
      <c r="F86" s="469"/>
      <c r="G86" s="469"/>
      <c r="H86" s="469"/>
      <c r="I86" s="528"/>
      <c r="J86" s="44">
        <f>SUM(J80:J85)</f>
        <v>7.2089200000000006E-2</v>
      </c>
      <c r="K86" s="141">
        <f>SUM(K80:K85)</f>
        <v>251.68526301802385</v>
      </c>
    </row>
    <row r="87" spans="2: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25" ht="15.75" thickBot="1">
      <c r="B88" s="504" t="s">
        <v>97</v>
      </c>
      <c r="C88" s="504"/>
      <c r="D88" s="504"/>
      <c r="E88" s="504"/>
      <c r="F88" s="504"/>
      <c r="G88" s="504"/>
      <c r="H88" s="504"/>
      <c r="I88" s="504"/>
      <c r="J88" s="504"/>
      <c r="K88" s="504"/>
      <c r="N88" s="332" t="s">
        <v>135</v>
      </c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</row>
    <row r="89" spans="2:25" ht="15" customHeight="1">
      <c r="B89" s="449" t="s">
        <v>98</v>
      </c>
      <c r="C89" s="451" t="s">
        <v>99</v>
      </c>
      <c r="D89" s="452"/>
      <c r="E89" s="452"/>
      <c r="F89" s="452"/>
      <c r="G89" s="452"/>
      <c r="H89" s="452"/>
      <c r="I89" s="453"/>
      <c r="J89" s="457" t="s">
        <v>69</v>
      </c>
      <c r="K89" s="459" t="s">
        <v>55</v>
      </c>
      <c r="M89" s="74" t="s">
        <v>438</v>
      </c>
      <c r="N89" s="74" t="s">
        <v>144</v>
      </c>
      <c r="O89" s="74" t="s">
        <v>145</v>
      </c>
      <c r="P89" s="74" t="s">
        <v>455</v>
      </c>
      <c r="Q89" s="74" t="s">
        <v>456</v>
      </c>
      <c r="R89" s="74" t="s">
        <v>460</v>
      </c>
      <c r="S89" s="74" t="s">
        <v>151</v>
      </c>
      <c r="T89" s="74" t="s">
        <v>418</v>
      </c>
      <c r="U89" s="74" t="s">
        <v>457</v>
      </c>
      <c r="V89" s="74" t="s">
        <v>147</v>
      </c>
      <c r="W89" s="74" t="s">
        <v>458</v>
      </c>
      <c r="X89" s="74" t="s">
        <v>452</v>
      </c>
      <c r="Y89" s="532" t="s">
        <v>133</v>
      </c>
    </row>
    <row r="90" spans="2:25" ht="15.75" thickBot="1">
      <c r="B90" s="450"/>
      <c r="C90" s="454"/>
      <c r="D90" s="455"/>
      <c r="E90" s="455"/>
      <c r="F90" s="455"/>
      <c r="G90" s="455"/>
      <c r="H90" s="455"/>
      <c r="I90" s="456"/>
      <c r="J90" s="458"/>
      <c r="K90" s="460"/>
      <c r="M90" s="169" t="s">
        <v>150</v>
      </c>
      <c r="N90" s="74" t="s">
        <v>148</v>
      </c>
      <c r="O90" s="74" t="s">
        <v>149</v>
      </c>
      <c r="P90" s="74" t="s">
        <v>150</v>
      </c>
      <c r="Q90" s="74" t="s">
        <v>367</v>
      </c>
      <c r="R90" s="74" t="s">
        <v>150</v>
      </c>
      <c r="S90" s="74" t="s">
        <v>152</v>
      </c>
      <c r="T90" s="74" t="s">
        <v>154</v>
      </c>
      <c r="U90" s="74" t="s">
        <v>377</v>
      </c>
      <c r="V90" s="74" t="s">
        <v>386</v>
      </c>
      <c r="W90" s="75" t="s">
        <v>153</v>
      </c>
      <c r="X90" s="74" t="s">
        <v>393</v>
      </c>
      <c r="Y90" s="532"/>
    </row>
    <row r="91" spans="2:25">
      <c r="B91" s="45" t="s">
        <v>12</v>
      </c>
      <c r="C91" s="530" t="s">
        <v>100</v>
      </c>
      <c r="D91" s="530"/>
      <c r="E91" s="530"/>
      <c r="F91" s="530"/>
      <c r="G91" s="530"/>
      <c r="H91" s="530"/>
      <c r="I91" s="530"/>
      <c r="J91" s="161">
        <v>0</v>
      </c>
      <c r="K91" s="138">
        <f>(K$58+K$39)*J91</f>
        <v>0</v>
      </c>
    </row>
    <row r="92" spans="2:25">
      <c r="B92" s="195" t="s">
        <v>13</v>
      </c>
      <c r="C92" s="465" t="s">
        <v>101</v>
      </c>
      <c r="D92" s="466"/>
      <c r="E92" s="466"/>
      <c r="F92" s="466"/>
      <c r="G92" s="466"/>
      <c r="H92" s="466"/>
      <c r="I92" s="515"/>
      <c r="J92" s="46">
        <f>Y92</f>
        <v>9.5825000000000007E-3</v>
      </c>
      <c r="K92" s="138">
        <f t="shared" ref="K92:K96" si="1">(K$58+K$39)*J92</f>
        <v>21.646416041038218</v>
      </c>
      <c r="M92" s="72">
        <v>2.8E-3</v>
      </c>
      <c r="N92" s="72">
        <v>6.6E-3</v>
      </c>
      <c r="O92" s="72">
        <v>1.66E-2</v>
      </c>
      <c r="P92" s="72">
        <v>2.8E-3</v>
      </c>
      <c r="Q92" s="72">
        <v>2.8E-3</v>
      </c>
      <c r="R92" s="72">
        <v>1.2800000000000001E-2</v>
      </c>
      <c r="S92" s="72">
        <v>5.4000000000000003E-3</v>
      </c>
      <c r="T92" s="72">
        <v>2.8E-3</v>
      </c>
      <c r="U92" s="72">
        <v>2.7000000000000001E-3</v>
      </c>
      <c r="V92" s="72">
        <v>4.1700000000000001E-2</v>
      </c>
      <c r="W92" s="72">
        <v>4.1000000000000003E-3</v>
      </c>
      <c r="X92" s="72">
        <v>1.389E-2</v>
      </c>
      <c r="Y92" s="168">
        <f>AVERAGE(M92:X92)</f>
        <v>9.5825000000000007E-3</v>
      </c>
    </row>
    <row r="93" spans="2:25">
      <c r="B93" s="195" t="s">
        <v>14</v>
      </c>
      <c r="C93" s="465" t="s">
        <v>102</v>
      </c>
      <c r="D93" s="466"/>
      <c r="E93" s="466"/>
      <c r="F93" s="466"/>
      <c r="G93" s="466"/>
      <c r="H93" s="466"/>
      <c r="I93" s="515"/>
      <c r="J93" s="46">
        <f t="shared" ref="J93:J96" si="2">Y93</f>
        <v>3.925E-4</v>
      </c>
      <c r="K93" s="138">
        <f t="shared" si="1"/>
        <v>0.88663900820323505</v>
      </c>
      <c r="M93" s="72">
        <v>2.0000000000000001E-4</v>
      </c>
      <c r="N93" s="72">
        <v>1E-3</v>
      </c>
      <c r="O93" s="72">
        <v>1E-3</v>
      </c>
      <c r="P93" s="72">
        <v>2.0000000000000001E-4</v>
      </c>
      <c r="Q93" s="72">
        <v>2.0000000000000001E-4</v>
      </c>
      <c r="R93" s="72">
        <v>2.0000000000000001E-4</v>
      </c>
      <c r="S93" s="72">
        <v>1E-4</v>
      </c>
      <c r="T93" s="72">
        <v>2.0000000000000001E-4</v>
      </c>
      <c r="U93" s="72">
        <v>2.0000000000000001E-4</v>
      </c>
      <c r="V93" s="72">
        <v>1E-3</v>
      </c>
      <c r="W93" s="72">
        <v>2.0000000000000001E-4</v>
      </c>
      <c r="X93" s="72">
        <v>2.1000000000000001E-4</v>
      </c>
      <c r="Y93" s="168">
        <f>AVERAGE(M93:X93)</f>
        <v>3.925E-4</v>
      </c>
    </row>
    <row r="94" spans="2:25">
      <c r="B94" s="195" t="s">
        <v>15</v>
      </c>
      <c r="C94" s="465" t="s">
        <v>103</v>
      </c>
      <c r="D94" s="466"/>
      <c r="E94" s="466"/>
      <c r="F94" s="466"/>
      <c r="G94" s="466"/>
      <c r="H94" s="466"/>
      <c r="I94" s="515"/>
      <c r="J94" s="46">
        <f t="shared" si="2"/>
        <v>3.231666666666667E-3</v>
      </c>
      <c r="K94" s="138">
        <f t="shared" si="1"/>
        <v>7.3001827469472316</v>
      </c>
      <c r="M94" s="72">
        <v>3.3E-3</v>
      </c>
      <c r="N94" s="72">
        <v>4.1999999999999997E-3</v>
      </c>
      <c r="O94" s="72">
        <v>4.1999999999999997E-3</v>
      </c>
      <c r="P94" s="72">
        <v>3.3E-3</v>
      </c>
      <c r="Q94" s="72">
        <v>3.3E-3</v>
      </c>
      <c r="R94" s="72">
        <v>3.3E-3</v>
      </c>
      <c r="S94" s="72">
        <v>3.3E-3</v>
      </c>
      <c r="T94" s="72">
        <v>3.3E-3</v>
      </c>
      <c r="U94" s="72">
        <v>1E-3</v>
      </c>
      <c r="V94" s="72">
        <v>6.3E-3</v>
      </c>
      <c r="W94" s="72">
        <v>5.0000000000000001E-4</v>
      </c>
      <c r="X94" s="72">
        <v>2.7799999999999999E-3</v>
      </c>
      <c r="Y94" s="168">
        <f>AVERAGE(M94:X94)</f>
        <v>3.231666666666667E-3</v>
      </c>
    </row>
    <row r="95" spans="2:25">
      <c r="B95" s="195" t="s">
        <v>16</v>
      </c>
      <c r="C95" s="465" t="s">
        <v>104</v>
      </c>
      <c r="D95" s="466"/>
      <c r="E95" s="466"/>
      <c r="F95" s="466"/>
      <c r="G95" s="466"/>
      <c r="H95" s="466"/>
      <c r="I95" s="515"/>
      <c r="J95" s="46">
        <f t="shared" si="2"/>
        <v>7.0299999999999996E-4</v>
      </c>
      <c r="K95" s="138">
        <f t="shared" si="1"/>
        <v>1.5880438796608261</v>
      </c>
      <c r="M95" s="72"/>
      <c r="N95" s="72">
        <v>2.0000000000000001E-4</v>
      </c>
      <c r="O95" s="72">
        <v>2.0000000000000001E-4</v>
      </c>
      <c r="P95" s="72">
        <v>6.9999999999999999E-4</v>
      </c>
      <c r="Q95" s="72">
        <v>6.9999999999999999E-4</v>
      </c>
      <c r="R95" s="72">
        <v>5.9999999999999995E-4</v>
      </c>
      <c r="S95" s="72">
        <v>1E-4</v>
      </c>
      <c r="T95" s="72">
        <v>6.9999999999999999E-4</v>
      </c>
      <c r="U95" s="72">
        <v>2.9999999999999997E-4</v>
      </c>
      <c r="V95" s="72">
        <v>2.0000000000000001E-4</v>
      </c>
      <c r="W95" s="72"/>
      <c r="X95" s="72">
        <v>3.3300000000000001E-3</v>
      </c>
      <c r="Y95" s="168">
        <f>AVERAGE(M95:X95)</f>
        <v>7.0299999999999996E-4</v>
      </c>
    </row>
    <row r="96" spans="2:25" ht="15.75" customHeight="1" thickBot="1">
      <c r="B96" s="47" t="s">
        <v>60</v>
      </c>
      <c r="C96" s="519" t="s">
        <v>459</v>
      </c>
      <c r="D96" s="520"/>
      <c r="E96" s="520"/>
      <c r="F96" s="520"/>
      <c r="G96" s="520"/>
      <c r="H96" s="520"/>
      <c r="I96" s="521"/>
      <c r="J96" s="46">
        <f t="shared" si="2"/>
        <v>8.0533333333333342E-3</v>
      </c>
      <c r="K96" s="138">
        <f t="shared" si="1"/>
        <v>18.192100584450245</v>
      </c>
      <c r="M96" s="72">
        <v>2.8E-3</v>
      </c>
      <c r="N96" s="72"/>
      <c r="O96" s="72"/>
      <c r="P96" s="72">
        <v>1.15E-2</v>
      </c>
      <c r="Q96" s="72">
        <v>1.15E-2</v>
      </c>
      <c r="R96" s="72"/>
      <c r="S96" s="72">
        <v>1.47E-2</v>
      </c>
      <c r="T96" s="72">
        <v>5.5999999999999999E-3</v>
      </c>
      <c r="U96" s="72"/>
      <c r="V96" s="72"/>
      <c r="W96" s="72">
        <v>2.2200000000000002E-3</v>
      </c>
      <c r="X96" s="72"/>
      <c r="Y96" s="168">
        <f>AVERAGE(M96:X96)</f>
        <v>8.0533333333333342E-3</v>
      </c>
    </row>
    <row r="97" spans="2:27" ht="15.75" thickBot="1">
      <c r="B97" s="468" t="s">
        <v>1</v>
      </c>
      <c r="C97" s="469"/>
      <c r="D97" s="469"/>
      <c r="E97" s="469"/>
      <c r="F97" s="469"/>
      <c r="G97" s="469"/>
      <c r="H97" s="469"/>
      <c r="I97" s="528"/>
      <c r="J97" s="44">
        <f>SUM(J91:J96)</f>
        <v>2.1963000000000003E-2</v>
      </c>
      <c r="K97" s="141">
        <f>SUM(K91:K96)</f>
        <v>49.613382260299758</v>
      </c>
    </row>
    <row r="98" spans="2:27">
      <c r="B98" s="545" t="s">
        <v>385</v>
      </c>
      <c r="C98" s="545"/>
      <c r="D98" s="545"/>
      <c r="E98" s="545"/>
      <c r="F98" s="545"/>
      <c r="G98" s="545"/>
      <c r="H98" s="545"/>
      <c r="I98" s="545"/>
      <c r="J98" s="545"/>
      <c r="K98" s="545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63"/>
    </row>
    <row r="99" spans="2:27" ht="35.25" customHeight="1">
      <c r="B99" s="546"/>
      <c r="C99" s="546"/>
      <c r="D99" s="546"/>
      <c r="E99" s="546"/>
      <c r="F99" s="546"/>
      <c r="G99" s="546"/>
      <c r="H99" s="546"/>
      <c r="I99" s="546"/>
      <c r="J99" s="546"/>
      <c r="K99" s="546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63"/>
    </row>
    <row r="100" spans="2:27" ht="15.75" thickBot="1">
      <c r="B100" s="504" t="s">
        <v>105</v>
      </c>
      <c r="C100" s="504"/>
      <c r="D100" s="504"/>
      <c r="E100" s="504"/>
      <c r="F100" s="504"/>
      <c r="G100" s="504"/>
      <c r="H100" s="504"/>
      <c r="I100" s="504"/>
      <c r="J100" s="504"/>
      <c r="K100" s="504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63"/>
    </row>
    <row r="101" spans="2:27" ht="15.75" thickBot="1">
      <c r="B101" s="197" t="s">
        <v>106</v>
      </c>
      <c r="C101" s="527" t="s">
        <v>107</v>
      </c>
      <c r="D101" s="469"/>
      <c r="E101" s="469"/>
      <c r="F101" s="469"/>
      <c r="G101" s="469"/>
      <c r="H101" s="469"/>
      <c r="I101" s="528"/>
      <c r="J101" s="30" t="s">
        <v>69</v>
      </c>
      <c r="K101" s="31" t="s">
        <v>55</v>
      </c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63"/>
    </row>
    <row r="102" spans="2:27" ht="15.75" thickBot="1">
      <c r="B102" s="48" t="s">
        <v>12</v>
      </c>
      <c r="C102" s="533" t="s">
        <v>108</v>
      </c>
      <c r="D102" s="534"/>
      <c r="E102" s="534"/>
      <c r="F102" s="534"/>
      <c r="G102" s="534"/>
      <c r="H102" s="534"/>
      <c r="I102" s="535"/>
      <c r="J102" s="49">
        <v>0</v>
      </c>
      <c r="K102" s="146"/>
      <c r="N102" s="72"/>
      <c r="O102" s="73"/>
      <c r="P102" s="72"/>
      <c r="Q102" s="72"/>
      <c r="R102" s="72"/>
      <c r="S102" s="72"/>
      <c r="T102" s="72"/>
      <c r="U102" s="72"/>
      <c r="V102" s="72"/>
      <c r="W102" s="72"/>
      <c r="X102" s="72"/>
      <c r="Y102" s="63"/>
    </row>
    <row r="103" spans="2:27" ht="15.75" thickBot="1">
      <c r="B103" s="522" t="s">
        <v>1</v>
      </c>
      <c r="C103" s="523"/>
      <c r="D103" s="523"/>
      <c r="E103" s="523"/>
      <c r="F103" s="523"/>
      <c r="G103" s="523"/>
      <c r="H103" s="523"/>
      <c r="I103" s="523"/>
      <c r="J103" s="523"/>
      <c r="K103" s="50"/>
      <c r="Y103" s="63"/>
    </row>
    <row r="104" spans="2:27">
      <c r="B104" s="3"/>
      <c r="C104" s="3"/>
      <c r="D104" s="3"/>
      <c r="E104" s="3"/>
      <c r="F104" s="3"/>
      <c r="G104" s="3"/>
      <c r="H104" s="3"/>
      <c r="I104" s="3"/>
      <c r="J104" s="3"/>
      <c r="K104" s="3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63"/>
    </row>
    <row r="105" spans="2:27" ht="15.75" thickBot="1">
      <c r="B105" s="504" t="s">
        <v>109</v>
      </c>
      <c r="C105" s="504"/>
      <c r="D105" s="504"/>
      <c r="E105" s="504"/>
      <c r="F105" s="504"/>
      <c r="G105" s="504"/>
      <c r="H105" s="504"/>
      <c r="I105" s="504"/>
      <c r="J105" s="504"/>
      <c r="K105" s="504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63"/>
    </row>
    <row r="106" spans="2:27">
      <c r="B106" s="37">
        <v>4</v>
      </c>
      <c r="C106" s="536" t="s">
        <v>110</v>
      </c>
      <c r="D106" s="537"/>
      <c r="E106" s="537"/>
      <c r="F106" s="537"/>
      <c r="G106" s="537"/>
      <c r="H106" s="537"/>
      <c r="I106" s="538"/>
      <c r="J106" s="191" t="s">
        <v>69</v>
      </c>
      <c r="K106" s="38" t="s">
        <v>55</v>
      </c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63"/>
    </row>
    <row r="107" spans="2:27">
      <c r="B107" s="25" t="s">
        <v>98</v>
      </c>
      <c r="C107" s="539" t="s">
        <v>111</v>
      </c>
      <c r="D107" s="540"/>
      <c r="E107" s="540"/>
      <c r="F107" s="540"/>
      <c r="G107" s="540"/>
      <c r="H107" s="540"/>
      <c r="I107" s="541"/>
      <c r="J107" s="52">
        <f>J97</f>
        <v>2.1963000000000003E-2</v>
      </c>
      <c r="K107" s="147">
        <f>K97</f>
        <v>49.613382260299758</v>
      </c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63"/>
    </row>
    <row r="108" spans="2:27" ht="15.75" thickBot="1">
      <c r="B108" s="27" t="s">
        <v>106</v>
      </c>
      <c r="C108" s="542" t="s">
        <v>112</v>
      </c>
      <c r="D108" s="543"/>
      <c r="E108" s="543"/>
      <c r="F108" s="543"/>
      <c r="G108" s="543"/>
      <c r="H108" s="543"/>
      <c r="I108" s="544"/>
      <c r="J108" s="53">
        <v>0</v>
      </c>
      <c r="K108" s="148"/>
      <c r="N108" s="72"/>
      <c r="O108" s="73"/>
      <c r="P108" s="72"/>
      <c r="Q108" s="72"/>
      <c r="R108" s="72"/>
      <c r="S108" s="72"/>
      <c r="T108" s="72"/>
      <c r="U108" s="72"/>
      <c r="V108" s="72"/>
      <c r="W108" s="72"/>
      <c r="X108" s="72"/>
      <c r="Y108" s="63"/>
      <c r="Z108" s="63"/>
      <c r="AA108" s="63"/>
    </row>
    <row r="109" spans="2:27" ht="15.75" thickBot="1">
      <c r="B109" s="468" t="s">
        <v>1</v>
      </c>
      <c r="C109" s="469"/>
      <c r="D109" s="469"/>
      <c r="E109" s="469"/>
      <c r="F109" s="469"/>
      <c r="G109" s="469"/>
      <c r="H109" s="469"/>
      <c r="I109" s="469"/>
      <c r="J109" s="528"/>
      <c r="K109" s="141">
        <f>SUM(K107:K108)</f>
        <v>49.613382260299758</v>
      </c>
      <c r="Y109" s="63"/>
    </row>
    <row r="110" spans="2:27">
      <c r="B110" s="3"/>
      <c r="C110" s="3"/>
      <c r="D110" s="3"/>
      <c r="E110" s="3"/>
      <c r="F110" s="3"/>
      <c r="G110" s="3"/>
      <c r="H110" s="3"/>
      <c r="I110" s="3"/>
      <c r="J110" s="3"/>
      <c r="K110" s="3"/>
      <c r="Y110" s="63"/>
    </row>
    <row r="111" spans="2:27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27" ht="15.75" thickBot="1">
      <c r="B112" s="504" t="s">
        <v>113</v>
      </c>
      <c r="C112" s="504"/>
      <c r="D112" s="504"/>
      <c r="E112" s="504"/>
      <c r="F112" s="504"/>
      <c r="G112" s="504"/>
      <c r="H112" s="504"/>
      <c r="I112" s="504"/>
      <c r="J112" s="504"/>
      <c r="K112" s="504"/>
      <c r="N112" s="72"/>
      <c r="O112" s="72"/>
      <c r="P112" s="72"/>
      <c r="Q112" s="72"/>
      <c r="R112" s="72"/>
      <c r="S112" s="72"/>
      <c r="T112" s="72"/>
      <c r="V112" s="72"/>
      <c r="W112" s="72"/>
      <c r="X112" s="72"/>
      <c r="Y112" s="63"/>
    </row>
    <row r="113" spans="2:39" ht="15.75" thickBot="1">
      <c r="B113" s="197">
        <v>5</v>
      </c>
      <c r="C113" s="469" t="s">
        <v>5</v>
      </c>
      <c r="D113" s="469"/>
      <c r="E113" s="469"/>
      <c r="F113" s="469"/>
      <c r="G113" s="469"/>
      <c r="H113" s="469"/>
      <c r="I113" s="469"/>
      <c r="J113" s="469"/>
      <c r="K113" s="54" t="s">
        <v>55</v>
      </c>
      <c r="N113" s="72"/>
      <c r="O113" s="72"/>
      <c r="P113" s="72"/>
      <c r="Q113" s="72"/>
      <c r="R113" s="72"/>
      <c r="S113" s="72"/>
      <c r="T113" s="72"/>
      <c r="V113" s="72"/>
      <c r="W113" s="72"/>
      <c r="X113" s="72"/>
      <c r="Y113" s="63"/>
    </row>
    <row r="114" spans="2:39">
      <c r="B114" s="113" t="s">
        <v>12</v>
      </c>
      <c r="C114" s="549" t="s">
        <v>134</v>
      </c>
      <c r="D114" s="550"/>
      <c r="E114" s="550"/>
      <c r="F114" s="550"/>
      <c r="G114" s="550"/>
      <c r="H114" s="550"/>
      <c r="I114" s="550"/>
      <c r="J114" s="550"/>
      <c r="K114" s="149">
        <v>0</v>
      </c>
      <c r="N114" s="72"/>
      <c r="O114" s="72"/>
      <c r="P114" s="72"/>
      <c r="Q114" s="72"/>
      <c r="R114" s="72"/>
      <c r="S114" s="72"/>
      <c r="T114" s="72"/>
      <c r="V114" s="72"/>
      <c r="W114" s="72"/>
      <c r="X114" s="72"/>
      <c r="Y114" s="63"/>
    </row>
    <row r="115" spans="2:39">
      <c r="B115" s="32" t="s">
        <v>12</v>
      </c>
      <c r="C115" s="530" t="s">
        <v>319</v>
      </c>
      <c r="D115" s="530"/>
      <c r="E115" s="530"/>
      <c r="F115" s="530"/>
      <c r="G115" s="530"/>
      <c r="H115" s="530"/>
      <c r="I115" s="530"/>
      <c r="J115" s="530"/>
      <c r="K115" s="151">
        <v>0</v>
      </c>
      <c r="N115" s="72"/>
      <c r="O115" s="72"/>
      <c r="P115" s="72"/>
      <c r="Q115" s="72"/>
      <c r="R115" s="72"/>
      <c r="S115" s="72"/>
      <c r="T115" s="72"/>
      <c r="V115" s="72"/>
      <c r="W115" s="72"/>
      <c r="X115" s="72"/>
      <c r="Y115" s="63"/>
    </row>
    <row r="116" spans="2:39">
      <c r="B116" s="25" t="s">
        <v>13</v>
      </c>
      <c r="C116" s="462" t="s">
        <v>320</v>
      </c>
      <c r="D116" s="462"/>
      <c r="E116" s="462"/>
      <c r="F116" s="462"/>
      <c r="G116" s="462"/>
      <c r="H116" s="462"/>
      <c r="I116" s="462"/>
      <c r="J116" s="462"/>
      <c r="K116" s="150">
        <v>0</v>
      </c>
      <c r="N116" s="72"/>
      <c r="O116" s="72"/>
      <c r="P116" s="72"/>
      <c r="Q116" s="72"/>
      <c r="R116" s="72"/>
      <c r="S116" s="72"/>
      <c r="T116" s="72"/>
      <c r="V116" s="72"/>
      <c r="W116" s="72"/>
      <c r="X116" s="72"/>
      <c r="Y116" s="63"/>
    </row>
    <row r="117" spans="2:39">
      <c r="B117" s="25" t="s">
        <v>14</v>
      </c>
      <c r="C117" s="462" t="s">
        <v>114</v>
      </c>
      <c r="D117" s="462"/>
      <c r="E117" s="462"/>
      <c r="F117" s="462"/>
      <c r="G117" s="462"/>
      <c r="H117" s="462"/>
      <c r="I117" s="462"/>
      <c r="J117" s="462"/>
      <c r="K117" s="150">
        <f>Uniformes!AH26</f>
        <v>27.2775</v>
      </c>
      <c r="O117" s="72"/>
      <c r="P117" s="72"/>
      <c r="Q117" s="72"/>
      <c r="R117" s="72"/>
      <c r="T117" s="72"/>
      <c r="V117" s="72"/>
      <c r="W117" s="72"/>
      <c r="X117" s="72"/>
      <c r="Y117" s="63"/>
    </row>
    <row r="118" spans="2:39" ht="15.75" customHeight="1" thickBot="1">
      <c r="B118" s="27" t="s">
        <v>15</v>
      </c>
      <c r="C118" s="555"/>
      <c r="D118" s="556"/>
      <c r="E118" s="556"/>
      <c r="F118" s="556"/>
      <c r="G118" s="556"/>
      <c r="H118" s="556"/>
      <c r="I118" s="556"/>
      <c r="J118" s="557"/>
      <c r="K118" s="152"/>
      <c r="Y118" s="63"/>
    </row>
    <row r="119" spans="2:39" ht="15.75" thickBot="1">
      <c r="B119" s="468" t="s">
        <v>1</v>
      </c>
      <c r="C119" s="469"/>
      <c r="D119" s="469"/>
      <c r="E119" s="469"/>
      <c r="F119" s="469"/>
      <c r="G119" s="469"/>
      <c r="H119" s="469"/>
      <c r="I119" s="469"/>
      <c r="J119" s="528"/>
      <c r="K119" s="141">
        <f>SUM(K115:K118)</f>
        <v>27.2775</v>
      </c>
      <c r="N119" s="76"/>
      <c r="Y119" s="63"/>
    </row>
    <row r="120" spans="2:39">
      <c r="B120" s="547"/>
      <c r="C120" s="547"/>
      <c r="D120" s="547"/>
      <c r="E120" s="547"/>
      <c r="F120" s="547"/>
      <c r="G120" s="547"/>
      <c r="H120" s="547"/>
      <c r="I120" s="3"/>
      <c r="J120" s="3"/>
      <c r="K120" s="3"/>
    </row>
    <row r="121" spans="2:39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39" ht="15.75" thickBot="1">
      <c r="B122" s="548" t="s">
        <v>115</v>
      </c>
      <c r="C122" s="548"/>
      <c r="D122" s="548"/>
      <c r="E122" s="548"/>
      <c r="F122" s="548"/>
      <c r="G122" s="548"/>
      <c r="H122" s="548"/>
      <c r="I122" s="548"/>
      <c r="J122" s="548"/>
      <c r="K122" s="548"/>
    </row>
    <row r="123" spans="2:39" ht="15.75" thickBot="1">
      <c r="B123" s="197">
        <v>6</v>
      </c>
      <c r="C123" s="469" t="s">
        <v>6</v>
      </c>
      <c r="D123" s="469"/>
      <c r="E123" s="469"/>
      <c r="F123" s="469"/>
      <c r="G123" s="469"/>
      <c r="H123" s="469"/>
      <c r="I123" s="469"/>
      <c r="J123" s="55" t="s">
        <v>116</v>
      </c>
      <c r="K123" s="54" t="s">
        <v>55</v>
      </c>
      <c r="M123" s="170" t="s">
        <v>155</v>
      </c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</row>
    <row r="124" spans="2:39">
      <c r="B124" s="32" t="s">
        <v>12</v>
      </c>
      <c r="C124" s="530" t="s">
        <v>7</v>
      </c>
      <c r="D124" s="530"/>
      <c r="E124" s="530"/>
      <c r="F124" s="530"/>
      <c r="G124" s="530"/>
      <c r="H124" s="530"/>
      <c r="I124" s="530"/>
      <c r="J124" s="56">
        <v>0.03</v>
      </c>
      <c r="K124" s="151">
        <f>J124*K140</f>
        <v>114.5963838426097</v>
      </c>
      <c r="M124" s="64" t="s">
        <v>157</v>
      </c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</row>
    <row r="125" spans="2:39">
      <c r="B125" s="25" t="s">
        <v>13</v>
      </c>
      <c r="C125" s="462" t="s">
        <v>9</v>
      </c>
      <c r="D125" s="462"/>
      <c r="E125" s="462"/>
      <c r="F125" s="462"/>
      <c r="G125" s="462"/>
      <c r="H125" s="462"/>
      <c r="I125" s="462"/>
      <c r="J125" s="57">
        <v>6.7900000000000002E-2</v>
      </c>
      <c r="K125" s="150">
        <f>J125*(K124+$K$140)</f>
        <v>267.15090989335317</v>
      </c>
      <c r="M125" s="64" t="s">
        <v>157</v>
      </c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</row>
    <row r="126" spans="2:39">
      <c r="B126" s="25" t="s">
        <v>14</v>
      </c>
      <c r="C126" s="462" t="s">
        <v>8</v>
      </c>
      <c r="D126" s="462"/>
      <c r="E126" s="462"/>
      <c r="F126" s="462"/>
      <c r="G126" s="462"/>
      <c r="H126" s="462"/>
      <c r="I126" s="462"/>
      <c r="J126" s="58">
        <f>SUM(J127:J130)</f>
        <v>0.14250000000000002</v>
      </c>
      <c r="K126" s="150"/>
    </row>
    <row r="127" spans="2:39">
      <c r="B127" s="25"/>
      <c r="C127" s="195"/>
      <c r="D127" s="462" t="s">
        <v>117</v>
      </c>
      <c r="E127" s="462"/>
      <c r="F127" s="462"/>
      <c r="G127" s="462"/>
      <c r="H127" s="462"/>
      <c r="I127" s="462"/>
      <c r="J127" s="59">
        <f>1.65%+7.6%</f>
        <v>9.2499999999999999E-2</v>
      </c>
      <c r="K127" s="150">
        <f>(K140+K124+K125)/(1-J126)*J127</f>
        <v>453.23670536671307</v>
      </c>
      <c r="M127" s="64" t="s">
        <v>156</v>
      </c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</row>
    <row r="128" spans="2:39">
      <c r="B128" s="25"/>
      <c r="C128" s="195"/>
      <c r="D128" s="462" t="s">
        <v>118</v>
      </c>
      <c r="E128" s="462"/>
      <c r="F128" s="462"/>
      <c r="G128" s="462"/>
      <c r="H128" s="462"/>
      <c r="I128" s="462"/>
      <c r="J128" s="26">
        <v>0</v>
      </c>
      <c r="K128" s="150"/>
    </row>
    <row r="129" spans="2:31">
      <c r="B129" s="25"/>
      <c r="C129" s="195"/>
      <c r="D129" s="462" t="s">
        <v>119</v>
      </c>
      <c r="E129" s="462"/>
      <c r="F129" s="462"/>
      <c r="G129" s="462"/>
      <c r="H129" s="462"/>
      <c r="I129" s="462"/>
      <c r="J129" s="59">
        <v>0.05</v>
      </c>
      <c r="K129" s="150">
        <f>(K140+K124+K125)/(1-J126)*J129</f>
        <v>244.9928137117368</v>
      </c>
      <c r="M129" s="64" t="s">
        <v>156</v>
      </c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</row>
    <row r="130" spans="2:31" ht="15.75" thickBot="1">
      <c r="B130" s="27"/>
      <c r="C130" s="47"/>
      <c r="D130" s="531" t="s">
        <v>120</v>
      </c>
      <c r="E130" s="531"/>
      <c r="F130" s="531"/>
      <c r="G130" s="531"/>
      <c r="H130" s="531"/>
      <c r="I130" s="531"/>
      <c r="J130" s="28">
        <v>0</v>
      </c>
      <c r="K130" s="152"/>
    </row>
    <row r="131" spans="2:31" ht="15.75" thickBot="1">
      <c r="B131" s="468" t="s">
        <v>1</v>
      </c>
      <c r="C131" s="469"/>
      <c r="D131" s="469"/>
      <c r="E131" s="469"/>
      <c r="F131" s="469"/>
      <c r="G131" s="469"/>
      <c r="H131" s="469"/>
      <c r="I131" s="469"/>
      <c r="J131" s="528"/>
      <c r="K131" s="141">
        <f>SUM(K124:K130)</f>
        <v>1079.9768128144128</v>
      </c>
    </row>
    <row r="132" spans="2:3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31" ht="15.75" thickBot="1">
      <c r="B133" s="504" t="s">
        <v>121</v>
      </c>
      <c r="C133" s="504"/>
      <c r="D133" s="504"/>
      <c r="E133" s="504"/>
      <c r="F133" s="504"/>
      <c r="G133" s="504"/>
      <c r="H133" s="504"/>
      <c r="I133" s="504"/>
      <c r="J133" s="504"/>
      <c r="K133" s="504"/>
    </row>
    <row r="134" spans="2:31" ht="15.75" thickBot="1">
      <c r="B134" s="468" t="s">
        <v>122</v>
      </c>
      <c r="C134" s="469"/>
      <c r="D134" s="469"/>
      <c r="E134" s="469"/>
      <c r="F134" s="469"/>
      <c r="G134" s="469"/>
      <c r="H134" s="469"/>
      <c r="I134" s="469"/>
      <c r="J134" s="528"/>
      <c r="K134" s="31" t="s">
        <v>55</v>
      </c>
    </row>
    <row r="135" spans="2:31">
      <c r="B135" s="60" t="s">
        <v>12</v>
      </c>
      <c r="C135" s="530" t="s">
        <v>123</v>
      </c>
      <c r="D135" s="530"/>
      <c r="E135" s="530"/>
      <c r="F135" s="530"/>
      <c r="G135" s="530"/>
      <c r="H135" s="530"/>
      <c r="I135" s="530"/>
      <c r="J135" s="530"/>
      <c r="K135" s="143">
        <f>K39</f>
        <v>1527.03</v>
      </c>
    </row>
    <row r="136" spans="2:31">
      <c r="B136" s="198" t="s">
        <v>13</v>
      </c>
      <c r="C136" s="462" t="s">
        <v>65</v>
      </c>
      <c r="D136" s="462"/>
      <c r="E136" s="462"/>
      <c r="F136" s="462"/>
      <c r="G136" s="462"/>
      <c r="H136" s="462"/>
      <c r="I136" s="462"/>
      <c r="J136" s="462"/>
      <c r="K136" s="137">
        <f>K76</f>
        <v>1964.2733161420001</v>
      </c>
    </row>
    <row r="137" spans="2:31">
      <c r="B137" s="198" t="s">
        <v>14</v>
      </c>
      <c r="C137" s="462" t="s">
        <v>124</v>
      </c>
      <c r="D137" s="462"/>
      <c r="E137" s="462"/>
      <c r="F137" s="462"/>
      <c r="G137" s="462"/>
      <c r="H137" s="462"/>
      <c r="I137" s="462"/>
      <c r="J137" s="462"/>
      <c r="K137" s="137">
        <f>K86</f>
        <v>251.68526301802385</v>
      </c>
    </row>
    <row r="138" spans="2:31">
      <c r="B138" s="198" t="s">
        <v>15</v>
      </c>
      <c r="C138" s="462" t="s">
        <v>125</v>
      </c>
      <c r="D138" s="462"/>
      <c r="E138" s="462"/>
      <c r="F138" s="462"/>
      <c r="G138" s="462"/>
      <c r="H138" s="462"/>
      <c r="I138" s="462"/>
      <c r="J138" s="462"/>
      <c r="K138" s="137">
        <f>K109</f>
        <v>49.613382260299758</v>
      </c>
    </row>
    <row r="139" spans="2:31">
      <c r="B139" s="198" t="s">
        <v>16</v>
      </c>
      <c r="C139" s="462" t="s">
        <v>113</v>
      </c>
      <c r="D139" s="462"/>
      <c r="E139" s="462"/>
      <c r="F139" s="462"/>
      <c r="G139" s="462"/>
      <c r="H139" s="462"/>
      <c r="I139" s="462"/>
      <c r="J139" s="462"/>
      <c r="K139" s="150">
        <f>K119</f>
        <v>27.2775</v>
      </c>
    </row>
    <row r="140" spans="2:31">
      <c r="B140" s="551" t="s">
        <v>126</v>
      </c>
      <c r="C140" s="552"/>
      <c r="D140" s="552"/>
      <c r="E140" s="552"/>
      <c r="F140" s="552"/>
      <c r="G140" s="552"/>
      <c r="H140" s="552"/>
      <c r="I140" s="552"/>
      <c r="J140" s="552"/>
      <c r="K140" s="150">
        <f>SUM(K135:K139)</f>
        <v>3819.8794614203234</v>
      </c>
    </row>
    <row r="141" spans="2:31" ht="15.75" thickBot="1">
      <c r="B141" s="62" t="s">
        <v>60</v>
      </c>
      <c r="C141" s="531" t="s">
        <v>115</v>
      </c>
      <c r="D141" s="531"/>
      <c r="E141" s="531"/>
      <c r="F141" s="531"/>
      <c r="G141" s="531"/>
      <c r="H141" s="531"/>
      <c r="I141" s="531"/>
      <c r="J141" s="531"/>
      <c r="K141" s="152">
        <f>K131</f>
        <v>1079.9768128144128</v>
      </c>
    </row>
    <row r="142" spans="2:31" ht="15.75" thickBot="1">
      <c r="B142" s="553" t="s">
        <v>127</v>
      </c>
      <c r="C142" s="554"/>
      <c r="D142" s="554"/>
      <c r="E142" s="554"/>
      <c r="F142" s="554"/>
      <c r="G142" s="554"/>
      <c r="H142" s="554"/>
      <c r="I142" s="554"/>
      <c r="J142" s="554"/>
      <c r="K142" s="153">
        <f>SUM(K140:K141)</f>
        <v>4899.8562742347367</v>
      </c>
    </row>
  </sheetData>
  <mergeCells count="136">
    <mergeCell ref="B2:K2"/>
    <mergeCell ref="B3:K3"/>
    <mergeCell ref="B4:K4"/>
    <mergeCell ref="C6:K6"/>
    <mergeCell ref="C7:K7"/>
    <mergeCell ref="C8:K8"/>
    <mergeCell ref="C13:I13"/>
    <mergeCell ref="J13:K13"/>
    <mergeCell ref="C14:I14"/>
    <mergeCell ref="J14:K14"/>
    <mergeCell ref="C15:I15"/>
    <mergeCell ref="J15:K15"/>
    <mergeCell ref="B9:I9"/>
    <mergeCell ref="B10:K10"/>
    <mergeCell ref="C11:I11"/>
    <mergeCell ref="J11:K11"/>
    <mergeCell ref="C12:I12"/>
    <mergeCell ref="J12:K12"/>
    <mergeCell ref="B23:K23"/>
    <mergeCell ref="C24:J24"/>
    <mergeCell ref="C25:J25"/>
    <mergeCell ref="C26:J26"/>
    <mergeCell ref="C27:J27"/>
    <mergeCell ref="C28:J28"/>
    <mergeCell ref="B17:K17"/>
    <mergeCell ref="B18:I18"/>
    <mergeCell ref="B19:E21"/>
    <mergeCell ref="F19:I19"/>
    <mergeCell ref="J19:J21"/>
    <mergeCell ref="F20:I20"/>
    <mergeCell ref="F21:I21"/>
    <mergeCell ref="C36:J36"/>
    <mergeCell ref="C37:J37"/>
    <mergeCell ref="C38:J38"/>
    <mergeCell ref="B39:J39"/>
    <mergeCell ref="B41:K41"/>
    <mergeCell ref="B42:K42"/>
    <mergeCell ref="B30:J30"/>
    <mergeCell ref="C31:J31"/>
    <mergeCell ref="C32:J32"/>
    <mergeCell ref="C33:J33"/>
    <mergeCell ref="C34:J34"/>
    <mergeCell ref="C35:J35"/>
    <mergeCell ref="C50:I50"/>
    <mergeCell ref="C51:I51"/>
    <mergeCell ref="C52:I52"/>
    <mergeCell ref="C53:I53"/>
    <mergeCell ref="C54:I54"/>
    <mergeCell ref="C55:I55"/>
    <mergeCell ref="C43:I43"/>
    <mergeCell ref="C44:I44"/>
    <mergeCell ref="C45:I45"/>
    <mergeCell ref="B46:J46"/>
    <mergeCell ref="B48:K48"/>
    <mergeCell ref="C49:I49"/>
    <mergeCell ref="C63:J63"/>
    <mergeCell ref="C64:J64"/>
    <mergeCell ref="C65:J65"/>
    <mergeCell ref="C66:J66"/>
    <mergeCell ref="C67:I67"/>
    <mergeCell ref="C68:J68"/>
    <mergeCell ref="C56:I56"/>
    <mergeCell ref="C57:I57"/>
    <mergeCell ref="B58:I58"/>
    <mergeCell ref="B60:K60"/>
    <mergeCell ref="C61:J61"/>
    <mergeCell ref="C62:J62"/>
    <mergeCell ref="B76:J76"/>
    <mergeCell ref="B78:K78"/>
    <mergeCell ref="C79:I79"/>
    <mergeCell ref="C80:I80"/>
    <mergeCell ref="C81:I81"/>
    <mergeCell ref="C82:I82"/>
    <mergeCell ref="B69:J69"/>
    <mergeCell ref="B71:K71"/>
    <mergeCell ref="C72:J72"/>
    <mergeCell ref="C73:J73"/>
    <mergeCell ref="C74:J74"/>
    <mergeCell ref="C75:J75"/>
    <mergeCell ref="B89:B90"/>
    <mergeCell ref="C89:I90"/>
    <mergeCell ref="J89:J90"/>
    <mergeCell ref="K89:K90"/>
    <mergeCell ref="Y89:Y90"/>
    <mergeCell ref="C91:I91"/>
    <mergeCell ref="C83:I83"/>
    <mergeCell ref="C84:I84"/>
    <mergeCell ref="C85:I85"/>
    <mergeCell ref="B86:I86"/>
    <mergeCell ref="B88:K88"/>
    <mergeCell ref="N88:Y88"/>
    <mergeCell ref="B98:K99"/>
    <mergeCell ref="B100:K100"/>
    <mergeCell ref="C101:I101"/>
    <mergeCell ref="C102:I102"/>
    <mergeCell ref="B103:J103"/>
    <mergeCell ref="B105:K105"/>
    <mergeCell ref="C92:I92"/>
    <mergeCell ref="C93:I93"/>
    <mergeCell ref="C94:I94"/>
    <mergeCell ref="C95:I95"/>
    <mergeCell ref="C96:I96"/>
    <mergeCell ref="B97:I97"/>
    <mergeCell ref="C114:J114"/>
    <mergeCell ref="C115:J115"/>
    <mergeCell ref="C116:J116"/>
    <mergeCell ref="C117:J117"/>
    <mergeCell ref="C118:J118"/>
    <mergeCell ref="B119:J119"/>
    <mergeCell ref="C106:I106"/>
    <mergeCell ref="C107:I107"/>
    <mergeCell ref="C108:I108"/>
    <mergeCell ref="B109:J109"/>
    <mergeCell ref="B112:K112"/>
    <mergeCell ref="C113:J113"/>
    <mergeCell ref="D127:I127"/>
    <mergeCell ref="D128:I128"/>
    <mergeCell ref="D129:I129"/>
    <mergeCell ref="D130:I130"/>
    <mergeCell ref="B131:J131"/>
    <mergeCell ref="B133:K133"/>
    <mergeCell ref="B120:H120"/>
    <mergeCell ref="B122:K122"/>
    <mergeCell ref="C123:I123"/>
    <mergeCell ref="C124:I124"/>
    <mergeCell ref="C125:I125"/>
    <mergeCell ref="C126:I126"/>
    <mergeCell ref="B140:J140"/>
    <mergeCell ref="C141:J141"/>
    <mergeCell ref="B142:J142"/>
    <mergeCell ref="B134:J134"/>
    <mergeCell ref="C135:J135"/>
    <mergeCell ref="C136:J136"/>
    <mergeCell ref="C137:J137"/>
    <mergeCell ref="C138:J138"/>
    <mergeCell ref="C139:J139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opLeftCell="A7" zoomScale="60" zoomScaleNormal="60" workbookViewId="0">
      <selection activeCell="C10" sqref="C10:C11"/>
    </sheetView>
  </sheetViews>
  <sheetFormatPr defaultRowHeight="15.75"/>
  <cols>
    <col min="1" max="1" width="5.140625" style="77" customWidth="1"/>
    <col min="2" max="2" width="11.42578125" style="77" customWidth="1"/>
    <col min="3" max="3" width="26.42578125" style="77" customWidth="1"/>
    <col min="4" max="4" width="39.140625" style="77" customWidth="1"/>
    <col min="5" max="5" width="20.5703125" style="77" customWidth="1"/>
    <col min="6" max="6" width="17" style="77" customWidth="1"/>
    <col min="7" max="7" width="17.85546875" style="77" customWidth="1"/>
    <col min="8" max="9" width="16.140625" style="77" customWidth="1"/>
    <col min="10" max="10" width="16.85546875" style="77" customWidth="1"/>
    <col min="11" max="11" width="18.85546875" style="77" customWidth="1"/>
    <col min="12" max="12" width="18.28515625" style="77" customWidth="1"/>
    <col min="13" max="13" width="22.42578125" style="77" customWidth="1"/>
    <col min="14" max="14" width="19.7109375" style="77" customWidth="1"/>
    <col min="15" max="15" width="28.7109375" style="77" customWidth="1"/>
    <col min="16" max="16" width="19.42578125" style="77" customWidth="1"/>
    <col min="17" max="17" width="19.28515625" style="77" customWidth="1"/>
    <col min="18" max="18" width="20.140625" style="77" customWidth="1"/>
    <col min="19" max="20" width="16.140625" style="77" customWidth="1"/>
    <col min="21" max="21" width="18.28515625" style="77" customWidth="1"/>
    <col min="22" max="22" width="21.7109375" style="77" customWidth="1"/>
    <col min="23" max="23" width="19.5703125" style="77" bestFit="1" customWidth="1"/>
    <col min="24" max="24" width="26.42578125" style="77" bestFit="1" customWidth="1"/>
    <col min="25" max="25" width="18.7109375" style="77" customWidth="1"/>
    <col min="26" max="26" width="28.7109375" style="77" bestFit="1" customWidth="1"/>
    <col min="27" max="28" width="17.5703125" style="77" customWidth="1"/>
    <col min="29" max="29" width="15.7109375" style="77" customWidth="1"/>
    <col min="30" max="30" width="19.28515625" style="77" customWidth="1"/>
    <col min="31" max="31" width="28" style="77" bestFit="1" customWidth="1"/>
    <col min="32" max="32" width="19.42578125" style="77" customWidth="1"/>
    <col min="33" max="33" width="18.85546875" style="77" customWidth="1"/>
    <col min="34" max="34" width="23.85546875" style="77" customWidth="1"/>
    <col min="35" max="35" width="15.5703125" style="77" customWidth="1"/>
    <col min="36" max="16384" width="9.140625" style="77"/>
  </cols>
  <sheetData>
    <row r="1" spans="1:46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</row>
    <row r="2" spans="1:46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</row>
    <row r="3" spans="1:46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</row>
    <row r="4" spans="1:46" ht="60.75" customHeight="1">
      <c r="A4" s="124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  <c r="AG4" s="566"/>
      <c r="AH4" s="566"/>
      <c r="AI4" s="566"/>
      <c r="AJ4" s="566"/>
      <c r="AK4" s="566"/>
      <c r="AL4" s="566"/>
      <c r="AM4" s="566"/>
      <c r="AN4" s="566"/>
      <c r="AO4" s="566"/>
      <c r="AP4" s="566"/>
      <c r="AQ4" s="566"/>
      <c r="AR4" s="566"/>
      <c r="AS4" s="566"/>
      <c r="AT4" s="566"/>
    </row>
    <row r="5" spans="1:46" ht="102.75" customHeight="1">
      <c r="A5" s="124"/>
      <c r="B5" s="533" t="s">
        <v>487</v>
      </c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4"/>
      <c r="AF5" s="534"/>
      <c r="AG5" s="534"/>
      <c r="AH5" s="534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</row>
    <row r="6" spans="1:46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</row>
    <row r="7" spans="1:46" ht="27.75" customHeight="1">
      <c r="A7" s="566"/>
      <c r="B7" s="609" t="s">
        <v>279</v>
      </c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09"/>
      <c r="U7" s="609"/>
      <c r="V7" s="609"/>
      <c r="W7" s="610" t="s">
        <v>191</v>
      </c>
      <c r="X7" s="610"/>
      <c r="Y7" s="610"/>
      <c r="Z7" s="610"/>
      <c r="AA7" s="611" t="s">
        <v>190</v>
      </c>
      <c r="AB7" s="611"/>
      <c r="AC7" s="611"/>
      <c r="AD7" s="611"/>
      <c r="AE7" s="611"/>
      <c r="AF7" s="599" t="s">
        <v>280</v>
      </c>
      <c r="AG7" s="600"/>
      <c r="AH7" s="601"/>
    </row>
    <row r="8" spans="1:46" ht="18.75" customHeight="1">
      <c r="A8" s="566"/>
      <c r="B8" s="612"/>
      <c r="C8" s="612"/>
      <c r="D8" s="612"/>
      <c r="E8" s="612"/>
      <c r="F8" s="612"/>
      <c r="G8" s="613" t="s">
        <v>189</v>
      </c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0"/>
      <c r="X8" s="610"/>
      <c r="Y8" s="610"/>
      <c r="Z8" s="610"/>
      <c r="AA8" s="611"/>
      <c r="AB8" s="611"/>
      <c r="AC8" s="611"/>
      <c r="AD8" s="611"/>
      <c r="AE8" s="611"/>
      <c r="AF8" s="602"/>
      <c r="AG8" s="603"/>
      <c r="AH8" s="604"/>
    </row>
    <row r="9" spans="1:46" ht="28.5" customHeight="1">
      <c r="A9" s="566"/>
      <c r="B9" s="614" t="s">
        <v>279</v>
      </c>
      <c r="C9" s="614"/>
      <c r="D9" s="614"/>
      <c r="E9" s="614"/>
      <c r="F9" s="614"/>
      <c r="G9" s="608" t="s">
        <v>187</v>
      </c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8"/>
      <c r="U9" s="608"/>
      <c r="V9" s="608"/>
      <c r="W9" s="610"/>
      <c r="X9" s="610"/>
      <c r="Y9" s="610"/>
      <c r="Z9" s="610"/>
      <c r="AA9" s="611"/>
      <c r="AB9" s="611"/>
      <c r="AC9" s="611"/>
      <c r="AD9" s="611"/>
      <c r="AE9" s="611"/>
      <c r="AF9" s="605"/>
      <c r="AG9" s="606"/>
      <c r="AH9" s="607"/>
    </row>
    <row r="10" spans="1:46" ht="110.25" customHeight="1">
      <c r="A10" s="566"/>
      <c r="B10" s="569" t="s">
        <v>184</v>
      </c>
      <c r="C10" s="569" t="s">
        <v>10</v>
      </c>
      <c r="D10" s="569" t="s">
        <v>278</v>
      </c>
      <c r="E10" s="569" t="s">
        <v>229</v>
      </c>
      <c r="F10" s="569" t="s">
        <v>23</v>
      </c>
      <c r="G10" s="159" t="s">
        <v>438</v>
      </c>
      <c r="H10" s="159" t="s">
        <v>144</v>
      </c>
      <c r="I10" s="159" t="s">
        <v>145</v>
      </c>
      <c r="J10" s="159" t="s">
        <v>365</v>
      </c>
      <c r="K10" s="159" t="s">
        <v>366</v>
      </c>
      <c r="L10" s="159" t="s">
        <v>439</v>
      </c>
      <c r="M10" s="159" t="s">
        <v>440</v>
      </c>
      <c r="N10" s="159" t="s">
        <v>151</v>
      </c>
      <c r="O10" s="102" t="s">
        <v>441</v>
      </c>
      <c r="P10" s="102" t="s">
        <v>415</v>
      </c>
      <c r="Q10" s="102" t="s">
        <v>416</v>
      </c>
      <c r="R10" s="159" t="s">
        <v>442</v>
      </c>
      <c r="S10" s="159" t="s">
        <v>147</v>
      </c>
      <c r="T10" s="159" t="s">
        <v>388</v>
      </c>
      <c r="U10" s="159" t="s">
        <v>390</v>
      </c>
      <c r="V10" s="102" t="s">
        <v>392</v>
      </c>
      <c r="W10" s="571" t="s">
        <v>182</v>
      </c>
      <c r="X10" s="571" t="s">
        <v>181</v>
      </c>
      <c r="Y10" s="573" t="s">
        <v>180</v>
      </c>
      <c r="Z10" s="573" t="s">
        <v>179</v>
      </c>
      <c r="AA10" s="575" t="s">
        <v>133</v>
      </c>
      <c r="AB10" s="575" t="s">
        <v>178</v>
      </c>
      <c r="AC10" s="575" t="s">
        <v>177</v>
      </c>
      <c r="AD10" s="575" t="s">
        <v>176</v>
      </c>
      <c r="AE10" s="575" t="s">
        <v>175</v>
      </c>
      <c r="AF10" s="579" t="s">
        <v>330</v>
      </c>
      <c r="AG10" s="579" t="s">
        <v>233</v>
      </c>
      <c r="AH10" s="577" t="s">
        <v>331</v>
      </c>
    </row>
    <row r="11" spans="1:46" ht="53.25" customHeight="1">
      <c r="A11" s="566"/>
      <c r="B11" s="570"/>
      <c r="C11" s="570"/>
      <c r="D11" s="570"/>
      <c r="E11" s="570"/>
      <c r="F11" s="570"/>
      <c r="G11" s="159" t="s">
        <v>150</v>
      </c>
      <c r="H11" s="159" t="s">
        <v>148</v>
      </c>
      <c r="I11" s="159" t="s">
        <v>149</v>
      </c>
      <c r="J11" s="159" t="s">
        <v>150</v>
      </c>
      <c r="K11" s="159" t="s">
        <v>367</v>
      </c>
      <c r="L11" s="159" t="s">
        <v>150</v>
      </c>
      <c r="M11" s="159" t="s">
        <v>437</v>
      </c>
      <c r="N11" s="159" t="s">
        <v>152</v>
      </c>
      <c r="O11" s="102" t="s">
        <v>370</v>
      </c>
      <c r="P11" s="159" t="s">
        <v>372</v>
      </c>
      <c r="Q11" s="159" t="s">
        <v>153</v>
      </c>
      <c r="R11" s="159" t="s">
        <v>377</v>
      </c>
      <c r="S11" s="159" t="s">
        <v>386</v>
      </c>
      <c r="T11" s="159" t="s">
        <v>153</v>
      </c>
      <c r="U11" s="159" t="s">
        <v>389</v>
      </c>
      <c r="V11" s="102" t="s">
        <v>391</v>
      </c>
      <c r="W11" s="572"/>
      <c r="X11" s="572"/>
      <c r="Y11" s="574"/>
      <c r="Z11" s="574"/>
      <c r="AA11" s="576"/>
      <c r="AB11" s="576"/>
      <c r="AC11" s="576"/>
      <c r="AD11" s="576"/>
      <c r="AE11" s="576"/>
      <c r="AF11" s="580"/>
      <c r="AG11" s="580"/>
      <c r="AH11" s="578"/>
    </row>
    <row r="12" spans="1:46" ht="82.5" customHeight="1">
      <c r="A12" s="566"/>
      <c r="B12" s="567" t="s">
        <v>277</v>
      </c>
      <c r="C12" s="88" t="s">
        <v>267</v>
      </c>
      <c r="D12" s="164" t="s">
        <v>276</v>
      </c>
      <c r="E12" s="88" t="s">
        <v>265</v>
      </c>
      <c r="F12" s="88">
        <v>3</v>
      </c>
      <c r="G12" s="85">
        <v>33.950000000000003</v>
      </c>
      <c r="H12" s="85"/>
      <c r="I12" s="85">
        <v>24.44</v>
      </c>
      <c r="J12" s="85">
        <v>32</v>
      </c>
      <c r="K12" s="86">
        <v>19.399999999999999</v>
      </c>
      <c r="L12" s="85">
        <v>45.91</v>
      </c>
      <c r="M12" s="85"/>
      <c r="N12" s="85"/>
      <c r="O12" s="85"/>
      <c r="P12" s="85">
        <v>29.73</v>
      </c>
      <c r="Q12" s="85">
        <v>45</v>
      </c>
      <c r="R12" s="85">
        <v>26</v>
      </c>
      <c r="S12" s="85"/>
      <c r="T12" s="90">
        <v>60</v>
      </c>
      <c r="U12" s="85">
        <v>45</v>
      </c>
      <c r="V12" s="85">
        <v>20</v>
      </c>
      <c r="W12" s="96">
        <f>AVERAGE(G12:V12)</f>
        <v>34.675454545454542</v>
      </c>
      <c r="X12" s="96">
        <f>_xlfn.STDEV.P(G12:V12)</f>
        <v>12.216302344621594</v>
      </c>
      <c r="Y12" s="83">
        <f>W12-X12</f>
        <v>22.459152200832946</v>
      </c>
      <c r="Z12" s="83">
        <f>W12+X12</f>
        <v>46.891756890076138</v>
      </c>
      <c r="AA12" s="82">
        <f>AVERAGE(G12,I12,J12,K12,L12,P12,Q12,R12,U12,V12)</f>
        <v>32.142999999999994</v>
      </c>
      <c r="AB12" s="82">
        <f>MEDIAN(G12,I12,J12,K12,L12,P12,Q12,R12,U12,V12)</f>
        <v>30.865000000000002</v>
      </c>
      <c r="AC12" s="81">
        <f>_xlfn.STDEV.P(G12,I12,J12,K12,L12,P12,Q12,R12,U12,V12)</f>
        <v>9.675497971680862</v>
      </c>
      <c r="AD12" s="80">
        <f>AC12/AA12</f>
        <v>0.30101415461160635</v>
      </c>
      <c r="AE12" s="80" t="str">
        <f>IF(AD12&lt;25%,"Média",IF(AD12&gt;=25%,"Mediana"))</f>
        <v>Mediana</v>
      </c>
      <c r="AF12" s="121">
        <f>F12</f>
        <v>3</v>
      </c>
      <c r="AG12" s="105">
        <f>TRUNC(IF(AE12="Mediana",AB12,AA12),2)</f>
        <v>30.86</v>
      </c>
      <c r="AH12" s="104">
        <f>TRUNC(SUM(AG12*(AF12)),2)</f>
        <v>92.58</v>
      </c>
    </row>
    <row r="13" spans="1:46" ht="153.75" customHeight="1">
      <c r="A13" s="566"/>
      <c r="B13" s="567"/>
      <c r="C13" s="88" t="s">
        <v>275</v>
      </c>
      <c r="D13" s="165" t="s">
        <v>274</v>
      </c>
      <c r="E13" s="88" t="s">
        <v>265</v>
      </c>
      <c r="F13" s="88">
        <v>3</v>
      </c>
      <c r="G13" s="85">
        <v>30</v>
      </c>
      <c r="H13" s="85"/>
      <c r="I13" s="85">
        <v>25</v>
      </c>
      <c r="J13" s="85">
        <v>28</v>
      </c>
      <c r="K13" s="86">
        <v>16.55</v>
      </c>
      <c r="L13" s="90">
        <v>42.58</v>
      </c>
      <c r="M13" s="85"/>
      <c r="N13" s="85"/>
      <c r="O13" s="85"/>
      <c r="P13" s="90">
        <v>44.09</v>
      </c>
      <c r="Q13" s="85">
        <v>35</v>
      </c>
      <c r="R13" s="85"/>
      <c r="S13" s="85"/>
      <c r="T13" s="90">
        <v>45</v>
      </c>
      <c r="U13" s="85">
        <v>19</v>
      </c>
      <c r="V13" s="86">
        <v>10</v>
      </c>
      <c r="W13" s="96">
        <f>AVERAGE(G13:V13)</f>
        <v>29.522000000000002</v>
      </c>
      <c r="X13" s="96">
        <f>_xlfn.STDEV.P(G13:V13)</f>
        <v>11.55596019377013</v>
      </c>
      <c r="Y13" s="83">
        <f>W13-X13</f>
        <v>17.966039806229873</v>
      </c>
      <c r="Z13" s="83">
        <f>W13+X13</f>
        <v>41.077960193770132</v>
      </c>
      <c r="AA13" s="82">
        <f>AVERAGE(G13,I13,J13,K13,Q13,U13,V13)</f>
        <v>23.364285714285717</v>
      </c>
      <c r="AB13" s="82">
        <f>MEDIAN(G13,I13,J13,K13,Q13,U13,V13)</f>
        <v>25</v>
      </c>
      <c r="AC13" s="81">
        <f>_xlfn.STDEV.P(G13,I13,J13,K13,Q13,U13,V13)</f>
        <v>7.9970849280809011</v>
      </c>
      <c r="AD13" s="80">
        <f>AC13/AA13</f>
        <v>0.34227816873473738</v>
      </c>
      <c r="AE13" s="80" t="str">
        <f>IF(AD13&lt;25%,"Média",IF(AD13&gt;=25%,"Mediana"))</f>
        <v>Mediana</v>
      </c>
      <c r="AF13" s="121">
        <f t="shared" ref="AF13:AF16" si="0">F13</f>
        <v>3</v>
      </c>
      <c r="AG13" s="105">
        <f>TRUNC(IF(AE13="Mediana",AB13,AA13),2)</f>
        <v>25</v>
      </c>
      <c r="AH13" s="104">
        <f>TRUNC(SUM(AG13*(AF13)),2)</f>
        <v>75</v>
      </c>
    </row>
    <row r="14" spans="1:46" ht="41.25" customHeight="1">
      <c r="A14" s="566"/>
      <c r="B14" s="567"/>
      <c r="C14" s="88" t="s">
        <v>273</v>
      </c>
      <c r="D14" s="165" t="s">
        <v>270</v>
      </c>
      <c r="E14" s="88" t="s">
        <v>265</v>
      </c>
      <c r="F14" s="88">
        <v>3</v>
      </c>
      <c r="G14" s="85">
        <v>15</v>
      </c>
      <c r="H14" s="85"/>
      <c r="I14" s="85"/>
      <c r="J14" s="85"/>
      <c r="K14" s="85"/>
      <c r="L14" s="85"/>
      <c r="M14" s="85"/>
      <c r="N14" s="85"/>
      <c r="O14" s="85"/>
      <c r="P14" s="90">
        <v>35.020000000000003</v>
      </c>
      <c r="Q14" s="85"/>
      <c r="R14" s="85">
        <v>5</v>
      </c>
      <c r="S14" s="85"/>
      <c r="T14" s="85"/>
      <c r="U14" s="85">
        <v>10</v>
      </c>
      <c r="V14" s="85"/>
      <c r="W14" s="96">
        <f>AVERAGE(G14:V14)</f>
        <v>16.255000000000003</v>
      </c>
      <c r="X14" s="96">
        <f>_xlfn.STDEV.P(G14:V14)</f>
        <v>11.396274610590954</v>
      </c>
      <c r="Y14" s="83">
        <f>W14-X14</f>
        <v>4.8587253894090487</v>
      </c>
      <c r="Z14" s="83">
        <f>W14+X14</f>
        <v>27.651274610590956</v>
      </c>
      <c r="AA14" s="82">
        <f>AVERAGE(G14,R14,U14)</f>
        <v>10</v>
      </c>
      <c r="AB14" s="82">
        <f>MEDIAN(G14,R14,U14)</f>
        <v>10</v>
      </c>
      <c r="AC14" s="81">
        <f>_xlfn.STDEV.P(G14,R14,U14)</f>
        <v>4.0824829046386304</v>
      </c>
      <c r="AD14" s="80">
        <f>AC14/AA14</f>
        <v>0.40824829046386302</v>
      </c>
      <c r="AE14" s="80" t="str">
        <f>IF(AD14&lt;25%,"Média",IF(AD14&gt;=25%,"Mediana"))</f>
        <v>Mediana</v>
      </c>
      <c r="AF14" s="121">
        <f t="shared" si="0"/>
        <v>3</v>
      </c>
      <c r="AG14" s="105">
        <f>TRUNC(IF(AE14="Mediana",AB14,AA14),2)</f>
        <v>10</v>
      </c>
      <c r="AH14" s="104">
        <f>TRUNC(SUM(AG14*(AF14)),2)</f>
        <v>30</v>
      </c>
    </row>
    <row r="15" spans="1:46" ht="42" customHeight="1">
      <c r="A15" s="566"/>
      <c r="B15" s="567"/>
      <c r="C15" s="88" t="s">
        <v>264</v>
      </c>
      <c r="D15" s="166" t="s">
        <v>272</v>
      </c>
      <c r="E15" s="88" t="s">
        <v>258</v>
      </c>
      <c r="F15" s="88">
        <v>3</v>
      </c>
      <c r="G15" s="85">
        <v>10</v>
      </c>
      <c r="H15" s="85"/>
      <c r="I15" s="85">
        <v>4.53</v>
      </c>
      <c r="J15" s="85"/>
      <c r="K15" s="85">
        <v>3.12</v>
      </c>
      <c r="L15" s="90">
        <v>16.14</v>
      </c>
      <c r="M15" s="85"/>
      <c r="N15" s="85"/>
      <c r="O15" s="85"/>
      <c r="P15" s="85">
        <v>10.14</v>
      </c>
      <c r="Q15" s="85">
        <v>3.5</v>
      </c>
      <c r="R15" s="85">
        <v>2</v>
      </c>
      <c r="S15" s="85"/>
      <c r="T15" s="85">
        <v>10</v>
      </c>
      <c r="U15" s="85">
        <v>2</v>
      </c>
      <c r="V15" s="85"/>
      <c r="W15" s="96">
        <f>AVERAGE(G15:V15)</f>
        <v>6.8255555555555567</v>
      </c>
      <c r="X15" s="96">
        <f>_xlfn.STDEV.P(G15:V15)</f>
        <v>4.6491411658764363</v>
      </c>
      <c r="Y15" s="83">
        <f>W15-X15</f>
        <v>2.1764143896791204</v>
      </c>
      <c r="Z15" s="83">
        <f>W15+X15</f>
        <v>11.474696721431993</v>
      </c>
      <c r="AA15" s="82">
        <f>AVERAGE(G15,I15,K15,P15,Q15,R15,T15,U15)</f>
        <v>5.6612500000000008</v>
      </c>
      <c r="AB15" s="82">
        <f>MEDIAN(G15,I15,K15,P15,Q15,R15,T15,U15)</f>
        <v>4.0150000000000006</v>
      </c>
      <c r="AC15" s="81">
        <f>_xlfn.STDEV.P(G15,I15,K15,P15,Q15,R15,T15,U15)</f>
        <v>3.4807845290250294</v>
      </c>
      <c r="AD15" s="80">
        <f>AC15/AA15</f>
        <v>0.6148438117067837</v>
      </c>
      <c r="AE15" s="80" t="str">
        <f>IF(AD15&lt;25%,"Média",IF(AD15&gt;=25%,"Mediana"))</f>
        <v>Mediana</v>
      </c>
      <c r="AF15" s="121">
        <f t="shared" si="0"/>
        <v>3</v>
      </c>
      <c r="AG15" s="105">
        <f>TRUNC(IF(AE15="Mediana",AB15,AA15),2)</f>
        <v>4.01</v>
      </c>
      <c r="AH15" s="104">
        <f>TRUNC(SUM(AG15*(AF15)),2)</f>
        <v>12.03</v>
      </c>
    </row>
    <row r="16" spans="1:46" ht="40.5" customHeight="1">
      <c r="A16" s="566"/>
      <c r="B16" s="567"/>
      <c r="C16" s="88" t="s">
        <v>271</v>
      </c>
      <c r="D16" s="166" t="s">
        <v>270</v>
      </c>
      <c r="E16" s="88" t="s">
        <v>258</v>
      </c>
      <c r="F16" s="88">
        <v>3</v>
      </c>
      <c r="G16" s="85">
        <v>45</v>
      </c>
      <c r="H16" s="85"/>
      <c r="I16" s="85">
        <v>36.67</v>
      </c>
      <c r="J16" s="85">
        <v>49.9</v>
      </c>
      <c r="K16" s="85">
        <v>29.9</v>
      </c>
      <c r="L16" s="85">
        <v>55.5</v>
      </c>
      <c r="M16" s="85"/>
      <c r="N16" s="85"/>
      <c r="O16" s="85"/>
      <c r="P16" s="85">
        <v>51.07</v>
      </c>
      <c r="Q16" s="85">
        <v>45</v>
      </c>
      <c r="R16" s="85">
        <v>38</v>
      </c>
      <c r="S16" s="85"/>
      <c r="T16" s="90">
        <v>75</v>
      </c>
      <c r="U16" s="85">
        <v>50</v>
      </c>
      <c r="V16" s="85"/>
      <c r="W16" s="96">
        <f>AVERAGE(G16:V16)</f>
        <v>47.603999999999999</v>
      </c>
      <c r="X16" s="96">
        <f>_xlfn.STDEV.P(G16:V16)</f>
        <v>11.724741532332384</v>
      </c>
      <c r="Y16" s="83">
        <f>W16-X16</f>
        <v>35.879258467667611</v>
      </c>
      <c r="Z16" s="83">
        <f>W16+X16</f>
        <v>59.328741532332387</v>
      </c>
      <c r="AA16" s="82">
        <f>AVERAGE(G16,I16,J16,K16,L16,P16,Q16,R16,U16)</f>
        <v>44.56</v>
      </c>
      <c r="AB16" s="82">
        <f>MEDIAN(G16,I16,J16,K16,L16,P16,Q16,R16,U16)</f>
        <v>45</v>
      </c>
      <c r="AC16" s="81">
        <f>_xlfn.STDEV.P(G16,I16,J16,K16,L16,P16,Q16,R16,U16)</f>
        <v>7.7514256753193571</v>
      </c>
      <c r="AD16" s="80">
        <f>AC16/AA16</f>
        <v>0.17395479522709509</v>
      </c>
      <c r="AE16" s="80" t="str">
        <f>IF(AD16&lt;25%,"Média",IF(AD16&gt;=25%,"Mediana"))</f>
        <v>Média</v>
      </c>
      <c r="AF16" s="121">
        <f t="shared" si="0"/>
        <v>3</v>
      </c>
      <c r="AG16" s="105">
        <f>TRUNC(IF(AE16="Mediana",AB16,AA16),2)</f>
        <v>44.56</v>
      </c>
      <c r="AH16" s="104">
        <f>TRUNC(SUM(AG16*(AF16)),2)</f>
        <v>133.68</v>
      </c>
    </row>
    <row r="17" spans="1:35" ht="41.25" customHeight="1">
      <c r="A17" s="566"/>
      <c r="B17" s="590" t="s">
        <v>332</v>
      </c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0"/>
      <c r="N17" s="590"/>
      <c r="O17" s="590"/>
      <c r="P17" s="590"/>
      <c r="Q17" s="590"/>
      <c r="R17" s="590"/>
      <c r="S17" s="590"/>
      <c r="T17" s="590"/>
      <c r="U17" s="590"/>
      <c r="V17" s="590"/>
      <c r="W17" s="590"/>
      <c r="X17" s="590"/>
      <c r="Y17" s="590"/>
      <c r="Z17" s="590"/>
      <c r="AA17" s="590"/>
      <c r="AB17" s="590"/>
      <c r="AC17" s="590"/>
      <c r="AD17" s="590"/>
      <c r="AE17" s="590"/>
      <c r="AF17" s="590"/>
      <c r="AG17" s="590"/>
      <c r="AH17" s="127">
        <f>SUM(AH12:AH16)</f>
        <v>343.28999999999996</v>
      </c>
    </row>
    <row r="18" spans="1:35" ht="44.25" customHeight="1">
      <c r="A18" s="566"/>
      <c r="B18" s="590" t="s">
        <v>382</v>
      </c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0"/>
      <c r="AH18" s="127">
        <f>AH17/12</f>
        <v>28.607499999999998</v>
      </c>
      <c r="AI18" s="95"/>
    </row>
    <row r="19" spans="1:35" ht="54.75" customHeight="1">
      <c r="A19" s="566"/>
      <c r="B19" s="585"/>
      <c r="C19" s="585"/>
      <c r="D19" s="585"/>
      <c r="E19" s="585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  <c r="W19" s="585"/>
      <c r="X19" s="585"/>
      <c r="Y19" s="585"/>
      <c r="Z19" s="585"/>
      <c r="AA19" s="585"/>
      <c r="AB19" s="585"/>
      <c r="AC19" s="585"/>
      <c r="AD19" s="585"/>
      <c r="AE19" s="585"/>
      <c r="AF19" s="585"/>
      <c r="AG19" s="585"/>
      <c r="AH19" s="585"/>
    </row>
    <row r="20" spans="1:35" ht="87.75" customHeight="1">
      <c r="A20" s="566"/>
      <c r="B20" s="567" t="s">
        <v>25</v>
      </c>
      <c r="C20" s="88" t="s">
        <v>269</v>
      </c>
      <c r="D20" s="165" t="s">
        <v>268</v>
      </c>
      <c r="E20" s="88" t="s">
        <v>265</v>
      </c>
      <c r="F20" s="88">
        <v>3</v>
      </c>
      <c r="G20" s="85">
        <v>20</v>
      </c>
      <c r="H20" s="90">
        <v>35</v>
      </c>
      <c r="I20" s="85">
        <v>20</v>
      </c>
      <c r="J20" s="85">
        <v>28</v>
      </c>
      <c r="K20" s="85">
        <v>16.55</v>
      </c>
      <c r="L20" s="85">
        <v>22.43</v>
      </c>
      <c r="M20" s="90">
        <v>45</v>
      </c>
      <c r="N20" s="85">
        <v>15</v>
      </c>
      <c r="O20" s="86">
        <v>12</v>
      </c>
      <c r="P20" s="85"/>
      <c r="Q20" s="85">
        <v>30</v>
      </c>
      <c r="R20" s="85"/>
      <c r="S20" s="85">
        <v>18</v>
      </c>
      <c r="T20" s="90">
        <v>40</v>
      </c>
      <c r="U20" s="85">
        <v>20</v>
      </c>
      <c r="V20" s="85">
        <v>10</v>
      </c>
      <c r="W20" s="96">
        <f>AVERAGE(G20:V20)</f>
        <v>23.712857142857143</v>
      </c>
      <c r="X20" s="83">
        <f>_xlfn.STDEV.P(G20:V20)</f>
        <v>10.112979939924044</v>
      </c>
      <c r="Y20" s="83">
        <f>W20-X20</f>
        <v>13.599877202933099</v>
      </c>
      <c r="Z20" s="83">
        <f>W20+X20</f>
        <v>33.825837082781185</v>
      </c>
      <c r="AA20" s="82">
        <f>AVERAGE(G20,I20,J20,K20,L20,N20,Q20,S20,U20,V20)</f>
        <v>19.997999999999998</v>
      </c>
      <c r="AB20" s="82">
        <f>MEDIAN(G20,I20,J20,K20,L20,N20,Q20,S20,U20,V20)</f>
        <v>20</v>
      </c>
      <c r="AC20" s="81">
        <f>_xlfn.STDEV.P(G20,I20,J20,K20,L20,N20,Q20,S20,U20,V20)</f>
        <v>5.5750099551480714</v>
      </c>
      <c r="AD20" s="80">
        <f>AC20/AA20</f>
        <v>0.2787783755949631</v>
      </c>
      <c r="AE20" s="80" t="str">
        <f>IF(AD20&lt;25%,"Média",IF(AD20&gt;=25%,"Mediana"))</f>
        <v>Mediana</v>
      </c>
      <c r="AF20" s="121">
        <f>F20</f>
        <v>3</v>
      </c>
      <c r="AG20" s="105">
        <f>TRUNC(IF(AE20="Mediana",AB20,AA20),2)</f>
        <v>20</v>
      </c>
      <c r="AH20" s="104">
        <f>TRUNC(SUM(AG20*(AF20)),2)</f>
        <v>60</v>
      </c>
    </row>
    <row r="21" spans="1:35" ht="66.75" customHeight="1">
      <c r="A21" s="566"/>
      <c r="B21" s="567"/>
      <c r="C21" s="88" t="s">
        <v>267</v>
      </c>
      <c r="D21" s="165" t="s">
        <v>266</v>
      </c>
      <c r="E21" s="88" t="s">
        <v>265</v>
      </c>
      <c r="F21" s="88">
        <v>3</v>
      </c>
      <c r="G21" s="85">
        <v>20</v>
      </c>
      <c r="H21" s="90">
        <v>45</v>
      </c>
      <c r="I21" s="85">
        <v>24</v>
      </c>
      <c r="J21" s="85">
        <v>20</v>
      </c>
      <c r="K21" s="85">
        <v>19.399999999999999</v>
      </c>
      <c r="L21" s="85">
        <v>25.23</v>
      </c>
      <c r="M21" s="90">
        <v>50</v>
      </c>
      <c r="N21" s="85">
        <v>20</v>
      </c>
      <c r="O21" s="85">
        <v>15</v>
      </c>
      <c r="P21" s="85">
        <v>29.73</v>
      </c>
      <c r="Q21" s="85">
        <v>35</v>
      </c>
      <c r="R21" s="85">
        <v>18</v>
      </c>
      <c r="S21" s="90">
        <v>42</v>
      </c>
      <c r="T21" s="90">
        <v>60</v>
      </c>
      <c r="U21" s="85">
        <v>18</v>
      </c>
      <c r="V21" s="85">
        <v>20</v>
      </c>
      <c r="W21" s="96">
        <f>AVERAGE(I21:V21,G21)</f>
        <v>27.757333333333335</v>
      </c>
      <c r="X21" s="83">
        <f>_xlfn.STDEV.P(I21:V21,G21)</f>
        <v>12.852347368822894</v>
      </c>
      <c r="Y21" s="83">
        <f>W21-X21</f>
        <v>14.904985964510441</v>
      </c>
      <c r="Z21" s="83">
        <f>W21+X21</f>
        <v>40.609680702156226</v>
      </c>
      <c r="AA21" s="82">
        <f>AVERAGE(G21,I21,J21,K21,L21,N21,O21,P21,Q21,R21,U21,V21)</f>
        <v>22.03</v>
      </c>
      <c r="AB21" s="82">
        <f>MEDIAN(G21,I21,J21,K21,L21,N21,O21,P21,Q21,R21,U21,V21)</f>
        <v>20</v>
      </c>
      <c r="AC21" s="81">
        <f>_xlfn.STDEV.P(G21,I21,J21,K21,L21,N21,O21,P21,Q21,R21,U21,V21)</f>
        <v>5.3769182623506575</v>
      </c>
      <c r="AD21" s="80">
        <f>AC21/AA21</f>
        <v>0.24407254935772388</v>
      </c>
      <c r="AE21" s="80" t="str">
        <f>IF(AD21&lt;25%,"Média",IF(AD21&gt;=25%,"Mediana"))</f>
        <v>Média</v>
      </c>
      <c r="AF21" s="121">
        <f t="shared" ref="AF21:AF24" si="1">F21</f>
        <v>3</v>
      </c>
      <c r="AG21" s="105">
        <f>TRUNC(IF(AE21="Mediana",AB21,AA21),2)</f>
        <v>22.03</v>
      </c>
      <c r="AH21" s="104">
        <f t="shared" ref="AH21:AH24" si="2">TRUNC(SUM(AG21*(AF21)),2)</f>
        <v>66.09</v>
      </c>
    </row>
    <row r="22" spans="1:35" ht="48" customHeight="1">
      <c r="A22" s="566"/>
      <c r="B22" s="567"/>
      <c r="C22" s="88" t="s">
        <v>264</v>
      </c>
      <c r="D22" s="165" t="s">
        <v>263</v>
      </c>
      <c r="E22" s="88" t="s">
        <v>258</v>
      </c>
      <c r="F22" s="88">
        <v>3</v>
      </c>
      <c r="G22" s="85">
        <v>8</v>
      </c>
      <c r="H22" s="85">
        <v>5</v>
      </c>
      <c r="I22" s="85">
        <v>3.67</v>
      </c>
      <c r="J22" s="85"/>
      <c r="K22" s="85">
        <v>3.12</v>
      </c>
      <c r="L22" s="85">
        <v>6.86</v>
      </c>
      <c r="M22" s="85"/>
      <c r="N22" s="85">
        <v>5</v>
      </c>
      <c r="O22" s="85">
        <v>4</v>
      </c>
      <c r="P22" s="90">
        <v>10.14</v>
      </c>
      <c r="Q22" s="85">
        <v>3.5</v>
      </c>
      <c r="R22" s="86">
        <v>2</v>
      </c>
      <c r="S22" s="86">
        <v>1.01</v>
      </c>
      <c r="T22" s="90">
        <v>10</v>
      </c>
      <c r="U22" s="86">
        <v>1.8</v>
      </c>
      <c r="V22" s="85"/>
      <c r="W22" s="96">
        <f>AVERAGE(G22:V22)</f>
        <v>4.930769230769231</v>
      </c>
      <c r="X22" s="83">
        <f>_xlfn.STDEV.P(G22:V22)</f>
        <v>2.8760321532878517</v>
      </c>
      <c r="Y22" s="83">
        <f>W22-X22</f>
        <v>2.0547370774813793</v>
      </c>
      <c r="Z22" s="83">
        <f>W22+X22</f>
        <v>7.8068013840570831</v>
      </c>
      <c r="AA22" s="82">
        <f>AVERAGE(G22,H22,I22,K22,L22,N22,O22,Q22,R22,S22,U22)</f>
        <v>3.9963636363636366</v>
      </c>
      <c r="AB22" s="82">
        <f>MEDIAN(G22,H22,I22,K22,L22,N22,O22,Q22,R22,S22,U22)</f>
        <v>3.67</v>
      </c>
      <c r="AC22" s="81">
        <f>_xlfn.STDEV.P(G22,H22,I22,K22,L22,N22,O22,Q22,R22,S22,U22)</f>
        <v>2.0246852627564467</v>
      </c>
      <c r="AD22" s="80">
        <f>AC22/AA22</f>
        <v>0.50663189013468868</v>
      </c>
      <c r="AE22" s="80" t="str">
        <f>IF(AD22&lt;25%,"Média",IF(AD22&gt;=25%,"Mediana"))</f>
        <v>Mediana</v>
      </c>
      <c r="AF22" s="121">
        <f t="shared" si="1"/>
        <v>3</v>
      </c>
      <c r="AG22" s="105">
        <f>TRUNC(IF(AE22="Mediana",AB22,AA22),2)</f>
        <v>3.67</v>
      </c>
      <c r="AH22" s="104">
        <f t="shared" si="2"/>
        <v>11.01</v>
      </c>
    </row>
    <row r="23" spans="1:35" ht="94.5" customHeight="1">
      <c r="A23" s="566"/>
      <c r="B23" s="567"/>
      <c r="C23" s="88" t="s">
        <v>262</v>
      </c>
      <c r="D23" s="165" t="s">
        <v>261</v>
      </c>
      <c r="E23" s="88" t="s">
        <v>258</v>
      </c>
      <c r="F23" s="88">
        <v>3</v>
      </c>
      <c r="G23" s="107">
        <v>45</v>
      </c>
      <c r="H23" s="85">
        <v>40</v>
      </c>
      <c r="I23" s="85"/>
      <c r="J23" s="85">
        <v>29.9</v>
      </c>
      <c r="K23" s="86">
        <v>23.22</v>
      </c>
      <c r="L23" s="85"/>
      <c r="M23" s="85"/>
      <c r="N23" s="85"/>
      <c r="O23" s="85">
        <v>25</v>
      </c>
      <c r="P23" s="85"/>
      <c r="Q23" s="85">
        <v>45</v>
      </c>
      <c r="R23" s="85"/>
      <c r="S23" s="85"/>
      <c r="T23" s="90">
        <v>75</v>
      </c>
      <c r="U23" s="85"/>
      <c r="V23" s="85"/>
      <c r="W23" s="96">
        <f>AVERAGE(G23:V23)</f>
        <v>40.445714285714288</v>
      </c>
      <c r="X23" s="83">
        <f>_xlfn.STDEV.P(G23:V23)</f>
        <v>16.397681767461485</v>
      </c>
      <c r="Y23" s="83">
        <f>W23-X23</f>
        <v>24.048032518252803</v>
      </c>
      <c r="Z23" s="83">
        <f>W23+X23</f>
        <v>56.843396053175773</v>
      </c>
      <c r="AA23" s="82">
        <f>AVERAGE(G23,H23,J23,K23,O23,Q23)</f>
        <v>34.686666666666667</v>
      </c>
      <c r="AB23" s="82">
        <f>MEDIAN(G23,H23,J23,K23,O23,Q23)</f>
        <v>34.950000000000003</v>
      </c>
      <c r="AC23" s="81">
        <f>_xlfn.STDEV.P(G23,H23,J23,K23,O23,Q23)</f>
        <v>9.0294825740767397</v>
      </c>
      <c r="AD23" s="80">
        <f>AC23/AA23</f>
        <v>0.26031566137065365</v>
      </c>
      <c r="AE23" s="80" t="str">
        <f>IF(AD23&lt;25%,"Média",IF(AD23&gt;=25%,"Mediana"))</f>
        <v>Mediana</v>
      </c>
      <c r="AF23" s="121">
        <f t="shared" si="1"/>
        <v>3</v>
      </c>
      <c r="AG23" s="105">
        <f>TRUNC(IF(AE23="Mediana",AB23,AA23),2)</f>
        <v>34.950000000000003</v>
      </c>
      <c r="AH23" s="104">
        <f t="shared" si="2"/>
        <v>104.85</v>
      </c>
    </row>
    <row r="24" spans="1:35" ht="78.75" customHeight="1">
      <c r="A24" s="566"/>
      <c r="B24" s="567"/>
      <c r="C24" s="88" t="s">
        <v>260</v>
      </c>
      <c r="D24" s="164" t="s">
        <v>259</v>
      </c>
      <c r="E24" s="88" t="s">
        <v>258</v>
      </c>
      <c r="F24" s="88">
        <v>3</v>
      </c>
      <c r="G24" s="90">
        <v>45</v>
      </c>
      <c r="H24" s="85">
        <v>40</v>
      </c>
      <c r="I24" s="85">
        <v>28.5</v>
      </c>
      <c r="J24" s="85"/>
      <c r="K24" s="85">
        <v>29.9</v>
      </c>
      <c r="L24" s="90">
        <v>45.41</v>
      </c>
      <c r="M24" s="85">
        <v>30</v>
      </c>
      <c r="N24" s="85">
        <v>30</v>
      </c>
      <c r="O24" s="85">
        <v>30</v>
      </c>
      <c r="P24" s="86">
        <v>20.68</v>
      </c>
      <c r="Q24" s="85">
        <v>35</v>
      </c>
      <c r="R24" s="86">
        <v>18</v>
      </c>
      <c r="S24" s="90">
        <v>42</v>
      </c>
      <c r="T24" s="85"/>
      <c r="U24" s="85">
        <v>31</v>
      </c>
      <c r="V24" s="86">
        <v>20</v>
      </c>
      <c r="W24" s="96">
        <f>AVERAGE(G24:V24)</f>
        <v>31.820714285714285</v>
      </c>
      <c r="X24" s="96">
        <f>_xlfn.STDEV.P(G24:V24)</f>
        <v>8.5322099501039528</v>
      </c>
      <c r="Y24" s="83">
        <f>W24-X24</f>
        <v>23.288504335610334</v>
      </c>
      <c r="Z24" s="83">
        <f>W24+X24</f>
        <v>40.352924235818236</v>
      </c>
      <c r="AA24" s="82">
        <f>AVERAGE(H24,I24,K24,M24,N24,O24,P24,Q24,R24,U24,V24)</f>
        <v>28.461818181818185</v>
      </c>
      <c r="AB24" s="82">
        <f>MEDIAN(H24,I24,K24,M24,N24,O24,P24,Q24,R24,U24,V24)</f>
        <v>30</v>
      </c>
      <c r="AC24" s="81">
        <f>_xlfn.STDEV.P(H24,I24,K24,M24,N24,O24,P24,Q24,R24,U24,V24)</f>
        <v>6.274742759206517</v>
      </c>
      <c r="AD24" s="80">
        <f>AC24/AA24</f>
        <v>0.22046176808250825</v>
      </c>
      <c r="AE24" s="80" t="str">
        <f>IF(AD24&lt;25%,"Média",IF(AD24&gt;=25%,"Mediana"))</f>
        <v>Média</v>
      </c>
      <c r="AF24" s="121">
        <f t="shared" si="1"/>
        <v>3</v>
      </c>
      <c r="AG24" s="105">
        <f>TRUNC(IF(AE24="Mediana",AB24,AA24),2)</f>
        <v>28.46</v>
      </c>
      <c r="AH24" s="104">
        <f t="shared" si="2"/>
        <v>85.38</v>
      </c>
    </row>
    <row r="25" spans="1:35" ht="46.5" customHeight="1">
      <c r="A25" s="566"/>
      <c r="B25" s="590" t="s">
        <v>333</v>
      </c>
      <c r="C25" s="590"/>
      <c r="D25" s="590"/>
      <c r="E25" s="590"/>
      <c r="F25" s="590"/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90"/>
      <c r="AA25" s="590"/>
      <c r="AB25" s="590"/>
      <c r="AC25" s="590"/>
      <c r="AD25" s="590"/>
      <c r="AE25" s="590"/>
      <c r="AF25" s="590"/>
      <c r="AG25" s="590"/>
      <c r="AH25" s="127">
        <f>SUM(AH20:AH24)</f>
        <v>327.33</v>
      </c>
    </row>
    <row r="26" spans="1:35" ht="46.5" customHeight="1">
      <c r="A26" s="566"/>
      <c r="B26" s="590" t="s">
        <v>334</v>
      </c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0"/>
      <c r="AH26" s="127">
        <f>AH25/12</f>
        <v>27.2775</v>
      </c>
      <c r="AI26" s="95"/>
    </row>
    <row r="27" spans="1:35" ht="18" customHeight="1">
      <c r="A27" s="566"/>
      <c r="B27" s="568"/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</row>
    <row r="28" spans="1:35" ht="18" customHeight="1">
      <c r="A28" s="566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</row>
    <row r="29" spans="1:35" ht="87.75" customHeight="1">
      <c r="A29" s="566"/>
      <c r="B29" s="567" t="s">
        <v>506</v>
      </c>
      <c r="C29" s="200" t="s">
        <v>269</v>
      </c>
      <c r="D29" s="165" t="s">
        <v>268</v>
      </c>
      <c r="E29" s="200" t="s">
        <v>265</v>
      </c>
      <c r="F29" s="200">
        <v>2</v>
      </c>
      <c r="G29" s="85">
        <v>20</v>
      </c>
      <c r="H29" s="90">
        <v>35</v>
      </c>
      <c r="I29" s="85">
        <v>20</v>
      </c>
      <c r="J29" s="85">
        <v>28</v>
      </c>
      <c r="K29" s="85">
        <v>16.55</v>
      </c>
      <c r="L29" s="85">
        <v>22.43</v>
      </c>
      <c r="M29" s="90">
        <v>45</v>
      </c>
      <c r="N29" s="85">
        <v>15</v>
      </c>
      <c r="O29" s="86">
        <v>12</v>
      </c>
      <c r="P29" s="85"/>
      <c r="Q29" s="85">
        <v>30</v>
      </c>
      <c r="R29" s="85"/>
      <c r="S29" s="85">
        <v>18</v>
      </c>
      <c r="T29" s="90">
        <v>40</v>
      </c>
      <c r="U29" s="85">
        <v>20</v>
      </c>
      <c r="V29" s="85">
        <v>10</v>
      </c>
      <c r="W29" s="96">
        <f>AVERAGE(G29:V29)</f>
        <v>23.712857142857143</v>
      </c>
      <c r="X29" s="83">
        <f>_xlfn.STDEV.P(G29:V29)</f>
        <v>10.112979939924044</v>
      </c>
      <c r="Y29" s="83">
        <f>W29-X29</f>
        <v>13.599877202933099</v>
      </c>
      <c r="Z29" s="83">
        <f>W29+X29</f>
        <v>33.825837082781185</v>
      </c>
      <c r="AA29" s="82">
        <f>AVERAGE(G29,I29,J29,K29,L29,N29,Q29,S29,U29,V29)</f>
        <v>19.997999999999998</v>
      </c>
      <c r="AB29" s="82">
        <f>MEDIAN(G29,I29,J29,K29,L29,N29,Q29,S29,U29,V29)</f>
        <v>20</v>
      </c>
      <c r="AC29" s="81">
        <f>_xlfn.STDEV.P(G29,I29,J29,K29,L29,N29,Q29,S29,U29,V29)</f>
        <v>5.5750099551480714</v>
      </c>
      <c r="AD29" s="80">
        <f>AC29/AA29</f>
        <v>0.2787783755949631</v>
      </c>
      <c r="AE29" s="80" t="str">
        <f>IF(AD29&lt;25%,"Média",IF(AD29&gt;=25%,"Mediana"))</f>
        <v>Mediana</v>
      </c>
      <c r="AF29" s="121">
        <f>F29</f>
        <v>2</v>
      </c>
      <c r="AG29" s="105">
        <f>TRUNC(IF(AE29="Mediana",AB29,AA29),2)</f>
        <v>20</v>
      </c>
      <c r="AH29" s="104">
        <f>TRUNC(SUM(AG29*(AF29)),2)</f>
        <v>40</v>
      </c>
    </row>
    <row r="30" spans="1:35" ht="66.75" customHeight="1">
      <c r="A30" s="566"/>
      <c r="B30" s="567"/>
      <c r="C30" s="200" t="s">
        <v>267</v>
      </c>
      <c r="D30" s="165" t="s">
        <v>266</v>
      </c>
      <c r="E30" s="200" t="s">
        <v>265</v>
      </c>
      <c r="F30" s="200">
        <v>2</v>
      </c>
      <c r="G30" s="85">
        <v>20</v>
      </c>
      <c r="H30" s="90">
        <v>45</v>
      </c>
      <c r="I30" s="85">
        <v>24</v>
      </c>
      <c r="J30" s="85">
        <v>20</v>
      </c>
      <c r="K30" s="85">
        <v>19.399999999999999</v>
      </c>
      <c r="L30" s="85">
        <v>25.23</v>
      </c>
      <c r="M30" s="90">
        <v>50</v>
      </c>
      <c r="N30" s="85">
        <v>20</v>
      </c>
      <c r="O30" s="85">
        <v>15</v>
      </c>
      <c r="P30" s="85">
        <v>29.73</v>
      </c>
      <c r="Q30" s="85">
        <v>35</v>
      </c>
      <c r="R30" s="85">
        <v>18</v>
      </c>
      <c r="S30" s="90">
        <v>42</v>
      </c>
      <c r="T30" s="90">
        <v>60</v>
      </c>
      <c r="U30" s="85">
        <v>18</v>
      </c>
      <c r="V30" s="85">
        <v>20</v>
      </c>
      <c r="W30" s="96">
        <f>AVERAGE(I30:V30,G30)</f>
        <v>27.757333333333335</v>
      </c>
      <c r="X30" s="83">
        <f>_xlfn.STDEV.P(I30:V30,G30)</f>
        <v>12.852347368822894</v>
      </c>
      <c r="Y30" s="83">
        <f>W30-X30</f>
        <v>14.904985964510441</v>
      </c>
      <c r="Z30" s="83">
        <f>W30+X30</f>
        <v>40.609680702156226</v>
      </c>
      <c r="AA30" s="82">
        <f>AVERAGE(G30,I30,J30,K30,L30,N30,O30,P30,Q30,R30,U30,V30)</f>
        <v>22.03</v>
      </c>
      <c r="AB30" s="82">
        <f>MEDIAN(G30,I30,J30,K30,L30,N30,O30,P30,Q30,R30,U30,V30)</f>
        <v>20</v>
      </c>
      <c r="AC30" s="81">
        <f>_xlfn.STDEV.P(G30,I30,J30,K30,L30,N30,O30,P30,Q30,R30,U30,V30)</f>
        <v>5.3769182623506575</v>
      </c>
      <c r="AD30" s="80">
        <f>AC30/AA30</f>
        <v>0.24407254935772388</v>
      </c>
      <c r="AE30" s="80" t="str">
        <f>IF(AD30&lt;25%,"Média",IF(AD30&gt;=25%,"Mediana"))</f>
        <v>Média</v>
      </c>
      <c r="AF30" s="121">
        <f t="shared" ref="AF30:AF31" si="3">F30</f>
        <v>2</v>
      </c>
      <c r="AG30" s="105">
        <f>TRUNC(IF(AE30="Mediana",AB30,AA30),2)</f>
        <v>22.03</v>
      </c>
      <c r="AH30" s="104">
        <f t="shared" ref="AH30:AH31" si="4">TRUNC(SUM(AG30*(AF30)),2)</f>
        <v>44.06</v>
      </c>
    </row>
    <row r="31" spans="1:35" ht="48" customHeight="1">
      <c r="A31" s="566"/>
      <c r="B31" s="567"/>
      <c r="C31" s="200" t="s">
        <v>264</v>
      </c>
      <c r="D31" s="165" t="s">
        <v>263</v>
      </c>
      <c r="E31" s="200" t="s">
        <v>258</v>
      </c>
      <c r="F31" s="200">
        <v>2</v>
      </c>
      <c r="G31" s="85">
        <v>8</v>
      </c>
      <c r="H31" s="85">
        <v>5</v>
      </c>
      <c r="I31" s="85">
        <v>3.67</v>
      </c>
      <c r="J31" s="85"/>
      <c r="K31" s="85">
        <v>3.12</v>
      </c>
      <c r="L31" s="85">
        <v>6.86</v>
      </c>
      <c r="M31" s="85"/>
      <c r="N31" s="85">
        <v>5</v>
      </c>
      <c r="O31" s="85">
        <v>4</v>
      </c>
      <c r="P31" s="90">
        <v>10.14</v>
      </c>
      <c r="Q31" s="85">
        <v>3.5</v>
      </c>
      <c r="R31" s="86">
        <v>2</v>
      </c>
      <c r="S31" s="86">
        <v>1.01</v>
      </c>
      <c r="T31" s="90">
        <v>10</v>
      </c>
      <c r="U31" s="86">
        <v>1.8</v>
      </c>
      <c r="V31" s="85"/>
      <c r="W31" s="96">
        <f>AVERAGE(G31:V31)</f>
        <v>4.930769230769231</v>
      </c>
      <c r="X31" s="83">
        <f>_xlfn.STDEV.P(G31:V31)</f>
        <v>2.8760321532878517</v>
      </c>
      <c r="Y31" s="83">
        <f>W31-X31</f>
        <v>2.0547370774813793</v>
      </c>
      <c r="Z31" s="83">
        <f>W31+X31</f>
        <v>7.8068013840570831</v>
      </c>
      <c r="AA31" s="82">
        <f>AVERAGE(G31,H31,I31,K31,L31,N31,O31,Q31,R31,S31,U31)</f>
        <v>3.9963636363636366</v>
      </c>
      <c r="AB31" s="82">
        <f>MEDIAN(G31,H31,I31,K31,L31,N31,O31,Q31,R31,S31,U31)</f>
        <v>3.67</v>
      </c>
      <c r="AC31" s="81">
        <f>_xlfn.STDEV.P(G31,H31,I31,K31,L31,N31,O31,Q31,R31,S31,U31)</f>
        <v>2.0246852627564467</v>
      </c>
      <c r="AD31" s="80">
        <f>AC31/AA31</f>
        <v>0.50663189013468868</v>
      </c>
      <c r="AE31" s="80" t="str">
        <f>IF(AD31&lt;25%,"Média",IF(AD31&gt;=25%,"Mediana"))</f>
        <v>Mediana</v>
      </c>
      <c r="AF31" s="121">
        <f t="shared" si="3"/>
        <v>2</v>
      </c>
      <c r="AG31" s="105">
        <f>TRUNC(IF(AE31="Mediana",AB31,AA31),2)</f>
        <v>3.67</v>
      </c>
      <c r="AH31" s="104">
        <f t="shared" si="4"/>
        <v>7.34</v>
      </c>
    </row>
    <row r="32" spans="1:35" ht="94.5" customHeight="1">
      <c r="A32" s="566"/>
      <c r="B32" s="567"/>
      <c r="C32" s="200" t="s">
        <v>260</v>
      </c>
      <c r="D32" s="229" t="s">
        <v>507</v>
      </c>
      <c r="E32" s="200" t="s">
        <v>258</v>
      </c>
      <c r="F32" s="200">
        <v>2</v>
      </c>
      <c r="G32" s="90">
        <v>45</v>
      </c>
      <c r="H32" s="85">
        <v>40</v>
      </c>
      <c r="I32" s="85">
        <v>28.5</v>
      </c>
      <c r="J32" s="85"/>
      <c r="K32" s="85">
        <v>29.9</v>
      </c>
      <c r="L32" s="90">
        <v>45.41</v>
      </c>
      <c r="M32" s="85">
        <v>30</v>
      </c>
      <c r="N32" s="85">
        <v>30</v>
      </c>
      <c r="O32" s="85">
        <v>30</v>
      </c>
      <c r="P32" s="86">
        <v>20.68</v>
      </c>
      <c r="Q32" s="85">
        <v>35</v>
      </c>
      <c r="R32" s="86">
        <v>18</v>
      </c>
      <c r="S32" s="90">
        <v>42</v>
      </c>
      <c r="T32" s="85"/>
      <c r="U32" s="85">
        <v>31</v>
      </c>
      <c r="V32" s="86">
        <v>20</v>
      </c>
      <c r="W32" s="96">
        <f>AVERAGE(G32:V32)</f>
        <v>31.820714285714285</v>
      </c>
      <c r="X32" s="96">
        <f>_xlfn.STDEV.P(G32:V32)</f>
        <v>8.5322099501039528</v>
      </c>
      <c r="Y32" s="83">
        <f>W32-X32</f>
        <v>23.288504335610334</v>
      </c>
      <c r="Z32" s="83">
        <f>W32+X32</f>
        <v>40.352924235818236</v>
      </c>
      <c r="AA32" s="82">
        <f>AVERAGE(H32,I32,K32,M32,N32,O32,P32,Q32,R32,U32,V32)</f>
        <v>28.461818181818185</v>
      </c>
      <c r="AB32" s="82">
        <f>MEDIAN(H32,I32,K32,M32,N32,O32,P32,Q32,R32,U32,V32)</f>
        <v>30</v>
      </c>
      <c r="AC32" s="81">
        <f>_xlfn.STDEV.P(H32,I32,K32,M32,N32,O32,P32,Q32,R32,U32,V32)</f>
        <v>6.274742759206517</v>
      </c>
      <c r="AD32" s="80">
        <f>AC32/AA32</f>
        <v>0.22046176808250825</v>
      </c>
      <c r="AE32" s="80" t="str">
        <f>IF(AD32&lt;25%,"Média",IF(AD32&gt;=25%,"Mediana"))</f>
        <v>Média</v>
      </c>
      <c r="AF32" s="121">
        <f>F32</f>
        <v>2</v>
      </c>
      <c r="AG32" s="105">
        <f>TRUNC(IF(AE32="Mediana",AB32,AA32),2)</f>
        <v>28.46</v>
      </c>
      <c r="AH32" s="104">
        <f>TRUNC(SUM(AG32*(AF32)),2)</f>
        <v>56.92</v>
      </c>
    </row>
    <row r="33" spans="1:35" ht="62.25" customHeight="1">
      <c r="A33" s="566"/>
      <c r="B33" s="567"/>
      <c r="C33" s="591" t="s">
        <v>508</v>
      </c>
      <c r="D33" s="593" t="s">
        <v>509</v>
      </c>
      <c r="E33" s="591" t="s">
        <v>265</v>
      </c>
      <c r="F33" s="591">
        <v>1</v>
      </c>
      <c r="G33" s="286" t="s">
        <v>540</v>
      </c>
      <c r="H33" s="286" t="s">
        <v>541</v>
      </c>
      <c r="I33" s="286" t="s">
        <v>542</v>
      </c>
      <c r="J33" s="286" t="s">
        <v>543</v>
      </c>
      <c r="K33" s="230" t="s">
        <v>539</v>
      </c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595">
        <f>AVERAGE(G34:K34)</f>
        <v>61.177999999999997</v>
      </c>
      <c r="X33" s="595">
        <f>_xlfn.STDEV.P(G34:K34)</f>
        <v>31.780175204048216</v>
      </c>
      <c r="Y33" s="597">
        <f>W33-X33</f>
        <v>29.397824795951781</v>
      </c>
      <c r="Z33" s="597">
        <f>W33+X33</f>
        <v>92.958175204048217</v>
      </c>
      <c r="AA33" s="627">
        <f>AVERAGE(H34)</f>
        <v>65</v>
      </c>
      <c r="AB33" s="627">
        <f>MEDIAN(H34)</f>
        <v>65</v>
      </c>
      <c r="AC33" s="629">
        <f>_xlfn.STDEV.P(H34)</f>
        <v>0</v>
      </c>
      <c r="AD33" s="619">
        <f t="shared" ref="AD33" si="5">AC33/AA33</f>
        <v>0</v>
      </c>
      <c r="AE33" s="619" t="str">
        <f t="shared" ref="AE33" si="6">IF(AD33&lt;25%,"Média",IF(AD33&gt;=25%,"Mediana"))</f>
        <v>Média</v>
      </c>
      <c r="AF33" s="621">
        <f>F33</f>
        <v>1</v>
      </c>
      <c r="AG33" s="623">
        <f>AA33</f>
        <v>65</v>
      </c>
      <c r="AH33" s="625">
        <f>TRUNC(SUM(AG33*(AF33)),2)</f>
        <v>65</v>
      </c>
    </row>
    <row r="34" spans="1:35" ht="94.5" customHeight="1">
      <c r="A34" s="566"/>
      <c r="B34" s="567"/>
      <c r="C34" s="592"/>
      <c r="D34" s="594"/>
      <c r="E34" s="592"/>
      <c r="F34" s="592"/>
      <c r="G34" s="106">
        <v>23.3</v>
      </c>
      <c r="H34" s="230">
        <v>65</v>
      </c>
      <c r="I34" s="90">
        <v>94.9</v>
      </c>
      <c r="J34" s="90">
        <v>96.44</v>
      </c>
      <c r="K34" s="90">
        <v>26.25</v>
      </c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596"/>
      <c r="X34" s="596"/>
      <c r="Y34" s="598"/>
      <c r="Z34" s="598"/>
      <c r="AA34" s="628"/>
      <c r="AB34" s="628"/>
      <c r="AC34" s="630"/>
      <c r="AD34" s="620"/>
      <c r="AE34" s="620"/>
      <c r="AF34" s="622"/>
      <c r="AG34" s="624"/>
      <c r="AH34" s="626"/>
    </row>
    <row r="35" spans="1:35" ht="46.5" customHeight="1">
      <c r="A35" s="566"/>
      <c r="B35" s="590" t="s">
        <v>333</v>
      </c>
      <c r="C35" s="590"/>
      <c r="D35" s="590"/>
      <c r="E35" s="590"/>
      <c r="F35" s="590"/>
      <c r="G35" s="590"/>
      <c r="H35" s="590"/>
      <c r="I35" s="590"/>
      <c r="J35" s="590"/>
      <c r="K35" s="590"/>
      <c r="L35" s="590"/>
      <c r="M35" s="590"/>
      <c r="N35" s="590"/>
      <c r="O35" s="590"/>
      <c r="P35" s="590"/>
      <c r="Q35" s="590"/>
      <c r="R35" s="590"/>
      <c r="S35" s="590"/>
      <c r="T35" s="590"/>
      <c r="U35" s="590"/>
      <c r="V35" s="590"/>
      <c r="W35" s="590"/>
      <c r="X35" s="590"/>
      <c r="Y35" s="590"/>
      <c r="Z35" s="590"/>
      <c r="AA35" s="590"/>
      <c r="AB35" s="590"/>
      <c r="AC35" s="590"/>
      <c r="AD35" s="590"/>
      <c r="AE35" s="590"/>
      <c r="AF35" s="590"/>
      <c r="AG35" s="590"/>
      <c r="AH35" s="127">
        <f>SUM(AH29:AH34)</f>
        <v>213.32</v>
      </c>
    </row>
    <row r="36" spans="1:35" ht="46.5" customHeight="1">
      <c r="A36" s="566"/>
      <c r="B36" s="590" t="s">
        <v>334</v>
      </c>
      <c r="C36" s="590"/>
      <c r="D36" s="590"/>
      <c r="E36" s="590"/>
      <c r="F36" s="590"/>
      <c r="G36" s="590"/>
      <c r="H36" s="590"/>
      <c r="I36" s="590"/>
      <c r="J36" s="590"/>
      <c r="K36" s="590"/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590"/>
      <c r="AA36" s="590"/>
      <c r="AB36" s="590"/>
      <c r="AC36" s="590"/>
      <c r="AD36" s="590"/>
      <c r="AE36" s="590"/>
      <c r="AF36" s="590"/>
      <c r="AG36" s="590"/>
      <c r="AH36" s="127">
        <f>AH35/12</f>
        <v>17.776666666666667</v>
      </c>
      <c r="AI36" s="95"/>
    </row>
    <row r="37" spans="1:35" ht="18" customHeight="1">
      <c r="A37" s="566"/>
      <c r="B37" s="568"/>
      <c r="C37" s="568"/>
      <c r="D37" s="568"/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568"/>
      <c r="Q37" s="568"/>
      <c r="R37" s="568"/>
      <c r="S37" s="568"/>
      <c r="T37" s="568"/>
      <c r="U37" s="568"/>
      <c r="V37" s="568"/>
      <c r="W37" s="568"/>
      <c r="X37" s="568"/>
      <c r="Y37" s="568"/>
      <c r="Z37" s="568"/>
      <c r="AA37" s="568"/>
      <c r="AB37" s="568"/>
      <c r="AC37" s="568"/>
      <c r="AD37" s="568"/>
      <c r="AE37" s="568"/>
      <c r="AF37" s="568"/>
      <c r="AG37" s="568"/>
      <c r="AH37" s="568"/>
    </row>
    <row r="38" spans="1:35" ht="18" customHeight="1">
      <c r="A38" s="566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</row>
    <row r="39" spans="1:35" ht="18" customHeight="1">
      <c r="A39" s="566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</row>
    <row r="40" spans="1:35" ht="18" customHeight="1">
      <c r="A40" s="566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</row>
    <row r="41" spans="1:35" ht="18" customHeight="1">
      <c r="A41" s="566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</row>
    <row r="42" spans="1:35" ht="18" customHeight="1">
      <c r="A42" s="566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</row>
    <row r="43" spans="1:35" ht="18" customHeight="1">
      <c r="A43" s="566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</row>
    <row r="44" spans="1:35" ht="18" customHeight="1">
      <c r="A44" s="566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</row>
    <row r="45" spans="1:35" ht="18" customHeight="1">
      <c r="A45" s="566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</row>
    <row r="46" spans="1:35" ht="18" customHeight="1">
      <c r="A46" s="566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</row>
    <row r="47" spans="1:35" ht="18" customHeight="1">
      <c r="A47" s="566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</row>
    <row r="48" spans="1:35" ht="18" customHeight="1">
      <c r="A48" s="566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</row>
    <row r="49" spans="1:34" ht="18" customHeight="1">
      <c r="A49" s="566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</row>
    <row r="50" spans="1:34">
      <c r="A50" s="566"/>
    </row>
    <row r="51" spans="1:34">
      <c r="A51" s="566"/>
    </row>
    <row r="52" spans="1:34" ht="39" customHeight="1">
      <c r="A52" s="566"/>
      <c r="C52" s="586" t="s">
        <v>161</v>
      </c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</row>
    <row r="53" spans="1:34" ht="26.25" customHeight="1">
      <c r="A53" s="566"/>
      <c r="C53" s="588" t="s">
        <v>160</v>
      </c>
      <c r="D53" s="589"/>
      <c r="E53" s="589"/>
      <c r="F53" s="589"/>
      <c r="G53" s="589"/>
      <c r="H53" s="589"/>
      <c r="I53" s="589"/>
      <c r="J53" s="589"/>
      <c r="K53" s="589"/>
      <c r="L53" s="589"/>
      <c r="M53" s="589"/>
      <c r="N53" s="589"/>
      <c r="O53" s="589"/>
      <c r="P53" s="589"/>
      <c r="Q53" s="589"/>
      <c r="R53" s="589"/>
      <c r="S53" s="589"/>
      <c r="T53" s="589"/>
      <c r="U53" s="589"/>
      <c r="V53" s="589"/>
    </row>
    <row r="54" spans="1:34" s="79" customFormat="1" ht="80.25" customHeight="1">
      <c r="A54" s="566"/>
      <c r="C54" s="581" t="s">
        <v>482</v>
      </c>
      <c r="D54" s="582"/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</row>
    <row r="55" spans="1:34" s="79" customFormat="1" ht="69" customHeight="1">
      <c r="A55" s="566"/>
      <c r="C55" s="583" t="s">
        <v>159</v>
      </c>
      <c r="D55" s="584"/>
      <c r="E55" s="584"/>
      <c r="F55" s="584"/>
      <c r="G55" s="584"/>
      <c r="H55" s="584"/>
      <c r="I55" s="584"/>
      <c r="J55" s="584"/>
      <c r="K55" s="584"/>
      <c r="L55" s="584"/>
      <c r="M55" s="584"/>
      <c r="N55" s="584"/>
      <c r="O55" s="584"/>
      <c r="P55" s="584"/>
      <c r="Q55" s="584"/>
      <c r="R55" s="584"/>
      <c r="S55" s="584"/>
      <c r="T55" s="584"/>
      <c r="U55" s="584"/>
      <c r="V55" s="584"/>
    </row>
    <row r="56" spans="1:34" ht="91.5" customHeight="1">
      <c r="A56" s="566"/>
      <c r="C56" s="615" t="s">
        <v>158</v>
      </c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6"/>
      <c r="O56" s="616"/>
      <c r="P56" s="616"/>
      <c r="Q56" s="616"/>
      <c r="R56" s="616"/>
      <c r="S56" s="616"/>
      <c r="T56" s="616"/>
      <c r="U56" s="616"/>
      <c r="V56" s="616"/>
    </row>
    <row r="57" spans="1:34" ht="51.75" customHeight="1">
      <c r="A57" s="566"/>
      <c r="C57" s="617" t="s">
        <v>472</v>
      </c>
      <c r="D57" s="618"/>
      <c r="E57" s="618"/>
      <c r="F57" s="618"/>
      <c r="G57" s="618"/>
      <c r="H57" s="618"/>
      <c r="I57" s="618"/>
      <c r="J57" s="618"/>
      <c r="K57" s="618"/>
      <c r="L57" s="618"/>
      <c r="M57" s="618"/>
      <c r="N57" s="618"/>
      <c r="O57" s="618"/>
      <c r="P57" s="618"/>
      <c r="Q57" s="618"/>
      <c r="R57" s="618"/>
      <c r="S57" s="618"/>
      <c r="T57" s="618"/>
      <c r="U57" s="618"/>
      <c r="V57" s="618"/>
    </row>
  </sheetData>
  <mergeCells count="63">
    <mergeCell ref="AE33:AE34"/>
    <mergeCell ref="AF33:AF34"/>
    <mergeCell ref="AG33:AG34"/>
    <mergeCell ref="AH33:AH34"/>
    <mergeCell ref="Z33:Z34"/>
    <mergeCell ref="AA33:AA34"/>
    <mergeCell ref="AB33:AB34"/>
    <mergeCell ref="AC33:AC34"/>
    <mergeCell ref="AD33:AD34"/>
    <mergeCell ref="A1:AH1"/>
    <mergeCell ref="A7:A57"/>
    <mergeCell ref="AF7:AH9"/>
    <mergeCell ref="B18:AG18"/>
    <mergeCell ref="B26:AG26"/>
    <mergeCell ref="G9:V9"/>
    <mergeCell ref="B17:AG17"/>
    <mergeCell ref="B25:AG25"/>
    <mergeCell ref="B7:V7"/>
    <mergeCell ref="W7:Z9"/>
    <mergeCell ref="AA7:AE9"/>
    <mergeCell ref="B8:F8"/>
    <mergeCell ref="G8:V8"/>
    <mergeCell ref="B9:F9"/>
    <mergeCell ref="C56:V56"/>
    <mergeCell ref="C57:V57"/>
    <mergeCell ref="C54:V54"/>
    <mergeCell ref="C55:V55"/>
    <mergeCell ref="B19:AH19"/>
    <mergeCell ref="C52:V52"/>
    <mergeCell ref="C53:V53"/>
    <mergeCell ref="B29:B34"/>
    <mergeCell ref="B35:AG35"/>
    <mergeCell ref="B36:AG36"/>
    <mergeCell ref="B37:AH37"/>
    <mergeCell ref="C33:C34"/>
    <mergeCell ref="D33:D34"/>
    <mergeCell ref="E33:E34"/>
    <mergeCell ref="F33:F34"/>
    <mergeCell ref="W33:W34"/>
    <mergeCell ref="X33:X34"/>
    <mergeCell ref="Y33:Y34"/>
    <mergeCell ref="AH10:AH11"/>
    <mergeCell ref="AC10:AC11"/>
    <mergeCell ref="AD10:AD11"/>
    <mergeCell ref="AE10:AE11"/>
    <mergeCell ref="AF10:AF11"/>
    <mergeCell ref="AG10:AG11"/>
    <mergeCell ref="B4:AT4"/>
    <mergeCell ref="B5:AH5"/>
    <mergeCell ref="B12:B16"/>
    <mergeCell ref="B20:B24"/>
    <mergeCell ref="B27:AH27"/>
    <mergeCell ref="B10:B11"/>
    <mergeCell ref="C10:C11"/>
    <mergeCell ref="D10:D11"/>
    <mergeCell ref="E10:E11"/>
    <mergeCell ref="F10:F11"/>
    <mergeCell ref="W10:W11"/>
    <mergeCell ref="X10:X11"/>
    <mergeCell ref="Y10:Y11"/>
    <mergeCell ref="Z10:Z11"/>
    <mergeCell ref="AA10:AA11"/>
    <mergeCell ref="AB10:AB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27"/>
  <sheetViews>
    <sheetView topLeftCell="Z19" zoomScale="60" zoomScaleNormal="60" workbookViewId="0">
      <selection activeCell="AP20" sqref="AP20"/>
    </sheetView>
  </sheetViews>
  <sheetFormatPr defaultRowHeight="15.75"/>
  <cols>
    <col min="1" max="1" width="5.140625" style="77" customWidth="1"/>
    <col min="2" max="2" width="11.42578125" style="77" customWidth="1"/>
    <col min="3" max="3" width="13.85546875" style="77" customWidth="1"/>
    <col min="4" max="4" width="39.140625" style="77" customWidth="1"/>
    <col min="5" max="5" width="20.5703125" style="77" customWidth="1"/>
    <col min="6" max="6" width="17" style="77" customWidth="1"/>
    <col min="7" max="7" width="16.85546875" style="77" customWidth="1"/>
    <col min="8" max="9" width="16.140625" style="77" customWidth="1"/>
    <col min="10" max="10" width="16.85546875" style="77" customWidth="1"/>
    <col min="11" max="11" width="21.140625" style="77" customWidth="1"/>
    <col min="12" max="12" width="18.5703125" style="77" customWidth="1"/>
    <col min="13" max="13" width="18" style="77" customWidth="1"/>
    <col min="14" max="14" width="28.5703125" style="77" customWidth="1"/>
    <col min="15" max="15" width="17.5703125" style="77" customWidth="1"/>
    <col min="16" max="16" width="16.140625" style="77" customWidth="1"/>
    <col min="17" max="17" width="23.5703125" style="77" customWidth="1"/>
    <col min="18" max="18" width="19.85546875" style="77" customWidth="1"/>
    <col min="19" max="19" width="23.140625" style="77" customWidth="1"/>
    <col min="20" max="20" width="20.140625" style="77" customWidth="1"/>
    <col min="21" max="21" width="23.5703125" style="77" customWidth="1"/>
    <col min="22" max="22" width="17.85546875" style="77" customWidth="1"/>
    <col min="23" max="23" width="20.85546875" style="77" customWidth="1"/>
    <col min="24" max="24" width="25" style="77" customWidth="1"/>
    <col min="25" max="25" width="20.7109375" style="77" customWidth="1"/>
    <col min="26" max="26" width="24.140625" style="77" customWidth="1"/>
    <col min="27" max="27" width="19.5703125" style="77" bestFit="1" customWidth="1"/>
    <col min="28" max="28" width="26.42578125" style="77" bestFit="1" customWidth="1"/>
    <col min="29" max="29" width="18.7109375" style="77" customWidth="1"/>
    <col min="30" max="30" width="28.7109375" style="77" bestFit="1" customWidth="1"/>
    <col min="31" max="32" width="17.5703125" style="77" customWidth="1"/>
    <col min="33" max="33" width="15.7109375" style="77" customWidth="1"/>
    <col min="34" max="34" width="19.85546875" style="77" customWidth="1"/>
    <col min="35" max="35" width="28" style="77" bestFit="1" customWidth="1"/>
    <col min="36" max="36" width="16.28515625" style="77" customWidth="1"/>
    <col min="37" max="37" width="19" style="77" customWidth="1"/>
    <col min="38" max="38" width="18.85546875" style="77" customWidth="1"/>
    <col min="39" max="40" width="20.85546875" style="77" customWidth="1"/>
    <col min="41" max="41" width="22.85546875" style="316" customWidth="1"/>
    <col min="42" max="42" width="22.140625" style="316" customWidth="1"/>
    <col min="43" max="48" width="9.140625" style="77"/>
    <col min="49" max="49" width="11.7109375" style="77" customWidth="1"/>
    <col min="50" max="16384" width="9.140625" style="77"/>
  </cols>
  <sheetData>
    <row r="2" spans="1:70" ht="61.5" customHeight="1"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6"/>
      <c r="AI2" s="566"/>
      <c r="AJ2" s="566"/>
      <c r="AK2" s="566"/>
      <c r="AL2" s="566"/>
      <c r="AM2" s="566"/>
      <c r="AN2" s="566"/>
      <c r="AO2" s="566"/>
      <c r="AP2" s="566"/>
    </row>
    <row r="3" spans="1:70" ht="93" customHeight="1">
      <c r="B3" s="533" t="s">
        <v>487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</row>
    <row r="4" spans="1:70">
      <c r="C4" s="1"/>
      <c r="D4" s="1"/>
      <c r="E4" s="1"/>
      <c r="F4" s="1"/>
      <c r="G4" s="1"/>
    </row>
    <row r="5" spans="1:70">
      <c r="A5" s="566"/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566"/>
      <c r="AI5" s="566"/>
      <c r="AJ5" s="566"/>
      <c r="AK5" s="566"/>
      <c r="AL5" s="566"/>
      <c r="AM5" s="566"/>
      <c r="AN5" s="566"/>
      <c r="AO5" s="566"/>
      <c r="AP5" s="566"/>
    </row>
    <row r="6" spans="1:70" ht="27.75" customHeight="1">
      <c r="A6" s="566"/>
      <c r="B6" s="609" t="s">
        <v>192</v>
      </c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37" t="s">
        <v>191</v>
      </c>
      <c r="AB6" s="638"/>
      <c r="AC6" s="638"/>
      <c r="AD6" s="639"/>
      <c r="AE6" s="645" t="s">
        <v>190</v>
      </c>
      <c r="AF6" s="646"/>
      <c r="AG6" s="646"/>
      <c r="AH6" s="646"/>
      <c r="AI6" s="647"/>
      <c r="AJ6" s="599" t="s">
        <v>436</v>
      </c>
      <c r="AK6" s="600"/>
      <c r="AL6" s="600"/>
      <c r="AM6" s="600"/>
      <c r="AN6" s="600"/>
      <c r="AO6" s="600"/>
      <c r="AP6" s="601"/>
    </row>
    <row r="7" spans="1:70" ht="26.25" customHeight="1">
      <c r="A7" s="566"/>
      <c r="B7" s="634"/>
      <c r="C7" s="635"/>
      <c r="D7" s="635"/>
      <c r="E7" s="635"/>
      <c r="F7" s="636"/>
      <c r="G7" s="654" t="s">
        <v>189</v>
      </c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  <c r="T7" s="655"/>
      <c r="U7" s="655"/>
      <c r="V7" s="655"/>
      <c r="W7" s="655"/>
      <c r="X7" s="655"/>
      <c r="Y7" s="655"/>
      <c r="Z7" s="655"/>
      <c r="AA7" s="640"/>
      <c r="AB7" s="641"/>
      <c r="AC7" s="641"/>
      <c r="AD7" s="642"/>
      <c r="AE7" s="648"/>
      <c r="AF7" s="649"/>
      <c r="AG7" s="649"/>
      <c r="AH7" s="649"/>
      <c r="AI7" s="650"/>
      <c r="AJ7" s="602"/>
      <c r="AK7" s="603"/>
      <c r="AL7" s="603"/>
      <c r="AM7" s="603"/>
      <c r="AN7" s="603"/>
      <c r="AO7" s="603"/>
      <c r="AP7" s="604"/>
    </row>
    <row r="8" spans="1:70" ht="48" customHeight="1">
      <c r="A8" s="566"/>
      <c r="B8" s="614" t="s">
        <v>188</v>
      </c>
      <c r="C8" s="614"/>
      <c r="D8" s="614"/>
      <c r="E8" s="614"/>
      <c r="F8" s="614"/>
      <c r="G8" s="656" t="s">
        <v>187</v>
      </c>
      <c r="H8" s="657"/>
      <c r="I8" s="657"/>
      <c r="J8" s="657"/>
      <c r="K8" s="657"/>
      <c r="L8" s="657"/>
      <c r="M8" s="657"/>
      <c r="N8" s="657"/>
      <c r="O8" s="657"/>
      <c r="P8" s="657"/>
      <c r="Q8" s="657"/>
      <c r="R8" s="657"/>
      <c r="S8" s="657"/>
      <c r="T8" s="657"/>
      <c r="U8" s="657"/>
      <c r="V8" s="657"/>
      <c r="W8" s="657"/>
      <c r="X8" s="657"/>
      <c r="Y8" s="658"/>
      <c r="Z8" s="167" t="s">
        <v>185</v>
      </c>
      <c r="AA8" s="643"/>
      <c r="AB8" s="643"/>
      <c r="AC8" s="643"/>
      <c r="AD8" s="644"/>
      <c r="AE8" s="651"/>
      <c r="AF8" s="652"/>
      <c r="AG8" s="652"/>
      <c r="AH8" s="652"/>
      <c r="AI8" s="653"/>
      <c r="AJ8" s="605"/>
      <c r="AK8" s="606"/>
      <c r="AL8" s="606"/>
      <c r="AM8" s="606"/>
      <c r="AN8" s="606"/>
      <c r="AO8" s="606"/>
      <c r="AP8" s="607"/>
    </row>
    <row r="9" spans="1:70" ht="91.5" customHeight="1">
      <c r="A9" s="566"/>
      <c r="B9" s="569" t="s">
        <v>184</v>
      </c>
      <c r="C9" s="569" t="s">
        <v>10</v>
      </c>
      <c r="D9" s="569" t="s">
        <v>11</v>
      </c>
      <c r="E9" s="569" t="s">
        <v>183</v>
      </c>
      <c r="F9" s="569" t="s">
        <v>23</v>
      </c>
      <c r="G9" s="101" t="s">
        <v>362</v>
      </c>
      <c r="H9" s="101" t="s">
        <v>363</v>
      </c>
      <c r="I9" s="101" t="s">
        <v>364</v>
      </c>
      <c r="J9" s="101" t="s">
        <v>365</v>
      </c>
      <c r="K9" s="101" t="s">
        <v>366</v>
      </c>
      <c r="L9" s="101" t="s">
        <v>368</v>
      </c>
      <c r="M9" s="101" t="s">
        <v>369</v>
      </c>
      <c r="N9" s="102" t="s">
        <v>371</v>
      </c>
      <c r="O9" s="101" t="s">
        <v>373</v>
      </c>
      <c r="P9" s="101" t="s">
        <v>374</v>
      </c>
      <c r="Q9" s="101" t="s">
        <v>375</v>
      </c>
      <c r="R9" s="101" t="s">
        <v>376</v>
      </c>
      <c r="S9" s="101" t="s">
        <v>378</v>
      </c>
      <c r="T9" s="101" t="s">
        <v>387</v>
      </c>
      <c r="U9" s="101" t="s">
        <v>388</v>
      </c>
      <c r="V9" s="102" t="s">
        <v>390</v>
      </c>
      <c r="W9" s="102" t="s">
        <v>392</v>
      </c>
      <c r="X9" s="102" t="s">
        <v>394</v>
      </c>
      <c r="Y9" s="102" t="s">
        <v>396</v>
      </c>
      <c r="Z9" s="631" t="s">
        <v>471</v>
      </c>
      <c r="AA9" s="571" t="s">
        <v>182</v>
      </c>
      <c r="AB9" s="571" t="s">
        <v>181</v>
      </c>
      <c r="AC9" s="573" t="s">
        <v>180</v>
      </c>
      <c r="AD9" s="573" t="s">
        <v>179</v>
      </c>
      <c r="AE9" s="575" t="s">
        <v>133</v>
      </c>
      <c r="AF9" s="575" t="s">
        <v>178</v>
      </c>
      <c r="AG9" s="575" t="s">
        <v>177</v>
      </c>
      <c r="AH9" s="575" t="s">
        <v>176</v>
      </c>
      <c r="AI9" s="575" t="s">
        <v>175</v>
      </c>
      <c r="AJ9" s="579" t="s">
        <v>174</v>
      </c>
      <c r="AK9" s="579" t="s">
        <v>326</v>
      </c>
      <c r="AL9" s="577" t="s">
        <v>325</v>
      </c>
      <c r="AM9" s="577" t="s">
        <v>379</v>
      </c>
      <c r="AN9" s="577" t="s">
        <v>323</v>
      </c>
      <c r="AO9" s="577" t="s">
        <v>383</v>
      </c>
      <c r="AP9" s="577" t="s">
        <v>324</v>
      </c>
    </row>
    <row r="10" spans="1:70" ht="61.5" customHeight="1">
      <c r="A10" s="566"/>
      <c r="B10" s="570"/>
      <c r="C10" s="570"/>
      <c r="D10" s="570"/>
      <c r="E10" s="570"/>
      <c r="F10" s="570"/>
      <c r="G10" s="156" t="s">
        <v>150</v>
      </c>
      <c r="H10" s="156" t="s">
        <v>148</v>
      </c>
      <c r="I10" s="156" t="s">
        <v>149</v>
      </c>
      <c r="J10" s="156" t="s">
        <v>150</v>
      </c>
      <c r="K10" s="156" t="s">
        <v>367</v>
      </c>
      <c r="L10" s="156" t="s">
        <v>150</v>
      </c>
      <c r="M10" s="156" t="s">
        <v>152</v>
      </c>
      <c r="N10" s="157" t="s">
        <v>370</v>
      </c>
      <c r="O10" s="156" t="s">
        <v>372</v>
      </c>
      <c r="P10" s="156" t="s">
        <v>149</v>
      </c>
      <c r="Q10" s="156" t="s">
        <v>149</v>
      </c>
      <c r="R10" s="156" t="s">
        <v>154</v>
      </c>
      <c r="S10" s="156" t="s">
        <v>377</v>
      </c>
      <c r="T10" s="156" t="s">
        <v>386</v>
      </c>
      <c r="U10" s="156" t="s">
        <v>153</v>
      </c>
      <c r="V10" s="157" t="s">
        <v>389</v>
      </c>
      <c r="W10" s="157" t="s">
        <v>391</v>
      </c>
      <c r="X10" s="157" t="s">
        <v>393</v>
      </c>
      <c r="Y10" s="157" t="s">
        <v>395</v>
      </c>
      <c r="Z10" s="632"/>
      <c r="AA10" s="572"/>
      <c r="AB10" s="572"/>
      <c r="AC10" s="574"/>
      <c r="AD10" s="574"/>
      <c r="AE10" s="576"/>
      <c r="AF10" s="576"/>
      <c r="AG10" s="576"/>
      <c r="AH10" s="576"/>
      <c r="AI10" s="576"/>
      <c r="AJ10" s="580"/>
      <c r="AK10" s="580"/>
      <c r="AL10" s="578"/>
      <c r="AM10" s="578"/>
      <c r="AN10" s="578"/>
      <c r="AO10" s="578"/>
      <c r="AP10" s="578"/>
    </row>
    <row r="11" spans="1:70" ht="210" customHeight="1">
      <c r="A11" s="566"/>
      <c r="B11" s="633" t="s">
        <v>328</v>
      </c>
      <c r="C11" s="94">
        <v>1</v>
      </c>
      <c r="D11" s="100" t="s">
        <v>173</v>
      </c>
      <c r="E11" s="99" t="s">
        <v>163</v>
      </c>
      <c r="F11" s="99">
        <v>4</v>
      </c>
      <c r="G11" s="97">
        <v>350</v>
      </c>
      <c r="H11" s="97">
        <v>250</v>
      </c>
      <c r="I11" s="97">
        <v>321.73</v>
      </c>
      <c r="J11" s="97" t="s">
        <v>172</v>
      </c>
      <c r="K11" s="97">
        <v>498</v>
      </c>
      <c r="L11" s="97">
        <v>344.07</v>
      </c>
      <c r="M11" s="98">
        <v>900</v>
      </c>
      <c r="N11" s="97">
        <v>120</v>
      </c>
      <c r="O11" s="97">
        <v>143.91999999999999</v>
      </c>
      <c r="P11" s="97"/>
      <c r="Q11" s="97"/>
      <c r="R11" s="97">
        <v>450</v>
      </c>
      <c r="S11" s="98">
        <v>1350</v>
      </c>
      <c r="T11" s="97">
        <v>150</v>
      </c>
      <c r="U11" s="97"/>
      <c r="V11" s="97"/>
      <c r="W11" s="97">
        <v>371.45</v>
      </c>
      <c r="X11" s="97"/>
      <c r="Y11" s="97">
        <v>264.68</v>
      </c>
      <c r="Z11" s="97">
        <v>439.96</v>
      </c>
      <c r="AA11" s="84">
        <f t="shared" ref="AA11:AA19" si="0">AVERAGE(G11:Z11)</f>
        <v>425.27214285714291</v>
      </c>
      <c r="AB11" s="96">
        <f t="shared" ref="AB11:AB19" si="1">_xlfn.STDEV.P(G11:Z11)</f>
        <v>318.15508278597554</v>
      </c>
      <c r="AC11" s="109">
        <f t="shared" ref="AC11:AC19" si="2">AA11-AB11</f>
        <v>107.11706007116737</v>
      </c>
      <c r="AD11" s="109">
        <f t="shared" ref="AD11:AD19" si="3">AA11+AB11</f>
        <v>743.42722564311839</v>
      </c>
      <c r="AE11" s="108">
        <f>AVERAGE(G11,H11,I11,K11,L11,N11,O11,R11,T11,W11,Y11,Z11)</f>
        <v>308.65083333333331</v>
      </c>
      <c r="AF11" s="108">
        <f>MEDIAN(G11,H11,I11,K11,L11,N11,O11,R11,T11,W11,Y11,Z11)</f>
        <v>332.9</v>
      </c>
      <c r="AG11" s="81">
        <f>_xlfn.STDEV.P(G11,H11,I11,K11,L11,N11,O11,R11,T11,W11,Y11,Z11)</f>
        <v>120.21601657421613</v>
      </c>
      <c r="AH11" s="80">
        <f t="shared" ref="AH11:AH19" si="4">AG11/AE11</f>
        <v>0.38948871537432905</v>
      </c>
      <c r="AI11" s="80" t="str">
        <f t="shared" ref="AI11:AI19" si="5">IF(AH11&lt;25%,"Média",IF(AH11&gt;=25%,"Mediana"))</f>
        <v>Mediana</v>
      </c>
      <c r="AJ11" s="121">
        <f t="shared" ref="AJ11:AJ19" si="6">F11</f>
        <v>4</v>
      </c>
      <c r="AK11" s="105">
        <f t="shared" ref="AK11:AK19" si="7">TRUNC(IF(AI11="Mediana",AF11,AE11),2)</f>
        <v>332.9</v>
      </c>
      <c r="AL11" s="122">
        <f>AK11*AJ11</f>
        <v>1331.6</v>
      </c>
      <c r="AM11" s="117">
        <v>0.1</v>
      </c>
      <c r="AN11" s="158">
        <f>AL11*AM11</f>
        <v>133.16</v>
      </c>
      <c r="AO11" s="123">
        <v>10</v>
      </c>
      <c r="AP11" s="104">
        <f>(AL11-AN11)/AO11/12</f>
        <v>9.9869999999999983</v>
      </c>
    </row>
    <row r="12" spans="1:70" ht="57" customHeight="1">
      <c r="A12" s="566"/>
      <c r="B12" s="633"/>
      <c r="C12" s="94">
        <v>2</v>
      </c>
      <c r="D12" s="93" t="s">
        <v>171</v>
      </c>
      <c r="E12" s="88" t="s">
        <v>163</v>
      </c>
      <c r="F12" s="88">
        <v>2</v>
      </c>
      <c r="G12" s="85"/>
      <c r="H12" s="85"/>
      <c r="I12" s="85"/>
      <c r="J12" s="85"/>
      <c r="K12" s="85"/>
      <c r="L12" s="85"/>
      <c r="M12" s="85"/>
      <c r="N12" s="85"/>
      <c r="O12" s="85">
        <v>82.46</v>
      </c>
      <c r="P12" s="85">
        <v>125</v>
      </c>
      <c r="Q12" s="90">
        <v>200</v>
      </c>
      <c r="R12" s="85"/>
      <c r="S12" s="85"/>
      <c r="T12" s="85"/>
      <c r="U12" s="85"/>
      <c r="V12" s="85">
        <v>110</v>
      </c>
      <c r="W12" s="85"/>
      <c r="X12" s="86">
        <v>35.71</v>
      </c>
      <c r="Y12" s="85"/>
      <c r="Z12" s="85">
        <v>64</v>
      </c>
      <c r="AA12" s="84">
        <f t="shared" si="0"/>
        <v>102.86166666666668</v>
      </c>
      <c r="AB12" s="109">
        <f t="shared" si="1"/>
        <v>52.301562888268961</v>
      </c>
      <c r="AC12" s="109">
        <f>AA12-AB12</f>
        <v>50.560103778397718</v>
      </c>
      <c r="AD12" s="109">
        <f>AA12+AB12</f>
        <v>155.16322955493564</v>
      </c>
      <c r="AE12" s="108">
        <f>AVERAGE(O12,P12,V12,X12,Z12)</f>
        <v>83.433999999999997</v>
      </c>
      <c r="AF12" s="108">
        <f>MEDIAN(O12,P12,V12,X12,Z12)</f>
        <v>82.46</v>
      </c>
      <c r="AG12" s="81">
        <f>_xlfn.STDEV.P(O12,P12,V12,X12,Z12)</f>
        <v>31.905152938044374</v>
      </c>
      <c r="AH12" s="80">
        <f t="shared" si="4"/>
        <v>0.3823998961819447</v>
      </c>
      <c r="AI12" s="80" t="str">
        <f t="shared" si="5"/>
        <v>Mediana</v>
      </c>
      <c r="AJ12" s="121">
        <f t="shared" si="6"/>
        <v>2</v>
      </c>
      <c r="AK12" s="105">
        <f t="shared" si="7"/>
        <v>82.46</v>
      </c>
      <c r="AL12" s="122">
        <f t="shared" ref="AL12:AL19" si="8">AK12*AJ12</f>
        <v>164.92</v>
      </c>
      <c r="AM12" s="117">
        <v>0.1</v>
      </c>
      <c r="AN12" s="158">
        <f t="shared" ref="AN12:AN19" si="9">AL12*AM12</f>
        <v>16.492000000000001</v>
      </c>
      <c r="AO12" s="123">
        <v>10</v>
      </c>
      <c r="AP12" s="104">
        <f t="shared" ref="AP12:AP19" si="10">(AL12-AN12)/AO12/12</f>
        <v>1.2369000000000001</v>
      </c>
    </row>
    <row r="13" spans="1:70" ht="54" customHeight="1">
      <c r="A13" s="566"/>
      <c r="B13" s="633"/>
      <c r="C13" s="92">
        <v>3</v>
      </c>
      <c r="D13" s="93" t="s">
        <v>170</v>
      </c>
      <c r="E13" s="88" t="s">
        <v>163</v>
      </c>
      <c r="F13" s="88">
        <v>2</v>
      </c>
      <c r="G13" s="85"/>
      <c r="H13" s="85"/>
      <c r="I13" s="85"/>
      <c r="J13" s="85"/>
      <c r="K13" s="85"/>
      <c r="L13" s="85"/>
      <c r="M13" s="86">
        <v>350</v>
      </c>
      <c r="N13" s="85"/>
      <c r="O13" s="85"/>
      <c r="P13" s="85"/>
      <c r="Q13" s="90">
        <v>1800</v>
      </c>
      <c r="R13" s="85"/>
      <c r="S13" s="85"/>
      <c r="T13" s="85"/>
      <c r="U13" s="85"/>
      <c r="V13" s="85">
        <v>1194.25</v>
      </c>
      <c r="W13" s="85"/>
      <c r="X13" s="85"/>
      <c r="Y13" s="85"/>
      <c r="Z13" s="85">
        <v>1100</v>
      </c>
      <c r="AA13" s="84">
        <f t="shared" si="0"/>
        <v>1111.0625</v>
      </c>
      <c r="AB13" s="109">
        <f t="shared" si="1"/>
        <v>514.99843370514247</v>
      </c>
      <c r="AC13" s="109">
        <f t="shared" si="2"/>
        <v>596.06406629485753</v>
      </c>
      <c r="AD13" s="109">
        <f t="shared" si="3"/>
        <v>1626.0609337051424</v>
      </c>
      <c r="AE13" s="108">
        <f>AVERAGE(M13,V13,Z13)</f>
        <v>881.41666666666663</v>
      </c>
      <c r="AF13" s="108">
        <f>MEDIAN(M13,V13,Z13)</f>
        <v>1100</v>
      </c>
      <c r="AG13" s="81">
        <f>_xlfn.STDEV.P(M13,V13,Z13)</f>
        <v>377.73316934341659</v>
      </c>
      <c r="AH13" s="80">
        <f t="shared" si="4"/>
        <v>0.42855233356537764</v>
      </c>
      <c r="AI13" s="80" t="str">
        <f t="shared" si="5"/>
        <v>Mediana</v>
      </c>
      <c r="AJ13" s="121">
        <f t="shared" si="6"/>
        <v>2</v>
      </c>
      <c r="AK13" s="105">
        <f t="shared" si="7"/>
        <v>1100</v>
      </c>
      <c r="AL13" s="122">
        <f t="shared" si="8"/>
        <v>2200</v>
      </c>
      <c r="AM13" s="117">
        <v>0.1</v>
      </c>
      <c r="AN13" s="158">
        <f t="shared" si="9"/>
        <v>220</v>
      </c>
      <c r="AO13" s="123">
        <v>10</v>
      </c>
      <c r="AP13" s="104">
        <f t="shared" si="10"/>
        <v>16.5</v>
      </c>
    </row>
    <row r="14" spans="1:70" ht="321" customHeight="1">
      <c r="A14" s="566"/>
      <c r="B14" s="633"/>
      <c r="C14" s="92">
        <v>4</v>
      </c>
      <c r="D14" s="93" t="s">
        <v>169</v>
      </c>
      <c r="E14" s="88" t="s">
        <v>163</v>
      </c>
      <c r="F14" s="88">
        <v>4</v>
      </c>
      <c r="G14" s="85"/>
      <c r="H14" s="85"/>
      <c r="I14" s="85">
        <v>1288.9100000000001</v>
      </c>
      <c r="J14" s="85">
        <v>1079.9000000000001</v>
      </c>
      <c r="K14" s="85">
        <v>1250</v>
      </c>
      <c r="L14" s="85">
        <v>1131.0899999999999</v>
      </c>
      <c r="M14" s="85">
        <v>1000</v>
      </c>
      <c r="N14" s="86">
        <v>200</v>
      </c>
      <c r="O14" s="85">
        <v>1059.0899999999999</v>
      </c>
      <c r="P14" s="85"/>
      <c r="Q14" s="85"/>
      <c r="R14" s="85"/>
      <c r="S14" s="85">
        <v>1150</v>
      </c>
      <c r="T14" s="85"/>
      <c r="U14" s="90">
        <v>1600</v>
      </c>
      <c r="V14" s="85"/>
      <c r="W14" s="85"/>
      <c r="X14" s="85"/>
      <c r="Y14" s="85">
        <v>1332.85</v>
      </c>
      <c r="Z14" s="90">
        <v>1850</v>
      </c>
      <c r="AA14" s="84">
        <f t="shared" si="0"/>
        <v>1176.5309090909093</v>
      </c>
      <c r="AB14" s="109">
        <f t="shared" si="1"/>
        <v>391.50334449876499</v>
      </c>
      <c r="AC14" s="109">
        <f t="shared" si="2"/>
        <v>785.02756459214424</v>
      </c>
      <c r="AD14" s="109">
        <f t="shared" si="3"/>
        <v>1568.0342535896743</v>
      </c>
      <c r="AE14" s="108">
        <f>AVERAGE(I14,J14,K14,L14,M14,N14,O14,S14,Y14)</f>
        <v>1054.6488888888889</v>
      </c>
      <c r="AF14" s="108">
        <f>MEDIAN(I14,J14,K14,L14,M14,N14,O14,S14,Y14)</f>
        <v>1131.0899999999999</v>
      </c>
      <c r="AG14" s="81">
        <f>_xlfn.STDEV.P(I14,J14,K14,L14,M14,N14,O14,S14,Y14)</f>
        <v>319.6247499957986</v>
      </c>
      <c r="AH14" s="80">
        <f t="shared" si="4"/>
        <v>0.30306270964978205</v>
      </c>
      <c r="AI14" s="80" t="str">
        <f t="shared" si="5"/>
        <v>Mediana</v>
      </c>
      <c r="AJ14" s="121">
        <f t="shared" si="6"/>
        <v>4</v>
      </c>
      <c r="AK14" s="105">
        <f t="shared" si="7"/>
        <v>1131.0899999999999</v>
      </c>
      <c r="AL14" s="122">
        <f t="shared" si="8"/>
        <v>4524.3599999999997</v>
      </c>
      <c r="AM14" s="117">
        <v>0.1</v>
      </c>
      <c r="AN14" s="158">
        <f t="shared" si="9"/>
        <v>452.43599999999998</v>
      </c>
      <c r="AO14" s="123">
        <v>10</v>
      </c>
      <c r="AP14" s="104">
        <f t="shared" si="10"/>
        <v>33.932699999999997</v>
      </c>
    </row>
    <row r="15" spans="1:70" ht="69" customHeight="1">
      <c r="A15" s="566"/>
      <c r="B15" s="633"/>
      <c r="C15" s="92">
        <v>5</v>
      </c>
      <c r="D15" s="91" t="s">
        <v>168</v>
      </c>
      <c r="E15" s="88" t="s">
        <v>163</v>
      </c>
      <c r="F15" s="88">
        <v>2</v>
      </c>
      <c r="G15" s="85"/>
      <c r="H15" s="85"/>
      <c r="I15" s="85"/>
      <c r="J15" s="85"/>
      <c r="K15" s="85"/>
      <c r="L15" s="85">
        <v>43.39</v>
      </c>
      <c r="M15" s="85"/>
      <c r="N15" s="85">
        <v>30</v>
      </c>
      <c r="O15" s="85">
        <v>27.38</v>
      </c>
      <c r="P15" s="90">
        <v>59</v>
      </c>
      <c r="Q15" s="90">
        <v>50</v>
      </c>
      <c r="R15" s="85"/>
      <c r="S15" s="85"/>
      <c r="T15" s="85"/>
      <c r="U15" s="85"/>
      <c r="V15" s="85">
        <v>22.85</v>
      </c>
      <c r="W15" s="86">
        <v>17</v>
      </c>
      <c r="X15" s="86">
        <v>8.65</v>
      </c>
      <c r="Y15" s="85"/>
      <c r="Z15" s="85">
        <v>45</v>
      </c>
      <c r="AA15" s="84">
        <f t="shared" si="0"/>
        <v>33.696666666666665</v>
      </c>
      <c r="AB15" s="109">
        <f t="shared" si="1"/>
        <v>15.652878329559712</v>
      </c>
      <c r="AC15" s="109">
        <f t="shared" si="2"/>
        <v>18.043788337106953</v>
      </c>
      <c r="AD15" s="109">
        <f t="shared" si="3"/>
        <v>49.349544996226378</v>
      </c>
      <c r="AE15" s="108">
        <f>AVERAGE(L15,N15,O15,V15,Z15)</f>
        <v>33.724000000000004</v>
      </c>
      <c r="AF15" s="108">
        <f>MEDIAN(L15,N15,O15,V15,Z15)</f>
        <v>30</v>
      </c>
      <c r="AG15" s="81">
        <f>_xlfn.STDEV.P(L15,N15,O15,V15,Z15)</f>
        <v>8.8649661025860631</v>
      </c>
      <c r="AH15" s="80">
        <f t="shared" si="4"/>
        <v>0.26286816814690017</v>
      </c>
      <c r="AI15" s="80" t="str">
        <f t="shared" si="5"/>
        <v>Mediana</v>
      </c>
      <c r="AJ15" s="121">
        <f t="shared" si="6"/>
        <v>2</v>
      </c>
      <c r="AK15" s="105">
        <f t="shared" si="7"/>
        <v>30</v>
      </c>
      <c r="AL15" s="122">
        <f t="shared" si="8"/>
        <v>60</v>
      </c>
      <c r="AM15" s="117">
        <v>0.1</v>
      </c>
      <c r="AN15" s="158">
        <f t="shared" si="9"/>
        <v>6</v>
      </c>
      <c r="AO15" s="123">
        <v>10</v>
      </c>
      <c r="AP15" s="104">
        <f t="shared" si="10"/>
        <v>0.45</v>
      </c>
    </row>
    <row r="16" spans="1:70" ht="36" customHeight="1">
      <c r="A16" s="566"/>
      <c r="B16" s="633"/>
      <c r="C16" s="92">
        <v>6</v>
      </c>
      <c r="D16" s="91" t="s">
        <v>167</v>
      </c>
      <c r="E16" s="88" t="s">
        <v>163</v>
      </c>
      <c r="F16" s="88">
        <v>3</v>
      </c>
      <c r="G16" s="85">
        <v>100</v>
      </c>
      <c r="H16" s="85"/>
      <c r="I16" s="85">
        <v>174</v>
      </c>
      <c r="J16" s="85"/>
      <c r="K16" s="85"/>
      <c r="L16" s="85">
        <v>199.78</v>
      </c>
      <c r="M16" s="85"/>
      <c r="N16" s="86">
        <v>70</v>
      </c>
      <c r="O16" s="85">
        <v>182.63</v>
      </c>
      <c r="P16" s="85">
        <v>175</v>
      </c>
      <c r="Q16" s="90">
        <v>400</v>
      </c>
      <c r="R16" s="85"/>
      <c r="S16" s="85">
        <v>137</v>
      </c>
      <c r="T16" s="85"/>
      <c r="U16" s="85"/>
      <c r="V16" s="90">
        <v>312</v>
      </c>
      <c r="W16" s="85"/>
      <c r="X16" s="85"/>
      <c r="Y16" s="85">
        <v>137.97</v>
      </c>
      <c r="Z16" s="85">
        <v>160</v>
      </c>
      <c r="AA16" s="84">
        <f t="shared" si="0"/>
        <v>186.21636363636364</v>
      </c>
      <c r="AB16" s="109">
        <f t="shared" si="1"/>
        <v>89.632386220071879</v>
      </c>
      <c r="AC16" s="109">
        <f t="shared" si="2"/>
        <v>96.583977416291759</v>
      </c>
      <c r="AD16" s="109">
        <f t="shared" si="3"/>
        <v>275.84874985643552</v>
      </c>
      <c r="AE16" s="108">
        <f>AVERAGE(G16,I16,L16,N16,O16,P16,S16,Y16,Z16)</f>
        <v>148.48666666666665</v>
      </c>
      <c r="AF16" s="108">
        <f>MEDIAN(G16,I16,L16,N16,O16,P16,S16,Y16,Z16)</f>
        <v>160</v>
      </c>
      <c r="AG16" s="81">
        <f>_xlfn.STDEV.P(G16,I16,L16,N16,O16,P16,S16,Y16,Z16)</f>
        <v>39.49243893878085</v>
      </c>
      <c r="AH16" s="80">
        <f t="shared" si="4"/>
        <v>0.265966230001218</v>
      </c>
      <c r="AI16" s="80" t="str">
        <f t="shared" si="5"/>
        <v>Mediana</v>
      </c>
      <c r="AJ16" s="121">
        <f t="shared" si="6"/>
        <v>3</v>
      </c>
      <c r="AK16" s="105">
        <f t="shared" si="7"/>
        <v>160</v>
      </c>
      <c r="AL16" s="122">
        <f t="shared" si="8"/>
        <v>480</v>
      </c>
      <c r="AM16" s="117">
        <v>0.1</v>
      </c>
      <c r="AN16" s="158">
        <f t="shared" si="9"/>
        <v>48</v>
      </c>
      <c r="AO16" s="123">
        <v>10</v>
      </c>
      <c r="AP16" s="104">
        <f t="shared" si="10"/>
        <v>3.6</v>
      </c>
    </row>
    <row r="17" spans="1:42" ht="72.75" customHeight="1">
      <c r="A17" s="566"/>
      <c r="B17" s="633"/>
      <c r="C17" s="92">
        <v>7</v>
      </c>
      <c r="D17" s="91" t="s">
        <v>166</v>
      </c>
      <c r="E17" s="88" t="s">
        <v>163</v>
      </c>
      <c r="F17" s="88">
        <v>2</v>
      </c>
      <c r="G17" s="85"/>
      <c r="H17" s="85"/>
      <c r="I17" s="85"/>
      <c r="J17" s="85"/>
      <c r="K17" s="85"/>
      <c r="L17" s="90">
        <v>230.05</v>
      </c>
      <c r="M17" s="85"/>
      <c r="N17" s="85"/>
      <c r="O17" s="85">
        <v>14.05</v>
      </c>
      <c r="P17" s="85"/>
      <c r="Q17" s="85">
        <v>35</v>
      </c>
      <c r="R17" s="85"/>
      <c r="S17" s="85"/>
      <c r="T17" s="85"/>
      <c r="U17" s="85"/>
      <c r="V17" s="85">
        <v>17.5</v>
      </c>
      <c r="W17" s="85"/>
      <c r="X17" s="86">
        <v>7.64</v>
      </c>
      <c r="Y17" s="85"/>
      <c r="Z17" s="85">
        <v>80</v>
      </c>
      <c r="AA17" s="84">
        <f t="shared" si="0"/>
        <v>64.040000000000006</v>
      </c>
      <c r="AB17" s="109">
        <f t="shared" si="1"/>
        <v>77.999246791235095</v>
      </c>
      <c r="AC17" s="109">
        <f>AB17-AA17</f>
        <v>13.959246791235088</v>
      </c>
      <c r="AD17" s="109">
        <f t="shared" si="3"/>
        <v>142.03924679123509</v>
      </c>
      <c r="AE17" s="108">
        <f>AVERAGE(O17,Q17,V17,Z17)</f>
        <v>36.637500000000003</v>
      </c>
      <c r="AF17" s="108">
        <f>MEDIAN(O17,Q17,V17,Z17)</f>
        <v>26.25</v>
      </c>
      <c r="AG17" s="81">
        <f>_xlfn.STDEV.P(O17,Q17,V17,Z17)</f>
        <v>26.265123619545363</v>
      </c>
      <c r="AH17" s="80">
        <f t="shared" si="4"/>
        <v>0.71689180810768638</v>
      </c>
      <c r="AI17" s="80" t="str">
        <f t="shared" si="5"/>
        <v>Mediana</v>
      </c>
      <c r="AJ17" s="121">
        <f t="shared" si="6"/>
        <v>2</v>
      </c>
      <c r="AK17" s="105">
        <f t="shared" si="7"/>
        <v>26.25</v>
      </c>
      <c r="AL17" s="122">
        <f t="shared" si="8"/>
        <v>52.5</v>
      </c>
      <c r="AM17" s="117">
        <v>0.1</v>
      </c>
      <c r="AN17" s="158">
        <f t="shared" si="9"/>
        <v>5.25</v>
      </c>
      <c r="AO17" s="123">
        <v>10</v>
      </c>
      <c r="AP17" s="104">
        <f t="shared" si="10"/>
        <v>0.39374999999999999</v>
      </c>
    </row>
    <row r="18" spans="1:42" ht="101.25" customHeight="1">
      <c r="A18" s="566"/>
      <c r="B18" s="633"/>
      <c r="C18" s="92">
        <v>8</v>
      </c>
      <c r="D18" s="91" t="s">
        <v>165</v>
      </c>
      <c r="E18" s="88" t="s">
        <v>163</v>
      </c>
      <c r="F18" s="88">
        <v>3</v>
      </c>
      <c r="G18" s="85">
        <v>650</v>
      </c>
      <c r="H18" s="85"/>
      <c r="I18" s="85">
        <v>731.34</v>
      </c>
      <c r="J18" s="85">
        <v>399</v>
      </c>
      <c r="K18" s="85"/>
      <c r="L18" s="90">
        <v>1999.84</v>
      </c>
      <c r="M18" s="85">
        <v>250</v>
      </c>
      <c r="N18" s="85"/>
      <c r="O18" s="85">
        <v>240.05</v>
      </c>
      <c r="P18" s="85"/>
      <c r="Q18" s="85">
        <v>350</v>
      </c>
      <c r="R18" s="85"/>
      <c r="S18" s="85"/>
      <c r="T18" s="85">
        <v>500</v>
      </c>
      <c r="U18" s="85">
        <v>445</v>
      </c>
      <c r="V18" s="90">
        <v>1365</v>
      </c>
      <c r="W18" s="85">
        <v>400</v>
      </c>
      <c r="X18" s="85"/>
      <c r="Y18" s="85">
        <v>1038.3399999999999</v>
      </c>
      <c r="Z18" s="85">
        <v>480</v>
      </c>
      <c r="AA18" s="84">
        <f t="shared" si="0"/>
        <v>680.6592307692307</v>
      </c>
      <c r="AB18" s="109">
        <f t="shared" si="1"/>
        <v>489.54314099924676</v>
      </c>
      <c r="AC18" s="109">
        <f>AA18-AB18</f>
        <v>191.11608976998394</v>
      </c>
      <c r="AD18" s="109">
        <f t="shared" si="3"/>
        <v>1170.2023717684774</v>
      </c>
      <c r="AE18" s="108">
        <f>AVERAGE(G18,I18,J18,M18,O18,Q18,T18,U18,W18,Y18,Z18)</f>
        <v>498.52090909090913</v>
      </c>
      <c r="AF18" s="108">
        <f>MEDIAN(G18,I18,J18,M18,O18,Q18,T18,U18,W18,Y18,Z18)</f>
        <v>445</v>
      </c>
      <c r="AG18" s="81">
        <f>_xlfn.STDEV.P(G18,I18,J18,M18,O18,Q18,T18,U18,W18,Y18,Z18)</f>
        <v>221.97544681807165</v>
      </c>
      <c r="AH18" s="80">
        <f t="shared" si="4"/>
        <v>0.44526807756741998</v>
      </c>
      <c r="AI18" s="80" t="str">
        <f t="shared" si="5"/>
        <v>Mediana</v>
      </c>
      <c r="AJ18" s="121">
        <f t="shared" si="6"/>
        <v>3</v>
      </c>
      <c r="AK18" s="105">
        <f t="shared" si="7"/>
        <v>445</v>
      </c>
      <c r="AL18" s="122">
        <f t="shared" si="8"/>
        <v>1335</v>
      </c>
      <c r="AM18" s="117">
        <v>0.1</v>
      </c>
      <c r="AN18" s="158">
        <f t="shared" si="9"/>
        <v>133.5</v>
      </c>
      <c r="AO18" s="123">
        <v>10</v>
      </c>
      <c r="AP18" s="104">
        <f t="shared" si="10"/>
        <v>10.012500000000001</v>
      </c>
    </row>
    <row r="19" spans="1:42" ht="94.5" customHeight="1">
      <c r="A19" s="566"/>
      <c r="B19" s="633"/>
      <c r="C19" s="92">
        <v>9</v>
      </c>
      <c r="D19" s="89" t="s">
        <v>164</v>
      </c>
      <c r="E19" s="88" t="s">
        <v>163</v>
      </c>
      <c r="F19" s="88">
        <v>2</v>
      </c>
      <c r="G19" s="87"/>
      <c r="H19" s="85"/>
      <c r="I19" s="85"/>
      <c r="J19" s="85"/>
      <c r="K19" s="85"/>
      <c r="L19" s="85">
        <v>22.7</v>
      </c>
      <c r="M19" s="85"/>
      <c r="N19" s="85">
        <v>20</v>
      </c>
      <c r="O19" s="85">
        <v>20.59</v>
      </c>
      <c r="P19" s="85"/>
      <c r="Q19" s="90">
        <v>25</v>
      </c>
      <c r="R19" s="85"/>
      <c r="S19" s="85"/>
      <c r="T19" s="85"/>
      <c r="U19" s="85"/>
      <c r="V19" s="86">
        <v>14.88</v>
      </c>
      <c r="W19" s="85">
        <v>20</v>
      </c>
      <c r="X19" s="85"/>
      <c r="Y19" s="85"/>
      <c r="Z19" s="85">
        <v>21</v>
      </c>
      <c r="AA19" s="84">
        <f t="shared" si="0"/>
        <v>20.595714285714287</v>
      </c>
      <c r="AB19" s="109">
        <f t="shared" si="1"/>
        <v>2.8627751627840077</v>
      </c>
      <c r="AC19" s="109">
        <f t="shared" si="2"/>
        <v>17.732939122930279</v>
      </c>
      <c r="AD19" s="109">
        <f t="shared" si="3"/>
        <v>23.458489448498295</v>
      </c>
      <c r="AE19" s="108">
        <f>AVERAGE(L19,N19,O19,V19,W19,Z19)</f>
        <v>19.861666666666668</v>
      </c>
      <c r="AF19" s="108">
        <f>MEDIAN(L19,N19,O19,V19,W19,Z19)</f>
        <v>20.295000000000002</v>
      </c>
      <c r="AG19" s="81">
        <f>_xlfn.STDEV.P(L19,N19,O19,V19,W19,Z19)</f>
        <v>2.4061616506147097</v>
      </c>
      <c r="AH19" s="80">
        <f t="shared" si="4"/>
        <v>0.1211460090936331</v>
      </c>
      <c r="AI19" s="80" t="str">
        <f t="shared" si="5"/>
        <v>Média</v>
      </c>
      <c r="AJ19" s="121">
        <f t="shared" si="6"/>
        <v>2</v>
      </c>
      <c r="AK19" s="105">
        <f t="shared" si="7"/>
        <v>19.86</v>
      </c>
      <c r="AL19" s="122">
        <f t="shared" si="8"/>
        <v>39.72</v>
      </c>
      <c r="AM19" s="117">
        <v>0.1</v>
      </c>
      <c r="AN19" s="158">
        <f t="shared" si="9"/>
        <v>3.972</v>
      </c>
      <c r="AO19" s="123">
        <v>10</v>
      </c>
      <c r="AP19" s="104">
        <f t="shared" si="10"/>
        <v>0.2979</v>
      </c>
    </row>
    <row r="20" spans="1:42" ht="39" customHeight="1">
      <c r="A20" s="566"/>
      <c r="C20" s="590" t="s">
        <v>162</v>
      </c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  <c r="R20" s="590"/>
      <c r="S20" s="590"/>
      <c r="T20" s="590"/>
      <c r="U20" s="590"/>
      <c r="V20" s="590"/>
      <c r="W20" s="590"/>
      <c r="X20" s="590"/>
      <c r="Y20" s="590"/>
      <c r="Z20" s="590"/>
      <c r="AA20" s="590"/>
      <c r="AB20" s="590"/>
      <c r="AC20" s="590"/>
      <c r="AD20" s="590"/>
      <c r="AE20" s="590"/>
      <c r="AF20" s="590"/>
      <c r="AG20" s="590"/>
      <c r="AH20" s="590"/>
      <c r="AI20" s="590"/>
      <c r="AJ20" s="590"/>
      <c r="AK20" s="590"/>
      <c r="AL20" s="590"/>
      <c r="AM20" s="590"/>
      <c r="AN20" s="590"/>
      <c r="AO20" s="590"/>
      <c r="AP20" s="317">
        <f>SUM(AP11:AP19)</f>
        <v>76.410749999999993</v>
      </c>
    </row>
    <row r="21" spans="1:42" ht="42.75" customHeight="1">
      <c r="A21" s="566"/>
      <c r="C21" s="590" t="s">
        <v>384</v>
      </c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  <c r="R21" s="590"/>
      <c r="S21" s="590"/>
      <c r="T21" s="590"/>
      <c r="U21" s="590"/>
      <c r="V21" s="590"/>
      <c r="W21" s="590"/>
      <c r="X21" s="590"/>
      <c r="Y21" s="590"/>
      <c r="Z21" s="590"/>
      <c r="AA21" s="590"/>
      <c r="AB21" s="590"/>
      <c r="AC21" s="590"/>
      <c r="AD21" s="590"/>
      <c r="AE21" s="590"/>
      <c r="AF21" s="590"/>
      <c r="AG21" s="590"/>
      <c r="AH21" s="590"/>
      <c r="AI21" s="590"/>
      <c r="AJ21" s="590"/>
      <c r="AK21" s="590"/>
      <c r="AL21" s="590"/>
      <c r="AM21" s="590"/>
      <c r="AN21" s="590"/>
      <c r="AO21" s="590"/>
      <c r="AP21" s="318">
        <f>AP20/31</f>
        <v>2.4648629032258063</v>
      </c>
    </row>
    <row r="22" spans="1:42" ht="39" customHeight="1">
      <c r="A22" s="566"/>
      <c r="C22" s="586" t="s">
        <v>161</v>
      </c>
      <c r="D22" s="587"/>
      <c r="E22" s="587"/>
      <c r="F22" s="587"/>
      <c r="G22" s="587"/>
      <c r="H22" s="587"/>
      <c r="I22" s="587"/>
      <c r="J22" s="587"/>
      <c r="K22" s="587"/>
      <c r="L22" s="587"/>
      <c r="M22" s="587"/>
      <c r="N22" s="587"/>
      <c r="O22" s="587"/>
      <c r="P22" s="587"/>
      <c r="Q22" s="587"/>
      <c r="R22" s="587"/>
      <c r="S22" s="587"/>
      <c r="T22" s="587"/>
      <c r="U22" s="587"/>
      <c r="V22" s="587"/>
      <c r="W22" s="587"/>
      <c r="X22" s="587"/>
      <c r="Y22" s="587"/>
      <c r="Z22" s="587"/>
    </row>
    <row r="23" spans="1:42" ht="26.25" customHeight="1">
      <c r="A23" s="566"/>
      <c r="C23" s="588" t="s">
        <v>160</v>
      </c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</row>
    <row r="24" spans="1:42" s="79" customFormat="1" ht="68.25" customHeight="1">
      <c r="A24" s="566"/>
      <c r="C24" s="581" t="s">
        <v>485</v>
      </c>
      <c r="D24" s="582"/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  <c r="R24" s="582"/>
      <c r="S24" s="582"/>
      <c r="T24" s="582"/>
      <c r="U24" s="582"/>
      <c r="V24" s="582"/>
      <c r="W24" s="582"/>
      <c r="X24" s="582"/>
      <c r="Y24" s="582"/>
      <c r="Z24" s="582"/>
      <c r="AO24" s="319"/>
      <c r="AP24" s="319"/>
    </row>
    <row r="25" spans="1:42" s="79" customFormat="1" ht="60.75" customHeight="1">
      <c r="A25" s="566"/>
      <c r="C25" s="583" t="s">
        <v>435</v>
      </c>
      <c r="D25" s="584"/>
      <c r="E25" s="584"/>
      <c r="F25" s="584"/>
      <c r="G25" s="584"/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4"/>
      <c r="S25" s="584"/>
      <c r="T25" s="584"/>
      <c r="U25" s="584"/>
      <c r="V25" s="584"/>
      <c r="W25" s="584"/>
      <c r="X25" s="584"/>
      <c r="Y25" s="584"/>
      <c r="Z25" s="584"/>
      <c r="AO25" s="319"/>
      <c r="AP25" s="319"/>
    </row>
    <row r="26" spans="1:42" ht="68.25" customHeight="1">
      <c r="A26" s="566"/>
      <c r="C26" s="615" t="s">
        <v>158</v>
      </c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16"/>
      <c r="S26" s="616"/>
      <c r="T26" s="616"/>
      <c r="U26" s="616"/>
      <c r="V26" s="616"/>
      <c r="W26" s="616"/>
      <c r="X26" s="616"/>
      <c r="Y26" s="616"/>
      <c r="Z26" s="616"/>
    </row>
    <row r="27" spans="1:42" ht="50.25" customHeight="1">
      <c r="A27" s="566"/>
      <c r="C27" s="617" t="s">
        <v>486</v>
      </c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8"/>
      <c r="U27" s="618"/>
      <c r="V27" s="618"/>
      <c r="W27" s="618"/>
      <c r="X27" s="618"/>
      <c r="Y27" s="618"/>
      <c r="Z27" s="618"/>
    </row>
  </sheetData>
  <mergeCells count="43">
    <mergeCell ref="AP9:AP10"/>
    <mergeCell ref="AK9:AK10"/>
    <mergeCell ref="AL9:AL10"/>
    <mergeCell ref="AM9:AM10"/>
    <mergeCell ref="AN9:AN10"/>
    <mergeCell ref="AO9:AO10"/>
    <mergeCell ref="AF9:AF10"/>
    <mergeCell ref="AG9:AG10"/>
    <mergeCell ref="AH9:AH10"/>
    <mergeCell ref="AI9:AI10"/>
    <mergeCell ref="AJ9:AJ10"/>
    <mergeCell ref="AE6:AI8"/>
    <mergeCell ref="G7:Z7"/>
    <mergeCell ref="G8:Y8"/>
    <mergeCell ref="B3:AP3"/>
    <mergeCell ref="C21:AO21"/>
    <mergeCell ref="B9:B10"/>
    <mergeCell ref="C9:C10"/>
    <mergeCell ref="D9:D10"/>
    <mergeCell ref="E9:E10"/>
    <mergeCell ref="F9:F10"/>
    <mergeCell ref="C20:AO20"/>
    <mergeCell ref="AA9:AA10"/>
    <mergeCell ref="AB9:AB10"/>
    <mergeCell ref="AC9:AC10"/>
    <mergeCell ref="AD9:AD10"/>
    <mergeCell ref="AE9:AE10"/>
    <mergeCell ref="Z9:Z10"/>
    <mergeCell ref="B2:AP2"/>
    <mergeCell ref="AJ6:AP8"/>
    <mergeCell ref="A5:AP5"/>
    <mergeCell ref="A6:A27"/>
    <mergeCell ref="C27:Z27"/>
    <mergeCell ref="B11:B19"/>
    <mergeCell ref="B6:Z6"/>
    <mergeCell ref="B7:F7"/>
    <mergeCell ref="B8:F8"/>
    <mergeCell ref="C22:Z22"/>
    <mergeCell ref="C23:Z23"/>
    <mergeCell ref="C24:Z24"/>
    <mergeCell ref="C25:Z25"/>
    <mergeCell ref="C26:Z26"/>
    <mergeCell ref="AA6:AD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58"/>
  <sheetViews>
    <sheetView topLeftCell="A4" zoomScale="60" zoomScaleNormal="60" workbookViewId="0">
      <selection activeCell="B8" sqref="B8:F8"/>
    </sheetView>
  </sheetViews>
  <sheetFormatPr defaultRowHeight="15.75"/>
  <cols>
    <col min="1" max="1" width="5.85546875" style="77" customWidth="1"/>
    <col min="2" max="2" width="11.42578125" style="77" customWidth="1"/>
    <col min="3" max="3" width="13.85546875" style="77" customWidth="1"/>
    <col min="4" max="4" width="39.140625" style="77" customWidth="1"/>
    <col min="5" max="5" width="20.5703125" style="77" customWidth="1"/>
    <col min="6" max="6" width="17" style="77" customWidth="1"/>
    <col min="7" max="7" width="21.140625" style="77" customWidth="1"/>
    <col min="8" max="9" width="16.140625" style="77" customWidth="1"/>
    <col min="10" max="10" width="18.28515625" style="77" customWidth="1"/>
    <col min="11" max="11" width="18.140625" style="77" customWidth="1"/>
    <col min="12" max="12" width="21.28515625" style="77" customWidth="1"/>
    <col min="13" max="13" width="20.140625" style="77" customWidth="1"/>
    <col min="14" max="14" width="18.28515625" style="77" customWidth="1"/>
    <col min="15" max="15" width="18.42578125" style="77" customWidth="1"/>
    <col min="16" max="17" width="21.140625" style="77" customWidth="1"/>
    <col min="18" max="18" width="23.42578125" style="77" customWidth="1"/>
    <col min="19" max="19" width="17" style="77" customWidth="1"/>
    <col min="20" max="20" width="17.85546875" style="77" customWidth="1"/>
    <col min="21" max="21" width="18.7109375" style="77" customWidth="1"/>
    <col min="22" max="22" width="29" style="77" customWidth="1"/>
    <col min="23" max="23" width="21.28515625" style="77" customWidth="1"/>
    <col min="24" max="24" width="24.5703125" style="77" customWidth="1"/>
    <col min="25" max="25" width="20.85546875" style="77" customWidth="1"/>
    <col min="26" max="26" width="24" style="77" customWidth="1"/>
    <col min="27" max="27" width="23.140625" style="77" customWidth="1"/>
    <col min="28" max="28" width="21.7109375" style="77" customWidth="1"/>
    <col min="29" max="29" width="24.85546875" style="77" customWidth="1"/>
    <col min="30" max="30" width="21" style="77" customWidth="1"/>
    <col min="31" max="31" width="22.85546875" style="77" customWidth="1"/>
    <col min="32" max="32" width="22.5703125" style="77" customWidth="1"/>
    <col min="33" max="33" width="21.42578125" style="77" customWidth="1"/>
    <col min="34" max="34" width="24.28515625" style="77" customWidth="1"/>
    <col min="35" max="35" width="32.42578125" style="77" customWidth="1"/>
    <col min="36" max="36" width="25.5703125" style="77" customWidth="1"/>
    <col min="37" max="37" width="24.28515625" style="77" customWidth="1"/>
    <col min="38" max="38" width="21.7109375" style="77" customWidth="1"/>
    <col min="39" max="39" width="23.140625" style="77" customWidth="1"/>
    <col min="40" max="40" width="25.140625" style="77" customWidth="1"/>
    <col min="41" max="41" width="23.28515625" style="77" customWidth="1"/>
    <col min="42" max="42" width="25.140625" style="77" customWidth="1"/>
    <col min="43" max="43" width="28.28515625" style="77" customWidth="1"/>
    <col min="44" max="45" width="28.42578125" style="77" customWidth="1"/>
    <col min="46" max="46" width="25.140625" style="77" customWidth="1"/>
    <col min="47" max="47" width="29.140625" style="77" customWidth="1"/>
    <col min="48" max="56" width="25.140625" style="77" customWidth="1"/>
    <col min="57" max="57" width="27" style="77" customWidth="1"/>
    <col min="58" max="63" width="24.85546875" style="77" customWidth="1"/>
    <col min="64" max="64" width="26.140625" style="77" customWidth="1"/>
    <col min="65" max="65" width="19.5703125" style="77" bestFit="1" customWidth="1"/>
    <col min="66" max="66" width="26.42578125" style="77" bestFit="1" customWidth="1"/>
    <col min="67" max="67" width="18.7109375" style="77" customWidth="1"/>
    <col min="68" max="68" width="28.7109375" style="77" bestFit="1" customWidth="1"/>
    <col min="69" max="70" width="17.5703125" style="77" customWidth="1"/>
    <col min="71" max="71" width="15.7109375" style="77" customWidth="1"/>
    <col min="72" max="72" width="19" style="77" customWidth="1"/>
    <col min="73" max="73" width="28" style="77" bestFit="1" customWidth="1"/>
    <col min="74" max="74" width="16.85546875" style="77" customWidth="1"/>
    <col min="75" max="75" width="21.7109375" style="77" customWidth="1"/>
    <col min="76" max="76" width="21.42578125" style="77" customWidth="1"/>
    <col min="77" max="77" width="15.5703125" style="77" customWidth="1"/>
    <col min="78" max="16384" width="9.140625" style="77"/>
  </cols>
  <sheetData>
    <row r="2" spans="1:77" ht="66" customHeight="1"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6"/>
      <c r="AI2" s="566"/>
      <c r="AJ2" s="566"/>
      <c r="AK2" s="566"/>
      <c r="AL2" s="566"/>
      <c r="AM2" s="566"/>
      <c r="AN2" s="566"/>
      <c r="AO2" s="566"/>
      <c r="AP2" s="566"/>
      <c r="AQ2" s="566"/>
      <c r="AR2" s="566"/>
      <c r="AS2" s="566"/>
      <c r="AT2" s="566"/>
      <c r="AU2" s="566"/>
      <c r="AV2" s="566"/>
      <c r="AW2" s="566"/>
      <c r="AX2" s="566"/>
      <c r="AY2" s="566"/>
      <c r="AZ2" s="566"/>
      <c r="BA2" s="566"/>
      <c r="BB2" s="566"/>
      <c r="BC2" s="566"/>
      <c r="BD2" s="566"/>
      <c r="BE2" s="566"/>
      <c r="BF2" s="566"/>
      <c r="BG2" s="566"/>
      <c r="BH2" s="566"/>
      <c r="BI2" s="566"/>
      <c r="BJ2" s="566"/>
      <c r="BK2" s="566"/>
      <c r="BL2" s="566"/>
      <c r="BM2" s="566"/>
      <c r="BN2" s="566"/>
      <c r="BO2" s="566"/>
      <c r="BP2" s="566"/>
      <c r="BQ2" s="566"/>
      <c r="BR2" s="566"/>
      <c r="BS2" s="566"/>
      <c r="BT2" s="566"/>
      <c r="BU2" s="566"/>
      <c r="BV2" s="566"/>
      <c r="BW2" s="566"/>
      <c r="BX2" s="566"/>
    </row>
    <row r="3" spans="1:77" ht="102.75" customHeight="1">
      <c r="B3" s="533" t="s">
        <v>487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34"/>
      <c r="BA3" s="534"/>
      <c r="BB3" s="534"/>
      <c r="BC3" s="534"/>
      <c r="BD3" s="534"/>
      <c r="BE3" s="534"/>
      <c r="BF3" s="534"/>
      <c r="BG3" s="534"/>
      <c r="BH3" s="534"/>
      <c r="BI3" s="534"/>
      <c r="BJ3" s="534"/>
      <c r="BK3" s="534"/>
      <c r="BL3" s="534"/>
      <c r="BM3" s="534"/>
      <c r="BN3" s="534"/>
      <c r="BO3" s="534"/>
      <c r="BP3" s="534"/>
      <c r="BQ3" s="534"/>
      <c r="BR3" s="534"/>
      <c r="BS3" s="534"/>
      <c r="BT3" s="534"/>
      <c r="BU3" s="534"/>
      <c r="BV3" s="534"/>
      <c r="BW3" s="534"/>
      <c r="BX3" s="534"/>
    </row>
    <row r="5" spans="1:77">
      <c r="A5" s="566"/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566"/>
      <c r="AI5" s="566"/>
      <c r="AJ5" s="566"/>
      <c r="AK5" s="566"/>
      <c r="AL5" s="566"/>
      <c r="AM5" s="566"/>
      <c r="AN5" s="566"/>
      <c r="AO5" s="566"/>
      <c r="AP5" s="566"/>
      <c r="AQ5" s="566"/>
      <c r="AR5" s="566"/>
      <c r="AS5" s="566"/>
      <c r="AT5" s="566"/>
      <c r="AU5" s="566"/>
      <c r="AV5" s="566"/>
      <c r="AW5" s="566"/>
      <c r="AX5" s="566"/>
      <c r="AY5" s="566"/>
      <c r="AZ5" s="566"/>
      <c r="BA5" s="566"/>
      <c r="BB5" s="566"/>
      <c r="BC5" s="566"/>
      <c r="BD5" s="566"/>
      <c r="BE5" s="566"/>
      <c r="BF5" s="566"/>
      <c r="BG5" s="566"/>
      <c r="BH5" s="566"/>
      <c r="BI5" s="566"/>
      <c r="BJ5" s="566"/>
      <c r="BK5" s="566"/>
      <c r="BL5" s="566"/>
      <c r="BM5" s="566"/>
      <c r="BN5" s="566"/>
      <c r="BO5" s="566"/>
      <c r="BP5" s="566"/>
      <c r="BQ5" s="566"/>
      <c r="BR5" s="566"/>
      <c r="BS5" s="566"/>
      <c r="BT5" s="566"/>
      <c r="BU5" s="566"/>
      <c r="BV5" s="566"/>
      <c r="BW5" s="566"/>
      <c r="BX5" s="566"/>
    </row>
    <row r="6" spans="1:77" ht="30" customHeight="1">
      <c r="A6" s="566"/>
      <c r="B6" s="609" t="s">
        <v>192</v>
      </c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09"/>
      <c r="AB6" s="609"/>
      <c r="AC6" s="609"/>
      <c r="AD6" s="609"/>
      <c r="AE6" s="609"/>
      <c r="AF6" s="609"/>
      <c r="AG6" s="609"/>
      <c r="AH6" s="609"/>
      <c r="AI6" s="609"/>
      <c r="AJ6" s="609"/>
      <c r="AK6" s="609"/>
      <c r="AL6" s="609"/>
      <c r="AM6" s="609"/>
      <c r="AN6" s="609"/>
      <c r="AO6" s="609"/>
      <c r="AP6" s="609"/>
      <c r="AQ6" s="609"/>
      <c r="AR6" s="609"/>
      <c r="AS6" s="609"/>
      <c r="AT6" s="609"/>
      <c r="AU6" s="609"/>
      <c r="AV6" s="609"/>
      <c r="AW6" s="609"/>
      <c r="AX6" s="609"/>
      <c r="AY6" s="609"/>
      <c r="AZ6" s="609"/>
      <c r="BA6" s="609"/>
      <c r="BB6" s="609"/>
      <c r="BC6" s="609"/>
      <c r="BD6" s="609"/>
      <c r="BE6" s="609"/>
      <c r="BF6" s="609"/>
      <c r="BG6" s="609"/>
      <c r="BH6" s="609"/>
      <c r="BI6" s="609"/>
      <c r="BJ6" s="609"/>
      <c r="BK6" s="609"/>
      <c r="BL6" s="609"/>
      <c r="BM6" s="610" t="s">
        <v>191</v>
      </c>
      <c r="BN6" s="610"/>
      <c r="BO6" s="610"/>
      <c r="BP6" s="610"/>
      <c r="BQ6" s="611" t="s">
        <v>190</v>
      </c>
      <c r="BR6" s="611"/>
      <c r="BS6" s="611"/>
      <c r="BT6" s="611"/>
      <c r="BU6" s="611"/>
      <c r="BV6" s="599" t="s">
        <v>257</v>
      </c>
      <c r="BW6" s="600"/>
      <c r="BX6" s="601"/>
    </row>
    <row r="7" spans="1:77" ht="30" customHeight="1">
      <c r="A7" s="566"/>
      <c r="B7" s="612"/>
      <c r="C7" s="612"/>
      <c r="D7" s="612"/>
      <c r="E7" s="612"/>
      <c r="F7" s="612"/>
      <c r="G7" s="608" t="s">
        <v>189</v>
      </c>
      <c r="H7" s="608"/>
      <c r="I7" s="608"/>
      <c r="J7" s="608"/>
      <c r="K7" s="608"/>
      <c r="L7" s="608"/>
      <c r="M7" s="608"/>
      <c r="N7" s="608"/>
      <c r="O7" s="608"/>
      <c r="P7" s="608"/>
      <c r="Q7" s="608"/>
      <c r="R7" s="608"/>
      <c r="S7" s="608"/>
      <c r="T7" s="608"/>
      <c r="U7" s="608"/>
      <c r="V7" s="608"/>
      <c r="W7" s="608"/>
      <c r="X7" s="608"/>
      <c r="Y7" s="608"/>
      <c r="Z7" s="608"/>
      <c r="AA7" s="608"/>
      <c r="AB7" s="608"/>
      <c r="AC7" s="608"/>
      <c r="AD7" s="608"/>
      <c r="AE7" s="608"/>
      <c r="AF7" s="608"/>
      <c r="AG7" s="608"/>
      <c r="AH7" s="608"/>
      <c r="AI7" s="608"/>
      <c r="AJ7" s="608"/>
      <c r="AK7" s="608"/>
      <c r="AL7" s="608"/>
      <c r="AM7" s="608"/>
      <c r="AN7" s="608"/>
      <c r="AO7" s="608"/>
      <c r="AP7" s="608"/>
      <c r="AQ7" s="608"/>
      <c r="AR7" s="608"/>
      <c r="AS7" s="608"/>
      <c r="AT7" s="608"/>
      <c r="AU7" s="608"/>
      <c r="AV7" s="608"/>
      <c r="AW7" s="608"/>
      <c r="AX7" s="608"/>
      <c r="AY7" s="608"/>
      <c r="AZ7" s="608"/>
      <c r="BA7" s="608"/>
      <c r="BB7" s="608"/>
      <c r="BC7" s="608"/>
      <c r="BD7" s="608"/>
      <c r="BE7" s="608"/>
      <c r="BF7" s="608"/>
      <c r="BG7" s="608"/>
      <c r="BH7" s="608"/>
      <c r="BI7" s="608"/>
      <c r="BJ7" s="608"/>
      <c r="BK7" s="608"/>
      <c r="BL7" s="608"/>
      <c r="BM7" s="610"/>
      <c r="BN7" s="610"/>
      <c r="BO7" s="610"/>
      <c r="BP7" s="610"/>
      <c r="BQ7" s="611"/>
      <c r="BR7" s="611"/>
      <c r="BS7" s="611"/>
      <c r="BT7" s="611"/>
      <c r="BU7" s="611"/>
      <c r="BV7" s="602"/>
      <c r="BW7" s="603"/>
      <c r="BX7" s="604"/>
    </row>
    <row r="8" spans="1:77" ht="60.75" customHeight="1">
      <c r="A8" s="566"/>
      <c r="B8" s="614" t="s">
        <v>256</v>
      </c>
      <c r="C8" s="614"/>
      <c r="D8" s="614"/>
      <c r="E8" s="614"/>
      <c r="F8" s="614"/>
      <c r="G8" s="656" t="s">
        <v>187</v>
      </c>
      <c r="H8" s="657"/>
      <c r="I8" s="657"/>
      <c r="J8" s="657"/>
      <c r="K8" s="657"/>
      <c r="L8" s="657"/>
      <c r="M8" s="657"/>
      <c r="N8" s="657"/>
      <c r="O8" s="657"/>
      <c r="P8" s="657"/>
      <c r="Q8" s="657"/>
      <c r="R8" s="657"/>
      <c r="S8" s="657"/>
      <c r="T8" s="657"/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7"/>
      <c r="AK8" s="656" t="s">
        <v>186</v>
      </c>
      <c r="AL8" s="657"/>
      <c r="AM8" s="657"/>
      <c r="AN8" s="657"/>
      <c r="AO8" s="657"/>
      <c r="AP8" s="657"/>
      <c r="AQ8" s="657"/>
      <c r="AR8" s="657"/>
      <c r="AS8" s="657"/>
      <c r="AT8" s="657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657"/>
      <c r="BF8" s="657"/>
      <c r="BG8" s="657"/>
      <c r="BH8" s="657"/>
      <c r="BI8" s="657"/>
      <c r="BJ8" s="657"/>
      <c r="BK8" s="658"/>
      <c r="BL8" s="160" t="s">
        <v>185</v>
      </c>
      <c r="BM8" s="610"/>
      <c r="BN8" s="610"/>
      <c r="BO8" s="610"/>
      <c r="BP8" s="610"/>
      <c r="BQ8" s="611"/>
      <c r="BR8" s="611"/>
      <c r="BS8" s="611"/>
      <c r="BT8" s="611"/>
      <c r="BU8" s="611"/>
      <c r="BV8" s="605"/>
      <c r="BW8" s="606"/>
      <c r="BX8" s="607"/>
    </row>
    <row r="9" spans="1:77" ht="147" customHeight="1">
      <c r="A9" s="566"/>
      <c r="B9" s="569" t="s">
        <v>184</v>
      </c>
      <c r="C9" s="569" t="s">
        <v>10</v>
      </c>
      <c r="D9" s="569" t="s">
        <v>11</v>
      </c>
      <c r="E9" s="569" t="s">
        <v>183</v>
      </c>
      <c r="F9" s="569" t="s">
        <v>23</v>
      </c>
      <c r="G9" s="115" t="s">
        <v>362</v>
      </c>
      <c r="H9" s="115" t="s">
        <v>363</v>
      </c>
      <c r="I9" s="115" t="s">
        <v>145</v>
      </c>
      <c r="J9" s="115" t="s">
        <v>401</v>
      </c>
      <c r="K9" s="115" t="s">
        <v>414</v>
      </c>
      <c r="L9" s="115" t="s">
        <v>447</v>
      </c>
      <c r="M9" s="115" t="s">
        <v>369</v>
      </c>
      <c r="N9" s="102" t="s">
        <v>415</v>
      </c>
      <c r="O9" s="102" t="s">
        <v>416</v>
      </c>
      <c r="P9" s="102" t="s">
        <v>417</v>
      </c>
      <c r="Q9" s="102" t="s">
        <v>376</v>
      </c>
      <c r="R9" s="102" t="s">
        <v>378</v>
      </c>
      <c r="S9" s="102" t="s">
        <v>387</v>
      </c>
      <c r="T9" s="102" t="s">
        <v>388</v>
      </c>
      <c r="U9" s="102" t="s">
        <v>390</v>
      </c>
      <c r="V9" s="102" t="s">
        <v>419</v>
      </c>
      <c r="W9" s="102" t="s">
        <v>392</v>
      </c>
      <c r="X9" s="102" t="s">
        <v>421</v>
      </c>
      <c r="Y9" s="102" t="s">
        <v>422</v>
      </c>
      <c r="Z9" s="102" t="s">
        <v>423</v>
      </c>
      <c r="AA9" s="102" t="s">
        <v>424</v>
      </c>
      <c r="AB9" s="102" t="s">
        <v>425</v>
      </c>
      <c r="AC9" s="102" t="s">
        <v>426</v>
      </c>
      <c r="AD9" s="102" t="s">
        <v>427</v>
      </c>
      <c r="AE9" s="102" t="s">
        <v>428</v>
      </c>
      <c r="AF9" s="102" t="s">
        <v>429</v>
      </c>
      <c r="AG9" s="102" t="s">
        <v>430</v>
      </c>
      <c r="AH9" s="102" t="s">
        <v>431</v>
      </c>
      <c r="AI9" s="102" t="s">
        <v>432</v>
      </c>
      <c r="AJ9" s="102" t="s">
        <v>433</v>
      </c>
      <c r="AK9" s="608" t="s">
        <v>255</v>
      </c>
      <c r="AL9" s="608" t="s">
        <v>254</v>
      </c>
      <c r="AM9" s="608" t="s">
        <v>253</v>
      </c>
      <c r="AN9" s="608" t="s">
        <v>252</v>
      </c>
      <c r="AO9" s="608" t="s">
        <v>251</v>
      </c>
      <c r="AP9" s="608" t="s">
        <v>250</v>
      </c>
      <c r="AQ9" s="608" t="s">
        <v>249</v>
      </c>
      <c r="AR9" s="608" t="s">
        <v>248</v>
      </c>
      <c r="AS9" s="608" t="s">
        <v>247</v>
      </c>
      <c r="AT9" s="608" t="s">
        <v>246</v>
      </c>
      <c r="AU9" s="608" t="s">
        <v>245</v>
      </c>
      <c r="AV9" s="608" t="s">
        <v>244</v>
      </c>
      <c r="AW9" s="608" t="s">
        <v>243</v>
      </c>
      <c r="AX9" s="608" t="s">
        <v>242</v>
      </c>
      <c r="AY9" s="608" t="s">
        <v>241</v>
      </c>
      <c r="AZ9" s="608" t="s">
        <v>240</v>
      </c>
      <c r="BA9" s="608" t="s">
        <v>239</v>
      </c>
      <c r="BB9" s="608" t="s">
        <v>238</v>
      </c>
      <c r="BC9" s="608" t="s">
        <v>237</v>
      </c>
      <c r="BD9" s="608" t="s">
        <v>236</v>
      </c>
      <c r="BE9" s="608" t="s">
        <v>235</v>
      </c>
      <c r="BF9" s="608" t="s">
        <v>234</v>
      </c>
      <c r="BG9" s="608" t="s">
        <v>398</v>
      </c>
      <c r="BH9" s="608" t="s">
        <v>397</v>
      </c>
      <c r="BI9" s="608" t="s">
        <v>399</v>
      </c>
      <c r="BJ9" s="631" t="s">
        <v>453</v>
      </c>
      <c r="BK9" s="631" t="s">
        <v>454</v>
      </c>
      <c r="BL9" s="608" t="s">
        <v>471</v>
      </c>
      <c r="BM9" s="571" t="s">
        <v>182</v>
      </c>
      <c r="BN9" s="571" t="s">
        <v>181</v>
      </c>
      <c r="BO9" s="573" t="s">
        <v>180</v>
      </c>
      <c r="BP9" s="573" t="s">
        <v>179</v>
      </c>
      <c r="BQ9" s="575" t="s">
        <v>133</v>
      </c>
      <c r="BR9" s="575" t="s">
        <v>178</v>
      </c>
      <c r="BS9" s="575" t="s">
        <v>177</v>
      </c>
      <c r="BT9" s="575" t="s">
        <v>176</v>
      </c>
      <c r="BU9" s="575" t="s">
        <v>175</v>
      </c>
      <c r="BV9" s="579" t="s">
        <v>174</v>
      </c>
      <c r="BW9" s="579" t="s">
        <v>326</v>
      </c>
      <c r="BX9" s="577" t="s">
        <v>329</v>
      </c>
    </row>
    <row r="10" spans="1:77" ht="51.75" customHeight="1">
      <c r="A10" s="566"/>
      <c r="B10" s="570"/>
      <c r="C10" s="570"/>
      <c r="D10" s="570"/>
      <c r="E10" s="570"/>
      <c r="F10" s="570"/>
      <c r="G10" s="159" t="s">
        <v>150</v>
      </c>
      <c r="H10" s="159" t="s">
        <v>148</v>
      </c>
      <c r="I10" s="159" t="s">
        <v>149</v>
      </c>
      <c r="J10" s="159" t="s">
        <v>150</v>
      </c>
      <c r="K10" s="159" t="s">
        <v>367</v>
      </c>
      <c r="L10" s="159" t="s">
        <v>150</v>
      </c>
      <c r="M10" s="159" t="s">
        <v>152</v>
      </c>
      <c r="N10" s="102" t="s">
        <v>372</v>
      </c>
      <c r="O10" s="102" t="s">
        <v>153</v>
      </c>
      <c r="P10" s="102" t="s">
        <v>149</v>
      </c>
      <c r="Q10" s="102" t="s">
        <v>154</v>
      </c>
      <c r="R10" s="102" t="s">
        <v>377</v>
      </c>
      <c r="S10" s="102" t="s">
        <v>386</v>
      </c>
      <c r="T10" s="102" t="s">
        <v>153</v>
      </c>
      <c r="U10" s="102" t="s">
        <v>389</v>
      </c>
      <c r="V10" s="102" t="s">
        <v>370</v>
      </c>
      <c r="W10" s="102" t="s">
        <v>391</v>
      </c>
      <c r="X10" s="102" t="s">
        <v>393</v>
      </c>
      <c r="Y10" s="102" t="s">
        <v>395</v>
      </c>
      <c r="Z10" s="102" t="s">
        <v>403</v>
      </c>
      <c r="AA10" s="102" t="s">
        <v>404</v>
      </c>
      <c r="AB10" s="102" t="s">
        <v>405</v>
      </c>
      <c r="AC10" s="102" t="s">
        <v>406</v>
      </c>
      <c r="AD10" s="102" t="s">
        <v>407</v>
      </c>
      <c r="AE10" s="102" t="s">
        <v>408</v>
      </c>
      <c r="AF10" s="102" t="s">
        <v>409</v>
      </c>
      <c r="AG10" s="102" t="s">
        <v>410</v>
      </c>
      <c r="AH10" s="102" t="s">
        <v>411</v>
      </c>
      <c r="AI10" s="102" t="s">
        <v>412</v>
      </c>
      <c r="AJ10" s="102" t="s">
        <v>413</v>
      </c>
      <c r="AK10" s="608"/>
      <c r="AL10" s="608"/>
      <c r="AM10" s="608"/>
      <c r="AN10" s="608"/>
      <c r="AO10" s="608"/>
      <c r="AP10" s="608"/>
      <c r="AQ10" s="608"/>
      <c r="AR10" s="608"/>
      <c r="AS10" s="608"/>
      <c r="AT10" s="608"/>
      <c r="AU10" s="608"/>
      <c r="AV10" s="608"/>
      <c r="AW10" s="608"/>
      <c r="AX10" s="608"/>
      <c r="AY10" s="608"/>
      <c r="AZ10" s="608"/>
      <c r="BA10" s="608"/>
      <c r="BB10" s="608"/>
      <c r="BC10" s="608"/>
      <c r="BD10" s="608"/>
      <c r="BE10" s="608"/>
      <c r="BF10" s="608"/>
      <c r="BG10" s="608"/>
      <c r="BH10" s="608"/>
      <c r="BI10" s="608"/>
      <c r="BJ10" s="632"/>
      <c r="BK10" s="632"/>
      <c r="BL10" s="608"/>
      <c r="BM10" s="572"/>
      <c r="BN10" s="572"/>
      <c r="BO10" s="574"/>
      <c r="BP10" s="574"/>
      <c r="BQ10" s="576"/>
      <c r="BR10" s="576"/>
      <c r="BS10" s="576"/>
      <c r="BT10" s="576"/>
      <c r="BU10" s="576"/>
      <c r="BV10" s="580"/>
      <c r="BW10" s="580"/>
      <c r="BX10" s="578"/>
    </row>
    <row r="11" spans="1:77" ht="120" customHeight="1">
      <c r="A11" s="566"/>
      <c r="B11" s="633" t="s">
        <v>328</v>
      </c>
      <c r="C11" s="88">
        <v>1</v>
      </c>
      <c r="D11" s="184" t="s">
        <v>232</v>
      </c>
      <c r="E11" s="88" t="s">
        <v>163</v>
      </c>
      <c r="F11" s="88">
        <v>27</v>
      </c>
      <c r="G11" s="85">
        <v>12</v>
      </c>
      <c r="H11" s="85">
        <v>4</v>
      </c>
      <c r="I11" s="85">
        <v>3.59</v>
      </c>
      <c r="J11" s="85">
        <v>5.75</v>
      </c>
      <c r="K11" s="85">
        <v>4.3</v>
      </c>
      <c r="L11" s="85">
        <v>5.75</v>
      </c>
      <c r="M11" s="90">
        <v>30</v>
      </c>
      <c r="N11" s="85">
        <v>5.7</v>
      </c>
      <c r="O11" s="85">
        <v>3.69</v>
      </c>
      <c r="P11" s="85"/>
      <c r="Q11" s="90">
        <v>14</v>
      </c>
      <c r="R11" s="85">
        <v>3.95</v>
      </c>
      <c r="S11" s="85">
        <v>7</v>
      </c>
      <c r="T11" s="85">
        <v>8.33</v>
      </c>
      <c r="U11" s="85">
        <v>3.22</v>
      </c>
      <c r="V11" s="85">
        <v>2.23</v>
      </c>
      <c r="W11" s="85">
        <v>5.45</v>
      </c>
      <c r="X11" s="85">
        <v>2.14</v>
      </c>
      <c r="Y11" s="85">
        <v>4.45</v>
      </c>
      <c r="Z11" s="85"/>
      <c r="AA11" s="85"/>
      <c r="AB11" s="85"/>
      <c r="AC11" s="85"/>
      <c r="AD11" s="85"/>
      <c r="AE11" s="85"/>
      <c r="AF11" s="85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>
        <v>5.04</v>
      </c>
      <c r="BM11" s="96">
        <f t="shared" ref="BM11:BM48" si="0">AVERAGE(G11:BL11)</f>
        <v>6.8731578947368419</v>
      </c>
      <c r="BN11" s="96">
        <f t="shared" ref="BN11:BN48" si="1">_xlfn.STDEV.P(G11:BL11)</f>
        <v>6.202132105919687</v>
      </c>
      <c r="BO11" s="83">
        <f t="shared" ref="BO11:BO35" si="2">BM11-BN11</f>
        <v>0.67102578881715491</v>
      </c>
      <c r="BP11" s="83">
        <f t="shared" ref="BP11:BP48" si="3">BM11+BN11</f>
        <v>13.07529000065653</v>
      </c>
      <c r="BQ11" s="82">
        <f>AVERAGE(G11,H11,I11,J11,K11,L11,N11,O11,R11,S11,T11,U11,V11,W11,X11,Y11,BL11)</f>
        <v>5.093529411764707</v>
      </c>
      <c r="BR11" s="82">
        <f>MEDIAN(G11,H11,I11,J11,K11,L11,N11,O11,R11,S11,T11,U11,V11,W11,,X11,Y11,BL11)</f>
        <v>4.375</v>
      </c>
      <c r="BS11" s="81">
        <f>_xlfn.STDEV.P(G11,H11,I11,J11,K11,L11,N11,O11,R11,S11,T11,U11,V11,W11,X11,Y11,BL11)</f>
        <v>2.3184602932739407</v>
      </c>
      <c r="BT11" s="80">
        <f t="shared" ref="BT11:BT48" si="4">BS11/BQ11</f>
        <v>0.45517756075363186</v>
      </c>
      <c r="BU11" s="80" t="str">
        <f t="shared" ref="BU11:BU48" si="5">IF(BT11&lt;25%,"Média",IF(BT11&gt;=25%,"Mediana"))</f>
        <v>Mediana</v>
      </c>
      <c r="BV11" s="121">
        <f t="shared" ref="BV11:BV48" si="6">F11</f>
        <v>27</v>
      </c>
      <c r="BW11" s="105">
        <f t="shared" ref="BW11:BW48" si="7">TRUNC(IF(BU11="Mediana",BR11,BQ11),2)</f>
        <v>4.37</v>
      </c>
      <c r="BX11" s="104">
        <f>TRUNC(SUM(BW11*(BV11)),2)</f>
        <v>117.99</v>
      </c>
      <c r="BY11" s="95"/>
    </row>
    <row r="12" spans="1:77" ht="213" customHeight="1">
      <c r="A12" s="566"/>
      <c r="B12" s="633"/>
      <c r="C12" s="88">
        <v>2</v>
      </c>
      <c r="D12" s="125" t="s">
        <v>231</v>
      </c>
      <c r="E12" s="88" t="s">
        <v>163</v>
      </c>
      <c r="F12" s="88">
        <v>9</v>
      </c>
      <c r="G12" s="85"/>
      <c r="H12" s="86">
        <v>220</v>
      </c>
      <c r="I12" s="85">
        <v>460.93</v>
      </c>
      <c r="J12" s="85"/>
      <c r="K12" s="86">
        <v>240</v>
      </c>
      <c r="L12" s="85"/>
      <c r="M12" s="85"/>
      <c r="N12" s="85">
        <v>667</v>
      </c>
      <c r="O12" s="85"/>
      <c r="P12" s="85"/>
      <c r="Q12" s="85"/>
      <c r="R12" s="85"/>
      <c r="S12" s="85">
        <v>300</v>
      </c>
      <c r="T12" s="85"/>
      <c r="U12" s="85"/>
      <c r="V12" s="85"/>
      <c r="W12" s="85"/>
      <c r="X12" s="85"/>
      <c r="Y12" s="85">
        <v>600.15</v>
      </c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90">
        <v>999</v>
      </c>
      <c r="BM12" s="96">
        <f t="shared" si="0"/>
        <v>498.15428571428572</v>
      </c>
      <c r="BN12" s="96">
        <f t="shared" si="1"/>
        <v>260.33567363568704</v>
      </c>
      <c r="BO12" s="83">
        <f t="shared" si="2"/>
        <v>237.81861207859868</v>
      </c>
      <c r="BP12" s="83">
        <f t="shared" si="3"/>
        <v>758.48995934997276</v>
      </c>
      <c r="BQ12" s="82">
        <f>AVERAGE(H12,I12,K12,N12,S12,Y12)</f>
        <v>414.68</v>
      </c>
      <c r="BR12" s="82">
        <f>MEDIAN(H12,I12,K12,N12,S12,Y12)</f>
        <v>380.46500000000003</v>
      </c>
      <c r="BS12" s="81">
        <f>_xlfn.STDEV.P(H12,I12,K12,N12,S12,Y12)</f>
        <v>174.05385804399745</v>
      </c>
      <c r="BT12" s="80">
        <f t="shared" si="4"/>
        <v>0.41973053449406156</v>
      </c>
      <c r="BU12" s="80" t="str">
        <f t="shared" si="5"/>
        <v>Mediana</v>
      </c>
      <c r="BV12" s="121">
        <f t="shared" si="6"/>
        <v>9</v>
      </c>
      <c r="BW12" s="105">
        <f t="shared" si="7"/>
        <v>380.46</v>
      </c>
      <c r="BX12" s="104">
        <f t="shared" ref="BX12:BX48" si="8">TRUNC(SUM(BW12*(BV12)),2)</f>
        <v>3424.14</v>
      </c>
    </row>
    <row r="13" spans="1:77" ht="175.5" customHeight="1">
      <c r="A13" s="566"/>
      <c r="B13" s="633"/>
      <c r="C13" s="88">
        <v>3</v>
      </c>
      <c r="D13" s="125" t="s">
        <v>230</v>
      </c>
      <c r="E13" s="88" t="s">
        <v>163</v>
      </c>
      <c r="F13" s="88">
        <v>3</v>
      </c>
      <c r="G13" s="85"/>
      <c r="H13" s="85"/>
      <c r="I13" s="85"/>
      <c r="J13" s="85"/>
      <c r="K13" s="85"/>
      <c r="L13" s="85"/>
      <c r="M13" s="85"/>
      <c r="N13" s="85"/>
      <c r="O13" s="85"/>
      <c r="P13" s="85">
        <v>270</v>
      </c>
      <c r="Q13" s="85"/>
      <c r="R13" s="85"/>
      <c r="S13" s="85"/>
      <c r="T13" s="85"/>
      <c r="U13" s="85"/>
      <c r="V13" s="85"/>
      <c r="W13" s="85"/>
      <c r="X13" s="85"/>
      <c r="Y13" s="86">
        <v>96.47</v>
      </c>
      <c r="Z13" s="85"/>
      <c r="AA13" s="85"/>
      <c r="AB13" s="85"/>
      <c r="AC13" s="85"/>
      <c r="AD13" s="85"/>
      <c r="AE13" s="85"/>
      <c r="AF13" s="85">
        <v>233.07</v>
      </c>
      <c r="AG13" s="85"/>
      <c r="AH13" s="85"/>
      <c r="AI13" s="85"/>
      <c r="AJ13" s="85"/>
      <c r="AK13" s="90">
        <v>335</v>
      </c>
      <c r="AL13" s="85">
        <v>240</v>
      </c>
      <c r="AM13" s="85">
        <v>305.2</v>
      </c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>
        <v>303.91000000000003</v>
      </c>
      <c r="BM13" s="96">
        <f t="shared" si="0"/>
        <v>254.80714285714288</v>
      </c>
      <c r="BN13" s="96">
        <f t="shared" si="1"/>
        <v>73.070077462721727</v>
      </c>
      <c r="BO13" s="83">
        <f t="shared" si="2"/>
        <v>181.73706539442117</v>
      </c>
      <c r="BP13" s="83">
        <f t="shared" si="3"/>
        <v>327.87722031986459</v>
      </c>
      <c r="BQ13" s="82">
        <f>AVERAGE(P13,Y13,AF13,AL13,AM13,BL13)</f>
        <v>241.44166666666669</v>
      </c>
      <c r="BR13" s="82">
        <f>MEDIAN(P13,Y13,AF13,AL13,AM13,BL13)</f>
        <v>255</v>
      </c>
      <c r="BS13" s="81">
        <f>_xlfn.STDEV.P(P13,Y13,AF13,AL13,AM13,BL13)</f>
        <v>70.559600673630584</v>
      </c>
      <c r="BT13" s="80">
        <f t="shared" si="4"/>
        <v>0.29224284957842367</v>
      </c>
      <c r="BU13" s="80" t="str">
        <f t="shared" si="5"/>
        <v>Mediana</v>
      </c>
      <c r="BV13" s="121">
        <f t="shared" si="6"/>
        <v>3</v>
      </c>
      <c r="BW13" s="105">
        <f t="shared" si="7"/>
        <v>255</v>
      </c>
      <c r="BX13" s="104">
        <f t="shared" si="8"/>
        <v>765</v>
      </c>
    </row>
    <row r="14" spans="1:77" ht="104.25" customHeight="1">
      <c r="A14" s="566"/>
      <c r="B14" s="633"/>
      <c r="C14" s="103">
        <v>4</v>
      </c>
      <c r="D14" s="185" t="s">
        <v>228</v>
      </c>
      <c r="E14" s="103" t="s">
        <v>163</v>
      </c>
      <c r="F14" s="103">
        <v>120</v>
      </c>
      <c r="G14" s="85"/>
      <c r="H14" s="85"/>
      <c r="I14" s="85"/>
      <c r="J14" s="85"/>
      <c r="K14" s="85"/>
      <c r="L14" s="85"/>
      <c r="M14" s="90">
        <v>100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>
        <v>9.2899999999999991</v>
      </c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>
        <v>35.69</v>
      </c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>
        <v>19.899999999999999</v>
      </c>
      <c r="BM14" s="96">
        <f t="shared" si="0"/>
        <v>41.22</v>
      </c>
      <c r="BN14" s="96">
        <f t="shared" si="1"/>
        <v>35.212698703734702</v>
      </c>
      <c r="BO14" s="83">
        <f t="shared" si="2"/>
        <v>6.0073012962652967</v>
      </c>
      <c r="BP14" s="83">
        <f t="shared" si="3"/>
        <v>76.432698703734701</v>
      </c>
      <c r="BQ14" s="82">
        <f>AVERAGE(X14,AI14,BL14)</f>
        <v>21.626666666666665</v>
      </c>
      <c r="BR14" s="82">
        <f>MEDIAN(X14,AI14,BL14)</f>
        <v>19.899999999999999</v>
      </c>
      <c r="BS14" s="81">
        <f>_xlfn.STDEV.P(X14,AI14,BL14)</f>
        <v>10.846690227386828</v>
      </c>
      <c r="BT14" s="80">
        <f t="shared" si="4"/>
        <v>0.50154239645746745</v>
      </c>
      <c r="BU14" s="80" t="str">
        <f t="shared" si="5"/>
        <v>Mediana</v>
      </c>
      <c r="BV14" s="121">
        <f t="shared" si="6"/>
        <v>120</v>
      </c>
      <c r="BW14" s="105">
        <f t="shared" si="7"/>
        <v>19.899999999999999</v>
      </c>
      <c r="BX14" s="104">
        <f t="shared" si="8"/>
        <v>2388</v>
      </c>
    </row>
    <row r="15" spans="1:77" ht="83.25" customHeight="1">
      <c r="A15" s="566"/>
      <c r="B15" s="633"/>
      <c r="C15" s="103">
        <v>5</v>
      </c>
      <c r="D15" s="185" t="s">
        <v>227</v>
      </c>
      <c r="E15" s="103" t="s">
        <v>163</v>
      </c>
      <c r="F15" s="103">
        <v>10</v>
      </c>
      <c r="G15" s="85">
        <v>11.2</v>
      </c>
      <c r="H15" s="85"/>
      <c r="I15" s="85">
        <v>10.24</v>
      </c>
      <c r="J15" s="85">
        <v>14.11</v>
      </c>
      <c r="K15" s="85"/>
      <c r="L15" s="85">
        <v>24.2</v>
      </c>
      <c r="M15" s="85"/>
      <c r="N15" s="85"/>
      <c r="O15" s="85"/>
      <c r="P15" s="85"/>
      <c r="Q15" s="85"/>
      <c r="R15" s="86">
        <v>8.5</v>
      </c>
      <c r="S15" s="85"/>
      <c r="T15" s="85"/>
      <c r="U15" s="85"/>
      <c r="V15" s="85">
        <v>18.89</v>
      </c>
      <c r="W15" s="85"/>
      <c r="X15" s="85"/>
      <c r="Y15" s="90">
        <v>33.14</v>
      </c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>
        <v>23.9</v>
      </c>
      <c r="BM15" s="96">
        <f t="shared" si="0"/>
        <v>18.022500000000001</v>
      </c>
      <c r="BN15" s="96">
        <f t="shared" si="1"/>
        <v>8.0241615605619501</v>
      </c>
      <c r="BO15" s="83">
        <f t="shared" si="2"/>
        <v>9.9983384394380508</v>
      </c>
      <c r="BP15" s="83">
        <f t="shared" si="3"/>
        <v>26.046661560561951</v>
      </c>
      <c r="BQ15" s="82">
        <f>AVERAGE(G15,I15,J15,L15,R15,V15,BL15)</f>
        <v>15.862857142857141</v>
      </c>
      <c r="BR15" s="82">
        <f>MEDIAN(G15,I15,J15,L15,R15,V15,BL15)</f>
        <v>14.11</v>
      </c>
      <c r="BS15" s="81">
        <f>_xlfn.STDEV.P(G15,I15,J15,L15,R15,V15,BL15)</f>
        <v>6.0226968669376397</v>
      </c>
      <c r="BT15" s="80">
        <f t="shared" si="4"/>
        <v>0.37967289326876336</v>
      </c>
      <c r="BU15" s="80" t="str">
        <f t="shared" si="5"/>
        <v>Mediana</v>
      </c>
      <c r="BV15" s="121">
        <f t="shared" si="6"/>
        <v>10</v>
      </c>
      <c r="BW15" s="105">
        <f t="shared" si="7"/>
        <v>14.11</v>
      </c>
      <c r="BX15" s="104">
        <f t="shared" si="8"/>
        <v>141.1</v>
      </c>
    </row>
    <row r="16" spans="1:77" ht="105.75" customHeight="1">
      <c r="A16" s="566"/>
      <c r="B16" s="633"/>
      <c r="C16" s="103">
        <v>6</v>
      </c>
      <c r="D16" s="185" t="s">
        <v>226</v>
      </c>
      <c r="E16" s="103" t="s">
        <v>163</v>
      </c>
      <c r="F16" s="103">
        <v>60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>
        <v>42.2</v>
      </c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>
        <v>39.5</v>
      </c>
      <c r="BH16" s="85">
        <v>75.72</v>
      </c>
      <c r="BI16" s="85">
        <v>80</v>
      </c>
      <c r="BJ16" s="85"/>
      <c r="BK16" s="85"/>
      <c r="BL16" s="85">
        <v>81.400000000000006</v>
      </c>
      <c r="BM16" s="96">
        <f t="shared" si="0"/>
        <v>63.76400000000001</v>
      </c>
      <c r="BN16" s="96">
        <f t="shared" si="1"/>
        <v>18.821954840026571</v>
      </c>
      <c r="BO16" s="83">
        <f t="shared" si="2"/>
        <v>44.942045159973439</v>
      </c>
      <c r="BP16" s="83">
        <f t="shared" si="3"/>
        <v>82.585954840026574</v>
      </c>
      <c r="BQ16" s="82">
        <f>AVERAGE(AI16,BG16,BH16,BI16,BL16)</f>
        <v>63.76400000000001</v>
      </c>
      <c r="BR16" s="82">
        <f>MEDIAN(AI16,BG16,BH16,BI16,BL16)</f>
        <v>75.72</v>
      </c>
      <c r="BS16" s="81">
        <f>_xlfn.STDEV.P(AI16,BG16,BH16,BI16,BL16)</f>
        <v>18.821954840026571</v>
      </c>
      <c r="BT16" s="80">
        <f t="shared" si="4"/>
        <v>0.29518152625347482</v>
      </c>
      <c r="BU16" s="80" t="str">
        <f t="shared" si="5"/>
        <v>Mediana</v>
      </c>
      <c r="BV16" s="121">
        <f t="shared" si="6"/>
        <v>60</v>
      </c>
      <c r="BW16" s="105">
        <f t="shared" si="7"/>
        <v>75.72</v>
      </c>
      <c r="BX16" s="104">
        <f t="shared" si="8"/>
        <v>4543.2</v>
      </c>
    </row>
    <row r="17" spans="1:76" ht="85.5" customHeight="1">
      <c r="A17" s="566"/>
      <c r="B17" s="633"/>
      <c r="C17" s="103">
        <v>7</v>
      </c>
      <c r="D17" s="185" t="s">
        <v>225</v>
      </c>
      <c r="E17" s="103" t="s">
        <v>163</v>
      </c>
      <c r="F17" s="103">
        <v>85</v>
      </c>
      <c r="G17" s="85">
        <v>16</v>
      </c>
      <c r="H17" s="86">
        <v>9</v>
      </c>
      <c r="I17" s="85">
        <v>19</v>
      </c>
      <c r="J17" s="85">
        <v>19.45</v>
      </c>
      <c r="K17" s="85"/>
      <c r="L17" s="85">
        <v>22.1</v>
      </c>
      <c r="M17" s="85">
        <v>15</v>
      </c>
      <c r="N17" s="85"/>
      <c r="O17" s="85"/>
      <c r="P17" s="85"/>
      <c r="Q17" s="85">
        <v>24</v>
      </c>
      <c r="R17" s="85">
        <v>15.58</v>
      </c>
      <c r="S17" s="85"/>
      <c r="T17" s="85">
        <v>25</v>
      </c>
      <c r="U17" s="85"/>
      <c r="V17" s="85">
        <v>25.4</v>
      </c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90">
        <v>34.9</v>
      </c>
      <c r="BM17" s="96">
        <f t="shared" si="0"/>
        <v>20.493636363636366</v>
      </c>
      <c r="BN17" s="96">
        <f t="shared" si="1"/>
        <v>6.5833015656380329</v>
      </c>
      <c r="BO17" s="83">
        <f t="shared" si="2"/>
        <v>13.910334797998333</v>
      </c>
      <c r="BP17" s="83">
        <f t="shared" si="3"/>
        <v>27.076937929274401</v>
      </c>
      <c r="BQ17" s="82">
        <f>AVERAGE(G17,H17,I17,J17,L17,M17,Q17,R17,T17,V17)</f>
        <v>19.053000000000004</v>
      </c>
      <c r="BR17" s="82">
        <f>MEDIAN(G17,H17,I17,J17,L17,M17,Q17,R17,T17,V17)</f>
        <v>19.225000000000001</v>
      </c>
      <c r="BS17" s="81">
        <f>_xlfn.STDEV.P(G17,H17,I17,J17,L17,M17,Q17,R17,T17,V17)</f>
        <v>4.9843837131585147</v>
      </c>
      <c r="BT17" s="80">
        <f t="shared" si="4"/>
        <v>0.26160624117768927</v>
      </c>
      <c r="BU17" s="80" t="str">
        <f t="shared" si="5"/>
        <v>Mediana</v>
      </c>
      <c r="BV17" s="121">
        <f t="shared" si="6"/>
        <v>85</v>
      </c>
      <c r="BW17" s="105">
        <f t="shared" si="7"/>
        <v>19.22</v>
      </c>
      <c r="BX17" s="104">
        <f t="shared" si="8"/>
        <v>1633.7</v>
      </c>
    </row>
    <row r="18" spans="1:76" ht="77.25" customHeight="1">
      <c r="A18" s="566"/>
      <c r="B18" s="633"/>
      <c r="C18" s="103">
        <v>8</v>
      </c>
      <c r="D18" s="185" t="s">
        <v>224</v>
      </c>
      <c r="E18" s="103" t="s">
        <v>163</v>
      </c>
      <c r="F18" s="103">
        <v>120</v>
      </c>
      <c r="G18" s="85"/>
      <c r="H18" s="86">
        <v>8</v>
      </c>
      <c r="I18" s="85">
        <v>27.02</v>
      </c>
      <c r="J18" s="85"/>
      <c r="K18" s="85"/>
      <c r="L18" s="85">
        <v>20.79</v>
      </c>
      <c r="M18" s="85">
        <v>15</v>
      </c>
      <c r="N18" s="85"/>
      <c r="O18" s="85"/>
      <c r="P18" s="85"/>
      <c r="Q18" s="85">
        <v>28</v>
      </c>
      <c r="R18" s="86">
        <v>14.35</v>
      </c>
      <c r="S18" s="85">
        <v>32</v>
      </c>
      <c r="T18" s="85"/>
      <c r="U18" s="85"/>
      <c r="V18" s="85">
        <v>28.9</v>
      </c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90">
        <v>35.9</v>
      </c>
      <c r="BM18" s="96">
        <f t="shared" si="0"/>
        <v>23.328888888888891</v>
      </c>
      <c r="BN18" s="96">
        <f t="shared" si="1"/>
        <v>8.7630124759879795</v>
      </c>
      <c r="BO18" s="83">
        <f t="shared" si="2"/>
        <v>14.565876412900911</v>
      </c>
      <c r="BP18" s="83">
        <f t="shared" si="3"/>
        <v>32.091901364876868</v>
      </c>
      <c r="BQ18" s="82">
        <f>AVERAGE(H18,I18,L18,M18,Q18,R18,S18,V18)</f>
        <v>21.7575</v>
      </c>
      <c r="BR18" s="82">
        <f>MEDIAN(H18,I18,L18,M18,Q18,R18,S18,V18)</f>
        <v>23.905000000000001</v>
      </c>
      <c r="BS18" s="81">
        <f>_xlfn.STDEV.P(H18,I18,L18,M18,Q18,R18,S18,V18)</f>
        <v>8.0103569677012505</v>
      </c>
      <c r="BT18" s="80">
        <f t="shared" si="4"/>
        <v>0.36816532081816616</v>
      </c>
      <c r="BU18" s="80" t="str">
        <f t="shared" si="5"/>
        <v>Mediana</v>
      </c>
      <c r="BV18" s="121">
        <f t="shared" si="6"/>
        <v>120</v>
      </c>
      <c r="BW18" s="105">
        <f t="shared" si="7"/>
        <v>23.9</v>
      </c>
      <c r="BX18" s="104">
        <f t="shared" si="8"/>
        <v>2868</v>
      </c>
    </row>
    <row r="19" spans="1:76" ht="79.5" customHeight="1">
      <c r="A19" s="566"/>
      <c r="B19" s="633"/>
      <c r="C19" s="103">
        <v>9</v>
      </c>
      <c r="D19" s="185" t="s">
        <v>400</v>
      </c>
      <c r="E19" s="103" t="s">
        <v>163</v>
      </c>
      <c r="F19" s="103">
        <v>120</v>
      </c>
      <c r="G19" s="85">
        <v>16.8</v>
      </c>
      <c r="H19" s="85">
        <v>8</v>
      </c>
      <c r="I19" s="85">
        <v>19</v>
      </c>
      <c r="J19" s="85">
        <v>16.98</v>
      </c>
      <c r="K19" s="85"/>
      <c r="L19" s="85">
        <v>21.09</v>
      </c>
      <c r="M19" s="85">
        <v>15</v>
      </c>
      <c r="N19" s="85"/>
      <c r="O19" s="85"/>
      <c r="P19" s="85"/>
      <c r="Q19" s="85">
        <v>28</v>
      </c>
      <c r="R19" s="85">
        <v>27.12</v>
      </c>
      <c r="S19" s="85"/>
      <c r="T19" s="85"/>
      <c r="U19" s="85"/>
      <c r="V19" s="85">
        <v>25.6</v>
      </c>
      <c r="W19" s="85"/>
      <c r="X19" s="85">
        <v>11.51</v>
      </c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90">
        <v>151.9</v>
      </c>
      <c r="BM19" s="96">
        <f t="shared" si="0"/>
        <v>31</v>
      </c>
      <c r="BN19" s="96">
        <f t="shared" si="1"/>
        <v>38.700825690040631</v>
      </c>
      <c r="BO19" s="83">
        <f>BN19-BM19</f>
        <v>7.7008256900406309</v>
      </c>
      <c r="BP19" s="83">
        <f t="shared" si="3"/>
        <v>69.700825690040631</v>
      </c>
      <c r="BQ19" s="82">
        <f>AVERAGE(G19,H19,I19,J19,L19,M19,Q19,R19,V19,X19)</f>
        <v>18.91</v>
      </c>
      <c r="BR19" s="82">
        <f>MEDIAN(G19,H19,I19,J19,L19,M19,Q19,R19,V19,X19)</f>
        <v>17.990000000000002</v>
      </c>
      <c r="BS19" s="81">
        <f>_xlfn.STDEV.P(G19,H19,I19,J19,L19,M19,Q19,R19,V19,X19)</f>
        <v>6.2992221742053234</v>
      </c>
      <c r="BT19" s="80">
        <f t="shared" si="4"/>
        <v>0.3331159267163048</v>
      </c>
      <c r="BU19" s="80" t="str">
        <f t="shared" si="5"/>
        <v>Mediana</v>
      </c>
      <c r="BV19" s="121">
        <f t="shared" si="6"/>
        <v>120</v>
      </c>
      <c r="BW19" s="105">
        <f t="shared" si="7"/>
        <v>17.989999999999998</v>
      </c>
      <c r="BX19" s="104">
        <f t="shared" si="8"/>
        <v>2158.8000000000002</v>
      </c>
    </row>
    <row r="20" spans="1:76" ht="94.5" customHeight="1">
      <c r="A20" s="566"/>
      <c r="B20" s="633"/>
      <c r="C20" s="103">
        <v>10</v>
      </c>
      <c r="D20" s="125" t="s">
        <v>223</v>
      </c>
      <c r="E20" s="103" t="s">
        <v>163</v>
      </c>
      <c r="F20" s="103">
        <v>4</v>
      </c>
      <c r="G20" s="107">
        <v>100</v>
      </c>
      <c r="H20" s="85">
        <v>120</v>
      </c>
      <c r="I20" s="85">
        <v>174</v>
      </c>
      <c r="J20" s="85"/>
      <c r="K20" s="85">
        <v>132</v>
      </c>
      <c r="L20" s="85">
        <v>122.69</v>
      </c>
      <c r="M20" s="86">
        <v>70</v>
      </c>
      <c r="N20" s="90">
        <v>182.63</v>
      </c>
      <c r="O20" s="85"/>
      <c r="P20" s="85"/>
      <c r="Q20" s="85">
        <v>75</v>
      </c>
      <c r="R20" s="85"/>
      <c r="S20" s="85">
        <v>89</v>
      </c>
      <c r="T20" s="85"/>
      <c r="U20" s="85"/>
      <c r="V20" s="86">
        <v>70</v>
      </c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>
        <v>79.989999999999995</v>
      </c>
      <c r="BM20" s="96">
        <f t="shared" si="0"/>
        <v>110.48272727272729</v>
      </c>
      <c r="BN20" s="96">
        <f t="shared" si="1"/>
        <v>38.114885923030357</v>
      </c>
      <c r="BO20" s="83">
        <f t="shared" si="2"/>
        <v>72.367841349696931</v>
      </c>
      <c r="BP20" s="83">
        <f t="shared" si="3"/>
        <v>148.59761319575765</v>
      </c>
      <c r="BQ20" s="82">
        <f>AVERAGE(G20,H20,I20,K20,L20,M20,Q20,S20,V20,BL20)</f>
        <v>103.268</v>
      </c>
      <c r="BR20" s="82">
        <f>MEDIAN(G20,H20,I20,K20,L20,M20,Q20,S20,V20,BL20)</f>
        <v>94.5</v>
      </c>
      <c r="BS20" s="81">
        <f>_xlfn.STDEV.P(G20,H20,I20,K20,L20,M20,Q20,S20,V20,BL20)</f>
        <v>32.022551366185652</v>
      </c>
      <c r="BT20" s="80">
        <f t="shared" si="4"/>
        <v>0.31009171637085692</v>
      </c>
      <c r="BU20" s="80" t="str">
        <f t="shared" si="5"/>
        <v>Mediana</v>
      </c>
      <c r="BV20" s="121">
        <f t="shared" si="6"/>
        <v>4</v>
      </c>
      <c r="BW20" s="105">
        <f t="shared" si="7"/>
        <v>94.5</v>
      </c>
      <c r="BX20" s="104">
        <f t="shared" si="8"/>
        <v>378</v>
      </c>
    </row>
    <row r="21" spans="1:76" ht="71.25" customHeight="1">
      <c r="A21" s="566"/>
      <c r="B21" s="633"/>
      <c r="C21" s="103">
        <v>11</v>
      </c>
      <c r="D21" s="185" t="s">
        <v>222</v>
      </c>
      <c r="E21" s="103" t="s">
        <v>163</v>
      </c>
      <c r="F21" s="103">
        <v>4</v>
      </c>
      <c r="G21" s="85">
        <v>11</v>
      </c>
      <c r="H21" s="85">
        <v>6</v>
      </c>
      <c r="I21" s="85">
        <v>10.24</v>
      </c>
      <c r="J21" s="85"/>
      <c r="K21" s="85"/>
      <c r="L21" s="85">
        <v>29.62</v>
      </c>
      <c r="M21" s="85">
        <v>40</v>
      </c>
      <c r="N21" s="85"/>
      <c r="O21" s="85"/>
      <c r="P21" s="85"/>
      <c r="Q21" s="85"/>
      <c r="R21" s="85">
        <v>8.5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90">
        <v>69.900000000000006</v>
      </c>
      <c r="BM21" s="96">
        <f t="shared" si="0"/>
        <v>25.037142857142857</v>
      </c>
      <c r="BN21" s="96">
        <f t="shared" si="1"/>
        <v>21.743479623152528</v>
      </c>
      <c r="BO21" s="83">
        <f t="shared" si="2"/>
        <v>3.2936632339903298</v>
      </c>
      <c r="BP21" s="83">
        <f t="shared" si="3"/>
        <v>46.780622480295385</v>
      </c>
      <c r="BQ21" s="82">
        <f>AVERAGE(G21,H21,I21,L21,M21,R21)</f>
        <v>17.559999999999999</v>
      </c>
      <c r="BR21" s="82">
        <f>MEDIAN(G21,H21,I21,L21,M21,R21)</f>
        <v>10.620000000000001</v>
      </c>
      <c r="BS21" s="81">
        <f>_xlfn.STDEV.P(G21,H21,I21,L21,M21,R21)</f>
        <v>12.657872385726336</v>
      </c>
      <c r="BT21" s="80">
        <f t="shared" si="4"/>
        <v>0.7208355572737094</v>
      </c>
      <c r="BU21" s="80" t="str">
        <f t="shared" si="5"/>
        <v>Mediana</v>
      </c>
      <c r="BV21" s="121">
        <f t="shared" si="6"/>
        <v>4</v>
      </c>
      <c r="BW21" s="105">
        <f t="shared" si="7"/>
        <v>10.62</v>
      </c>
      <c r="BX21" s="104">
        <f t="shared" si="8"/>
        <v>42.48</v>
      </c>
    </row>
    <row r="22" spans="1:76" ht="71.25" customHeight="1">
      <c r="A22" s="566"/>
      <c r="B22" s="633"/>
      <c r="C22" s="103">
        <v>12</v>
      </c>
      <c r="D22" s="185" t="s">
        <v>221</v>
      </c>
      <c r="E22" s="103" t="s">
        <v>163</v>
      </c>
      <c r="F22" s="103">
        <v>6</v>
      </c>
      <c r="G22" s="86">
        <v>1.5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>
        <v>4.2</v>
      </c>
      <c r="AU22" s="85">
        <v>5.76</v>
      </c>
      <c r="AV22" s="90">
        <v>13.49</v>
      </c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>
        <v>10.9</v>
      </c>
      <c r="BM22" s="96">
        <f t="shared" si="0"/>
        <v>7.17</v>
      </c>
      <c r="BN22" s="96">
        <f t="shared" si="1"/>
        <v>4.4002999897734245</v>
      </c>
      <c r="BO22" s="83">
        <f t="shared" si="2"/>
        <v>2.7697000102265754</v>
      </c>
      <c r="BP22" s="83">
        <f t="shared" si="3"/>
        <v>11.570299989773424</v>
      </c>
      <c r="BQ22" s="82">
        <f>AVERAGE(G22,AT22,AU22,BL22)</f>
        <v>5.59</v>
      </c>
      <c r="BR22" s="82">
        <f>MEDIAN(G22,AT22,AU22,BL22)</f>
        <v>4.9800000000000004</v>
      </c>
      <c r="BS22" s="81">
        <f>_xlfn.STDEV.P(G22,AT22,AU22,BL22)</f>
        <v>3.4236384154872432</v>
      </c>
      <c r="BT22" s="80">
        <f t="shared" si="4"/>
        <v>0.61245767718913113</v>
      </c>
      <c r="BU22" s="80" t="str">
        <f t="shared" si="5"/>
        <v>Mediana</v>
      </c>
      <c r="BV22" s="121">
        <f t="shared" si="6"/>
        <v>6</v>
      </c>
      <c r="BW22" s="105">
        <f t="shared" si="7"/>
        <v>4.9800000000000004</v>
      </c>
      <c r="BX22" s="104">
        <f t="shared" si="8"/>
        <v>29.88</v>
      </c>
    </row>
    <row r="23" spans="1:76" ht="71.25" customHeight="1">
      <c r="A23" s="566"/>
      <c r="B23" s="633"/>
      <c r="C23" s="103">
        <v>13</v>
      </c>
      <c r="D23" s="185" t="s">
        <v>220</v>
      </c>
      <c r="E23" s="103" t="s">
        <v>163</v>
      </c>
      <c r="F23" s="103">
        <v>2</v>
      </c>
      <c r="G23" s="85"/>
      <c r="H23" s="85"/>
      <c r="I23" s="85"/>
      <c r="J23" s="85"/>
      <c r="K23" s="85"/>
      <c r="L23" s="85">
        <v>22.2</v>
      </c>
      <c r="M23" s="90">
        <v>30</v>
      </c>
      <c r="N23" s="86">
        <v>13.78</v>
      </c>
      <c r="O23" s="85"/>
      <c r="P23" s="85"/>
      <c r="Q23" s="85">
        <v>18</v>
      </c>
      <c r="R23" s="85">
        <v>20.9</v>
      </c>
      <c r="S23" s="85">
        <v>17.989999999999998</v>
      </c>
      <c r="T23" s="85"/>
      <c r="U23" s="85"/>
      <c r="V23" s="86">
        <v>14.71</v>
      </c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>
        <v>18.91</v>
      </c>
      <c r="BM23" s="96">
        <f t="shared" si="0"/>
        <v>19.561249999999998</v>
      </c>
      <c r="BN23" s="96">
        <f t="shared" si="1"/>
        <v>4.7435573083393994</v>
      </c>
      <c r="BO23" s="83">
        <f t="shared" si="2"/>
        <v>14.817692691660598</v>
      </c>
      <c r="BP23" s="83">
        <f t="shared" si="3"/>
        <v>24.304807308339399</v>
      </c>
      <c r="BQ23" s="82">
        <f>AVERAGE(L23,N23,Q23,R23,S23,V23,BL23)</f>
        <v>18.069999999999997</v>
      </c>
      <c r="BR23" s="82">
        <f>MEDIAN(L23,N23,Q23,R23,S23,V23,BL23)</f>
        <v>18</v>
      </c>
      <c r="BS23" s="81">
        <f>_xlfn.STDEV.P(L23,N23,Q23,R23,S23,V23,BL23)</f>
        <v>2.8151731740694319</v>
      </c>
      <c r="BT23" s="80">
        <f t="shared" si="4"/>
        <v>0.15579264936742845</v>
      </c>
      <c r="BU23" s="80" t="str">
        <f t="shared" si="5"/>
        <v>Média</v>
      </c>
      <c r="BV23" s="121">
        <f t="shared" si="6"/>
        <v>2</v>
      </c>
      <c r="BW23" s="105">
        <f t="shared" si="7"/>
        <v>18.07</v>
      </c>
      <c r="BX23" s="104">
        <f t="shared" si="8"/>
        <v>36.14</v>
      </c>
    </row>
    <row r="24" spans="1:76" ht="71.25" customHeight="1">
      <c r="A24" s="566"/>
      <c r="B24" s="633"/>
      <c r="C24" s="103">
        <v>14</v>
      </c>
      <c r="D24" s="185" t="s">
        <v>219</v>
      </c>
      <c r="E24" s="103" t="s">
        <v>163</v>
      </c>
      <c r="F24" s="103">
        <v>2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>
        <v>3.25</v>
      </c>
      <c r="S24" s="85"/>
      <c r="T24" s="85"/>
      <c r="U24" s="85">
        <v>5.9</v>
      </c>
      <c r="V24" s="85"/>
      <c r="W24" s="85"/>
      <c r="X24" s="86">
        <v>1.47</v>
      </c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>
        <v>2.95</v>
      </c>
      <c r="AX24" s="85">
        <v>3.46</v>
      </c>
      <c r="AY24" s="85">
        <v>7.52</v>
      </c>
      <c r="AZ24" s="90">
        <v>11.14</v>
      </c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90">
        <v>14.9</v>
      </c>
      <c r="BM24" s="96">
        <f t="shared" si="0"/>
        <v>6.3237499999999995</v>
      </c>
      <c r="BN24" s="96">
        <f t="shared" si="1"/>
        <v>4.3438028773759996</v>
      </c>
      <c r="BO24" s="83">
        <f t="shared" si="2"/>
        <v>1.979947122624</v>
      </c>
      <c r="BP24" s="83">
        <f t="shared" si="3"/>
        <v>10.667552877376</v>
      </c>
      <c r="BQ24" s="82">
        <f>AVERAGE(R24,U24,X24,AW24,AX24,AY24)</f>
        <v>4.0916666666666668</v>
      </c>
      <c r="BR24" s="82">
        <f>MEDIAN(R24,U24,X24,AW24,AX24,AY24)</f>
        <v>3.355</v>
      </c>
      <c r="BS24" s="81">
        <f>_xlfn.STDEV.P(R24,U24,X24,AW24,AX24,AY24)</f>
        <v>2.0127710307489575</v>
      </c>
      <c r="BT24" s="80">
        <f t="shared" si="4"/>
        <v>0.49191960018304459</v>
      </c>
      <c r="BU24" s="80" t="str">
        <f t="shared" si="5"/>
        <v>Mediana</v>
      </c>
      <c r="BV24" s="121">
        <f t="shared" si="6"/>
        <v>2</v>
      </c>
      <c r="BW24" s="105">
        <f t="shared" si="7"/>
        <v>3.35</v>
      </c>
      <c r="BX24" s="104">
        <f t="shared" si="8"/>
        <v>6.7</v>
      </c>
    </row>
    <row r="25" spans="1:76" ht="52.5" customHeight="1">
      <c r="A25" s="566"/>
      <c r="B25" s="633"/>
      <c r="C25" s="103">
        <v>15</v>
      </c>
      <c r="D25" s="185" t="s">
        <v>218</v>
      </c>
      <c r="E25" s="103" t="s">
        <v>163</v>
      </c>
      <c r="F25" s="103">
        <v>3</v>
      </c>
      <c r="G25" s="85"/>
      <c r="H25" s="85"/>
      <c r="I25" s="85"/>
      <c r="J25" s="85"/>
      <c r="K25" s="85"/>
      <c r="L25" s="85">
        <v>37.229999999999997</v>
      </c>
      <c r="M25" s="85"/>
      <c r="N25" s="85"/>
      <c r="O25" s="85"/>
      <c r="P25" s="85"/>
      <c r="Q25" s="85"/>
      <c r="R25" s="85"/>
      <c r="S25" s="85"/>
      <c r="T25" s="85"/>
      <c r="U25" s="85"/>
      <c r="V25" s="86">
        <v>12.3</v>
      </c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6">
        <v>11.48</v>
      </c>
      <c r="BE25" s="85">
        <v>34.99</v>
      </c>
      <c r="BF25" s="85">
        <v>42</v>
      </c>
      <c r="BG25" s="85"/>
      <c r="BH25" s="85"/>
      <c r="BI25" s="85"/>
      <c r="BJ25" s="85"/>
      <c r="BK25" s="85"/>
      <c r="BL25" s="90">
        <v>51.18</v>
      </c>
      <c r="BM25" s="96">
        <f t="shared" si="0"/>
        <v>31.53</v>
      </c>
      <c r="BN25" s="96">
        <f t="shared" si="1"/>
        <v>14.787384262719803</v>
      </c>
      <c r="BO25" s="83">
        <f t="shared" si="2"/>
        <v>16.742615737280197</v>
      </c>
      <c r="BP25" s="83">
        <f t="shared" si="3"/>
        <v>46.317384262719806</v>
      </c>
      <c r="BQ25" s="82">
        <f>AVERAGE(L25,V25,BD25,BE25,BF25)</f>
        <v>27.6</v>
      </c>
      <c r="BR25" s="82">
        <f>MEDIAN(L25,V25,BD25,BE25,BF25)</f>
        <v>34.99</v>
      </c>
      <c r="BS25" s="81">
        <f>_xlfn.STDEV.P(L25,V25,BD25,BE25,BF25)</f>
        <v>13.028072766146188</v>
      </c>
      <c r="BT25" s="80">
        <f t="shared" si="4"/>
        <v>0.47203162196181836</v>
      </c>
      <c r="BU25" s="80" t="str">
        <f t="shared" si="5"/>
        <v>Mediana</v>
      </c>
      <c r="BV25" s="121">
        <f t="shared" si="6"/>
        <v>3</v>
      </c>
      <c r="BW25" s="105">
        <f t="shared" si="7"/>
        <v>34.99</v>
      </c>
      <c r="BX25" s="104">
        <f t="shared" si="8"/>
        <v>104.97</v>
      </c>
    </row>
    <row r="26" spans="1:76" ht="99.75" customHeight="1">
      <c r="A26" s="566"/>
      <c r="B26" s="633"/>
      <c r="C26" s="103">
        <v>16</v>
      </c>
      <c r="D26" s="185" t="s">
        <v>217</v>
      </c>
      <c r="E26" s="103" t="s">
        <v>163</v>
      </c>
      <c r="F26" s="103">
        <v>3</v>
      </c>
      <c r="G26" s="86">
        <v>0.8</v>
      </c>
      <c r="H26" s="85">
        <v>0.99</v>
      </c>
      <c r="I26" s="85"/>
      <c r="J26" s="85"/>
      <c r="K26" s="85"/>
      <c r="L26" s="85"/>
      <c r="M26" s="85"/>
      <c r="N26" s="85"/>
      <c r="O26" s="85"/>
      <c r="P26" s="85"/>
      <c r="Q26" s="85">
        <v>1.7</v>
      </c>
      <c r="R26" s="85"/>
      <c r="S26" s="85">
        <v>1.6</v>
      </c>
      <c r="T26" s="85"/>
      <c r="U26" s="85"/>
      <c r="V26" s="90">
        <v>1.89</v>
      </c>
      <c r="W26" s="85"/>
      <c r="X26" s="85"/>
      <c r="Y26" s="85">
        <v>1.1200000000000001</v>
      </c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>
        <v>1.29</v>
      </c>
      <c r="BM26" s="96">
        <f t="shared" si="0"/>
        <v>1.3414285714285714</v>
      </c>
      <c r="BN26" s="96">
        <f t="shared" si="1"/>
        <v>0.371230716533477</v>
      </c>
      <c r="BO26" s="83">
        <f t="shared" si="2"/>
        <v>0.97019785489509447</v>
      </c>
      <c r="BP26" s="83">
        <f t="shared" si="3"/>
        <v>1.7126592879620484</v>
      </c>
      <c r="BQ26" s="82">
        <f>AVERAGE(G26,H26,Q26,S26,Y26,BL26)</f>
        <v>1.25</v>
      </c>
      <c r="BR26" s="82">
        <f>MEDIAN(G26,H26,Q26,S26,Y26,BL26)</f>
        <v>1.2050000000000001</v>
      </c>
      <c r="BS26" s="81">
        <f>_xlfn.STDEV.P(G26,H26,Q26,S26,Y26,BL26)</f>
        <v>0.31979159880563895</v>
      </c>
      <c r="BT26" s="80">
        <f t="shared" si="4"/>
        <v>0.25583327904451114</v>
      </c>
      <c r="BU26" s="80" t="str">
        <f t="shared" si="5"/>
        <v>Mediana</v>
      </c>
      <c r="BV26" s="121">
        <f t="shared" si="6"/>
        <v>3</v>
      </c>
      <c r="BW26" s="105">
        <f t="shared" si="7"/>
        <v>1.2</v>
      </c>
      <c r="BX26" s="104">
        <f t="shared" si="8"/>
        <v>3.6</v>
      </c>
    </row>
    <row r="27" spans="1:76" ht="66.75" customHeight="1">
      <c r="A27" s="566"/>
      <c r="B27" s="633"/>
      <c r="C27" s="103">
        <v>17</v>
      </c>
      <c r="D27" s="125" t="s">
        <v>216</v>
      </c>
      <c r="E27" s="103" t="s">
        <v>163</v>
      </c>
      <c r="F27" s="103">
        <v>4</v>
      </c>
      <c r="G27" s="85">
        <v>1100</v>
      </c>
      <c r="H27" s="85">
        <v>1068</v>
      </c>
      <c r="I27" s="85">
        <v>521.04</v>
      </c>
      <c r="J27" s="86">
        <v>464</v>
      </c>
      <c r="K27" s="85"/>
      <c r="L27" s="90">
        <v>1775.84</v>
      </c>
      <c r="M27" s="85"/>
      <c r="N27" s="85">
        <v>1352.8</v>
      </c>
      <c r="O27" s="85"/>
      <c r="P27" s="85">
        <v>533.33000000000004</v>
      </c>
      <c r="Q27" s="90">
        <v>1800</v>
      </c>
      <c r="R27" s="85"/>
      <c r="S27" s="85"/>
      <c r="T27" s="85"/>
      <c r="U27" s="85">
        <v>1000</v>
      </c>
      <c r="V27" s="85">
        <v>1250</v>
      </c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90">
        <v>78.33</v>
      </c>
      <c r="BM27" s="96">
        <f t="shared" si="0"/>
        <v>994.84909090909093</v>
      </c>
      <c r="BN27" s="96">
        <f t="shared" si="1"/>
        <v>524.59359633658823</v>
      </c>
      <c r="BO27" s="83">
        <f t="shared" si="2"/>
        <v>470.2554945725027</v>
      </c>
      <c r="BP27" s="83">
        <f t="shared" si="3"/>
        <v>1519.4426872456793</v>
      </c>
      <c r="BQ27" s="82">
        <f>AVERAGE(G27,H27,I27,J27,L27,N27,P27,U27,V27)</f>
        <v>1007.2233333333334</v>
      </c>
      <c r="BR27" s="82">
        <f>MEDIAN(G27,H27,I27,J27,L27,N27,P27,U27,V27)</f>
        <v>1068</v>
      </c>
      <c r="BS27" s="81">
        <f>_xlfn.STDEV.P(AG28,AH28,BA28,BB28,BC28,BL28)</f>
        <v>0.70996870040555171</v>
      </c>
      <c r="BT27" s="80">
        <f t="shared" si="4"/>
        <v>7.0487713787960142E-4</v>
      </c>
      <c r="BU27" s="80" t="str">
        <f t="shared" si="5"/>
        <v>Média</v>
      </c>
      <c r="BV27" s="121">
        <f t="shared" si="6"/>
        <v>4</v>
      </c>
      <c r="BW27" s="105">
        <f t="shared" si="7"/>
        <v>1007.22</v>
      </c>
      <c r="BX27" s="104">
        <f t="shared" si="8"/>
        <v>4028.88</v>
      </c>
    </row>
    <row r="28" spans="1:76" ht="74.25" customHeight="1">
      <c r="A28" s="566"/>
      <c r="B28" s="633"/>
      <c r="C28" s="103">
        <v>18</v>
      </c>
      <c r="D28" s="125" t="s">
        <v>215</v>
      </c>
      <c r="E28" s="103" t="s">
        <v>163</v>
      </c>
      <c r="F28" s="103">
        <v>4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90">
        <v>8.6</v>
      </c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>
        <v>6.62</v>
      </c>
      <c r="AH28" s="85">
        <v>6.9</v>
      </c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6">
        <v>5.07</v>
      </c>
      <c r="BB28" s="85">
        <v>5.9</v>
      </c>
      <c r="BC28" s="85">
        <v>6.99</v>
      </c>
      <c r="BD28" s="85"/>
      <c r="BE28" s="85"/>
      <c r="BF28" s="85"/>
      <c r="BG28" s="85"/>
      <c r="BH28" s="85"/>
      <c r="BI28" s="85"/>
      <c r="BJ28" s="85"/>
      <c r="BK28" s="85"/>
      <c r="BL28" s="85">
        <v>7</v>
      </c>
      <c r="BM28" s="96">
        <f t="shared" si="0"/>
        <v>6.7257142857142851</v>
      </c>
      <c r="BN28" s="96">
        <f t="shared" si="1"/>
        <v>1.0087312702153184</v>
      </c>
      <c r="BO28" s="83">
        <f t="shared" si="2"/>
        <v>5.7169830154989665</v>
      </c>
      <c r="BP28" s="83">
        <f t="shared" si="3"/>
        <v>7.7344455559296037</v>
      </c>
      <c r="BQ28" s="82">
        <f>AVERAGE(AG28,AH28,BA28,BB28,BC28,BL28)</f>
        <v>6.413333333333334</v>
      </c>
      <c r="BR28" s="82">
        <f>MEDIAN(AG28,AH28,BA28,BB28,BC28,BL28)</f>
        <v>6.76</v>
      </c>
      <c r="BS28" s="81">
        <f>_xlfn.STDEV.P(AG28,AH28,BA28,BB28,BC28,BL28)</f>
        <v>0.70996870040555171</v>
      </c>
      <c r="BT28" s="80">
        <f t="shared" si="4"/>
        <v>0.11070198031271596</v>
      </c>
      <c r="BU28" s="80" t="str">
        <f t="shared" si="5"/>
        <v>Média</v>
      </c>
      <c r="BV28" s="121">
        <f t="shared" si="6"/>
        <v>4</v>
      </c>
      <c r="BW28" s="105">
        <f t="shared" si="7"/>
        <v>6.41</v>
      </c>
      <c r="BX28" s="104">
        <f t="shared" si="8"/>
        <v>25.64</v>
      </c>
    </row>
    <row r="29" spans="1:76" ht="49.5" customHeight="1">
      <c r="A29" s="566"/>
      <c r="B29" s="633"/>
      <c r="C29" s="103">
        <v>19</v>
      </c>
      <c r="D29" s="125" t="s">
        <v>214</v>
      </c>
      <c r="E29" s="103" t="s">
        <v>163</v>
      </c>
      <c r="F29" s="103">
        <v>4</v>
      </c>
      <c r="G29" s="86">
        <v>1.6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>
        <v>5</v>
      </c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>
        <v>5.15</v>
      </c>
      <c r="BK29" s="90">
        <v>8</v>
      </c>
      <c r="BL29" s="85">
        <v>3.02</v>
      </c>
      <c r="BM29" s="96">
        <f t="shared" si="0"/>
        <v>4.5540000000000003</v>
      </c>
      <c r="BN29" s="96">
        <f t="shared" si="1"/>
        <v>2.1683320778884414</v>
      </c>
      <c r="BO29" s="83">
        <f t="shared" si="2"/>
        <v>2.3856679221115589</v>
      </c>
      <c r="BP29" s="83">
        <f t="shared" si="3"/>
        <v>6.7223320778884421</v>
      </c>
      <c r="BQ29" s="82">
        <f>AVERAGE(G29,AE29,BJ29,BL29)</f>
        <v>3.6924999999999999</v>
      </c>
      <c r="BR29" s="82">
        <f>MEDIAN(G29,AE29,BJ29,BL29)</f>
        <v>4.01</v>
      </c>
      <c r="BS29" s="81">
        <f>_xlfn.STDEV.P(G29,AE29,BJ29,BL29)</f>
        <v>1.471791000787817</v>
      </c>
      <c r="BT29" s="80">
        <f t="shared" si="4"/>
        <v>0.39858930285384347</v>
      </c>
      <c r="BU29" s="80" t="str">
        <f t="shared" si="5"/>
        <v>Mediana</v>
      </c>
      <c r="BV29" s="121">
        <f t="shared" si="6"/>
        <v>4</v>
      </c>
      <c r="BW29" s="105">
        <f t="shared" si="7"/>
        <v>4.01</v>
      </c>
      <c r="BX29" s="104">
        <f t="shared" si="8"/>
        <v>16.04</v>
      </c>
    </row>
    <row r="30" spans="1:76" ht="61.5" customHeight="1">
      <c r="A30" s="566"/>
      <c r="B30" s="633"/>
      <c r="C30" s="103">
        <v>20</v>
      </c>
      <c r="D30" s="125" t="s">
        <v>213</v>
      </c>
      <c r="E30" s="103" t="s">
        <v>212</v>
      </c>
      <c r="F30" s="103">
        <v>4</v>
      </c>
      <c r="G30" s="85"/>
      <c r="H30" s="86">
        <v>2.63</v>
      </c>
      <c r="I30" s="85"/>
      <c r="J30" s="85"/>
      <c r="K30" s="85"/>
      <c r="L30" s="85">
        <v>7.57</v>
      </c>
      <c r="M30" s="85"/>
      <c r="N30" s="86">
        <v>1.88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>
        <v>8.49</v>
      </c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106">
        <v>9.9</v>
      </c>
      <c r="BM30" s="96">
        <f t="shared" si="0"/>
        <v>6.0939999999999994</v>
      </c>
      <c r="BN30" s="96">
        <f t="shared" si="1"/>
        <v>3.2299263149489952</v>
      </c>
      <c r="BO30" s="83">
        <f t="shared" si="2"/>
        <v>2.8640736850510042</v>
      </c>
      <c r="BP30" s="83">
        <f t="shared" si="3"/>
        <v>9.323926314948995</v>
      </c>
      <c r="BQ30" s="82">
        <f>AVERAGE(H30,L30,N30,AF30)</f>
        <v>5.1425000000000001</v>
      </c>
      <c r="BR30" s="82">
        <f>MEDIAN(H30,L30,N30,AF30)</f>
        <v>5.0999999999999996</v>
      </c>
      <c r="BS30" s="81">
        <f>_xlfn.STDEV.P(H30,L30,N30,AF30)</f>
        <v>2.917836313092288</v>
      </c>
      <c r="BT30" s="80">
        <f t="shared" si="4"/>
        <v>0.56739646341123728</v>
      </c>
      <c r="BU30" s="80" t="str">
        <f t="shared" si="5"/>
        <v>Mediana</v>
      </c>
      <c r="BV30" s="121">
        <f t="shared" si="6"/>
        <v>4</v>
      </c>
      <c r="BW30" s="105">
        <f t="shared" si="7"/>
        <v>5.0999999999999996</v>
      </c>
      <c r="BX30" s="104">
        <f t="shared" si="8"/>
        <v>20.399999999999999</v>
      </c>
    </row>
    <row r="31" spans="1:76" ht="94.5" customHeight="1">
      <c r="A31" s="566"/>
      <c r="B31" s="633"/>
      <c r="C31" s="88">
        <v>21</v>
      </c>
      <c r="D31" s="125" t="s">
        <v>211</v>
      </c>
      <c r="E31" s="88" t="s">
        <v>163</v>
      </c>
      <c r="F31" s="88">
        <v>6</v>
      </c>
      <c r="G31" s="86">
        <v>42</v>
      </c>
      <c r="H31" s="85"/>
      <c r="I31" s="85"/>
      <c r="J31" s="85"/>
      <c r="K31" s="85">
        <v>102</v>
      </c>
      <c r="L31" s="85">
        <v>151.35</v>
      </c>
      <c r="M31" s="86">
        <v>50</v>
      </c>
      <c r="N31" s="85">
        <v>92.74</v>
      </c>
      <c r="O31" s="86">
        <v>45.2</v>
      </c>
      <c r="P31" s="85">
        <v>175</v>
      </c>
      <c r="Q31" s="85"/>
      <c r="R31" s="85"/>
      <c r="S31" s="85"/>
      <c r="T31" s="85"/>
      <c r="U31" s="85">
        <v>176.5</v>
      </c>
      <c r="V31" s="90">
        <v>230</v>
      </c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>
        <v>105</v>
      </c>
      <c r="BM31" s="96">
        <f t="shared" si="0"/>
        <v>116.979</v>
      </c>
      <c r="BN31" s="96">
        <f t="shared" si="1"/>
        <v>60.893313007258868</v>
      </c>
      <c r="BO31" s="83">
        <f t="shared" si="2"/>
        <v>56.085686992741131</v>
      </c>
      <c r="BP31" s="83">
        <f t="shared" si="3"/>
        <v>177.87231300725887</v>
      </c>
      <c r="BQ31" s="82">
        <f>AVERAGE(G31,K31,L31,M31,N31,O31,P31,U31,BL31)</f>
        <v>104.4211111111111</v>
      </c>
      <c r="BR31" s="82">
        <f>MEDIAN(G31,K31,L31,M31,N31,O31,P31,U31,BL31)</f>
        <v>102</v>
      </c>
      <c r="BS31" s="81">
        <f>_xlfn.STDEV.P(G31,K31,L31,M31,N31,O31,P31,U31,BL31)</f>
        <v>50.428061069308207</v>
      </c>
      <c r="BT31" s="80">
        <f t="shared" si="4"/>
        <v>0.48292974986302672</v>
      </c>
      <c r="BU31" s="80" t="str">
        <f t="shared" si="5"/>
        <v>Mediana</v>
      </c>
      <c r="BV31" s="121">
        <f t="shared" si="6"/>
        <v>6</v>
      </c>
      <c r="BW31" s="105">
        <f t="shared" si="7"/>
        <v>102</v>
      </c>
      <c r="BX31" s="104">
        <f t="shared" si="8"/>
        <v>612</v>
      </c>
    </row>
    <row r="32" spans="1:76" ht="72.75" customHeight="1">
      <c r="A32" s="566"/>
      <c r="B32" s="633"/>
      <c r="C32" s="88">
        <v>22</v>
      </c>
      <c r="D32" s="125" t="s">
        <v>210</v>
      </c>
      <c r="E32" s="88" t="s">
        <v>163</v>
      </c>
      <c r="F32" s="88">
        <v>10</v>
      </c>
      <c r="G32" s="85"/>
      <c r="H32" s="85"/>
      <c r="I32" s="85">
        <v>5.5</v>
      </c>
      <c r="J32" s="85">
        <v>5.75</v>
      </c>
      <c r="K32" s="85">
        <v>14.4</v>
      </c>
      <c r="L32" s="85"/>
      <c r="M32" s="90">
        <v>50</v>
      </c>
      <c r="N32" s="85"/>
      <c r="O32" s="85"/>
      <c r="P32" s="85">
        <v>15</v>
      </c>
      <c r="Q32" s="85"/>
      <c r="R32" s="85">
        <v>10.050000000000001</v>
      </c>
      <c r="S32" s="85"/>
      <c r="T32" s="85"/>
      <c r="U32" s="85">
        <v>3.38</v>
      </c>
      <c r="V32" s="85"/>
      <c r="W32" s="85"/>
      <c r="X32" s="85">
        <v>2.14</v>
      </c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>
        <v>4.28</v>
      </c>
      <c r="BM32" s="96">
        <f t="shared" si="0"/>
        <v>12.277777777777779</v>
      </c>
      <c r="BN32" s="96">
        <f t="shared" si="1"/>
        <v>14.040825219320487</v>
      </c>
      <c r="BO32" s="83">
        <f>BN32-BM32</f>
        <v>1.7630474415427084</v>
      </c>
      <c r="BP32" s="83">
        <f t="shared" si="3"/>
        <v>26.318602997098267</v>
      </c>
      <c r="BQ32" s="82">
        <f>AVERAGE(I32,J32,K32,P32,R32,U32,X32,BL32)</f>
        <v>7.5625000000000009</v>
      </c>
      <c r="BR32" s="82">
        <f>MEDIAN(I32,J32,K32,P32,R32,U32,X32,BL32)</f>
        <v>5.625</v>
      </c>
      <c r="BS32" s="81">
        <f>_xlfn.STDEV.P(I32,J32,K32,P32,R32,U32,X32,BL32)</f>
        <v>4.6565296895864412</v>
      </c>
      <c r="BT32" s="80">
        <f t="shared" si="4"/>
        <v>0.61573946308581029</v>
      </c>
      <c r="BU32" s="80" t="str">
        <f t="shared" si="5"/>
        <v>Mediana</v>
      </c>
      <c r="BV32" s="121">
        <f t="shared" si="6"/>
        <v>10</v>
      </c>
      <c r="BW32" s="105">
        <f t="shared" si="7"/>
        <v>5.62</v>
      </c>
      <c r="BX32" s="104">
        <f t="shared" si="8"/>
        <v>56.2</v>
      </c>
    </row>
    <row r="33" spans="1:76" ht="65.25" customHeight="1">
      <c r="A33" s="566"/>
      <c r="B33" s="633"/>
      <c r="C33" s="88">
        <v>23</v>
      </c>
      <c r="D33" s="125" t="s">
        <v>209</v>
      </c>
      <c r="E33" s="88" t="s">
        <v>163</v>
      </c>
      <c r="F33" s="88">
        <v>10</v>
      </c>
      <c r="G33" s="85"/>
      <c r="H33" s="85">
        <v>6.61</v>
      </c>
      <c r="I33" s="85"/>
      <c r="J33" s="85"/>
      <c r="K33" s="85"/>
      <c r="L33" s="85"/>
      <c r="M33" s="90">
        <v>50</v>
      </c>
      <c r="N33" s="85">
        <v>22.5</v>
      </c>
      <c r="O33" s="85"/>
      <c r="P33" s="85"/>
      <c r="Q33" s="85"/>
      <c r="R33" s="85"/>
      <c r="S33" s="85"/>
      <c r="T33" s="85"/>
      <c r="U33" s="85">
        <v>18.899999999999999</v>
      </c>
      <c r="V33" s="85">
        <v>20</v>
      </c>
      <c r="W33" s="85"/>
      <c r="X33" s="85">
        <v>9.25</v>
      </c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>
        <v>5.34</v>
      </c>
      <c r="BM33" s="96">
        <f t="shared" si="0"/>
        <v>18.942857142857143</v>
      </c>
      <c r="BN33" s="96">
        <f t="shared" si="1"/>
        <v>14.189570329028609</v>
      </c>
      <c r="BO33" s="83">
        <f t="shared" si="2"/>
        <v>4.7532868138285345</v>
      </c>
      <c r="BP33" s="83">
        <f t="shared" si="3"/>
        <v>33.132427471885748</v>
      </c>
      <c r="BQ33" s="82">
        <f>AVERAGE(H33,N33,U33,V33,X33,BL33)</f>
        <v>13.766666666666666</v>
      </c>
      <c r="BR33" s="82">
        <f>MEDIAN(H33,N33,U33,V33,X33,BL33)</f>
        <v>14.074999999999999</v>
      </c>
      <c r="BS33" s="81">
        <f>_xlfn.STDEV.P(H33,N33,U33,V33,X33,BL33)</f>
        <v>6.881176417509498</v>
      </c>
      <c r="BT33" s="80">
        <f t="shared" si="4"/>
        <v>0.49984332330577469</v>
      </c>
      <c r="BU33" s="80" t="str">
        <f t="shared" si="5"/>
        <v>Mediana</v>
      </c>
      <c r="BV33" s="121">
        <f t="shared" si="6"/>
        <v>10</v>
      </c>
      <c r="BW33" s="105">
        <f t="shared" si="7"/>
        <v>14.07</v>
      </c>
      <c r="BX33" s="104">
        <f t="shared" si="8"/>
        <v>140.69999999999999</v>
      </c>
    </row>
    <row r="34" spans="1:76" ht="106.5" customHeight="1">
      <c r="A34" s="566"/>
      <c r="B34" s="633"/>
      <c r="C34" s="88">
        <v>24</v>
      </c>
      <c r="D34" s="125" t="s">
        <v>208</v>
      </c>
      <c r="E34" s="88" t="s">
        <v>163</v>
      </c>
      <c r="F34" s="88">
        <v>10</v>
      </c>
      <c r="G34" s="85"/>
      <c r="H34" s="86">
        <v>12</v>
      </c>
      <c r="I34" s="85">
        <v>29.14</v>
      </c>
      <c r="J34" s="85">
        <v>22.64</v>
      </c>
      <c r="K34" s="86">
        <v>10</v>
      </c>
      <c r="L34" s="85">
        <v>24.72</v>
      </c>
      <c r="M34" s="85">
        <v>20</v>
      </c>
      <c r="N34" s="85"/>
      <c r="O34" s="90">
        <v>45</v>
      </c>
      <c r="P34" s="85"/>
      <c r="Q34" s="90">
        <v>45</v>
      </c>
      <c r="R34" s="85">
        <v>15.5</v>
      </c>
      <c r="S34" s="86">
        <v>8</v>
      </c>
      <c r="T34" s="85"/>
      <c r="U34" s="85"/>
      <c r="V34" s="85">
        <v>25.2</v>
      </c>
      <c r="W34" s="85">
        <v>17</v>
      </c>
      <c r="X34" s="85"/>
      <c r="Y34" s="85">
        <v>35.11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>
        <v>34.979999999999997</v>
      </c>
      <c r="BM34" s="96">
        <f t="shared" si="0"/>
        <v>24.592142857142857</v>
      </c>
      <c r="BN34" s="96">
        <f t="shared" si="1"/>
        <v>11.602220340811257</v>
      </c>
      <c r="BO34" s="83">
        <f t="shared" si="2"/>
        <v>12.9899225163316</v>
      </c>
      <c r="BP34" s="83">
        <f t="shared" si="3"/>
        <v>36.194363197954118</v>
      </c>
      <c r="BQ34" s="82">
        <f>AVERAGE(H34,I34,J34,K34,L34,M34,R34,S34,V34,W34,Y34,BL34)</f>
        <v>21.190833333333334</v>
      </c>
      <c r="BR34" s="82">
        <f>MEDIAN(H34,I34,J34,K34,L34,M34,R34,S34,V34,W34,Y34,BL34)</f>
        <v>21.32</v>
      </c>
      <c r="BS34" s="81">
        <f>_xlfn.STDEV.P(H34,I34,J34,K34,L34,M34,R34,S34,V34,W34,Y34,BL34)</f>
        <v>8.7214920916982805</v>
      </c>
      <c r="BT34" s="80">
        <f t="shared" si="4"/>
        <v>0.41156909473585024</v>
      </c>
      <c r="BU34" s="80" t="str">
        <f t="shared" si="5"/>
        <v>Mediana</v>
      </c>
      <c r="BV34" s="121">
        <f t="shared" si="6"/>
        <v>10</v>
      </c>
      <c r="BW34" s="105">
        <f t="shared" si="7"/>
        <v>21.32</v>
      </c>
      <c r="BX34" s="104">
        <f t="shared" si="8"/>
        <v>213.2</v>
      </c>
    </row>
    <row r="35" spans="1:76" ht="66" customHeight="1">
      <c r="A35" s="566"/>
      <c r="B35" s="633"/>
      <c r="C35" s="88">
        <v>25</v>
      </c>
      <c r="D35" s="125" t="s">
        <v>207</v>
      </c>
      <c r="E35" s="88" t="s">
        <v>163</v>
      </c>
      <c r="F35" s="88">
        <v>2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90">
        <v>19.7</v>
      </c>
      <c r="S35" s="85"/>
      <c r="T35" s="85"/>
      <c r="U35" s="90">
        <v>19.97</v>
      </c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>
        <v>13.5</v>
      </c>
      <c r="AO35" s="85">
        <v>18</v>
      </c>
      <c r="AP35" s="85">
        <v>13.41</v>
      </c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90">
        <v>10.96</v>
      </c>
      <c r="BM35" s="96">
        <f t="shared" si="0"/>
        <v>15.923333333333332</v>
      </c>
      <c r="BN35" s="96">
        <f t="shared" si="1"/>
        <v>3.4586927524074116</v>
      </c>
      <c r="BO35" s="83">
        <f t="shared" si="2"/>
        <v>12.46464058092592</v>
      </c>
      <c r="BP35" s="83">
        <f t="shared" si="3"/>
        <v>19.382026085740744</v>
      </c>
      <c r="BQ35" s="82">
        <f>AVERAGE(AN35,AO35,AP35)</f>
        <v>14.969999999999999</v>
      </c>
      <c r="BR35" s="82">
        <f>MEDIAN(AN35,AO35,AP35)</f>
        <v>13.5</v>
      </c>
      <c r="BS35" s="81">
        <f>_xlfn.STDEV.P(AN35,AO35,AP35)</f>
        <v>2.1428485714114394</v>
      </c>
      <c r="BT35" s="80">
        <f t="shared" si="4"/>
        <v>0.14314285714171274</v>
      </c>
      <c r="BU35" s="80" t="str">
        <f t="shared" si="5"/>
        <v>Média</v>
      </c>
      <c r="BV35" s="121">
        <f t="shared" si="6"/>
        <v>2</v>
      </c>
      <c r="BW35" s="105">
        <f t="shared" si="7"/>
        <v>14.97</v>
      </c>
      <c r="BX35" s="104">
        <f t="shared" si="8"/>
        <v>29.94</v>
      </c>
    </row>
    <row r="36" spans="1:76" ht="86.25" customHeight="1">
      <c r="A36" s="566"/>
      <c r="B36" s="633"/>
      <c r="C36" s="88">
        <v>26</v>
      </c>
      <c r="D36" s="125" t="s">
        <v>206</v>
      </c>
      <c r="E36" s="88" t="s">
        <v>163</v>
      </c>
      <c r="F36" s="88">
        <v>27</v>
      </c>
      <c r="G36" s="85">
        <v>2.7</v>
      </c>
      <c r="H36" s="85">
        <v>4.79</v>
      </c>
      <c r="I36" s="85">
        <v>3.61</v>
      </c>
      <c r="J36" s="85"/>
      <c r="K36" s="85"/>
      <c r="L36" s="85">
        <v>4.0199999999999996</v>
      </c>
      <c r="M36" s="85">
        <v>5</v>
      </c>
      <c r="N36" s="85">
        <v>5.47</v>
      </c>
      <c r="O36" s="85">
        <v>4.4400000000000004</v>
      </c>
      <c r="P36" s="85"/>
      <c r="Q36" s="90">
        <v>33</v>
      </c>
      <c r="R36" s="85">
        <v>3.51</v>
      </c>
      <c r="S36" s="85">
        <v>7</v>
      </c>
      <c r="T36" s="85">
        <v>5.25</v>
      </c>
      <c r="U36" s="85"/>
      <c r="V36" s="85">
        <v>3.29</v>
      </c>
      <c r="W36" s="85"/>
      <c r="X36" s="85">
        <v>3.23</v>
      </c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90">
        <v>22.07</v>
      </c>
      <c r="BM36" s="96">
        <f t="shared" si="0"/>
        <v>7.6700000000000017</v>
      </c>
      <c r="BN36" s="96">
        <f t="shared" si="1"/>
        <v>8.4375055555537255</v>
      </c>
      <c r="BO36" s="83">
        <f>BN36-BM36</f>
        <v>0.7675055555537238</v>
      </c>
      <c r="BP36" s="83">
        <f t="shared" si="3"/>
        <v>16.107505555553729</v>
      </c>
      <c r="BQ36" s="82">
        <f>AVERAGE(G36,H36,I36,L36,M36,N36,O36,R36,S36,T36,V36,X36)</f>
        <v>4.359166666666666</v>
      </c>
      <c r="BR36" s="82">
        <f>MEDIAN(G36,H36,I36,L36,M36,N36,O36,R36,S36,T36,V36,X36)</f>
        <v>4.2300000000000004</v>
      </c>
      <c r="BS36" s="81">
        <f>_xlfn.STDEV.P(G36,H36,I36,L36,M36,N36,O36,R36,S36,T36,V36,X36)</f>
        <v>1.1609152878464291</v>
      </c>
      <c r="BT36" s="80">
        <f t="shared" si="4"/>
        <v>0.26631587562907955</v>
      </c>
      <c r="BU36" s="80" t="str">
        <f t="shared" si="5"/>
        <v>Mediana</v>
      </c>
      <c r="BV36" s="121">
        <f t="shared" si="6"/>
        <v>27</v>
      </c>
      <c r="BW36" s="105">
        <f t="shared" si="7"/>
        <v>4.2300000000000004</v>
      </c>
      <c r="BX36" s="104">
        <f t="shared" si="8"/>
        <v>114.21</v>
      </c>
    </row>
    <row r="37" spans="1:76" ht="82.5" customHeight="1">
      <c r="A37" s="566"/>
      <c r="B37" s="633"/>
      <c r="C37" s="88">
        <v>27</v>
      </c>
      <c r="D37" s="125" t="s">
        <v>205</v>
      </c>
      <c r="E37" s="88" t="s">
        <v>163</v>
      </c>
      <c r="F37" s="88">
        <v>27</v>
      </c>
      <c r="G37" s="85">
        <v>3.2</v>
      </c>
      <c r="H37" s="85">
        <v>4.5</v>
      </c>
      <c r="I37" s="85">
        <v>8.5</v>
      </c>
      <c r="J37" s="85"/>
      <c r="K37" s="85">
        <v>7.9</v>
      </c>
      <c r="L37" s="85">
        <v>5.03</v>
      </c>
      <c r="M37" s="85">
        <v>5</v>
      </c>
      <c r="N37" s="85">
        <v>7.41</v>
      </c>
      <c r="O37" s="85"/>
      <c r="P37" s="85"/>
      <c r="Q37" s="85"/>
      <c r="R37" s="85">
        <v>4.29</v>
      </c>
      <c r="S37" s="85">
        <v>7.06</v>
      </c>
      <c r="T37" s="85"/>
      <c r="U37" s="85"/>
      <c r="V37" s="85">
        <v>5.61</v>
      </c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90">
        <v>31.9</v>
      </c>
      <c r="BM37" s="96">
        <f t="shared" si="0"/>
        <v>8.2181818181818187</v>
      </c>
      <c r="BN37" s="96">
        <f t="shared" si="1"/>
        <v>7.6560443360806794</v>
      </c>
      <c r="BO37" s="83">
        <f>BM37-BN37</f>
        <v>0.56213748210113934</v>
      </c>
      <c r="BP37" s="83">
        <f t="shared" si="3"/>
        <v>15.874226154262498</v>
      </c>
      <c r="BQ37" s="82">
        <f>AVERAGE(G37,H37,I37,K37,L37,M37,N37,R37,S37,V37)</f>
        <v>5.8500000000000005</v>
      </c>
      <c r="BR37" s="82">
        <f>MEDIAN(G37,H37,I37,K37,L37,M37,N37,R37,S37,V37)</f>
        <v>5.32</v>
      </c>
      <c r="BS37" s="81">
        <f>_xlfn.STDEV.P(G37,H37,I37,K37,L37,M37,N37,R37,S37,V37)</f>
        <v>1.6689457750328471</v>
      </c>
      <c r="BT37" s="80">
        <f t="shared" si="4"/>
        <v>0.28528987607399092</v>
      </c>
      <c r="BU37" s="80" t="str">
        <f t="shared" si="5"/>
        <v>Mediana</v>
      </c>
      <c r="BV37" s="121">
        <f t="shared" si="6"/>
        <v>27</v>
      </c>
      <c r="BW37" s="105">
        <f t="shared" si="7"/>
        <v>5.32</v>
      </c>
      <c r="BX37" s="104">
        <f t="shared" si="8"/>
        <v>143.63999999999999</v>
      </c>
    </row>
    <row r="38" spans="1:76" ht="87.75" customHeight="1">
      <c r="A38" s="566"/>
      <c r="B38" s="633"/>
      <c r="C38" s="88">
        <v>28</v>
      </c>
      <c r="D38" s="125" t="s">
        <v>204</v>
      </c>
      <c r="E38" s="88" t="s">
        <v>163</v>
      </c>
      <c r="F38" s="88">
        <v>2</v>
      </c>
      <c r="G38" s="85">
        <v>3.2</v>
      </c>
      <c r="H38" s="85"/>
      <c r="I38" s="85"/>
      <c r="J38" s="85"/>
      <c r="K38" s="85">
        <v>11</v>
      </c>
      <c r="L38" s="85">
        <v>13.62</v>
      </c>
      <c r="M38" s="85"/>
      <c r="N38" s="85"/>
      <c r="O38" s="85"/>
      <c r="P38" s="85"/>
      <c r="Q38" s="85"/>
      <c r="R38" s="85">
        <v>5.04</v>
      </c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90">
        <v>39.81</v>
      </c>
      <c r="BM38" s="96">
        <f t="shared" si="0"/>
        <v>14.534000000000001</v>
      </c>
      <c r="BN38" s="96">
        <f t="shared" si="1"/>
        <v>13.196941463839266</v>
      </c>
      <c r="BO38" s="83">
        <f>BM38-BN38</f>
        <v>1.3370585361607343</v>
      </c>
      <c r="BP38" s="83">
        <f t="shared" si="3"/>
        <v>27.730941463839265</v>
      </c>
      <c r="BQ38" s="82">
        <f>AVERAGE(G38,K38,L38,R38)</f>
        <v>8.2149999999999999</v>
      </c>
      <c r="BR38" s="82">
        <f>MEDIAN(G38,K38,L38,R38)</f>
        <v>8.02</v>
      </c>
      <c r="BS38" s="81">
        <f>_xlfn.STDEV.P(G38,K38,L38,R38)</f>
        <v>4.2485615212681083</v>
      </c>
      <c r="BT38" s="80">
        <f t="shared" si="4"/>
        <v>0.51717121378796205</v>
      </c>
      <c r="BU38" s="80" t="str">
        <f t="shared" si="5"/>
        <v>Mediana</v>
      </c>
      <c r="BV38" s="121">
        <f t="shared" si="6"/>
        <v>2</v>
      </c>
      <c r="BW38" s="105">
        <f t="shared" si="7"/>
        <v>8.02</v>
      </c>
      <c r="BX38" s="104">
        <f t="shared" si="8"/>
        <v>16.04</v>
      </c>
    </row>
    <row r="39" spans="1:76" ht="99.75" customHeight="1">
      <c r="A39" s="566"/>
      <c r="B39" s="633"/>
      <c r="C39" s="88">
        <v>29</v>
      </c>
      <c r="D39" s="125" t="s">
        <v>203</v>
      </c>
      <c r="E39" s="88" t="s">
        <v>163</v>
      </c>
      <c r="F39" s="88">
        <v>5</v>
      </c>
      <c r="G39" s="85"/>
      <c r="H39" s="86">
        <v>7.65</v>
      </c>
      <c r="I39" s="85"/>
      <c r="J39" s="85"/>
      <c r="K39" s="85"/>
      <c r="L39" s="85"/>
      <c r="M39" s="86">
        <v>5</v>
      </c>
      <c r="N39" s="85">
        <v>24.55</v>
      </c>
      <c r="O39" s="85"/>
      <c r="P39" s="85"/>
      <c r="Q39" s="85"/>
      <c r="R39" s="85">
        <v>25.2</v>
      </c>
      <c r="S39" s="85">
        <v>6.99</v>
      </c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90">
        <v>139.41</v>
      </c>
      <c r="BM39" s="96">
        <f t="shared" si="0"/>
        <v>34.800000000000004</v>
      </c>
      <c r="BN39" s="96">
        <f t="shared" si="1"/>
        <v>47.502689748406176</v>
      </c>
      <c r="BO39" s="83">
        <f>BN39-BM39</f>
        <v>12.702689748406172</v>
      </c>
      <c r="BP39" s="83">
        <f t="shared" si="3"/>
        <v>82.302689748406181</v>
      </c>
      <c r="BQ39" s="82">
        <f>AVERAGE(H39,M39,N39,R39,S39)</f>
        <v>13.878</v>
      </c>
      <c r="BR39" s="82">
        <f>MEDIAN(H39,M39,N39,R39,S39)</f>
        <v>7.65</v>
      </c>
      <c r="BS39" s="81">
        <f>_xlfn.STDEV.P(H39,M39,N39,R39,S39)</f>
        <v>9.0236431667037902</v>
      </c>
      <c r="BT39" s="80">
        <f t="shared" si="4"/>
        <v>0.65021207426889971</v>
      </c>
      <c r="BU39" s="80" t="str">
        <f t="shared" si="5"/>
        <v>Mediana</v>
      </c>
      <c r="BV39" s="121">
        <f t="shared" si="6"/>
        <v>5</v>
      </c>
      <c r="BW39" s="105">
        <f t="shared" si="7"/>
        <v>7.65</v>
      </c>
      <c r="BX39" s="104">
        <f t="shared" si="8"/>
        <v>38.25</v>
      </c>
    </row>
    <row r="40" spans="1:76" ht="57" customHeight="1">
      <c r="A40" s="566"/>
      <c r="B40" s="633"/>
      <c r="C40" s="88">
        <v>30</v>
      </c>
      <c r="D40" s="125" t="s">
        <v>202</v>
      </c>
      <c r="E40" s="88" t="s">
        <v>163</v>
      </c>
      <c r="F40" s="88">
        <v>4</v>
      </c>
      <c r="G40" s="85"/>
      <c r="H40" s="85"/>
      <c r="I40" s="86">
        <v>7.48</v>
      </c>
      <c r="J40" s="85"/>
      <c r="K40" s="85"/>
      <c r="L40" s="85"/>
      <c r="M40" s="85"/>
      <c r="N40" s="85"/>
      <c r="O40" s="85"/>
      <c r="P40" s="85"/>
      <c r="Q40" s="85"/>
      <c r="R40" s="85">
        <v>9.24</v>
      </c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90">
        <v>11.28</v>
      </c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>
        <v>7.9</v>
      </c>
      <c r="BM40" s="96">
        <f t="shared" si="0"/>
        <v>8.9749999999999996</v>
      </c>
      <c r="BN40" s="96">
        <f t="shared" si="1"/>
        <v>1.4810384870083582</v>
      </c>
      <c r="BO40" s="83">
        <f t="shared" ref="BO40:BO48" si="9">BM40-BN40</f>
        <v>7.4939615129916417</v>
      </c>
      <c r="BP40" s="83">
        <f t="shared" si="3"/>
        <v>10.456038487008358</v>
      </c>
      <c r="BQ40" s="82">
        <f>AVERAGE(I40,R40,BL40)</f>
        <v>8.2066666666666652</v>
      </c>
      <c r="BR40" s="82">
        <f>MEDIAN(I40,R40,BL40)</f>
        <v>7.9</v>
      </c>
      <c r="BS40" s="81">
        <f>_xlfn.STDEV.P(I40,R40,BL40)</f>
        <v>0.75052574165639963</v>
      </c>
      <c r="BT40" s="80">
        <f t="shared" si="4"/>
        <v>9.1453177293631158E-2</v>
      </c>
      <c r="BU40" s="80" t="str">
        <f t="shared" si="5"/>
        <v>Média</v>
      </c>
      <c r="BV40" s="121">
        <f t="shared" si="6"/>
        <v>4</v>
      </c>
      <c r="BW40" s="105">
        <f t="shared" si="7"/>
        <v>8.1999999999999993</v>
      </c>
      <c r="BX40" s="104">
        <f t="shared" si="8"/>
        <v>32.799999999999997</v>
      </c>
    </row>
    <row r="41" spans="1:76" ht="70.5" customHeight="1">
      <c r="A41" s="566"/>
      <c r="B41" s="633"/>
      <c r="C41" s="88">
        <v>31</v>
      </c>
      <c r="D41" s="125" t="s">
        <v>201</v>
      </c>
      <c r="E41" s="88" t="s">
        <v>163</v>
      </c>
      <c r="F41" s="88">
        <v>2</v>
      </c>
      <c r="G41" s="85"/>
      <c r="H41" s="85"/>
      <c r="I41" s="85"/>
      <c r="J41" s="85"/>
      <c r="K41" s="85"/>
      <c r="L41" s="90">
        <v>35.11</v>
      </c>
      <c r="M41" s="85"/>
      <c r="N41" s="85">
        <v>22.14</v>
      </c>
      <c r="O41" s="85"/>
      <c r="P41" s="85"/>
      <c r="Q41" s="85"/>
      <c r="R41" s="85"/>
      <c r="S41" s="85"/>
      <c r="T41" s="85"/>
      <c r="U41" s="85">
        <v>21.4</v>
      </c>
      <c r="V41" s="85">
        <v>20</v>
      </c>
      <c r="W41" s="85">
        <v>20</v>
      </c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>
        <v>19.46</v>
      </c>
      <c r="BM41" s="96">
        <f t="shared" si="0"/>
        <v>23.018333333333334</v>
      </c>
      <c r="BN41" s="96">
        <f t="shared" si="1"/>
        <v>5.4845431795992603</v>
      </c>
      <c r="BO41" s="83">
        <f t="shared" si="9"/>
        <v>17.533790153734074</v>
      </c>
      <c r="BP41" s="83">
        <f t="shared" si="3"/>
        <v>28.502876512932595</v>
      </c>
      <c r="BQ41" s="82">
        <f>AVERAGE(N41,U41,V41,W41,BL41)</f>
        <v>20.6</v>
      </c>
      <c r="BR41" s="82">
        <f>MEDIAN(N41,U41,V41,W41,BL41)</f>
        <v>20</v>
      </c>
      <c r="BS41" s="81">
        <f>_xlfn.STDEV.P(N41,U41,V41,W41,BL41)</f>
        <v>1.0031151479266971</v>
      </c>
      <c r="BT41" s="80">
        <f t="shared" si="4"/>
        <v>4.8694910093528984E-2</v>
      </c>
      <c r="BU41" s="80" t="str">
        <f t="shared" si="5"/>
        <v>Média</v>
      </c>
      <c r="BV41" s="121">
        <f t="shared" si="6"/>
        <v>2</v>
      </c>
      <c r="BW41" s="105">
        <f t="shared" si="7"/>
        <v>20.6</v>
      </c>
      <c r="BX41" s="104">
        <f t="shared" si="8"/>
        <v>41.2</v>
      </c>
    </row>
    <row r="42" spans="1:76" ht="63" customHeight="1">
      <c r="A42" s="566"/>
      <c r="B42" s="633"/>
      <c r="C42" s="88">
        <v>32</v>
      </c>
      <c r="D42" s="125" t="s">
        <v>200</v>
      </c>
      <c r="E42" s="103" t="s">
        <v>163</v>
      </c>
      <c r="F42" s="103">
        <v>20</v>
      </c>
      <c r="G42" s="86">
        <v>1.6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>
        <v>2.99</v>
      </c>
      <c r="T42" s="85"/>
      <c r="U42" s="85"/>
      <c r="V42" s="85">
        <v>5</v>
      </c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>
        <v>5.15</v>
      </c>
      <c r="BM42" s="96">
        <f t="shared" si="0"/>
        <v>3.6850000000000001</v>
      </c>
      <c r="BN42" s="96">
        <f t="shared" si="1"/>
        <v>1.4752711615157403</v>
      </c>
      <c r="BO42" s="83">
        <f t="shared" si="9"/>
        <v>2.2097288384842599</v>
      </c>
      <c r="BP42" s="83">
        <f t="shared" si="3"/>
        <v>5.1602711615157402</v>
      </c>
      <c r="BQ42" s="82">
        <f>AVERAGE(G42,S42,V42,BL42)</f>
        <v>3.6850000000000001</v>
      </c>
      <c r="BR42" s="82">
        <f>MEDIAN(G42,S42,V42,BL42)</f>
        <v>3.9950000000000001</v>
      </c>
      <c r="BS42" s="81">
        <f>_xlfn.STDEV.P(G42,S42,V42,BL42)</f>
        <v>1.4752711615157403</v>
      </c>
      <c r="BT42" s="80">
        <f t="shared" si="4"/>
        <v>0.40034495563520767</v>
      </c>
      <c r="BU42" s="80" t="str">
        <f t="shared" si="5"/>
        <v>Mediana</v>
      </c>
      <c r="BV42" s="121">
        <f t="shared" si="6"/>
        <v>20</v>
      </c>
      <c r="BW42" s="105">
        <f t="shared" si="7"/>
        <v>3.99</v>
      </c>
      <c r="BX42" s="104">
        <f t="shared" si="8"/>
        <v>79.8</v>
      </c>
    </row>
    <row r="43" spans="1:76" ht="162.75" customHeight="1">
      <c r="A43" s="566"/>
      <c r="B43" s="633"/>
      <c r="C43" s="88">
        <v>33</v>
      </c>
      <c r="D43" s="125" t="s">
        <v>199</v>
      </c>
      <c r="E43" s="88" t="s">
        <v>163</v>
      </c>
      <c r="F43" s="88">
        <v>10</v>
      </c>
      <c r="G43" s="85">
        <v>4.7</v>
      </c>
      <c r="H43" s="86">
        <v>3.5</v>
      </c>
      <c r="I43" s="85">
        <v>9</v>
      </c>
      <c r="J43" s="85">
        <v>6.3</v>
      </c>
      <c r="K43" s="85">
        <v>9.2100000000000009</v>
      </c>
      <c r="L43" s="85">
        <v>10.39</v>
      </c>
      <c r="M43" s="85"/>
      <c r="N43" s="85">
        <v>4.8600000000000003</v>
      </c>
      <c r="O43" s="85">
        <v>9.4</v>
      </c>
      <c r="P43" s="85"/>
      <c r="Q43" s="85"/>
      <c r="R43" s="85">
        <v>5.88</v>
      </c>
      <c r="S43" s="85">
        <v>9</v>
      </c>
      <c r="T43" s="90">
        <v>18</v>
      </c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>
        <v>5.53</v>
      </c>
      <c r="BM43" s="96">
        <f t="shared" si="0"/>
        <v>7.9808333333333339</v>
      </c>
      <c r="BN43" s="96">
        <f t="shared" si="1"/>
        <v>3.7150223380515786</v>
      </c>
      <c r="BO43" s="83">
        <f t="shared" si="9"/>
        <v>4.2658109952817558</v>
      </c>
      <c r="BP43" s="83">
        <f t="shared" si="3"/>
        <v>11.695855671384912</v>
      </c>
      <c r="BQ43" s="82">
        <f>AVERAGE(G43,H43,I43,J43,K43,L43,N43,O43,R43,S43,BL43)</f>
        <v>7.0700000000000012</v>
      </c>
      <c r="BR43" s="82">
        <f>MEDIAN(G43,H43,I43,J43,K43,L43,N43,O43,R43,S43,BL43)</f>
        <v>6.3</v>
      </c>
      <c r="BS43" s="81">
        <f>_xlfn.STDEV.P(G43,H43,I43,J43,K43,L43,N43,O43,R43,S43,BL43)</f>
        <v>2.2584628722771916</v>
      </c>
      <c r="BT43" s="80">
        <f t="shared" si="4"/>
        <v>0.31944312196282759</v>
      </c>
      <c r="BU43" s="80" t="str">
        <f t="shared" si="5"/>
        <v>Mediana</v>
      </c>
      <c r="BV43" s="121">
        <f t="shared" si="6"/>
        <v>10</v>
      </c>
      <c r="BW43" s="105">
        <f t="shared" si="7"/>
        <v>6.3</v>
      </c>
      <c r="BX43" s="104">
        <f t="shared" si="8"/>
        <v>63</v>
      </c>
    </row>
    <row r="44" spans="1:76" ht="56.25" customHeight="1">
      <c r="A44" s="566"/>
      <c r="B44" s="633"/>
      <c r="C44" s="103">
        <v>34</v>
      </c>
      <c r="D44" s="125" t="s">
        <v>198</v>
      </c>
      <c r="E44" s="103" t="s">
        <v>163</v>
      </c>
      <c r="F44" s="103">
        <v>3</v>
      </c>
      <c r="G44" s="85">
        <v>4.7</v>
      </c>
      <c r="H44" s="85">
        <v>9.43</v>
      </c>
      <c r="I44" s="85"/>
      <c r="J44" s="85"/>
      <c r="K44" s="85">
        <v>6.5</v>
      </c>
      <c r="L44" s="85"/>
      <c r="M44" s="85">
        <v>4</v>
      </c>
      <c r="N44" s="85">
        <v>5.9</v>
      </c>
      <c r="O44" s="85">
        <v>4.5999999999999996</v>
      </c>
      <c r="P44" s="85"/>
      <c r="Q44" s="90">
        <v>17</v>
      </c>
      <c r="R44" s="85">
        <v>4.3</v>
      </c>
      <c r="S44" s="85">
        <v>8</v>
      </c>
      <c r="T44" s="85"/>
      <c r="U44" s="85"/>
      <c r="V44" s="85">
        <v>8.8800000000000008</v>
      </c>
      <c r="W44" s="85">
        <v>10.17</v>
      </c>
      <c r="X44" s="85"/>
      <c r="Y44" s="90">
        <v>27.89</v>
      </c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>
        <v>5.72</v>
      </c>
      <c r="BM44" s="96">
        <f t="shared" si="0"/>
        <v>9.0069230769230764</v>
      </c>
      <c r="BN44" s="96">
        <f t="shared" si="1"/>
        <v>6.4148750028176824</v>
      </c>
      <c r="BO44" s="83">
        <f t="shared" si="9"/>
        <v>2.592048074105394</v>
      </c>
      <c r="BP44" s="83">
        <f t="shared" si="3"/>
        <v>15.421798079740759</v>
      </c>
      <c r="BQ44" s="82">
        <f>AVERAGE(G44,H44,K44,M44,N44,O44,R44,S44,V44,W44,BL44)</f>
        <v>6.5636363636363635</v>
      </c>
      <c r="BR44" s="82">
        <f>MEDIAN(G44,H44,K44,M44,N44,O44,R44,S44,V44,W44,BL44)</f>
        <v>5.9</v>
      </c>
      <c r="BS44" s="81">
        <f>_xlfn.STDEV.P(G44,H44,K44,M44,N44,O44,R44,S44,V44,W44,BL44)</f>
        <v>2.1069593460601976</v>
      </c>
      <c r="BT44" s="80">
        <f t="shared" si="4"/>
        <v>0.32100488651886666</v>
      </c>
      <c r="BU44" s="80" t="str">
        <f t="shared" si="5"/>
        <v>Mediana</v>
      </c>
      <c r="BV44" s="121">
        <f t="shared" si="6"/>
        <v>3</v>
      </c>
      <c r="BW44" s="105">
        <f t="shared" si="7"/>
        <v>5.9</v>
      </c>
      <c r="BX44" s="104">
        <f t="shared" si="8"/>
        <v>17.7</v>
      </c>
    </row>
    <row r="45" spans="1:76" ht="52.5" customHeight="1">
      <c r="A45" s="566"/>
      <c r="B45" s="633"/>
      <c r="C45" s="88">
        <v>35</v>
      </c>
      <c r="D45" s="125" t="s">
        <v>197</v>
      </c>
      <c r="E45" s="88" t="s">
        <v>163</v>
      </c>
      <c r="F45" s="88">
        <v>2</v>
      </c>
      <c r="G45" s="85">
        <v>18</v>
      </c>
      <c r="H45" s="85"/>
      <c r="I45" s="85"/>
      <c r="J45" s="85"/>
      <c r="K45" s="85"/>
      <c r="L45" s="85">
        <v>22.7</v>
      </c>
      <c r="M45" s="85"/>
      <c r="N45" s="86">
        <v>11.38</v>
      </c>
      <c r="O45" s="85"/>
      <c r="P45" s="85"/>
      <c r="Q45" s="85"/>
      <c r="R45" s="85"/>
      <c r="S45" s="85"/>
      <c r="T45" s="85"/>
      <c r="U45" s="85"/>
      <c r="V45" s="86">
        <v>12.3</v>
      </c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90">
        <v>24.9</v>
      </c>
      <c r="BM45" s="96">
        <f t="shared" si="0"/>
        <v>17.856000000000002</v>
      </c>
      <c r="BN45" s="96">
        <f t="shared" si="1"/>
        <v>5.4020499812571128</v>
      </c>
      <c r="BO45" s="83">
        <f t="shared" si="9"/>
        <v>12.453950018742889</v>
      </c>
      <c r="BP45" s="83">
        <f t="shared" si="3"/>
        <v>23.258049981257116</v>
      </c>
      <c r="BQ45" s="82">
        <f>AVERAGE(G45,L45,N45,V45)</f>
        <v>16.095000000000002</v>
      </c>
      <c r="BR45" s="82">
        <f>MEDIAN(G45,L45,N45,V45)</f>
        <v>15.15</v>
      </c>
      <c r="BS45" s="81">
        <f>_xlfn.STDEV.P(G45,L45,N45,V45)</f>
        <v>4.5795278140873767</v>
      </c>
      <c r="BT45" s="80">
        <f t="shared" si="4"/>
        <v>0.28453108506290004</v>
      </c>
      <c r="BU45" s="80" t="str">
        <f t="shared" si="5"/>
        <v>Mediana</v>
      </c>
      <c r="BV45" s="121">
        <f t="shared" si="6"/>
        <v>2</v>
      </c>
      <c r="BW45" s="105">
        <f t="shared" si="7"/>
        <v>15.15</v>
      </c>
      <c r="BX45" s="104">
        <f t="shared" si="8"/>
        <v>30.3</v>
      </c>
    </row>
    <row r="46" spans="1:76" ht="90" customHeight="1">
      <c r="A46" s="566"/>
      <c r="B46" s="633"/>
      <c r="C46" s="88">
        <v>36</v>
      </c>
      <c r="D46" s="125" t="s">
        <v>196</v>
      </c>
      <c r="E46" s="88" t="s">
        <v>163</v>
      </c>
      <c r="F46" s="88">
        <v>27</v>
      </c>
      <c r="G46" s="86">
        <v>1.5</v>
      </c>
      <c r="H46" s="85">
        <v>3.5</v>
      </c>
      <c r="I46" s="90">
        <v>4.99</v>
      </c>
      <c r="J46" s="86">
        <v>1.98</v>
      </c>
      <c r="K46" s="85"/>
      <c r="L46" s="85">
        <v>2.88</v>
      </c>
      <c r="M46" s="85"/>
      <c r="N46" s="85">
        <v>2.91</v>
      </c>
      <c r="O46" s="85"/>
      <c r="P46" s="85"/>
      <c r="Q46" s="85"/>
      <c r="R46" s="85"/>
      <c r="S46" s="85"/>
      <c r="T46" s="90">
        <v>5</v>
      </c>
      <c r="U46" s="85"/>
      <c r="V46" s="90">
        <v>5.43</v>
      </c>
      <c r="W46" s="85"/>
      <c r="X46" s="86">
        <v>1.07</v>
      </c>
      <c r="Y46" s="85">
        <v>3.49</v>
      </c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107">
        <v>4.55</v>
      </c>
      <c r="BM46" s="96">
        <f t="shared" si="0"/>
        <v>3.3909090909090907</v>
      </c>
      <c r="BN46" s="96">
        <f t="shared" si="1"/>
        <v>1.4178886643396269</v>
      </c>
      <c r="BO46" s="83">
        <f t="shared" si="9"/>
        <v>1.9730204265694637</v>
      </c>
      <c r="BP46" s="83">
        <f t="shared" si="3"/>
        <v>4.8087977552487171</v>
      </c>
      <c r="BQ46" s="82">
        <f>AVERAGE(G46,H46,J46,L46,N46,X46,Y46,BL46)</f>
        <v>2.7349999999999999</v>
      </c>
      <c r="BR46" s="82">
        <f>MEDIAN(G46,H46,J46,L46,N46,X46,Y46,BL46)</f>
        <v>2.895</v>
      </c>
      <c r="BS46" s="81">
        <f>_xlfn.STDEV.P(G46,H46,J46,L46,N46,X46,Y46,BL46)</f>
        <v>1.0821621874746881</v>
      </c>
      <c r="BT46" s="80">
        <f t="shared" si="4"/>
        <v>0.39567173216624796</v>
      </c>
      <c r="BU46" s="80" t="str">
        <f t="shared" si="5"/>
        <v>Mediana</v>
      </c>
      <c r="BV46" s="121">
        <f t="shared" si="6"/>
        <v>27</v>
      </c>
      <c r="BW46" s="105">
        <f t="shared" si="7"/>
        <v>2.89</v>
      </c>
      <c r="BX46" s="104">
        <f t="shared" si="8"/>
        <v>78.03</v>
      </c>
    </row>
    <row r="47" spans="1:76" s="78" customFormat="1" ht="39" customHeight="1">
      <c r="A47" s="566"/>
      <c r="B47" s="633"/>
      <c r="C47" s="103">
        <v>37</v>
      </c>
      <c r="D47" s="186" t="s">
        <v>195</v>
      </c>
      <c r="E47" s="103" t="s">
        <v>194</v>
      </c>
      <c r="F47" s="103">
        <v>2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>
        <v>4.75</v>
      </c>
      <c r="AC47" s="85">
        <v>6.97</v>
      </c>
      <c r="AD47" s="85">
        <v>8</v>
      </c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90">
        <v>9.41</v>
      </c>
      <c r="BM47" s="96">
        <f t="shared" si="0"/>
        <v>7.2824999999999998</v>
      </c>
      <c r="BN47" s="96">
        <f t="shared" si="1"/>
        <v>1.699431890368073</v>
      </c>
      <c r="BO47" s="83">
        <f t="shared" si="9"/>
        <v>5.5830681096319266</v>
      </c>
      <c r="BP47" s="83">
        <f t="shared" si="3"/>
        <v>8.981931890368072</v>
      </c>
      <c r="BQ47" s="82">
        <f>AVERAGE(AB47,AC47,AD47)</f>
        <v>6.5733333333333333</v>
      </c>
      <c r="BR47" s="82">
        <f>MEDIAN(AB47,AC47,AD47)</f>
        <v>6.97</v>
      </c>
      <c r="BS47" s="81">
        <f>_xlfn.STDEV.P(AB47,AC47,AD47)</f>
        <v>1.3561301150291187</v>
      </c>
      <c r="BT47" s="80">
        <f t="shared" si="4"/>
        <v>0.20630782682998763</v>
      </c>
      <c r="BU47" s="80" t="str">
        <f t="shared" si="5"/>
        <v>Média</v>
      </c>
      <c r="BV47" s="121">
        <f t="shared" si="6"/>
        <v>2</v>
      </c>
      <c r="BW47" s="105">
        <f t="shared" si="7"/>
        <v>6.57</v>
      </c>
      <c r="BX47" s="104">
        <f t="shared" si="8"/>
        <v>13.14</v>
      </c>
    </row>
    <row r="48" spans="1:76" ht="142.5" customHeight="1">
      <c r="A48" s="566"/>
      <c r="B48" s="633"/>
      <c r="C48" s="88">
        <v>38</v>
      </c>
      <c r="D48" s="186" t="s">
        <v>193</v>
      </c>
      <c r="E48" s="103" t="s">
        <v>163</v>
      </c>
      <c r="F48" s="103">
        <v>5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>
        <v>46.79</v>
      </c>
      <c r="AA48" s="90">
        <v>65.7</v>
      </c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>
        <v>45</v>
      </c>
      <c r="BM48" s="96">
        <f t="shared" si="0"/>
        <v>52.49666666666667</v>
      </c>
      <c r="BN48" s="96">
        <f t="shared" si="1"/>
        <v>9.3647222181024876</v>
      </c>
      <c r="BO48" s="83">
        <f t="shared" si="9"/>
        <v>43.131944448564184</v>
      </c>
      <c r="BP48" s="83">
        <f t="shared" si="3"/>
        <v>61.861388884769156</v>
      </c>
      <c r="BQ48" s="82">
        <f>AVERAGE(Z48,BL48)</f>
        <v>45.894999999999996</v>
      </c>
      <c r="BR48" s="82">
        <f>MEDIAN(Z48,BL48)</f>
        <v>45.894999999999996</v>
      </c>
      <c r="BS48" s="81">
        <f>_xlfn.STDEV.P(Z48,BL48)</f>
        <v>0.89499999999999957</v>
      </c>
      <c r="BT48" s="80">
        <f t="shared" si="4"/>
        <v>1.9501034971129746E-2</v>
      </c>
      <c r="BU48" s="80" t="str">
        <f t="shared" si="5"/>
        <v>Média</v>
      </c>
      <c r="BV48" s="121">
        <f t="shared" si="6"/>
        <v>5</v>
      </c>
      <c r="BW48" s="105">
        <f t="shared" si="7"/>
        <v>45.89</v>
      </c>
      <c r="BX48" s="104">
        <f t="shared" si="8"/>
        <v>229.45</v>
      </c>
    </row>
    <row r="49" spans="1:77" ht="39" customHeight="1">
      <c r="A49" s="566"/>
      <c r="B49" s="126"/>
      <c r="C49" s="590" t="s">
        <v>380</v>
      </c>
      <c r="D49" s="590"/>
      <c r="E49" s="590"/>
      <c r="F49" s="590"/>
      <c r="G49" s="590"/>
      <c r="H49" s="590"/>
      <c r="I49" s="590"/>
      <c r="J49" s="590"/>
      <c r="K49" s="590"/>
      <c r="L49" s="590"/>
      <c r="M49" s="590"/>
      <c r="N49" s="590"/>
      <c r="O49" s="590"/>
      <c r="P49" s="590"/>
      <c r="Q49" s="590"/>
      <c r="R49" s="590"/>
      <c r="S49" s="590"/>
      <c r="T49" s="590"/>
      <c r="U49" s="590"/>
      <c r="V49" s="590"/>
      <c r="W49" s="590"/>
      <c r="X49" s="590"/>
      <c r="Y49" s="590"/>
      <c r="Z49" s="590"/>
      <c r="AA49" s="590"/>
      <c r="AB49" s="590"/>
      <c r="AC49" s="590"/>
      <c r="AD49" s="590"/>
      <c r="AE49" s="590"/>
      <c r="AF49" s="590"/>
      <c r="AG49" s="590"/>
      <c r="AH49" s="590"/>
      <c r="AI49" s="590"/>
      <c r="AJ49" s="590"/>
      <c r="AK49" s="590"/>
      <c r="AL49" s="590"/>
      <c r="AM49" s="590"/>
      <c r="AN49" s="590"/>
      <c r="AO49" s="590"/>
      <c r="AP49" s="590"/>
      <c r="AQ49" s="590"/>
      <c r="AR49" s="590"/>
      <c r="AS49" s="590"/>
      <c r="AT49" s="590"/>
      <c r="AU49" s="590"/>
      <c r="AV49" s="590"/>
      <c r="AW49" s="590"/>
      <c r="AX49" s="590"/>
      <c r="AY49" s="590"/>
      <c r="AZ49" s="590"/>
      <c r="BA49" s="590"/>
      <c r="BB49" s="590"/>
      <c r="BC49" s="590"/>
      <c r="BD49" s="590"/>
      <c r="BE49" s="590"/>
      <c r="BF49" s="590"/>
      <c r="BG49" s="590"/>
      <c r="BH49" s="590"/>
      <c r="BI49" s="590"/>
      <c r="BJ49" s="590"/>
      <c r="BK49" s="590"/>
      <c r="BL49" s="590"/>
      <c r="BM49" s="590"/>
      <c r="BN49" s="590"/>
      <c r="BO49" s="590"/>
      <c r="BP49" s="590"/>
      <c r="BQ49" s="590"/>
      <c r="BR49" s="590"/>
      <c r="BS49" s="590"/>
      <c r="BT49" s="590"/>
      <c r="BU49" s="590"/>
      <c r="BV49" s="590"/>
      <c r="BW49" s="590"/>
      <c r="BX49" s="127">
        <f>SUM(BX11,BX12:BX48)/12</f>
        <v>2056.855</v>
      </c>
    </row>
    <row r="50" spans="1:77" ht="39" customHeight="1">
      <c r="A50" s="566"/>
      <c r="B50" s="130"/>
      <c r="C50" s="590" t="s">
        <v>381</v>
      </c>
      <c r="D50" s="590"/>
      <c r="E50" s="590"/>
      <c r="F50" s="590"/>
      <c r="G50" s="590"/>
      <c r="H50" s="590"/>
      <c r="I50" s="590"/>
      <c r="J50" s="590"/>
      <c r="K50" s="590"/>
      <c r="L50" s="590"/>
      <c r="M50" s="590"/>
      <c r="N50" s="590"/>
      <c r="O50" s="590"/>
      <c r="P50" s="590"/>
      <c r="Q50" s="590"/>
      <c r="R50" s="590"/>
      <c r="S50" s="590"/>
      <c r="T50" s="590"/>
      <c r="U50" s="590"/>
      <c r="V50" s="590"/>
      <c r="W50" s="590"/>
      <c r="X50" s="590"/>
      <c r="Y50" s="590"/>
      <c r="Z50" s="590"/>
      <c r="AA50" s="590"/>
      <c r="AB50" s="590"/>
      <c r="AC50" s="590"/>
      <c r="AD50" s="590"/>
      <c r="AE50" s="590"/>
      <c r="AF50" s="590"/>
      <c r="AG50" s="590"/>
      <c r="AH50" s="590"/>
      <c r="AI50" s="590"/>
      <c r="AJ50" s="590"/>
      <c r="AK50" s="590"/>
      <c r="AL50" s="590"/>
      <c r="AM50" s="590"/>
      <c r="AN50" s="590"/>
      <c r="AO50" s="590"/>
      <c r="AP50" s="590"/>
      <c r="AQ50" s="590"/>
      <c r="AR50" s="590"/>
      <c r="AS50" s="590"/>
      <c r="AT50" s="590"/>
      <c r="AU50" s="590"/>
      <c r="AV50" s="590"/>
      <c r="AW50" s="590"/>
      <c r="AX50" s="590"/>
      <c r="AY50" s="590"/>
      <c r="AZ50" s="590"/>
      <c r="BA50" s="590"/>
      <c r="BB50" s="590"/>
      <c r="BC50" s="590"/>
      <c r="BD50" s="590"/>
      <c r="BE50" s="590"/>
      <c r="BF50" s="590"/>
      <c r="BG50" s="590"/>
      <c r="BH50" s="590"/>
      <c r="BI50" s="590"/>
      <c r="BJ50" s="590"/>
      <c r="BK50" s="590"/>
      <c r="BL50" s="590"/>
      <c r="BM50" s="590"/>
      <c r="BN50" s="590"/>
      <c r="BO50" s="590"/>
      <c r="BP50" s="590"/>
      <c r="BQ50" s="590"/>
      <c r="BR50" s="590"/>
      <c r="BS50" s="590"/>
      <c r="BT50" s="590"/>
      <c r="BU50" s="590"/>
      <c r="BV50" s="590"/>
      <c r="BW50" s="590"/>
      <c r="BX50" s="127">
        <f>BX49/31</f>
        <v>66.350161290322575</v>
      </c>
    </row>
    <row r="51" spans="1:77" ht="39" customHeight="1">
      <c r="A51" s="566"/>
      <c r="B51" s="130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1"/>
      <c r="AR51" s="321"/>
      <c r="AS51" s="321"/>
      <c r="AT51" s="321"/>
      <c r="AU51" s="321"/>
      <c r="AV51" s="321"/>
      <c r="AW51" s="321"/>
      <c r="AX51" s="321"/>
      <c r="AY51" s="321"/>
      <c r="AZ51" s="321"/>
      <c r="BA51" s="321"/>
      <c r="BB51" s="321"/>
      <c r="BC51" s="321"/>
      <c r="BD51" s="321"/>
      <c r="BE51" s="321"/>
      <c r="BF51" s="321"/>
      <c r="BG51" s="321"/>
      <c r="BH51" s="321"/>
      <c r="BI51" s="321"/>
      <c r="BJ51" s="321"/>
      <c r="BK51" s="321"/>
      <c r="BL51" s="321"/>
      <c r="BM51" s="321"/>
      <c r="BN51" s="321"/>
      <c r="BO51" s="321"/>
      <c r="BP51" s="321"/>
      <c r="BQ51" s="321"/>
      <c r="BR51" s="321"/>
      <c r="BS51" s="321"/>
      <c r="BT51" s="321"/>
      <c r="BU51" s="321"/>
      <c r="BV51" s="321"/>
      <c r="BW51" s="321"/>
      <c r="BX51" s="320"/>
      <c r="BY51" s="316"/>
    </row>
    <row r="52" spans="1:77" ht="43.5" customHeight="1">
      <c r="A52" s="566"/>
    </row>
    <row r="53" spans="1:77" ht="39" customHeight="1">
      <c r="A53" s="566"/>
      <c r="C53" s="586" t="s">
        <v>161</v>
      </c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7"/>
      <c r="AN53" s="587"/>
      <c r="AO53" s="587"/>
      <c r="AP53" s="587"/>
      <c r="AQ53" s="587"/>
      <c r="AR53" s="587"/>
      <c r="AS53" s="587"/>
      <c r="AT53" s="587"/>
      <c r="AU53" s="587"/>
      <c r="AV53" s="587"/>
      <c r="AW53" s="587"/>
      <c r="AX53" s="587"/>
      <c r="AY53" s="587"/>
      <c r="AZ53" s="587"/>
      <c r="BA53" s="587"/>
      <c r="BB53" s="587"/>
      <c r="BC53" s="587"/>
      <c r="BD53" s="587"/>
      <c r="BE53" s="587"/>
      <c r="BF53" s="587"/>
      <c r="BG53" s="587"/>
      <c r="BH53" s="587"/>
      <c r="BI53" s="587"/>
      <c r="BJ53" s="587"/>
      <c r="BK53" s="587"/>
      <c r="BL53" s="587"/>
    </row>
    <row r="54" spans="1:77" ht="26.25" customHeight="1">
      <c r="A54" s="566"/>
      <c r="C54" s="588" t="s">
        <v>160</v>
      </c>
      <c r="D54" s="589"/>
      <c r="E54" s="589"/>
      <c r="F54" s="589"/>
      <c r="G54" s="589"/>
      <c r="H54" s="589"/>
      <c r="I54" s="589"/>
      <c r="J54" s="589"/>
      <c r="K54" s="589"/>
      <c r="L54" s="589"/>
      <c r="M54" s="589"/>
      <c r="N54" s="589"/>
      <c r="O54" s="589"/>
      <c r="P54" s="589"/>
      <c r="Q54" s="589"/>
      <c r="R54" s="589"/>
      <c r="S54" s="589"/>
      <c r="T54" s="589"/>
      <c r="U54" s="589"/>
      <c r="V54" s="589"/>
      <c r="W54" s="589"/>
      <c r="X54" s="589"/>
      <c r="Y54" s="589"/>
      <c r="Z54" s="589"/>
      <c r="AA54" s="589"/>
      <c r="AB54" s="589"/>
      <c r="AC54" s="589"/>
      <c r="AD54" s="589"/>
      <c r="AE54" s="589"/>
      <c r="AF54" s="589"/>
      <c r="AG54" s="589"/>
      <c r="AH54" s="589"/>
      <c r="AI54" s="589"/>
      <c r="AJ54" s="589"/>
      <c r="AK54" s="589"/>
      <c r="AL54" s="589"/>
      <c r="AM54" s="589"/>
      <c r="AN54" s="589"/>
      <c r="AO54" s="589"/>
      <c r="AP54" s="589"/>
      <c r="AQ54" s="589"/>
      <c r="AR54" s="589"/>
      <c r="AS54" s="589"/>
      <c r="AT54" s="589"/>
      <c r="AU54" s="589"/>
      <c r="AV54" s="589"/>
      <c r="AW54" s="589"/>
      <c r="AX54" s="589"/>
      <c r="AY54" s="589"/>
      <c r="AZ54" s="589"/>
      <c r="BA54" s="589"/>
      <c r="BB54" s="589"/>
      <c r="BC54" s="589"/>
      <c r="BD54" s="589"/>
      <c r="BE54" s="589"/>
      <c r="BF54" s="589"/>
      <c r="BG54" s="589"/>
      <c r="BH54" s="589"/>
      <c r="BI54" s="589"/>
      <c r="BJ54" s="589"/>
      <c r="BK54" s="589"/>
      <c r="BL54" s="589"/>
    </row>
    <row r="55" spans="1:77" s="79" customFormat="1" ht="68.25" customHeight="1">
      <c r="A55" s="566"/>
      <c r="C55" s="581" t="s">
        <v>484</v>
      </c>
      <c r="D55" s="582"/>
      <c r="E55" s="582"/>
      <c r="F55" s="582"/>
      <c r="G55" s="582"/>
      <c r="H55" s="582"/>
      <c r="I55" s="582"/>
      <c r="J55" s="582"/>
      <c r="K55" s="582"/>
      <c r="L55" s="582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2"/>
      <c r="X55" s="582"/>
      <c r="Y55" s="582"/>
      <c r="Z55" s="582"/>
      <c r="AA55" s="582"/>
      <c r="AB55" s="582"/>
      <c r="AC55" s="582"/>
      <c r="AD55" s="582"/>
      <c r="AE55" s="582"/>
      <c r="AF55" s="582"/>
      <c r="AG55" s="582"/>
      <c r="AH55" s="582"/>
      <c r="AI55" s="582"/>
      <c r="AJ55" s="582"/>
      <c r="AK55" s="582"/>
      <c r="AL55" s="582"/>
      <c r="AM55" s="582"/>
      <c r="AN55" s="582"/>
      <c r="AO55" s="582"/>
      <c r="AP55" s="582"/>
      <c r="AQ55" s="582"/>
      <c r="AR55" s="582"/>
      <c r="AS55" s="582"/>
      <c r="AT55" s="582"/>
      <c r="AU55" s="582"/>
      <c r="AV55" s="582"/>
      <c r="AW55" s="582"/>
      <c r="AX55" s="582"/>
      <c r="AY55" s="582"/>
      <c r="AZ55" s="582"/>
      <c r="BA55" s="582"/>
      <c r="BB55" s="582"/>
      <c r="BC55" s="582"/>
      <c r="BD55" s="582"/>
      <c r="BE55" s="582"/>
      <c r="BF55" s="582"/>
      <c r="BG55" s="582"/>
      <c r="BH55" s="582"/>
      <c r="BI55" s="582"/>
      <c r="BJ55" s="582"/>
      <c r="BK55" s="582"/>
      <c r="BL55" s="582"/>
    </row>
    <row r="56" spans="1:77" s="79" customFormat="1" ht="60.75" customHeight="1">
      <c r="A56" s="566"/>
      <c r="C56" s="583" t="s">
        <v>434</v>
      </c>
      <c r="D56" s="584"/>
      <c r="E56" s="584"/>
      <c r="F56" s="584"/>
      <c r="G56" s="584"/>
      <c r="H56" s="584"/>
      <c r="I56" s="584"/>
      <c r="J56" s="584"/>
      <c r="K56" s="584"/>
      <c r="L56" s="584"/>
      <c r="M56" s="584"/>
      <c r="N56" s="584"/>
      <c r="O56" s="584"/>
      <c r="P56" s="584"/>
      <c r="Q56" s="584"/>
      <c r="R56" s="584"/>
      <c r="S56" s="584"/>
      <c r="T56" s="584"/>
      <c r="U56" s="584"/>
      <c r="V56" s="584"/>
      <c r="W56" s="584"/>
      <c r="X56" s="584"/>
      <c r="Y56" s="584"/>
      <c r="Z56" s="584"/>
      <c r="AA56" s="584"/>
      <c r="AB56" s="584"/>
      <c r="AC56" s="584"/>
      <c r="AD56" s="584"/>
      <c r="AE56" s="584"/>
      <c r="AF56" s="584"/>
      <c r="AG56" s="584"/>
      <c r="AH56" s="584"/>
      <c r="AI56" s="584"/>
      <c r="AJ56" s="584"/>
      <c r="AK56" s="584"/>
      <c r="AL56" s="584"/>
      <c r="AM56" s="584"/>
      <c r="AN56" s="584"/>
      <c r="AO56" s="584"/>
      <c r="AP56" s="584"/>
      <c r="AQ56" s="584"/>
      <c r="AR56" s="584"/>
      <c r="AS56" s="584"/>
      <c r="AT56" s="584"/>
      <c r="AU56" s="584"/>
      <c r="AV56" s="584"/>
      <c r="AW56" s="584"/>
      <c r="AX56" s="584"/>
      <c r="AY56" s="584"/>
      <c r="AZ56" s="584"/>
      <c r="BA56" s="584"/>
      <c r="BB56" s="584"/>
      <c r="BC56" s="584"/>
      <c r="BD56" s="584"/>
      <c r="BE56" s="584"/>
      <c r="BF56" s="584"/>
      <c r="BG56" s="584"/>
      <c r="BH56" s="584"/>
      <c r="BI56" s="584"/>
      <c r="BJ56" s="584"/>
      <c r="BK56" s="584"/>
      <c r="BL56" s="584"/>
    </row>
    <row r="57" spans="1:77" ht="68.25" customHeight="1">
      <c r="A57" s="566"/>
      <c r="C57" s="615" t="s">
        <v>158</v>
      </c>
      <c r="D57" s="616"/>
      <c r="E57" s="616"/>
      <c r="F57" s="616"/>
      <c r="G57" s="616"/>
      <c r="H57" s="616"/>
      <c r="I57" s="616"/>
      <c r="J57" s="616"/>
      <c r="K57" s="616"/>
      <c r="L57" s="616"/>
      <c r="M57" s="616"/>
      <c r="N57" s="616"/>
      <c r="O57" s="616"/>
      <c r="P57" s="616"/>
      <c r="Q57" s="616"/>
      <c r="R57" s="616"/>
      <c r="S57" s="616"/>
      <c r="T57" s="616"/>
      <c r="U57" s="616"/>
      <c r="V57" s="616"/>
      <c r="W57" s="616"/>
      <c r="X57" s="616"/>
      <c r="Y57" s="616"/>
      <c r="Z57" s="616"/>
      <c r="AA57" s="616"/>
      <c r="AB57" s="616"/>
      <c r="AC57" s="616"/>
      <c r="AD57" s="616"/>
      <c r="AE57" s="616"/>
      <c r="AF57" s="616"/>
      <c r="AG57" s="616"/>
      <c r="AH57" s="616"/>
      <c r="AI57" s="616"/>
      <c r="AJ57" s="616"/>
      <c r="AK57" s="616"/>
      <c r="AL57" s="616"/>
      <c r="AM57" s="616"/>
      <c r="AN57" s="616"/>
      <c r="AO57" s="616"/>
      <c r="AP57" s="616"/>
      <c r="AQ57" s="616"/>
      <c r="AR57" s="616"/>
      <c r="AS57" s="616"/>
      <c r="AT57" s="616"/>
      <c r="AU57" s="616"/>
      <c r="AV57" s="616"/>
      <c r="AW57" s="616"/>
      <c r="AX57" s="616"/>
      <c r="AY57" s="616"/>
      <c r="AZ57" s="616"/>
      <c r="BA57" s="616"/>
      <c r="BB57" s="616"/>
      <c r="BC57" s="616"/>
      <c r="BD57" s="616"/>
      <c r="BE57" s="616"/>
      <c r="BF57" s="616"/>
      <c r="BG57" s="616"/>
      <c r="BH57" s="616"/>
      <c r="BI57" s="616"/>
      <c r="BJ57" s="616"/>
      <c r="BK57" s="616"/>
      <c r="BL57" s="616"/>
    </row>
    <row r="58" spans="1:77" ht="40.5" customHeight="1">
      <c r="A58" s="566"/>
      <c r="C58" s="617" t="s">
        <v>465</v>
      </c>
      <c r="D58" s="618"/>
      <c r="E58" s="618"/>
      <c r="F58" s="618"/>
      <c r="G58" s="618"/>
      <c r="H58" s="618"/>
      <c r="I58" s="618"/>
      <c r="J58" s="618"/>
      <c r="K58" s="618"/>
      <c r="L58" s="618"/>
      <c r="M58" s="618"/>
      <c r="N58" s="618"/>
      <c r="O58" s="618"/>
      <c r="P58" s="618"/>
      <c r="Q58" s="618"/>
      <c r="R58" s="618"/>
      <c r="S58" s="618"/>
      <c r="T58" s="618"/>
      <c r="U58" s="618"/>
      <c r="V58" s="618"/>
      <c r="W58" s="618"/>
      <c r="X58" s="618"/>
      <c r="Y58" s="618"/>
      <c r="Z58" s="618"/>
      <c r="AA58" s="618"/>
      <c r="AB58" s="618"/>
      <c r="AC58" s="618"/>
      <c r="AD58" s="618"/>
      <c r="AE58" s="618"/>
      <c r="AF58" s="618"/>
      <c r="AG58" s="618"/>
      <c r="AH58" s="618"/>
      <c r="AI58" s="618"/>
      <c r="AJ58" s="618"/>
      <c r="AK58" s="618"/>
      <c r="AL58" s="618"/>
      <c r="AM58" s="618"/>
      <c r="AN58" s="618"/>
      <c r="AO58" s="618"/>
      <c r="AP58" s="618"/>
      <c r="AQ58" s="618"/>
      <c r="AR58" s="618"/>
      <c r="AS58" s="618"/>
      <c r="AT58" s="618"/>
      <c r="AU58" s="618"/>
      <c r="AV58" s="618"/>
      <c r="AW58" s="618"/>
      <c r="AX58" s="618"/>
      <c r="AY58" s="618"/>
      <c r="AZ58" s="618"/>
      <c r="BA58" s="618"/>
      <c r="BB58" s="618"/>
      <c r="BC58" s="618"/>
      <c r="BD58" s="618"/>
      <c r="BE58" s="618"/>
      <c r="BF58" s="618"/>
      <c r="BG58" s="618"/>
      <c r="BH58" s="618"/>
      <c r="BI58" s="618"/>
      <c r="BJ58" s="618"/>
      <c r="BK58" s="618"/>
      <c r="BL58" s="618"/>
    </row>
  </sheetData>
  <mergeCells count="67">
    <mergeCell ref="C50:BW50"/>
    <mergeCell ref="A5:BX5"/>
    <mergeCell ref="A6:A58"/>
    <mergeCell ref="BV6:BX8"/>
    <mergeCell ref="B11:B48"/>
    <mergeCell ref="C57:BL57"/>
    <mergeCell ref="C58:BL58"/>
    <mergeCell ref="C53:BL53"/>
    <mergeCell ref="C54:BL54"/>
    <mergeCell ref="C55:BL55"/>
    <mergeCell ref="C56:BL56"/>
    <mergeCell ref="C49:BW49"/>
    <mergeCell ref="B6:BL6"/>
    <mergeCell ref="BM6:BP8"/>
    <mergeCell ref="BQ6:BU8"/>
    <mergeCell ref="B9:B10"/>
    <mergeCell ref="B2:BX2"/>
    <mergeCell ref="B3:BX3"/>
    <mergeCell ref="B8:F8"/>
    <mergeCell ref="G7:BL7"/>
    <mergeCell ref="G8:AJ8"/>
    <mergeCell ref="AK8:BK8"/>
    <mergeCell ref="C9:C10"/>
    <mergeCell ref="D9:D10"/>
    <mergeCell ref="E9:E10"/>
    <mergeCell ref="B7:F7"/>
    <mergeCell ref="BL9:BL10"/>
    <mergeCell ref="BI9:BI10"/>
    <mergeCell ref="BH9:BH10"/>
    <mergeCell ref="BG9:BG10"/>
    <mergeCell ref="BF9:BF10"/>
    <mergeCell ref="BJ9:BJ10"/>
    <mergeCell ref="BK9:BK10"/>
    <mergeCell ref="BE9:BE10"/>
    <mergeCell ref="BD9:BD10"/>
    <mergeCell ref="BC9:BC10"/>
    <mergeCell ref="BB9:BB10"/>
    <mergeCell ref="BA9:BA10"/>
    <mergeCell ref="AZ9:AZ10"/>
    <mergeCell ref="AY9:AY10"/>
    <mergeCell ref="AX9:AX10"/>
    <mergeCell ref="AW9:AW10"/>
    <mergeCell ref="AV9:AV10"/>
    <mergeCell ref="AN9:AN10"/>
    <mergeCell ref="AM9:AM10"/>
    <mergeCell ref="AL9:AL10"/>
    <mergeCell ref="AU9:AU10"/>
    <mergeCell ref="AT9:AT10"/>
    <mergeCell ref="AS9:AS10"/>
    <mergeCell ref="AR9:AR10"/>
    <mergeCell ref="AQ9:AQ10"/>
    <mergeCell ref="BV9:BV10"/>
    <mergeCell ref="BW9:BW10"/>
    <mergeCell ref="BX9:BX10"/>
    <mergeCell ref="F9:F10"/>
    <mergeCell ref="BQ9:BQ10"/>
    <mergeCell ref="BR9:BR10"/>
    <mergeCell ref="BS9:BS10"/>
    <mergeCell ref="BT9:BT10"/>
    <mergeCell ref="BU9:BU10"/>
    <mergeCell ref="AK9:AK10"/>
    <mergeCell ref="BM9:BM10"/>
    <mergeCell ref="BN9:BN10"/>
    <mergeCell ref="BO9:BO10"/>
    <mergeCell ref="BP9:BP10"/>
    <mergeCell ref="AP9:AP10"/>
    <mergeCell ref="AO9:AO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2</vt:i4>
      </vt:variant>
    </vt:vector>
  </HeadingPairs>
  <TitlesOfParts>
    <vt:vector size="12" baseType="lpstr">
      <vt:lpstr>VALOR MENSAL DOS SERVIÇOS</vt:lpstr>
      <vt:lpstr>PLANILHA DE CUSTOS E FORMAÇÃO</vt:lpstr>
      <vt:lpstr>Encarregado DF</vt:lpstr>
      <vt:lpstr>Servente DF</vt:lpstr>
      <vt:lpstr>Jardineiro DF</vt:lpstr>
      <vt:lpstr>Jauzeiro DF</vt:lpstr>
      <vt:lpstr>Uniformes</vt:lpstr>
      <vt:lpstr>Equipamentos</vt:lpstr>
      <vt:lpstr>Materiais Uso Excepcional</vt:lpstr>
      <vt:lpstr>Materiais Uso Contín Mensal</vt:lpstr>
      <vt:lpstr>'PLANILHA DE CUSTOS E FORMAÇÃO'!Area_de_impressao</vt:lpstr>
      <vt:lpstr>'VALOR MENSAL DOS SERVIÇOS'!Area_de_impressao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Vinicius Miranda Gomes</cp:lastModifiedBy>
  <dcterms:created xsi:type="dcterms:W3CDTF">2018-01-23T19:35:16Z</dcterms:created>
  <dcterms:modified xsi:type="dcterms:W3CDTF">2021-11-05T13:49:16Z</dcterms:modified>
</cp:coreProperties>
</file>