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analtopr-my.sharepoint.com/personal/bruno_melin_presidencia_gov_br/Documents/Documentos/PDG Revisão-03/Grupo 4 - Modelagem Econômico-Financeira/"/>
    </mc:Choice>
  </mc:AlternateContent>
  <xr:revisionPtr revIDLastSave="29" documentId="8_{904F651C-DE59-4E5B-BD80-D0A509EE0780}" xr6:coauthVersionLast="47" xr6:coauthVersionMax="47" xr10:uidLastSave="{2113F873-8473-47C9-BD0F-5E00B3303457}"/>
  <bookViews>
    <workbookView xWindow="-120" yWindow="-120" windowWidth="29040" windowHeight="15840" xr2:uid="{00000000-000D-0000-FFFF-FFFF00000000}"/>
  </bookViews>
  <sheets>
    <sheet name="Valor de Outorga" sheetId="3" r:id="rId1"/>
    <sheet name="Valoração da IE" sheetId="4" r:id="rId2"/>
    <sheet name="Orçam" sheetId="1" r:id="rId3"/>
  </sheets>
  <externalReferences>
    <externalReference r:id="rId4"/>
    <externalReference r:id="rId5"/>
  </externalReferences>
  <definedNames>
    <definedName name="_xlnm.Print_Area" localSheetId="1">'Valoração da IE'!$A$3:$B$60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3" l="1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C5" i="3"/>
  <c r="J31" i="3" l="1"/>
  <c r="K31" i="3" l="1"/>
  <c r="L31" i="3" s="1"/>
  <c r="J6" i="4"/>
  <c r="O82" i="1" l="1"/>
  <c r="O75" i="1"/>
  <c r="O185" i="1"/>
  <c r="O184" i="1"/>
  <c r="O183" i="1"/>
  <c r="O180" i="1"/>
  <c r="O179" i="1"/>
  <c r="O178" i="1"/>
  <c r="P13" i="1"/>
  <c r="P11" i="1"/>
  <c r="O177" i="1" l="1"/>
  <c r="P10" i="1"/>
  <c r="O182" i="1"/>
  <c r="S182" i="1"/>
  <c r="K37" i="1" l="1"/>
  <c r="K203" i="1"/>
  <c r="K202" i="1"/>
  <c r="K201" i="1"/>
  <c r="K174" i="1"/>
  <c r="K173" i="1"/>
  <c r="K172" i="1"/>
  <c r="K160" i="1"/>
  <c r="K159" i="1"/>
  <c r="K158" i="1"/>
  <c r="K157" i="1"/>
  <c r="K156" i="1"/>
  <c r="K152" i="1"/>
  <c r="K175" i="1"/>
  <c r="K166" i="1"/>
  <c r="K143" i="1"/>
  <c r="K142" i="1"/>
  <c r="K141" i="1"/>
  <c r="K140" i="1"/>
  <c r="K135" i="1"/>
  <c r="K134" i="1"/>
  <c r="K133" i="1"/>
  <c r="K128" i="1"/>
  <c r="K125" i="1"/>
  <c r="K116" i="1"/>
  <c r="K109" i="1"/>
  <c r="K102" i="1"/>
  <c r="K95" i="1"/>
  <c r="K115" i="1"/>
  <c r="K114" i="1"/>
  <c r="K108" i="1"/>
  <c r="K101" i="1"/>
  <c r="K112" i="1"/>
  <c r="K105" i="1"/>
  <c r="K98" i="1"/>
  <c r="K91" i="1"/>
  <c r="K94" i="1"/>
  <c r="K88" i="1"/>
  <c r="K81" i="1"/>
  <c r="K74" i="1"/>
  <c r="K67" i="1"/>
  <c r="K60" i="1"/>
  <c r="K59" i="1"/>
  <c r="K58" i="1"/>
  <c r="K136" i="1" l="1"/>
  <c r="K61" i="1" l="1"/>
  <c r="K144" i="1" l="1"/>
  <c r="K197" i="1" l="1"/>
  <c r="K195" i="1"/>
  <c r="K191" i="1"/>
  <c r="K190" i="1"/>
  <c r="K189" i="1"/>
  <c r="K188" i="1"/>
  <c r="K54" i="1"/>
  <c r="K53" i="1"/>
  <c r="Y43" i="1"/>
  <c r="Z43" i="1" s="1"/>
  <c r="Y35" i="1"/>
  <c r="Z35" i="1" s="1"/>
  <c r="Y19" i="1"/>
  <c r="Z19" i="1" s="1"/>
  <c r="X22" i="1"/>
  <c r="X16" i="1"/>
  <c r="W43" i="1"/>
  <c r="W35" i="1"/>
  <c r="W19" i="1"/>
  <c r="T19" i="1"/>
  <c r="U19" i="1" s="1"/>
  <c r="K27" i="1"/>
  <c r="K52" i="1"/>
  <c r="K51" i="1"/>
  <c r="K50" i="1"/>
  <c r="K47" i="1"/>
  <c r="K46" i="1"/>
  <c r="K45" i="1"/>
  <c r="K44" i="1"/>
  <c r="K42" i="1"/>
  <c r="J42" i="1" s="1"/>
  <c r="K75" i="1"/>
  <c r="K39" i="1"/>
  <c r="K38" i="1"/>
  <c r="K36" i="1"/>
  <c r="K34" i="1"/>
  <c r="J34" i="1" s="1"/>
  <c r="K82" i="1"/>
  <c r="K31" i="1"/>
  <c r="K30" i="1"/>
  <c r="K29" i="1"/>
  <c r="K28" i="1"/>
  <c r="K26" i="1"/>
  <c r="J26" i="1" s="1"/>
  <c r="K68" i="1"/>
  <c r="K23" i="1"/>
  <c r="K22" i="1"/>
  <c r="K21" i="1"/>
  <c r="K20" i="1"/>
  <c r="K18" i="1"/>
  <c r="X35" i="1" l="1"/>
  <c r="X43" i="1"/>
  <c r="X19" i="1"/>
  <c r="J68" i="1"/>
  <c r="AA43" i="1"/>
  <c r="K43" i="1" s="1"/>
  <c r="AA35" i="1"/>
  <c r="K35" i="1" s="1"/>
  <c r="AD17" i="1"/>
  <c r="AD43" i="1" s="1"/>
  <c r="AA19" i="1"/>
  <c r="K19" i="1" s="1"/>
  <c r="J91" i="1"/>
  <c r="J85" i="1"/>
  <c r="D195" i="1"/>
  <c r="AA16" i="1" l="1"/>
  <c r="AD19" i="1"/>
  <c r="AD35" i="1"/>
  <c r="I154" i="1" l="1"/>
  <c r="I159" i="1" l="1"/>
  <c r="I160" i="1"/>
  <c r="I156" i="1"/>
  <c r="I157" i="1"/>
  <c r="I158" i="1"/>
  <c r="N203" i="1"/>
  <c r="P203" i="1" s="1"/>
  <c r="N202" i="1"/>
  <c r="P202" i="1" s="1"/>
  <c r="N201" i="1"/>
  <c r="P201" i="1" s="1"/>
  <c r="N198" i="1"/>
  <c r="N197" i="1"/>
  <c r="P197" i="1" s="1"/>
  <c r="N195" i="1"/>
  <c r="P195" i="1" s="1"/>
  <c r="N189" i="1"/>
  <c r="P189" i="1" s="1"/>
  <c r="N190" i="1"/>
  <c r="P190" i="1" s="1"/>
  <c r="N191" i="1"/>
  <c r="P191" i="1" s="1"/>
  <c r="N188" i="1"/>
  <c r="P188" i="1" s="1"/>
  <c r="J188" i="1"/>
  <c r="M182" i="1"/>
  <c r="M177" i="1"/>
  <c r="N175" i="1"/>
  <c r="P175" i="1" s="1"/>
  <c r="N174" i="1"/>
  <c r="P174" i="1" s="1"/>
  <c r="N173" i="1"/>
  <c r="P173" i="1" s="1"/>
  <c r="N172" i="1"/>
  <c r="P172" i="1" s="1"/>
  <c r="N171" i="1"/>
  <c r="P171" i="1" s="1"/>
  <c r="N170" i="1"/>
  <c r="P170" i="1" s="1"/>
  <c r="M170" i="1"/>
  <c r="O170" i="1" s="1"/>
  <c r="N166" i="1"/>
  <c r="P166" i="1" s="1"/>
  <c r="N165" i="1"/>
  <c r="P165" i="1" s="1"/>
  <c r="N164" i="1"/>
  <c r="P164" i="1" s="1"/>
  <c r="M164" i="1"/>
  <c r="O164" i="1" s="1"/>
  <c r="N160" i="1"/>
  <c r="P160" i="1" s="1"/>
  <c r="N159" i="1"/>
  <c r="P159" i="1" s="1"/>
  <c r="N158" i="1"/>
  <c r="P158" i="1" s="1"/>
  <c r="N157" i="1"/>
  <c r="P157" i="1" s="1"/>
  <c r="N156" i="1"/>
  <c r="P156" i="1" s="1"/>
  <c r="N155" i="1"/>
  <c r="P155" i="1" s="1"/>
  <c r="M155" i="1"/>
  <c r="O155" i="1" s="1"/>
  <c r="N152" i="1"/>
  <c r="P152" i="1" s="1"/>
  <c r="N151" i="1"/>
  <c r="P151" i="1" s="1"/>
  <c r="N150" i="1"/>
  <c r="P150" i="1" s="1"/>
  <c r="N149" i="1"/>
  <c r="P149" i="1" s="1"/>
  <c r="N148" i="1"/>
  <c r="P148" i="1" s="1"/>
  <c r="N147" i="1"/>
  <c r="P147" i="1" s="1"/>
  <c r="N143" i="1"/>
  <c r="P143" i="1" s="1"/>
  <c r="N142" i="1"/>
  <c r="P142" i="1" s="1"/>
  <c r="N141" i="1"/>
  <c r="P141" i="1" s="1"/>
  <c r="N140" i="1"/>
  <c r="P140" i="1" s="1"/>
  <c r="N139" i="1"/>
  <c r="P139" i="1" s="1"/>
  <c r="N136" i="1"/>
  <c r="P136" i="1" s="1"/>
  <c r="N129" i="1"/>
  <c r="P129" i="1" s="1"/>
  <c r="N128" i="1"/>
  <c r="P128" i="1" s="1"/>
  <c r="N125" i="1"/>
  <c r="P125" i="1" s="1"/>
  <c r="N124" i="1"/>
  <c r="P124" i="1" s="1"/>
  <c r="N123" i="1"/>
  <c r="P123" i="1" s="1"/>
  <c r="N122" i="1"/>
  <c r="P122" i="1" s="1"/>
  <c r="N121" i="1"/>
  <c r="P121" i="1" s="1"/>
  <c r="N120" i="1"/>
  <c r="P120" i="1" s="1"/>
  <c r="N119" i="1"/>
  <c r="P119" i="1" s="1"/>
  <c r="N115" i="1"/>
  <c r="P115" i="1" s="1"/>
  <c r="N114" i="1"/>
  <c r="P114" i="1" s="1"/>
  <c r="N113" i="1"/>
  <c r="P113" i="1" s="1"/>
  <c r="N112" i="1"/>
  <c r="P112" i="1" s="1"/>
  <c r="N108" i="1"/>
  <c r="P108" i="1" s="1"/>
  <c r="N107" i="1"/>
  <c r="P107" i="1" s="1"/>
  <c r="N106" i="1"/>
  <c r="P106" i="1" s="1"/>
  <c r="N105" i="1"/>
  <c r="P105" i="1" s="1"/>
  <c r="N101" i="1"/>
  <c r="P101" i="1" s="1"/>
  <c r="N100" i="1"/>
  <c r="P100" i="1" s="1"/>
  <c r="N99" i="1"/>
  <c r="P99" i="1" s="1"/>
  <c r="N98" i="1"/>
  <c r="P98" i="1" s="1"/>
  <c r="N92" i="1"/>
  <c r="P92" i="1" s="1"/>
  <c r="N93" i="1"/>
  <c r="P93" i="1" s="1"/>
  <c r="N94" i="1"/>
  <c r="P94" i="1" s="1"/>
  <c r="N91" i="1"/>
  <c r="P91" i="1" s="1"/>
  <c r="M91" i="1"/>
  <c r="O91" i="1" s="1"/>
  <c r="N86" i="1"/>
  <c r="P86" i="1" s="1"/>
  <c r="N87" i="1"/>
  <c r="P87" i="1" s="1"/>
  <c r="N88" i="1"/>
  <c r="P88" i="1" s="1"/>
  <c r="N85" i="1"/>
  <c r="P85" i="1" s="1"/>
  <c r="N79" i="1"/>
  <c r="P79" i="1" s="1"/>
  <c r="N80" i="1"/>
  <c r="P80" i="1" s="1"/>
  <c r="N81" i="1"/>
  <c r="P81" i="1" s="1"/>
  <c r="N78" i="1"/>
  <c r="P78" i="1" s="1"/>
  <c r="N72" i="1"/>
  <c r="P72" i="1" s="1"/>
  <c r="N73" i="1"/>
  <c r="P73" i="1" s="1"/>
  <c r="N74" i="1"/>
  <c r="P74" i="1" s="1"/>
  <c r="N71" i="1"/>
  <c r="P71" i="1" s="1"/>
  <c r="N65" i="1"/>
  <c r="P65" i="1" s="1"/>
  <c r="N66" i="1"/>
  <c r="P66" i="1" s="1"/>
  <c r="N67" i="1"/>
  <c r="P67" i="1" s="1"/>
  <c r="N64" i="1"/>
  <c r="P64" i="1" s="1"/>
  <c r="N61" i="1"/>
  <c r="P61" i="1" s="1"/>
  <c r="N51" i="1"/>
  <c r="P51" i="1" s="1"/>
  <c r="N52" i="1"/>
  <c r="P52" i="1" s="1"/>
  <c r="N53" i="1"/>
  <c r="P53" i="1" s="1"/>
  <c r="N54" i="1"/>
  <c r="P54" i="1" s="1"/>
  <c r="N50" i="1"/>
  <c r="P50" i="1" s="1"/>
  <c r="N47" i="1"/>
  <c r="P47" i="1" s="1"/>
  <c r="N46" i="1"/>
  <c r="P46" i="1" s="1"/>
  <c r="N45" i="1"/>
  <c r="P45" i="1" s="1"/>
  <c r="N44" i="1"/>
  <c r="P44" i="1" s="1"/>
  <c r="N42" i="1"/>
  <c r="P42" i="1" s="1"/>
  <c r="N36" i="1"/>
  <c r="P36" i="1" s="1"/>
  <c r="N37" i="1"/>
  <c r="P37" i="1" s="1"/>
  <c r="N38" i="1"/>
  <c r="P38" i="1" s="1"/>
  <c r="N39" i="1"/>
  <c r="P39" i="1" s="1"/>
  <c r="N34" i="1"/>
  <c r="P34" i="1" s="1"/>
  <c r="N28" i="1"/>
  <c r="P28" i="1" s="1"/>
  <c r="N29" i="1"/>
  <c r="P29" i="1" s="1"/>
  <c r="N30" i="1"/>
  <c r="P30" i="1" s="1"/>
  <c r="N31" i="1"/>
  <c r="P31" i="1" s="1"/>
  <c r="N26" i="1"/>
  <c r="P26" i="1" s="1"/>
  <c r="N20" i="1"/>
  <c r="P20" i="1" s="1"/>
  <c r="N21" i="1"/>
  <c r="P21" i="1" s="1"/>
  <c r="N22" i="1"/>
  <c r="P22" i="1" s="1"/>
  <c r="N23" i="1"/>
  <c r="P23" i="1" s="1"/>
  <c r="N18" i="1"/>
  <c r="P18" i="1" s="1"/>
  <c r="N10" i="1"/>
  <c r="P84" i="1" l="1"/>
  <c r="P118" i="1"/>
  <c r="P146" i="1"/>
  <c r="P169" i="1"/>
  <c r="P200" i="1"/>
  <c r="M188" i="1"/>
  <c r="O188" i="1" s="1"/>
  <c r="N118" i="1"/>
  <c r="N146" i="1"/>
  <c r="N200" i="1"/>
  <c r="N169" i="1"/>
  <c r="N84" i="1"/>
  <c r="J92" i="1" l="1"/>
  <c r="J93" i="1" l="1"/>
  <c r="M92" i="1"/>
  <c r="O92" i="1" s="1"/>
  <c r="N109" i="1"/>
  <c r="J73" i="1"/>
  <c r="N59" i="1"/>
  <c r="P59" i="1" s="1"/>
  <c r="V61" i="1"/>
  <c r="N104" i="1" l="1"/>
  <c r="P109" i="1"/>
  <c r="M93" i="1"/>
  <c r="O93" i="1" s="1"/>
  <c r="M73" i="1"/>
  <c r="O73" i="1" s="1"/>
  <c r="C18" i="4" s="1"/>
  <c r="E18" i="4" s="1"/>
  <c r="F18" i="4" s="1"/>
  <c r="G18" i="4" s="1"/>
  <c r="E111" i="1"/>
  <c r="J112" i="1" s="1"/>
  <c r="E104" i="1"/>
  <c r="J105" i="1" s="1"/>
  <c r="J101" i="1"/>
  <c r="P104" i="1" l="1"/>
  <c r="M112" i="1"/>
  <c r="O112" i="1" s="1"/>
  <c r="C34" i="4" s="1"/>
  <c r="M105" i="1"/>
  <c r="O105" i="1" s="1"/>
  <c r="C30" i="4" s="1"/>
  <c r="M101" i="1"/>
  <c r="O101" i="1" s="1"/>
  <c r="J113" i="1"/>
  <c r="J106" i="1"/>
  <c r="M106" i="1" s="1"/>
  <c r="O106" i="1" s="1"/>
  <c r="C31" i="4" s="1"/>
  <c r="E31" i="4" s="1"/>
  <c r="F31" i="4" s="1"/>
  <c r="G31" i="4" s="1"/>
  <c r="E97" i="1"/>
  <c r="E34" i="4" l="1"/>
  <c r="E30" i="4"/>
  <c r="F30" i="4"/>
  <c r="J107" i="1"/>
  <c r="M113" i="1"/>
  <c r="O113" i="1" s="1"/>
  <c r="C35" i="4" s="1"/>
  <c r="J98" i="1"/>
  <c r="E35" i="4" l="1"/>
  <c r="F35" i="4" s="1"/>
  <c r="G35" i="4" s="1"/>
  <c r="G30" i="4"/>
  <c r="G29" i="4" s="1"/>
  <c r="F29" i="4"/>
  <c r="F34" i="4"/>
  <c r="M107" i="1"/>
  <c r="O107" i="1" s="1"/>
  <c r="C32" i="4" s="1"/>
  <c r="E32" i="4" s="1"/>
  <c r="F32" i="4" s="1"/>
  <c r="G32" i="4" s="1"/>
  <c r="M98" i="1"/>
  <c r="O98" i="1" s="1"/>
  <c r="C26" i="4" s="1"/>
  <c r="J99" i="1"/>
  <c r="E29" i="4" l="1"/>
  <c r="E33" i="4"/>
  <c r="F33" i="4"/>
  <c r="G34" i="4"/>
  <c r="G33" i="4" s="1"/>
  <c r="E26" i="4"/>
  <c r="F26" i="4"/>
  <c r="M99" i="1"/>
  <c r="O99" i="1" s="1"/>
  <c r="C27" i="4" s="1"/>
  <c r="J100" i="1"/>
  <c r="J175" i="1"/>
  <c r="R38" i="1"/>
  <c r="S57" i="1"/>
  <c r="N58" i="1"/>
  <c r="P58" i="1" s="1"/>
  <c r="N144" i="1"/>
  <c r="V62" i="1"/>
  <c r="E27" i="4" l="1"/>
  <c r="E25" i="4" s="1"/>
  <c r="G26" i="4"/>
  <c r="N138" i="1"/>
  <c r="P144" i="1"/>
  <c r="M100" i="1"/>
  <c r="O100" i="1" s="1"/>
  <c r="C28" i="4" s="1"/>
  <c r="E28" i="4" s="1"/>
  <c r="F28" i="4" s="1"/>
  <c r="G28" i="4" s="1"/>
  <c r="M175" i="1"/>
  <c r="O175" i="1" s="1"/>
  <c r="J133" i="1"/>
  <c r="N133" i="1"/>
  <c r="P133" i="1" s="1"/>
  <c r="J58" i="1"/>
  <c r="S34" i="1"/>
  <c r="T27" i="1"/>
  <c r="U27" i="1" s="1"/>
  <c r="N27" i="1" s="1"/>
  <c r="T43" i="1"/>
  <c r="U43" i="1" s="1"/>
  <c r="N43" i="1" s="1"/>
  <c r="T35" i="1"/>
  <c r="F27" i="4" l="1"/>
  <c r="P138" i="1"/>
  <c r="N41" i="1"/>
  <c r="P43" i="1"/>
  <c r="N25" i="1"/>
  <c r="P27" i="1"/>
  <c r="M58" i="1"/>
  <c r="O58" i="1" s="1"/>
  <c r="C14" i="4" s="1"/>
  <c r="U35" i="1"/>
  <c r="N35" i="1" s="1"/>
  <c r="D134" i="1"/>
  <c r="M133" i="1"/>
  <c r="O133" i="1" s="1"/>
  <c r="C46" i="4" s="1"/>
  <c r="J59" i="1"/>
  <c r="G27" i="4" l="1"/>
  <c r="G25" i="4" s="1"/>
  <c r="F25" i="4"/>
  <c r="E46" i="4"/>
  <c r="E45" i="4" s="1"/>
  <c r="E14" i="4"/>
  <c r="E13" i="4" s="1"/>
  <c r="F14" i="4"/>
  <c r="F13" i="4" s="1"/>
  <c r="P41" i="1"/>
  <c r="P25" i="1"/>
  <c r="N33" i="1"/>
  <c r="P35" i="1"/>
  <c r="M59" i="1"/>
  <c r="O59" i="1" s="1"/>
  <c r="N19" i="1"/>
  <c r="T22" i="1"/>
  <c r="R39" i="1"/>
  <c r="S42" i="1"/>
  <c r="F46" i="4" l="1"/>
  <c r="G14" i="4"/>
  <c r="G13" i="4" s="1"/>
  <c r="G46" i="4"/>
  <c r="G45" i="4" s="1"/>
  <c r="F45" i="4"/>
  <c r="P33" i="1"/>
  <c r="N17" i="1"/>
  <c r="P19" i="1"/>
  <c r="J43" i="1"/>
  <c r="J79" i="1"/>
  <c r="J122" i="1"/>
  <c r="J121" i="1"/>
  <c r="J120" i="1"/>
  <c r="J72" i="1"/>
  <c r="J66" i="1"/>
  <c r="J65" i="1"/>
  <c r="J53" i="1"/>
  <c r="J54" i="1"/>
  <c r="P17" i="1" l="1"/>
  <c r="M121" i="1"/>
  <c r="O121" i="1" s="1"/>
  <c r="C39" i="4" s="1"/>
  <c r="E39" i="4" s="1"/>
  <c r="F39" i="4" s="1"/>
  <c r="G39" i="4" s="1"/>
  <c r="M66" i="1"/>
  <c r="O66" i="1" s="1"/>
  <c r="M122" i="1"/>
  <c r="O122" i="1" s="1"/>
  <c r="C40" i="4" s="1"/>
  <c r="E40" i="4" s="1"/>
  <c r="F40" i="4" s="1"/>
  <c r="G40" i="4" s="1"/>
  <c r="M72" i="1"/>
  <c r="O72" i="1" s="1"/>
  <c r="C17" i="4" s="1"/>
  <c r="E17" i="4" s="1"/>
  <c r="F17" i="4" s="1"/>
  <c r="G17" i="4" s="1"/>
  <c r="M79" i="1"/>
  <c r="O79" i="1" s="1"/>
  <c r="C22" i="4" s="1"/>
  <c r="M54" i="1"/>
  <c r="O54" i="1" s="1"/>
  <c r="M53" i="1"/>
  <c r="O53" i="1" s="1"/>
  <c r="M43" i="1"/>
  <c r="O43" i="1" s="1"/>
  <c r="D135" i="1"/>
  <c r="N134" i="1"/>
  <c r="P134" i="1" s="1"/>
  <c r="J123" i="1"/>
  <c r="M120" i="1"/>
  <c r="O120" i="1" s="1"/>
  <c r="C38" i="4" s="1"/>
  <c r="M65" i="1"/>
  <c r="O65" i="1" s="1"/>
  <c r="J67" i="1"/>
  <c r="E18" i="1"/>
  <c r="M26" i="1"/>
  <c r="O26" i="1" s="1"/>
  <c r="C8" i="4" s="1"/>
  <c r="J134" i="1"/>
  <c r="J35" i="1"/>
  <c r="D11" i="1"/>
  <c r="J14" i="1" s="1"/>
  <c r="M14" i="1" s="1"/>
  <c r="J74" i="1"/>
  <c r="E22" i="4" l="1"/>
  <c r="F22" i="4" s="1"/>
  <c r="G22" i="4" s="1"/>
  <c r="E38" i="4"/>
  <c r="F38" i="4"/>
  <c r="G38" i="4" s="1"/>
  <c r="E8" i="4"/>
  <c r="M13" i="1"/>
  <c r="O13" i="1" s="1"/>
  <c r="C5" i="4" s="1"/>
  <c r="O14" i="1"/>
  <c r="C6" i="4" s="1"/>
  <c r="M74" i="1"/>
  <c r="O74" i="1" s="1"/>
  <c r="M123" i="1"/>
  <c r="O123" i="1" s="1"/>
  <c r="C41" i="4" s="1"/>
  <c r="M67" i="1"/>
  <c r="O67" i="1" s="1"/>
  <c r="M35" i="1"/>
  <c r="O35" i="1" s="1"/>
  <c r="J64" i="1"/>
  <c r="M134" i="1"/>
  <c r="O134" i="1" s="1"/>
  <c r="J124" i="1"/>
  <c r="J12" i="1"/>
  <c r="C192" i="1"/>
  <c r="C175" i="1"/>
  <c r="C167" i="1"/>
  <c r="C161" i="1"/>
  <c r="C152" i="1"/>
  <c r="J202" i="1"/>
  <c r="J203" i="1"/>
  <c r="J201" i="1"/>
  <c r="J191" i="1"/>
  <c r="J189" i="1"/>
  <c r="J190" i="1"/>
  <c r="J173" i="1"/>
  <c r="J174" i="1"/>
  <c r="J172" i="1"/>
  <c r="J166" i="1"/>
  <c r="J115" i="1"/>
  <c r="J114" i="1"/>
  <c r="E41" i="4" l="1"/>
  <c r="F41" i="4"/>
  <c r="G41" i="4" s="1"/>
  <c r="E6" i="4"/>
  <c r="E5" i="4" s="1"/>
  <c r="F8" i="4"/>
  <c r="E7" i="4"/>
  <c r="C19" i="4"/>
  <c r="E19" i="4" s="1"/>
  <c r="J119" i="1"/>
  <c r="M64" i="1"/>
  <c r="O64" i="1" s="1"/>
  <c r="M114" i="1"/>
  <c r="O114" i="1" s="1"/>
  <c r="M191" i="1"/>
  <c r="O191" i="1" s="1"/>
  <c r="M115" i="1"/>
  <c r="O115" i="1" s="1"/>
  <c r="M190" i="1"/>
  <c r="O190" i="1" s="1"/>
  <c r="M174" i="1"/>
  <c r="O174" i="1" s="1"/>
  <c r="M173" i="1"/>
  <c r="O173" i="1" s="1"/>
  <c r="M172" i="1"/>
  <c r="O172" i="1" s="1"/>
  <c r="M189" i="1"/>
  <c r="O189" i="1" s="1"/>
  <c r="M201" i="1"/>
  <c r="O201" i="1" s="1"/>
  <c r="M203" i="1"/>
  <c r="O203" i="1" s="1"/>
  <c r="J165" i="1"/>
  <c r="M166" i="1"/>
  <c r="O166" i="1" s="1"/>
  <c r="M202" i="1"/>
  <c r="O202" i="1" s="1"/>
  <c r="J135" i="1"/>
  <c r="N135" i="1"/>
  <c r="J200" i="1"/>
  <c r="J141" i="1"/>
  <c r="J142" i="1"/>
  <c r="J143" i="1"/>
  <c r="J140" i="1"/>
  <c r="J157" i="1"/>
  <c r="M157" i="1" s="1"/>
  <c r="O157" i="1" s="1"/>
  <c r="J158" i="1"/>
  <c r="M158" i="1" s="1"/>
  <c r="O158" i="1" s="1"/>
  <c r="J159" i="1"/>
  <c r="M159" i="1" s="1"/>
  <c r="O159" i="1" s="1"/>
  <c r="J160" i="1"/>
  <c r="M160" i="1" s="1"/>
  <c r="O160" i="1" s="1"/>
  <c r="J156" i="1"/>
  <c r="M156" i="1" s="1"/>
  <c r="O156" i="1" s="1"/>
  <c r="J136" i="1"/>
  <c r="J128" i="1"/>
  <c r="J125" i="1"/>
  <c r="J108" i="1"/>
  <c r="J94" i="1"/>
  <c r="J88" i="1"/>
  <c r="M88" i="1" s="1"/>
  <c r="O88" i="1" s="1"/>
  <c r="J47" i="1"/>
  <c r="M47" i="1" s="1"/>
  <c r="O47" i="1" s="1"/>
  <c r="J46" i="1"/>
  <c r="J45" i="1"/>
  <c r="J44" i="1"/>
  <c r="J39" i="1"/>
  <c r="M39" i="1" s="1"/>
  <c r="O39" i="1" s="1"/>
  <c r="J38" i="1"/>
  <c r="J37" i="1"/>
  <c r="J29" i="1"/>
  <c r="J30" i="1"/>
  <c r="F6" i="4" l="1"/>
  <c r="F19" i="4"/>
  <c r="F7" i="4"/>
  <c r="G8" i="4"/>
  <c r="G7" i="4" s="1"/>
  <c r="N132" i="1"/>
  <c r="P135" i="1"/>
  <c r="O200" i="1"/>
  <c r="M34" i="1"/>
  <c r="O34" i="1" s="1"/>
  <c r="C10" i="4" s="1"/>
  <c r="M125" i="1"/>
  <c r="O125" i="1" s="1"/>
  <c r="M29" i="1"/>
  <c r="O29" i="1" s="1"/>
  <c r="M108" i="1"/>
  <c r="O108" i="1" s="1"/>
  <c r="M141" i="1"/>
  <c r="O141" i="1" s="1"/>
  <c r="M143" i="1"/>
  <c r="O143" i="1" s="1"/>
  <c r="M46" i="1"/>
  <c r="O46" i="1" s="1"/>
  <c r="M37" i="1"/>
  <c r="O37" i="1" s="1"/>
  <c r="M44" i="1"/>
  <c r="O44" i="1" s="1"/>
  <c r="M30" i="1"/>
  <c r="O30" i="1" s="1"/>
  <c r="M38" i="1"/>
  <c r="O38" i="1" s="1"/>
  <c r="M45" i="1"/>
  <c r="O45" i="1" s="1"/>
  <c r="M94" i="1"/>
  <c r="O94" i="1" s="1"/>
  <c r="M142" i="1"/>
  <c r="O142" i="1" s="1"/>
  <c r="M135" i="1"/>
  <c r="O135" i="1" s="1"/>
  <c r="M165" i="1"/>
  <c r="O165" i="1" s="1"/>
  <c r="C56" i="4" s="1"/>
  <c r="J163" i="1"/>
  <c r="E42" i="1"/>
  <c r="M42" i="1"/>
  <c r="O42" i="1" s="1"/>
  <c r="C12" i="4" s="1"/>
  <c r="J139" i="1"/>
  <c r="M140" i="1"/>
  <c r="O140" i="1" s="1"/>
  <c r="J129" i="1"/>
  <c r="M128" i="1"/>
  <c r="O128" i="1" s="1"/>
  <c r="J132" i="1"/>
  <c r="M136" i="1"/>
  <c r="O136" i="1" s="1"/>
  <c r="M200" i="1"/>
  <c r="J51" i="1"/>
  <c r="J52" i="1"/>
  <c r="J50" i="1"/>
  <c r="J61" i="1"/>
  <c r="F5" i="4" l="1"/>
  <c r="G6" i="4"/>
  <c r="G5" i="4" s="1"/>
  <c r="E12" i="4"/>
  <c r="E11" i="4" s="1"/>
  <c r="E10" i="4"/>
  <c r="E9" i="4" s="1"/>
  <c r="F10" i="4"/>
  <c r="E56" i="4"/>
  <c r="E55" i="4" s="1"/>
  <c r="G19" i="4"/>
  <c r="P132" i="1"/>
  <c r="O132" i="1"/>
  <c r="C45" i="4" s="1"/>
  <c r="O41" i="1"/>
  <c r="C11" i="4" s="1"/>
  <c r="M41" i="1"/>
  <c r="M51" i="1"/>
  <c r="O51" i="1" s="1"/>
  <c r="M139" i="1"/>
  <c r="O139" i="1" s="1"/>
  <c r="C48" i="4" s="1"/>
  <c r="M50" i="1"/>
  <c r="O50" i="1" s="1"/>
  <c r="M129" i="1"/>
  <c r="O129" i="1" s="1"/>
  <c r="C44" i="4" s="1"/>
  <c r="M52" i="1"/>
  <c r="O52" i="1" s="1"/>
  <c r="M132" i="1"/>
  <c r="M61" i="1"/>
  <c r="O61" i="1" s="1"/>
  <c r="J36" i="1"/>
  <c r="J31" i="1"/>
  <c r="J23" i="1"/>
  <c r="M23" i="1" s="1"/>
  <c r="O23" i="1" s="1"/>
  <c r="J28" i="1"/>
  <c r="J27" i="1"/>
  <c r="S183" i="1"/>
  <c r="G10" i="4" l="1"/>
  <c r="G9" i="4" s="1"/>
  <c r="F9" i="4"/>
  <c r="E44" i="4"/>
  <c r="E48" i="4"/>
  <c r="F12" i="4"/>
  <c r="F56" i="4"/>
  <c r="M31" i="1"/>
  <c r="O31" i="1" s="1"/>
  <c r="M28" i="1"/>
  <c r="O28" i="1" s="1"/>
  <c r="M27" i="1"/>
  <c r="O27" i="1" s="1"/>
  <c r="M36" i="1"/>
  <c r="J102" i="1"/>
  <c r="M102" i="1" s="1"/>
  <c r="N102" i="1"/>
  <c r="J109" i="1"/>
  <c r="M109" i="1" s="1"/>
  <c r="F48" i="4" l="1"/>
  <c r="E47" i="4"/>
  <c r="F55" i="4"/>
  <c r="G56" i="4"/>
  <c r="G55" i="4" s="1"/>
  <c r="F44" i="4"/>
  <c r="E43" i="4"/>
  <c r="G12" i="4"/>
  <c r="G11" i="4" s="1"/>
  <c r="F11" i="4"/>
  <c r="M104" i="1"/>
  <c r="O109" i="1"/>
  <c r="M33" i="1"/>
  <c r="O36" i="1"/>
  <c r="N97" i="1"/>
  <c r="P102" i="1"/>
  <c r="M97" i="1"/>
  <c r="O102" i="1"/>
  <c r="O25" i="1"/>
  <c r="M25" i="1"/>
  <c r="J116" i="1"/>
  <c r="M116" i="1" s="1"/>
  <c r="N116" i="1"/>
  <c r="J95" i="1"/>
  <c r="M95" i="1" s="1"/>
  <c r="N95" i="1"/>
  <c r="J187" i="1"/>
  <c r="F43" i="4" l="1"/>
  <c r="G44" i="4"/>
  <c r="G43" i="4" s="1"/>
  <c r="F47" i="4"/>
  <c r="G48" i="4"/>
  <c r="G47" i="4" s="1"/>
  <c r="P97" i="1"/>
  <c r="O104" i="1"/>
  <c r="C29" i="4" s="1"/>
  <c r="O33" i="1"/>
  <c r="C9" i="4" s="1"/>
  <c r="C7" i="4"/>
  <c r="O97" i="1"/>
  <c r="C25" i="4" s="1"/>
  <c r="M111" i="1"/>
  <c r="O116" i="1"/>
  <c r="N90" i="1"/>
  <c r="P95" i="1"/>
  <c r="M90" i="1"/>
  <c r="O95" i="1"/>
  <c r="N111" i="1"/>
  <c r="P116" i="1"/>
  <c r="D7" i="1"/>
  <c r="D6" i="1"/>
  <c r="J208" i="1" s="1"/>
  <c r="D5" i="1"/>
  <c r="O90" i="1" l="1"/>
  <c r="O111" i="1"/>
  <c r="C33" i="4" s="1"/>
  <c r="P90" i="1"/>
  <c r="P111" i="1"/>
  <c r="D198" i="1"/>
  <c r="J198" i="1" s="1"/>
  <c r="M198" i="1" l="1"/>
  <c r="P198" i="1" s="1"/>
  <c r="J13" i="1" l="1"/>
  <c r="J11" i="1" l="1"/>
  <c r="J10" i="1" l="1"/>
  <c r="M11" i="1"/>
  <c r="M10" i="1" l="1"/>
  <c r="O11" i="1"/>
  <c r="J195" i="1"/>
  <c r="O10" i="1" l="1"/>
  <c r="M195" i="1"/>
  <c r="O195" i="1" s="1"/>
  <c r="M85" i="1" l="1"/>
  <c r="O85" i="1" s="1"/>
  <c r="J86" i="1" l="1"/>
  <c r="K55" i="1"/>
  <c r="K192" i="1"/>
  <c r="M192" i="1" l="1"/>
  <c r="N192" i="1"/>
  <c r="N55" i="1"/>
  <c r="M55" i="1"/>
  <c r="J87" i="1"/>
  <c r="M86" i="1"/>
  <c r="O86" i="1" s="1"/>
  <c r="M49" i="1" l="1"/>
  <c r="O55" i="1"/>
  <c r="N49" i="1"/>
  <c r="P55" i="1"/>
  <c r="M187" i="1"/>
  <c r="O192" i="1"/>
  <c r="N187" i="1"/>
  <c r="P192" i="1"/>
  <c r="M87" i="1"/>
  <c r="O87" i="1" s="1"/>
  <c r="J84" i="1"/>
  <c r="O49" i="1" l="1"/>
  <c r="P49" i="1"/>
  <c r="P187" i="1"/>
  <c r="O187" i="1"/>
  <c r="O84" i="1"/>
  <c r="M84" i="1"/>
  <c r="M124" i="1"/>
  <c r="O124" i="1" s="1"/>
  <c r="C42" i="4" s="1"/>
  <c r="E42" i="4" s="1"/>
  <c r="F42" i="4" s="1"/>
  <c r="G42" i="4" s="1"/>
  <c r="S178" i="1" l="1"/>
  <c r="T182" i="1" l="1"/>
  <c r="S184" i="1"/>
  <c r="T183" i="1" s="1"/>
  <c r="J178" i="1"/>
  <c r="J111" i="1"/>
  <c r="N178" i="1" l="1"/>
  <c r="P178" i="1" s="1"/>
  <c r="J118" i="1" l="1"/>
  <c r="M119" i="1"/>
  <c r="J104" i="1"/>
  <c r="S8" i="1"/>
  <c r="T8" i="1"/>
  <c r="U8" i="1"/>
  <c r="V8" i="1"/>
  <c r="W8" i="1"/>
  <c r="X8" i="1"/>
  <c r="Y8" i="1"/>
  <c r="Z8" i="1"/>
  <c r="AA8" i="1"/>
  <c r="AB8" i="1"/>
  <c r="AC8" i="1"/>
  <c r="R8" i="1"/>
  <c r="M118" i="1" l="1"/>
  <c r="O119" i="1"/>
  <c r="D8" i="1"/>
  <c r="AJ156" i="1"/>
  <c r="AJ183" i="1"/>
  <c r="AJ157" i="1"/>
  <c r="C37" i="4" l="1"/>
  <c r="O118" i="1"/>
  <c r="C36" i="4" s="1"/>
  <c r="E60" i="1"/>
  <c r="F37" i="4" l="1"/>
  <c r="E37" i="4"/>
  <c r="E36" i="4" s="1"/>
  <c r="N60" i="1"/>
  <c r="J60" i="1"/>
  <c r="J71" i="1"/>
  <c r="G37" i="4" l="1"/>
  <c r="G36" i="4" s="1"/>
  <c r="F36" i="4"/>
  <c r="N57" i="1"/>
  <c r="P60" i="1"/>
  <c r="M71" i="1"/>
  <c r="O71" i="1" s="1"/>
  <c r="M60" i="1"/>
  <c r="N75" i="1"/>
  <c r="J70" i="1"/>
  <c r="J80" i="1"/>
  <c r="P57" i="1" l="1"/>
  <c r="C16" i="4"/>
  <c r="O70" i="1"/>
  <c r="C15" i="4" s="1"/>
  <c r="M70" i="1"/>
  <c r="M57" i="1"/>
  <c r="O60" i="1"/>
  <c r="N70" i="1"/>
  <c r="P75" i="1"/>
  <c r="J81" i="1"/>
  <c r="M80" i="1"/>
  <c r="O80" i="1" s="1"/>
  <c r="C23" i="4" s="1"/>
  <c r="E23" i="4" s="1"/>
  <c r="F23" i="4" s="1"/>
  <c r="G23" i="4" s="1"/>
  <c r="AJ172" i="1"/>
  <c r="AJ166" i="1"/>
  <c r="AF172" i="1"/>
  <c r="AJ158" i="1"/>
  <c r="AF156" i="1"/>
  <c r="AF166" i="1" s="1"/>
  <c r="E16" i="4" l="1"/>
  <c r="E15" i="4" s="1"/>
  <c r="P70" i="1"/>
  <c r="O57" i="1"/>
  <c r="M81" i="1"/>
  <c r="O81" i="1" s="1"/>
  <c r="M68" i="1"/>
  <c r="N68" i="1"/>
  <c r="J78" i="1"/>
  <c r="J63" i="1"/>
  <c r="F16" i="4" l="1"/>
  <c r="C13" i="4"/>
  <c r="C24" i="4"/>
  <c r="E24" i="4" s="1"/>
  <c r="M63" i="1"/>
  <c r="O68" i="1"/>
  <c r="N63" i="1"/>
  <c r="P68" i="1"/>
  <c r="M78" i="1"/>
  <c r="O78" i="1" s="1"/>
  <c r="C21" i="4" s="1"/>
  <c r="J77" i="1"/>
  <c r="E19" i="1"/>
  <c r="E22" i="1"/>
  <c r="J22" i="1" s="1"/>
  <c r="E21" i="1"/>
  <c r="J21" i="1" s="1"/>
  <c r="AG178" i="1"/>
  <c r="AG157" i="1"/>
  <c r="AH157" i="1" s="1"/>
  <c r="E21" i="4" l="1"/>
  <c r="F21" i="4" s="1"/>
  <c r="G21" i="4" s="1"/>
  <c r="F15" i="4"/>
  <c r="G16" i="4"/>
  <c r="G15" i="4" s="1"/>
  <c r="F24" i="4"/>
  <c r="E20" i="4"/>
  <c r="O77" i="1"/>
  <c r="P63" i="1"/>
  <c r="O63" i="1"/>
  <c r="M21" i="1"/>
  <c r="O21" i="1" s="1"/>
  <c r="M22" i="1"/>
  <c r="O22" i="1" s="1"/>
  <c r="J19" i="1"/>
  <c r="M77" i="1"/>
  <c r="N82" i="1"/>
  <c r="AH178" i="1"/>
  <c r="AJ178" i="1" s="1"/>
  <c r="AK183" i="1" s="1"/>
  <c r="AL183" i="1" s="1"/>
  <c r="AK157" i="1"/>
  <c r="AL157" i="1" s="1"/>
  <c r="G24" i="4" l="1"/>
  <c r="G20" i="4" s="1"/>
  <c r="F20" i="4"/>
  <c r="C20" i="4"/>
  <c r="N77" i="1"/>
  <c r="P82" i="1"/>
  <c r="M19" i="1"/>
  <c r="O19" i="1" s="1"/>
  <c r="AG174" i="1"/>
  <c r="AH174" i="1" s="1"/>
  <c r="P77" i="1" l="1"/>
  <c r="AG160" i="1"/>
  <c r="AH160" i="1" s="1"/>
  <c r="AG173" i="1"/>
  <c r="AH173" i="1" s="1"/>
  <c r="AG172" i="1"/>
  <c r="AH172" i="1" s="1"/>
  <c r="D170" i="1"/>
  <c r="E146" i="1" s="1"/>
  <c r="E169" i="1" s="1"/>
  <c r="J171" i="1" s="1"/>
  <c r="D147" i="1" l="1"/>
  <c r="AG159" i="1"/>
  <c r="AH159" i="1" s="1"/>
  <c r="AG156" i="1"/>
  <c r="AH156" i="1" s="1"/>
  <c r="M171" i="1"/>
  <c r="AG166" i="1"/>
  <c r="AH166" i="1" s="1"/>
  <c r="L174" i="1"/>
  <c r="D174" i="1" s="1"/>
  <c r="J169" i="1"/>
  <c r="L173" i="1"/>
  <c r="D173" i="1" s="1"/>
  <c r="AK174" i="1"/>
  <c r="AL174" i="1" s="1"/>
  <c r="AK159" i="1"/>
  <c r="AL159" i="1" s="1"/>
  <c r="E46" i="1"/>
  <c r="AK160" i="1"/>
  <c r="AL160" i="1" s="1"/>
  <c r="M169" i="1" l="1"/>
  <c r="O171" i="1"/>
  <c r="C58" i="4" s="1"/>
  <c r="L172" i="1"/>
  <c r="J90" i="1"/>
  <c r="E45" i="1"/>
  <c r="AK173" i="1"/>
  <c r="AL173" i="1" s="1"/>
  <c r="AK166" i="1"/>
  <c r="AL166" i="1" s="1"/>
  <c r="E43" i="1"/>
  <c r="E44" i="1"/>
  <c r="AK156" i="1"/>
  <c r="AL156" i="1" s="1"/>
  <c r="E20" i="1"/>
  <c r="J20" i="1" s="1"/>
  <c r="J18" i="1"/>
  <c r="J97" i="1"/>
  <c r="AK172" i="1"/>
  <c r="AL172" i="1" s="1"/>
  <c r="J130" i="1"/>
  <c r="E58" i="4" l="1"/>
  <c r="O169" i="1"/>
  <c r="C57" i="4" s="1"/>
  <c r="M18" i="1"/>
  <c r="O18" i="1" s="1"/>
  <c r="E148" i="1"/>
  <c r="D172" i="1"/>
  <c r="AG158" i="1"/>
  <c r="AH158" i="1" s="1"/>
  <c r="M20" i="1"/>
  <c r="O20" i="1" s="1"/>
  <c r="K130" i="1"/>
  <c r="J127" i="1"/>
  <c r="J17" i="1"/>
  <c r="R167" i="1"/>
  <c r="J25" i="1"/>
  <c r="J57" i="1"/>
  <c r="AK158" i="1"/>
  <c r="AL158" i="1" s="1"/>
  <c r="J49" i="1"/>
  <c r="J41" i="1"/>
  <c r="F58" i="4" l="1"/>
  <c r="E57" i="4"/>
  <c r="O17" i="1"/>
  <c r="M130" i="1"/>
  <c r="M17" i="1"/>
  <c r="N130" i="1"/>
  <c r="K167" i="1"/>
  <c r="J148" i="1"/>
  <c r="E149" i="1"/>
  <c r="F57" i="4" l="1"/>
  <c r="G58" i="4"/>
  <c r="G57" i="4" s="1"/>
  <c r="N127" i="1"/>
  <c r="P130" i="1"/>
  <c r="M127" i="1"/>
  <c r="O130" i="1"/>
  <c r="M148" i="1"/>
  <c r="O148" i="1" s="1"/>
  <c r="C51" i="4" s="1"/>
  <c r="E51" i="4" s="1"/>
  <c r="F51" i="4" s="1"/>
  <c r="G51" i="4" s="1"/>
  <c r="N167" i="1"/>
  <c r="J167" i="1"/>
  <c r="M167" i="1" s="1"/>
  <c r="J144" i="1"/>
  <c r="M144" i="1" s="1"/>
  <c r="J149" i="1"/>
  <c r="E150" i="1"/>
  <c r="J161" i="1"/>
  <c r="P127" i="1" l="1"/>
  <c r="M163" i="1"/>
  <c r="O167" i="1"/>
  <c r="O163" i="1" s="1"/>
  <c r="C55" i="4" s="1"/>
  <c r="N163" i="1"/>
  <c r="P167" i="1"/>
  <c r="P163" i="1" s="1"/>
  <c r="O127" i="1"/>
  <c r="M138" i="1"/>
  <c r="O144" i="1"/>
  <c r="M149" i="1"/>
  <c r="O149" i="1" s="1"/>
  <c r="C52" i="4" s="1"/>
  <c r="J154" i="1"/>
  <c r="J138" i="1"/>
  <c r="K161" i="1"/>
  <c r="J150" i="1"/>
  <c r="E151" i="1"/>
  <c r="J151" i="1" s="1"/>
  <c r="E52" i="4" l="1"/>
  <c r="F52" i="4"/>
  <c r="G52" i="4" s="1"/>
  <c r="O138" i="1"/>
  <c r="C47" i="4" s="1"/>
  <c r="C43" i="4"/>
  <c r="M151" i="1"/>
  <c r="O151" i="1" s="1"/>
  <c r="C54" i="4" s="1"/>
  <c r="E54" i="4" s="1"/>
  <c r="F54" i="4" s="1"/>
  <c r="G54" i="4" s="1"/>
  <c r="M150" i="1"/>
  <c r="O150" i="1" s="1"/>
  <c r="C53" i="4" s="1"/>
  <c r="N161" i="1"/>
  <c r="M161" i="1"/>
  <c r="J147" i="1"/>
  <c r="E53" i="4" l="1"/>
  <c r="F53" i="4" s="1"/>
  <c r="G53" i="4" s="1"/>
  <c r="M154" i="1"/>
  <c r="O161" i="1"/>
  <c r="O154" i="1" s="1"/>
  <c r="N154" i="1"/>
  <c r="P161" i="1"/>
  <c r="P154" i="1" s="1"/>
  <c r="M147" i="1"/>
  <c r="O147" i="1" s="1"/>
  <c r="C50" i="4" s="1"/>
  <c r="E50" i="4" l="1"/>
  <c r="E49" i="4" s="1"/>
  <c r="E60" i="4" s="1"/>
  <c r="F50" i="4"/>
  <c r="F49" i="4" s="1"/>
  <c r="F60" i="4" s="1"/>
  <c r="J33" i="1"/>
  <c r="G50" i="4" l="1"/>
  <c r="G49" i="4" s="1"/>
  <c r="G60" i="4" s="1"/>
  <c r="C11" i="3" s="1"/>
  <c r="J152" i="1"/>
  <c r="M152" i="1" s="1"/>
  <c r="M146" i="1" l="1"/>
  <c r="O152" i="1"/>
  <c r="J146" i="1"/>
  <c r="O146" i="1" l="1"/>
  <c r="S147" i="1"/>
  <c r="S149" i="1" s="1"/>
  <c r="C49" i="4" l="1"/>
  <c r="C60" i="4" s="1"/>
  <c r="O207" i="1"/>
  <c r="U149" i="1"/>
  <c r="S148" i="1"/>
  <c r="U148" i="1" s="1"/>
  <c r="J197" i="1" l="1"/>
  <c r="K208" i="1"/>
  <c r="M197" i="1" l="1"/>
  <c r="O197" i="1" s="1"/>
  <c r="J184" i="1" l="1"/>
  <c r="J179" i="1"/>
  <c r="N179" i="1" l="1"/>
  <c r="P179" i="1" s="1"/>
  <c r="N184" i="1"/>
  <c r="P184" i="1" s="1"/>
  <c r="J180" i="1"/>
  <c r="J183" i="1"/>
  <c r="N183" i="1" l="1"/>
  <c r="P183" i="1" s="1"/>
  <c r="J177" i="1"/>
  <c r="N180" i="1"/>
  <c r="J185" i="1"/>
  <c r="N177" i="1" l="1"/>
  <c r="P180" i="1"/>
  <c r="N185" i="1"/>
  <c r="J182" i="1"/>
  <c r="P177" i="1" l="1"/>
  <c r="N182" i="1"/>
  <c r="P185" i="1"/>
  <c r="K196" i="1"/>
  <c r="P182" i="1" l="1"/>
  <c r="N196" i="1"/>
  <c r="K205" i="1"/>
  <c r="J196" i="1"/>
  <c r="N194" i="1" l="1"/>
  <c r="N205" i="1" s="1"/>
  <c r="N206" i="1" s="1"/>
  <c r="P196" i="1"/>
  <c r="J194" i="1"/>
  <c r="J205" i="1" s="1"/>
  <c r="M196" i="1"/>
  <c r="K206" i="1"/>
  <c r="K210" i="1"/>
  <c r="K211" i="1" s="1"/>
  <c r="P194" i="1" l="1"/>
  <c r="M194" i="1"/>
  <c r="M205" i="1" s="1"/>
  <c r="M206" i="1" s="1"/>
  <c r="O196" i="1"/>
  <c r="J206" i="1"/>
  <c r="J207" i="1"/>
  <c r="J210" i="1"/>
  <c r="J214" i="1"/>
  <c r="I214" i="1" s="1"/>
  <c r="J215" i="1"/>
  <c r="O194" i="1" l="1"/>
  <c r="P205" i="1"/>
  <c r="K217" i="1"/>
  <c r="K218" i="1" s="1"/>
  <c r="O205" i="1" l="1"/>
  <c r="C10" i="3"/>
  <c r="C12" i="3" s="1"/>
  <c r="O20" i="3" s="1"/>
  <c r="O21" i="3" s="1"/>
  <c r="D5" i="3"/>
  <c r="D3" i="3" s="1"/>
  <c r="D4" i="3" l="1"/>
  <c r="C13" i="3"/>
  <c r="D20" i="3"/>
  <c r="J32" i="3"/>
  <c r="J33" i="3" s="1"/>
  <c r="N32" i="3"/>
  <c r="N33" i="3" s="1"/>
  <c r="O32" i="3"/>
  <c r="O33" i="3" s="1"/>
  <c r="R32" i="3"/>
  <c r="R33" i="3" s="1"/>
  <c r="U32" i="3"/>
  <c r="U33" i="3" s="1"/>
  <c r="X32" i="3"/>
  <c r="X33" i="3" s="1"/>
  <c r="AA32" i="3"/>
  <c r="AA33" i="3" s="1"/>
  <c r="AD32" i="3"/>
  <c r="AD33" i="3" s="1"/>
  <c r="AG32" i="3"/>
  <c r="AG33" i="3" s="1"/>
  <c r="AJ32" i="3"/>
  <c r="AJ33" i="3" s="1"/>
  <c r="AA26" i="3"/>
  <c r="AA27" i="3" s="1"/>
  <c r="P26" i="3"/>
  <c r="P27" i="3" s="1"/>
  <c r="E26" i="3"/>
  <c r="E27" i="3" s="1"/>
  <c r="Z26" i="3"/>
  <c r="Z27" i="3" s="1"/>
  <c r="X26" i="3"/>
  <c r="X27" i="3" s="1"/>
  <c r="J26" i="3"/>
  <c r="J27" i="3" s="1"/>
  <c r="Q26" i="3"/>
  <c r="Q27" i="3" s="1"/>
  <c r="R26" i="3"/>
  <c r="R27" i="3" s="1"/>
  <c r="F26" i="3"/>
  <c r="F27" i="3" s="1"/>
  <c r="AD26" i="3"/>
  <c r="AD27" i="3" s="1"/>
  <c r="AG26" i="3"/>
  <c r="AG27" i="3" s="1"/>
  <c r="AJ26" i="3"/>
  <c r="AJ27" i="3" s="1"/>
  <c r="AL26" i="3"/>
  <c r="AL27" i="3" s="1"/>
  <c r="AK20" i="3"/>
  <c r="AK21" i="3" s="1"/>
  <c r="G20" i="3"/>
  <c r="G21" i="3" s="1"/>
  <c r="S20" i="3"/>
  <c r="S21" i="3" s="1"/>
  <c r="J20" i="3"/>
  <c r="J21" i="3" s="1"/>
  <c r="E20" i="3"/>
  <c r="E21" i="3" s="1"/>
  <c r="AE20" i="3"/>
  <c r="AE21" i="3" s="1"/>
  <c r="T20" i="3"/>
  <c r="T21" i="3" s="1"/>
  <c r="AH20" i="3"/>
  <c r="AH21" i="3" s="1"/>
  <c r="AA20" i="3"/>
  <c r="AA21" i="3" s="1"/>
  <c r="X20" i="3"/>
  <c r="X21" i="3" s="1"/>
  <c r="N20" i="3"/>
  <c r="N21" i="3" s="1"/>
  <c r="W20" i="3"/>
  <c r="W21" i="3" s="1"/>
  <c r="L32" i="3"/>
  <c r="L33" i="3" s="1"/>
  <c r="I32" i="3"/>
  <c r="I33" i="3" s="1"/>
  <c r="M32" i="3"/>
  <c r="M33" i="3" s="1"/>
  <c r="G32" i="3"/>
  <c r="G33" i="3" s="1"/>
  <c r="P32" i="3"/>
  <c r="P33" i="3" s="1"/>
  <c r="S32" i="3"/>
  <c r="S33" i="3" s="1"/>
  <c r="V32" i="3"/>
  <c r="V33" i="3" s="1"/>
  <c r="Y32" i="3"/>
  <c r="Y33" i="3" s="1"/>
  <c r="AB32" i="3"/>
  <c r="AB33" i="3" s="1"/>
  <c r="AE32" i="3"/>
  <c r="AE33" i="3" s="1"/>
  <c r="AH32" i="3"/>
  <c r="AH33" i="3" s="1"/>
  <c r="AK32" i="3"/>
  <c r="AK33" i="3" s="1"/>
  <c r="K26" i="3"/>
  <c r="K27" i="3" s="1"/>
  <c r="S26" i="3"/>
  <c r="S27" i="3" s="1"/>
  <c r="G26" i="3"/>
  <c r="G27" i="3" s="1"/>
  <c r="AB26" i="3"/>
  <c r="AB27" i="3" s="1"/>
  <c r="L26" i="3"/>
  <c r="L27" i="3" s="1"/>
  <c r="I26" i="3"/>
  <c r="I27" i="3" s="1"/>
  <c r="M26" i="3"/>
  <c r="M27" i="3" s="1"/>
  <c r="Y26" i="3"/>
  <c r="Y27" i="3" s="1"/>
  <c r="AE26" i="3"/>
  <c r="AE27" i="3" s="1"/>
  <c r="AH26" i="3"/>
  <c r="AH27" i="3" s="1"/>
  <c r="AK26" i="3"/>
  <c r="AK27" i="3" s="1"/>
  <c r="D32" i="3"/>
  <c r="K20" i="3"/>
  <c r="K21" i="3" s="1"/>
  <c r="H20" i="3"/>
  <c r="H21" i="3" s="1"/>
  <c r="R20" i="3"/>
  <c r="R21" i="3" s="1"/>
  <c r="AI20" i="3"/>
  <c r="AI21" i="3" s="1"/>
  <c r="F20" i="3"/>
  <c r="F21" i="3" s="1"/>
  <c r="AD20" i="3"/>
  <c r="AD21" i="3" s="1"/>
  <c r="AC20" i="3"/>
  <c r="AC21" i="3" s="1"/>
  <c r="V20" i="3"/>
  <c r="V21" i="3" s="1"/>
  <c r="AG20" i="3"/>
  <c r="AG21" i="3" s="1"/>
  <c r="M20" i="3"/>
  <c r="M21" i="3" s="1"/>
  <c r="P20" i="3"/>
  <c r="P21" i="3" s="1"/>
  <c r="H32" i="3"/>
  <c r="H33" i="3" s="1"/>
  <c r="D26" i="3"/>
  <c r="K32" i="3"/>
  <c r="K33" i="3" s="1"/>
  <c r="E32" i="3"/>
  <c r="E33" i="3" s="1"/>
  <c r="F32" i="3"/>
  <c r="F33" i="3" s="1"/>
  <c r="Q32" i="3"/>
  <c r="Q33" i="3" s="1"/>
  <c r="T32" i="3"/>
  <c r="T33" i="3" s="1"/>
  <c r="W32" i="3"/>
  <c r="W33" i="3" s="1"/>
  <c r="Z32" i="3"/>
  <c r="Z33" i="3" s="1"/>
  <c r="AC32" i="3"/>
  <c r="AC33" i="3" s="1"/>
  <c r="AF32" i="3"/>
  <c r="AF33" i="3" s="1"/>
  <c r="AI32" i="3"/>
  <c r="AI33" i="3" s="1"/>
  <c r="AL32" i="3"/>
  <c r="AL33" i="3" s="1"/>
  <c r="H26" i="3"/>
  <c r="H27" i="3" s="1"/>
  <c r="W26" i="3"/>
  <c r="W27" i="3" s="1"/>
  <c r="U26" i="3"/>
  <c r="U27" i="3" s="1"/>
  <c r="O26" i="3"/>
  <c r="O27" i="3" s="1"/>
  <c r="V26" i="3"/>
  <c r="V27" i="3" s="1"/>
  <c r="N26" i="3"/>
  <c r="N27" i="3" s="1"/>
  <c r="T26" i="3"/>
  <c r="T27" i="3" s="1"/>
  <c r="AC26" i="3"/>
  <c r="AC27" i="3" s="1"/>
  <c r="AF26" i="3"/>
  <c r="AF27" i="3" s="1"/>
  <c r="AI26" i="3"/>
  <c r="AI27" i="3" s="1"/>
  <c r="AM26" i="3"/>
  <c r="AM27" i="3" s="1"/>
  <c r="AM32" i="3"/>
  <c r="AM33" i="3" s="1"/>
  <c r="L20" i="3"/>
  <c r="L21" i="3" s="1"/>
  <c r="AJ20" i="3"/>
  <c r="AJ21" i="3" s="1"/>
  <c r="AM20" i="3"/>
  <c r="AM21" i="3" s="1"/>
  <c r="AL20" i="3"/>
  <c r="AL21" i="3" s="1"/>
  <c r="Y20" i="3"/>
  <c r="Y21" i="3" s="1"/>
  <c r="I20" i="3"/>
  <c r="I21" i="3" s="1"/>
  <c r="AF20" i="3"/>
  <c r="AF21" i="3" s="1"/>
  <c r="Q20" i="3"/>
  <c r="Q21" i="3" s="1"/>
  <c r="AB20" i="3"/>
  <c r="AB21" i="3" s="1"/>
  <c r="U20" i="3"/>
  <c r="U21" i="3" s="1"/>
  <c r="Z20" i="3"/>
  <c r="Z21" i="3" s="1"/>
  <c r="D27" i="3" l="1"/>
  <c r="C27" i="3" s="1"/>
  <c r="C26" i="3"/>
  <c r="C20" i="3"/>
  <c r="D21" i="3"/>
  <c r="C21" i="3" s="1"/>
  <c r="C32" i="3"/>
  <c r="D33" i="3"/>
  <c r="C3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Salete L. Stefani</author>
    <author>hildo</author>
  </authors>
  <commentList>
    <comment ref="E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Hildo</t>
        </r>
        <r>
          <rPr>
            <sz val="9"/>
            <color indexed="81"/>
            <rFont val="Tahoma"/>
            <family val="2"/>
          </rPr>
          <t xml:space="preserve">
 com Q méd das EBAs das áreas atendidas pelas adutoras gravitárias nos setores</t>
        </r>
      </text>
    </comment>
    <comment ref="D148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hildo:</t>
        </r>
        <r>
          <rPr>
            <sz val="9"/>
            <color indexed="81"/>
            <rFont val="Tahoma"/>
            <family val="2"/>
          </rPr>
          <t xml:space="preserve">
Comprim.(m)</t>
        </r>
      </text>
    </comment>
  </commentList>
</comments>
</file>

<file path=xl/sharedStrings.xml><?xml version="1.0" encoding="utf-8"?>
<sst xmlns="http://schemas.openxmlformats.org/spreadsheetml/2006/main" count="763" uniqueCount="322">
  <si>
    <t>ha</t>
  </si>
  <si>
    <t>m</t>
  </si>
  <si>
    <t>R$</t>
  </si>
  <si>
    <t>Setor 1</t>
  </si>
  <si>
    <t>Setor 2</t>
  </si>
  <si>
    <t>Setor 3</t>
  </si>
  <si>
    <t>Setor 4</t>
  </si>
  <si>
    <t>Setor 5</t>
  </si>
  <si>
    <t>Setor 6</t>
  </si>
  <si>
    <t>Setor 7</t>
  </si>
  <si>
    <t>Setor 8</t>
  </si>
  <si>
    <t>Setor 9</t>
  </si>
  <si>
    <t>Setor 10</t>
  </si>
  <si>
    <t>Setor 11</t>
  </si>
  <si>
    <t>Setor 12</t>
  </si>
  <si>
    <t>Superfície Agrícola Global (SAG)</t>
  </si>
  <si>
    <t>Drenagem dos setores</t>
  </si>
  <si>
    <t>Drenos</t>
  </si>
  <si>
    <t>Bueiros</t>
  </si>
  <si>
    <t>Quedas</t>
  </si>
  <si>
    <t xml:space="preserve">Comprim. </t>
  </si>
  <si>
    <t>Obras civis</t>
  </si>
  <si>
    <t>Montagem mecân</t>
  </si>
  <si>
    <t>Fornec mecân.</t>
  </si>
  <si>
    <t>Fornec elétric</t>
  </si>
  <si>
    <t>Montagem elétrica</t>
  </si>
  <si>
    <t>Ancoragem</t>
  </si>
  <si>
    <t>Estradas dos setores</t>
  </si>
  <si>
    <t>Comprim. tubos</t>
  </si>
  <si>
    <t>Fornecimento mecân.</t>
  </si>
  <si>
    <t>Obras civis / assent.</t>
  </si>
  <si>
    <t>Caixas de proteção</t>
  </si>
  <si>
    <t>Estradas dos canais</t>
  </si>
  <si>
    <t>Quant</t>
  </si>
  <si>
    <t>CP-3 Norte</t>
  </si>
  <si>
    <t>Casa de Comando - Comportas</t>
  </si>
  <si>
    <t>Tomada gravitária</t>
  </si>
  <si>
    <t>Montagem mecân.</t>
  </si>
  <si>
    <t>Obras de arte</t>
  </si>
  <si>
    <t>CP-2 Sul</t>
  </si>
  <si>
    <t xml:space="preserve">CP-3 Sul </t>
  </si>
  <si>
    <t>Drenagem dos canais</t>
  </si>
  <si>
    <t>Sifões invertidos no CP-2 Norte</t>
  </si>
  <si>
    <t>Canal CP-3 Norte (8,37 m³/s)</t>
  </si>
  <si>
    <t>Canal CS2/CP3 Norte (2,24 m³/s)</t>
  </si>
  <si>
    <t>Canal CP-3 Sul (3,95 m³/s)</t>
  </si>
  <si>
    <t>Canal CP-2 Sul (~5,60 m³/s)</t>
  </si>
  <si>
    <t>Unid.</t>
  </si>
  <si>
    <t>Custo</t>
  </si>
  <si>
    <t>Pequeno prod</t>
  </si>
  <si>
    <t>R$/ha</t>
  </si>
  <si>
    <t>Empresa</t>
  </si>
  <si>
    <t>Outros ...</t>
  </si>
  <si>
    <t>CS-2/CP-3 Norte</t>
  </si>
  <si>
    <t>R$/m/(m³/s)</t>
  </si>
  <si>
    <t>,,,,,,.</t>
  </si>
  <si>
    <t>Obras civis (conclusão)</t>
  </si>
  <si>
    <t>TOTAL &gt;&gt;&gt;&gt;</t>
  </si>
  <si>
    <t>Adutora EBS-Sul</t>
  </si>
  <si>
    <t>DN1000+DN1400</t>
  </si>
  <si>
    <t>Fornec mecân. adutora</t>
  </si>
  <si>
    <t>Fornec mecân. Chaminé</t>
  </si>
  <si>
    <t>2 x DN1100 1/4"</t>
  </si>
  <si>
    <t xml:space="preserve">2 x 26 m³ </t>
  </si>
  <si>
    <t>3.250 m</t>
  </si>
  <si>
    <t>2 x DN1500 3/8"</t>
  </si>
  <si>
    <t>Fornec tubos p/ Sifão 1</t>
  </si>
  <si>
    <t>Fornec tubos p/ Sifão 2</t>
  </si>
  <si>
    <t>Fornec tubos p/ Sifão 3</t>
  </si>
  <si>
    <t>440,1m</t>
  </si>
  <si>
    <t>2 x 1400</t>
  </si>
  <si>
    <t>400 m</t>
  </si>
  <si>
    <t>1 x 1100</t>
  </si>
  <si>
    <t>1 x 1000</t>
  </si>
  <si>
    <t>R$/ha &gt;&gt;&gt;</t>
  </si>
  <si>
    <t>Equip acessórios (5%)</t>
  </si>
  <si>
    <t>Montagem mecân (10%)</t>
  </si>
  <si>
    <t xml:space="preserve">Adutora EBP-Sul </t>
  </si>
  <si>
    <t>Obras civis (10%)</t>
  </si>
  <si>
    <t>Adutora EBP-Norte</t>
  </si>
  <si>
    <t>-</t>
  </si>
  <si>
    <t>EBP-Sul (9,05 m³/s)</t>
  </si>
  <si>
    <t>EBS-Sul (3,95 m³/s)</t>
  </si>
  <si>
    <t>EBA-9 (0,836 m³/s)</t>
  </si>
  <si>
    <t>EBP-Norte (8,37 m³/s)</t>
  </si>
  <si>
    <t>Fornec tanques hidrop.</t>
  </si>
  <si>
    <t>Data / Ano</t>
  </si>
  <si>
    <t>Fornec Equip Mecân</t>
  </si>
  <si>
    <t>Fornec Equip Mecân/Eletric</t>
  </si>
  <si>
    <t>Montagem mecân/eletr</t>
  </si>
  <si>
    <t>Superfície Agrícola Útil (SAU) Total</t>
  </si>
  <si>
    <t>Guadal_AsB</t>
  </si>
  <si>
    <t>Comprimento</t>
  </si>
  <si>
    <t>Implantação</t>
  </si>
  <si>
    <t>R$/m</t>
  </si>
  <si>
    <t>Equipamentos eletromec.</t>
  </si>
  <si>
    <t>Montagem mecân. (7,5%)</t>
  </si>
  <si>
    <t>Montagem mecân.(7,5%)</t>
  </si>
  <si>
    <t>unid.</t>
  </si>
  <si>
    <t>Cotação</t>
  </si>
  <si>
    <t>Reserv. Pulmão EBP-Sul  (9,05 m³/s)</t>
  </si>
  <si>
    <t>Montagem mecân/eletr.(30%)</t>
  </si>
  <si>
    <t>Linhas distrib. e equip fixos</t>
  </si>
  <si>
    <t>Equip. de aplicação da água</t>
  </si>
  <si>
    <t xml:space="preserve">Assentamento e montagem </t>
  </si>
  <si>
    <t>Canais de aproximação</t>
  </si>
  <si>
    <t>Consultoria (projeto e supervisão de obras)</t>
  </si>
  <si>
    <t>Coluna</t>
  </si>
  <si>
    <t>Fator</t>
  </si>
  <si>
    <t>IGP - DI</t>
  </si>
  <si>
    <t>DRENAGEM</t>
  </si>
  <si>
    <t>&lt;&lt;&lt;Serviços de recup e finaliz.</t>
  </si>
  <si>
    <t>Exec.=25%</t>
  </si>
  <si>
    <t>7800 kg/m³</t>
  </si>
  <si>
    <t>20,82 R$/kg</t>
  </si>
  <si>
    <t>DN2300 #3/4"</t>
  </si>
  <si>
    <t>Obras civis e movim de terra (15% de Equip.)</t>
  </si>
  <si>
    <t>Subestações   EBP-Sul, EBS-Sul, EBA9-Sul, SE-Norte, EBP-Norte(69/13,8/4,16kV)</t>
  </si>
  <si>
    <t>Infraestr. de Suprim. de Energia Elétrica</t>
  </si>
  <si>
    <t>Linhas de Transmissão (69kV - 38 km)</t>
  </si>
  <si>
    <t>m (total do proj.)</t>
  </si>
  <si>
    <t>Índices de reajuste</t>
  </si>
  <si>
    <t>Rede de Distribuição 13,8 kV (59 km)</t>
  </si>
  <si>
    <t>&lt;&lt;&lt; R$</t>
  </si>
  <si>
    <t>&lt;&lt;&lt; R$/ha</t>
  </si>
  <si>
    <t>Custos diversos</t>
  </si>
  <si>
    <t xml:space="preserve">Desmatamento das áreas agrícolas (SAU)  </t>
  </si>
  <si>
    <t>Q=4,02 m³/s; L=131m; R$ 359.086,00</t>
  </si>
  <si>
    <t>R$/(m³/s)/m</t>
  </si>
  <si>
    <r>
      <t>EBP-Sul (</t>
    </r>
    <r>
      <rPr>
        <b/>
        <u/>
        <sz val="11"/>
        <color rgb="FFFF0000"/>
        <rFont val="Calibri"/>
        <family val="2"/>
        <scheme val="minor"/>
      </rPr>
      <t>9,50 m³/s e L=1317m</t>
    </r>
    <r>
      <rPr>
        <b/>
        <u/>
        <sz val="11"/>
        <color theme="1"/>
        <rFont val="Calibri"/>
        <family val="2"/>
        <scheme val="minor"/>
      </rPr>
      <t>)</t>
    </r>
  </si>
  <si>
    <t>Rede de distribuição nos setores (tubos)</t>
  </si>
  <si>
    <t>EBAs 1 a 8 e 10 a 12 (obras novas)</t>
  </si>
  <si>
    <t>Tomadas empresariais</t>
  </si>
  <si>
    <t>gl.</t>
  </si>
  <si>
    <r>
      <t>EBP-Norte (</t>
    </r>
    <r>
      <rPr>
        <b/>
        <u/>
        <sz val="11"/>
        <color rgb="FFFF0000"/>
        <rFont val="Calibri"/>
        <family val="2"/>
        <scheme val="minor"/>
      </rPr>
      <t>8,37 m³/s e L=205m</t>
    </r>
    <r>
      <rPr>
        <b/>
        <u/>
        <sz val="11"/>
        <color theme="1"/>
        <rFont val="Calibri"/>
        <family val="2"/>
        <scheme val="minor"/>
      </rPr>
      <t>)</t>
    </r>
  </si>
  <si>
    <t>Custo &gt;&gt;&gt;</t>
  </si>
  <si>
    <t>Serviços recuper. de obras implantadas</t>
  </si>
  <si>
    <t>&lt;&lt; Valor</t>
  </si>
  <si>
    <t>&lt;&lt;&lt; L (m)</t>
  </si>
  <si>
    <t>&lt;&lt;&lt; Recuperação</t>
  </si>
  <si>
    <t>Canais</t>
  </si>
  <si>
    <t>Estradas</t>
  </si>
  <si>
    <t>R$ total &gt;&gt;</t>
  </si>
  <si>
    <t>SAU peq.</t>
  </si>
  <si>
    <t>SAU empres.</t>
  </si>
  <si>
    <t>do custo das obras complement.</t>
  </si>
  <si>
    <t>Valor da terra (SAG)</t>
  </si>
  <si>
    <t>Finalização das obras</t>
  </si>
  <si>
    <t>M. Ambiente (Estudos, Licenças e Exec. PBA)</t>
  </si>
  <si>
    <t>Serviços preliminares</t>
  </si>
  <si>
    <t>Mobilização e desmobilização</t>
  </si>
  <si>
    <t>Administração direta</t>
  </si>
  <si>
    <t>Implantação do canteiro de obras</t>
  </si>
  <si>
    <t>Implantação (parcial) das estradas</t>
  </si>
  <si>
    <t>Implantação (parcial)</t>
  </si>
  <si>
    <t>Orçam_Finaliz_2ªEt. Guadal.</t>
  </si>
  <si>
    <t xml:space="preserve">% de fornec e montagem </t>
  </si>
  <si>
    <t>% do fornec. tubos</t>
  </si>
  <si>
    <t>% custo obras civis</t>
  </si>
  <si>
    <t>&lt;&lt;&lt;&lt;&lt;</t>
  </si>
  <si>
    <t>% custo das linhas e equip.</t>
  </si>
  <si>
    <t>15% custos fornec e montag.</t>
  </si>
  <si>
    <t>Composição da Consultora</t>
  </si>
  <si>
    <t>2,5% custo obras complement.</t>
  </si>
  <si>
    <t>Baixio Irecê (Consultora)</t>
  </si>
  <si>
    <t>Proj.Palmeiras (TO)</t>
  </si>
  <si>
    <t>Proj. M.Alves-2ªEt.</t>
  </si>
  <si>
    <t>Proj. B.Irecê 2ªEt.</t>
  </si>
  <si>
    <t>40 % custo obras civis+equip</t>
  </si>
  <si>
    <t>15 % do custo equip.</t>
  </si>
  <si>
    <t>Novas</t>
  </si>
  <si>
    <t>A recuperar</t>
  </si>
  <si>
    <t>Origem dos dados</t>
  </si>
  <si>
    <t>Discriminação</t>
  </si>
  <si>
    <t xml:space="preserve">&lt;&lt;&lt;&lt; </t>
  </si>
  <si>
    <t>4 bomb+equip.</t>
  </si>
  <si>
    <t>IGP-DI</t>
  </si>
  <si>
    <t>5 bomb+equip</t>
  </si>
  <si>
    <t>6 bomb+equip.</t>
  </si>
  <si>
    <t>4+3+equip.</t>
  </si>
  <si>
    <t>BDI</t>
  </si>
  <si>
    <t>8novas + 14 recup</t>
  </si>
  <si>
    <t>Total</t>
  </si>
  <si>
    <t>Fator atualiz.</t>
  </si>
  <si>
    <t>Sistema de Instrumentação, Automação e CFTV (CCO, EBP-N, EBP-S, EBS-S, EBA1, EBA2, EBA3, EBA4, EBA5, EBA6, EBA7, EBA8, EBA9, EBA10, EBA11, EBA12, SE-N, SE-S E 3 COMPORTAS)</t>
  </si>
  <si>
    <t>R$/(m³/s)</t>
  </si>
  <si>
    <t>%R$ obras arte</t>
  </si>
  <si>
    <t>%R$ obras civis</t>
  </si>
  <si>
    <t>Redução &gt;&gt;&gt;</t>
  </si>
  <si>
    <t xml:space="preserve">SAU (ha)  </t>
  </si>
  <si>
    <t>OBRAS E SERVIÇOS PARA IMPLANTAÇÃO DA 2ª ETAPA E OBRAS COMUNS (ATÉ HOJE) &gt;&gt;&gt;&gt;&gt;</t>
  </si>
  <si>
    <t>Investimentos (R$)</t>
  </si>
  <si>
    <t>Até ano 2012</t>
  </si>
  <si>
    <t>Para conclusão</t>
  </si>
  <si>
    <t>R$/haSAG</t>
  </si>
  <si>
    <t>Proj. M.Alves-2ªEtapa (2013)</t>
  </si>
  <si>
    <t>Fonte: EBP-Norte do PDG (R$/m³/s)</t>
  </si>
  <si>
    <t>R$/m³/s</t>
  </si>
  <si>
    <t>R$/unid.&gt;&gt;</t>
  </si>
  <si>
    <t>L=314m</t>
  </si>
  <si>
    <t>H=11,15m</t>
  </si>
  <si>
    <t>Guadal_AsB (EBP-Norte)</t>
  </si>
  <si>
    <t>L=840m</t>
  </si>
  <si>
    <t>Qméd.(m³/s)=</t>
  </si>
  <si>
    <t>Obras civis (=500 m do CP-2 Sul</t>
  </si>
  <si>
    <t>Qméd (m³/s)=</t>
  </si>
  <si>
    <t>Obras civis (seções) L=5495,0 m</t>
  </si>
  <si>
    <t>Obras civis (seções) L=5390 m</t>
  </si>
  <si>
    <t>Obras civis (seções) L=7371 m</t>
  </si>
  <si>
    <t>Obras civis (seções) L=11650m</t>
  </si>
  <si>
    <t>"L"x(R$/m)</t>
  </si>
  <si>
    <t>Dados / critérios / memórias</t>
  </si>
  <si>
    <t>Setor 9 (ha SAG)</t>
  </si>
  <si>
    <t>Custos Globais Corrigidos (R$)</t>
  </si>
  <si>
    <t>Custos para conclusão do projeto (R$)</t>
  </si>
  <si>
    <t xml:space="preserve">Montagem mecân </t>
  </si>
  <si>
    <t xml:space="preserve">Montagem elétrica </t>
  </si>
  <si>
    <t>Atualiz. 2023</t>
  </si>
  <si>
    <t>Bombas (2012)</t>
  </si>
  <si>
    <t>Custo c/BDI</t>
  </si>
  <si>
    <t>Equip (2012)</t>
  </si>
  <si>
    <t>Total (2012)</t>
  </si>
  <si>
    <t>ITEM</t>
  </si>
  <si>
    <t>DESCRIÇÃO</t>
  </si>
  <si>
    <t>1.2</t>
  </si>
  <si>
    <t>1.2.1</t>
  </si>
  <si>
    <t>3.1</t>
  </si>
  <si>
    <t>4.1</t>
  </si>
  <si>
    <t>9.1</t>
  </si>
  <si>
    <t xml:space="preserve">EBP-Norte </t>
  </si>
  <si>
    <t xml:space="preserve">EBS-Sul </t>
  </si>
  <si>
    <t xml:space="preserve">EBA-9 </t>
  </si>
  <si>
    <t>5.1</t>
  </si>
  <si>
    <t>9.4</t>
  </si>
  <si>
    <t>7.1</t>
  </si>
  <si>
    <t>9.2</t>
  </si>
  <si>
    <t>9.3</t>
  </si>
  <si>
    <t>10.1</t>
  </si>
  <si>
    <t>10.2</t>
  </si>
  <si>
    <t>10.3</t>
  </si>
  <si>
    <t>10.4</t>
  </si>
  <si>
    <t>13.1</t>
  </si>
  <si>
    <t>13.2</t>
  </si>
  <si>
    <t>13.3</t>
  </si>
  <si>
    <t>14.1</t>
  </si>
  <si>
    <t>14.2</t>
  </si>
  <si>
    <t>14.3</t>
  </si>
  <si>
    <t xml:space="preserve">Canal CS2/CP3 Norte </t>
  </si>
  <si>
    <t xml:space="preserve">Canal CP-3 Sul </t>
  </si>
  <si>
    <t xml:space="preserve">Obras civis </t>
  </si>
  <si>
    <t xml:space="preserve">Equip acessórios </t>
  </si>
  <si>
    <t xml:space="preserve">Obras civis (seções) </t>
  </si>
  <si>
    <t xml:space="preserve">Canal CP-3 Norte </t>
  </si>
  <si>
    <t>Obras civis (seções)</t>
  </si>
  <si>
    <t>15.1</t>
  </si>
  <si>
    <t>15.2</t>
  </si>
  <si>
    <t>16.1</t>
  </si>
  <si>
    <t>16.2</t>
  </si>
  <si>
    <t>16.3</t>
  </si>
  <si>
    <t>16.5</t>
  </si>
  <si>
    <t>16.4</t>
  </si>
  <si>
    <t>16.6</t>
  </si>
  <si>
    <t xml:space="preserve">Obras civis e movim de terra </t>
  </si>
  <si>
    <t>17.2</t>
  </si>
  <si>
    <t>18.1</t>
  </si>
  <si>
    <t>19.1</t>
  </si>
  <si>
    <t>20.1</t>
  </si>
  <si>
    <t>20.2</t>
  </si>
  <si>
    <t>20.3</t>
  </si>
  <si>
    <t>20.4</t>
  </si>
  <si>
    <t>20.5</t>
  </si>
  <si>
    <t>22.1</t>
  </si>
  <si>
    <t>23.1</t>
  </si>
  <si>
    <t>TOTAIS</t>
  </si>
  <si>
    <t>90% concl.</t>
  </si>
  <si>
    <t>85% concl.</t>
  </si>
  <si>
    <t>Equip. "on farm" p/ parcelas c/ captação nos canais</t>
  </si>
  <si>
    <t>SAU das parcelas c/ tomada/canal</t>
  </si>
  <si>
    <t>SAU das parcelas abastec por adutora</t>
  </si>
  <si>
    <t>Equip. "on farm" p/ parcelas em adutoras/EBAs</t>
  </si>
  <si>
    <t>Item</t>
  </si>
  <si>
    <t>(Origem: Canais CPC-01 e CSC-01)</t>
  </si>
  <si>
    <t>Retirados Invest. Exclusivos para 1ª Etapa</t>
  </si>
  <si>
    <t>Até ano 2012 (só para 2ª Etapa)</t>
  </si>
  <si>
    <t>Vazão para 1ªEtapa=4,27 m³/s (47% de Q total)</t>
  </si>
  <si>
    <t>Vazão para 2ªEtapa=4,786 m³/s (53% de Q total)</t>
  </si>
  <si>
    <t>Vazão na EBP-sul=9,05 m³/s</t>
  </si>
  <si>
    <t>&lt;&lt;&lt;&lt; Invetimentos exclusivos da 1ª Etapa</t>
  </si>
  <si>
    <t>Valores em roxo: investimentos exclusivos para a 2ª Etapa</t>
  </si>
  <si>
    <t>Valores em verde: investimentos compartilhados, após descontada a parte da 1ª Etapa</t>
  </si>
  <si>
    <t>Considerar proporcional à extensão do canal dentro da Etapa 2</t>
  </si>
  <si>
    <t>Excluir extensão de estradas na etapa 1</t>
  </si>
  <si>
    <t>Investimento Realizado (R$)</t>
  </si>
  <si>
    <t>Canal de aproximação EBP-Norte</t>
  </si>
  <si>
    <t>Vida útil
(anos)</t>
  </si>
  <si>
    <t>Valor residual (R$)</t>
  </si>
  <si>
    <t>Depreciação
(R$)</t>
  </si>
  <si>
    <t>Ano implantação</t>
  </si>
  <si>
    <t>Tempo de uso (anos)</t>
  </si>
  <si>
    <t>Valor residual (%)</t>
  </si>
  <si>
    <t>Valor Atual da Infraestrutura
(R$)</t>
  </si>
  <si>
    <t>Avaliação das Terras</t>
  </si>
  <si>
    <t>Valores</t>
  </si>
  <si>
    <t>Área CDRU (hectare)</t>
  </si>
  <si>
    <t>Preço da terra nua (R$/hectare)</t>
  </si>
  <si>
    <t>Preço da terra nua (R$)</t>
  </si>
  <si>
    <t>Valor da Infraestrutura (R$)</t>
  </si>
  <si>
    <t>Preço da área com Infraestrutura (R$)</t>
  </si>
  <si>
    <t>Preço da área com Infraestrutura (R$/ha)</t>
  </si>
  <si>
    <t>WACC</t>
  </si>
  <si>
    <t>Ocupação das Terras (Projeção)</t>
  </si>
  <si>
    <t>Área Irrigável (ha)</t>
  </si>
  <si>
    <t>Área Sul</t>
  </si>
  <si>
    <t>Área Norte</t>
  </si>
  <si>
    <t>Área Total
(ha)</t>
  </si>
  <si>
    <t>Prazo de Ocupação (ha)</t>
  </si>
  <si>
    <t>VPL Outorga (R$)</t>
  </si>
  <si>
    <t>Outorga (R$)</t>
  </si>
  <si>
    <t>Distribuição do Pagamento da Outorga</t>
  </si>
  <si>
    <t>Sem Transferência de Propriedade</t>
  </si>
  <si>
    <t>Com Transferência de Propriedade da Área Sul</t>
  </si>
  <si>
    <t>Com Transferência de Propriedade da Área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</si>
</sst>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"/>
    <numFmt numFmtId="165" formatCode="0.0000"/>
    <numFmt numFmtId="166" formatCode="#,##0.000"/>
    <numFmt numFmtId="167" formatCode="#,##0.0000"/>
    <numFmt numFmtId="168" formatCode="0.0%"/>
    <numFmt numFmtId="169" formatCode="_-* #,##0.000_-;\-* #,##0.000_-;_-* &quot;-&quot;??_-;_-@_-"/>
    <numFmt numFmtId="170" formatCode="_(* #,##0.00_);_(* \(#,##0.00\);_(* &quot;-&quot;??_);_(@_)"/>
    <numFmt numFmtId="171" formatCode="_-* #,##0.00_-;\-* #,##0.00_-;_-* &quot;-&quot;???_-;_-@_-"/>
    <numFmt numFmtId="172" formatCode="_-* #,##0.0_-;\-* #,##0.0_-;_-* &quot;-&quot;??_-;_-@_-"/>
    <numFmt numFmtId="173" formatCode="#,##0.00_ ;\-#,##0.00\ "/>
    <numFmt numFmtId="174" formatCode="_-* #,##0_-;\-* #,##0_-;_-* &quot;-&quot;??_-;_-@_-"/>
    <numFmt numFmtId="175" formatCode="#,##0.00_ ;[Red]\-#,##0.00\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u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-0.49998474074526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24" fillId="0" borderId="0"/>
  </cellStyleXfs>
  <cellXfs count="463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10" xfId="0" applyBorder="1"/>
    <xf numFmtId="4" fontId="0" fillId="0" borderId="0" xfId="0" applyNumberFormat="1"/>
    <xf numFmtId="4" fontId="0" fillId="0" borderId="2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2" fillId="0" borderId="0" xfId="0" applyNumberFormat="1" applyFont="1"/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4" borderId="0" xfId="0" applyFill="1" applyAlignment="1">
      <alignment horizontal="center"/>
    </xf>
    <xf numFmtId="164" fontId="2" fillId="0" borderId="0" xfId="0" applyNumberFormat="1" applyFont="1" applyAlignment="1">
      <alignment horizontal="right"/>
    </xf>
    <xf numFmtId="0" fontId="0" fillId="0" borderId="5" xfId="0" applyBorder="1" applyAlignment="1">
      <alignment horizontal="right"/>
    </xf>
    <xf numFmtId="0" fontId="0" fillId="4" borderId="5" xfId="0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2" xfId="0" applyBorder="1" applyAlignment="1">
      <alignment horizontal="center" vertical="center"/>
    </xf>
    <xf numFmtId="0" fontId="0" fillId="0" borderId="2" xfId="0" applyBorder="1"/>
    <xf numFmtId="164" fontId="0" fillId="0" borderId="0" xfId="0" applyNumberFormat="1"/>
    <xf numFmtId="2" fontId="0" fillId="0" borderId="2" xfId="0" applyNumberFormat="1" applyBorder="1"/>
    <xf numFmtId="0" fontId="0" fillId="0" borderId="10" xfId="0" applyBorder="1" applyAlignment="1">
      <alignment horizontal="center" vertical="center"/>
    </xf>
    <xf numFmtId="2" fontId="0" fillId="0" borderId="0" xfId="0" applyNumberFormat="1"/>
    <xf numFmtId="4" fontId="2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0" fillId="0" borderId="12" xfId="0" applyBorder="1" applyAlignment="1">
      <alignment horizontal="center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4" borderId="11" xfId="0" applyFill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4" fontId="0" fillId="4" borderId="0" xfId="0" applyNumberFormat="1" applyFill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2" fillId="0" borderId="0" xfId="0" applyFont="1"/>
    <xf numFmtId="2" fontId="0" fillId="4" borderId="3" xfId="0" applyNumberFormat="1" applyFill="1" applyBorder="1"/>
    <xf numFmtId="0" fontId="0" fillId="0" borderId="0" xfId="0" applyAlignment="1">
      <alignment horizontal="left"/>
    </xf>
    <xf numFmtId="43" fontId="10" fillId="0" borderId="0" xfId="1" applyFont="1"/>
    <xf numFmtId="164" fontId="1" fillId="0" borderId="8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9" fontId="0" fillId="0" borderId="0" xfId="2" applyFont="1" applyBorder="1"/>
    <xf numFmtId="164" fontId="1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4" borderId="0" xfId="0" applyFont="1" applyFill="1" applyAlignment="1">
      <alignment horizontal="left"/>
    </xf>
    <xf numFmtId="16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69" fontId="2" fillId="0" borderId="0" xfId="0" applyNumberFormat="1" applyFont="1" applyAlignment="1">
      <alignment horizontal="right"/>
    </xf>
    <xf numFmtId="169" fontId="2" fillId="0" borderId="0" xfId="1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center"/>
    </xf>
    <xf numFmtId="9" fontId="0" fillId="0" borderId="0" xfId="0" applyNumberFormat="1" applyAlignment="1">
      <alignment horizontal="center"/>
    </xf>
    <xf numFmtId="43" fontId="10" fillId="0" borderId="0" xfId="1" applyFont="1" applyBorder="1"/>
    <xf numFmtId="4" fontId="0" fillId="0" borderId="0" xfId="0" quotePrefix="1" applyNumberFormat="1" applyAlignment="1">
      <alignment horizontal="right" vertical="center"/>
    </xf>
    <xf numFmtId="0" fontId="5" fillId="0" borderId="0" xfId="0" applyFont="1"/>
    <xf numFmtId="4" fontId="5" fillId="0" borderId="0" xfId="0" applyNumberFormat="1" applyFont="1" applyAlignment="1">
      <alignment horizontal="right" vertical="center"/>
    </xf>
    <xf numFmtId="0" fontId="2" fillId="9" borderId="5" xfId="0" applyFont="1" applyFill="1" applyBorder="1" applyAlignment="1">
      <alignment horizontal="right"/>
    </xf>
    <xf numFmtId="43" fontId="2" fillId="9" borderId="19" xfId="1" applyFont="1" applyFill="1" applyBorder="1" applyAlignment="1">
      <alignment horizontal="right" vertical="center"/>
    </xf>
    <xf numFmtId="9" fontId="2" fillId="0" borderId="0" xfId="2" applyFont="1" applyBorder="1" applyAlignment="1">
      <alignment horizontal="right"/>
    </xf>
    <xf numFmtId="2" fontId="2" fillId="0" borderId="0" xfId="0" applyNumberFormat="1" applyFont="1"/>
    <xf numFmtId="9" fontId="0" fillId="0" borderId="0" xfId="2" applyFont="1" applyBorder="1" applyAlignment="1">
      <alignment horizontal="center"/>
    </xf>
    <xf numFmtId="0" fontId="5" fillId="0" borderId="1" xfId="0" applyFont="1" applyBorder="1"/>
    <xf numFmtId="9" fontId="0" fillId="0" borderId="1" xfId="2" applyFont="1" applyBorder="1" applyAlignment="1">
      <alignment horizontal="center"/>
    </xf>
    <xf numFmtId="0" fontId="0" fillId="8" borderId="1" xfId="0" applyFill="1" applyBorder="1" applyAlignment="1">
      <alignment horizontal="left"/>
    </xf>
    <xf numFmtId="43" fontId="0" fillId="8" borderId="1" xfId="0" applyNumberFormat="1" applyFill="1" applyBorder="1"/>
    <xf numFmtId="168" fontId="0" fillId="8" borderId="1" xfId="2" applyNumberFormat="1" applyFont="1" applyFill="1" applyBorder="1" applyAlignment="1">
      <alignment horizontal="center"/>
    </xf>
    <xf numFmtId="169" fontId="2" fillId="0" borderId="0" xfId="1" quotePrefix="1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11" xfId="0" applyBorder="1"/>
    <xf numFmtId="164" fontId="1" fillId="0" borderId="9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8" borderId="1" xfId="0" applyFill="1" applyBorder="1"/>
    <xf numFmtId="0" fontId="5" fillId="8" borderId="1" xfId="0" applyFont="1" applyFill="1" applyBorder="1"/>
    <xf numFmtId="0" fontId="5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4" fontId="0" fillId="0" borderId="0" xfId="0" quotePrefix="1" applyNumberFormat="1" applyAlignment="1">
      <alignment horizontal="center" vertical="center"/>
    </xf>
    <xf numFmtId="168" fontId="0" fillId="5" borderId="0" xfId="2" quotePrefix="1" applyNumberFormat="1" applyFont="1" applyFill="1" applyBorder="1" applyAlignment="1">
      <alignment horizontal="right" vertical="center"/>
    </xf>
    <xf numFmtId="0" fontId="14" fillId="0" borderId="0" xfId="0" applyFont="1"/>
    <xf numFmtId="4" fontId="2" fillId="0" borderId="1" xfId="0" applyNumberFormat="1" applyFont="1" applyBorder="1"/>
    <xf numFmtId="4" fontId="0" fillId="0" borderId="3" xfId="0" applyNumberFormat="1" applyBorder="1"/>
    <xf numFmtId="2" fontId="0" fillId="0" borderId="3" xfId="0" applyNumberFormat="1" applyBorder="1"/>
    <xf numFmtId="164" fontId="0" fillId="0" borderId="1" xfId="0" applyNumberFormat="1" applyBorder="1"/>
    <xf numFmtId="16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3" fontId="0" fillId="4" borderId="0" xfId="0" applyNumberFormat="1" applyFill="1" applyAlignment="1">
      <alignment horizontal="right" vertical="center"/>
    </xf>
    <xf numFmtId="4" fontId="0" fillId="4" borderId="0" xfId="0" applyNumberFormat="1" applyFill="1"/>
    <xf numFmtId="4" fontId="0" fillId="2" borderId="0" xfId="0" applyNumberFormat="1" applyFill="1"/>
    <xf numFmtId="4" fontId="2" fillId="2" borderId="0" xfId="0" applyNumberFormat="1" applyFont="1" applyFill="1"/>
    <xf numFmtId="4" fontId="0" fillId="2" borderId="2" xfId="0" applyNumberFormat="1" applyFill="1" applyBorder="1"/>
    <xf numFmtId="168" fontId="0" fillId="5" borderId="0" xfId="2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4" fontId="11" fillId="0" borderId="0" xfId="0" quotePrefix="1" applyNumberFormat="1" applyFont="1"/>
    <xf numFmtId="0" fontId="2" fillId="0" borderId="0" xfId="0" applyFont="1" applyAlignment="1">
      <alignment horizontal="center"/>
    </xf>
    <xf numFmtId="169" fontId="2" fillId="0" borderId="0" xfId="0" applyNumberFormat="1" applyFont="1" applyAlignment="1">
      <alignment horizontal="right" vertical="center"/>
    </xf>
    <xf numFmtId="0" fontId="15" fillId="0" borderId="0" xfId="0" applyFont="1"/>
    <xf numFmtId="43" fontId="0" fillId="0" borderId="0" xfId="1" applyFont="1" applyBorder="1" applyAlignment="1">
      <alignment horizontal="center"/>
    </xf>
    <xf numFmtId="4" fontId="0" fillId="0" borderId="1" xfId="0" quotePrefix="1" applyNumberFormat="1" applyBorder="1" applyAlignment="1">
      <alignment horizontal="right" vertical="center"/>
    </xf>
    <xf numFmtId="166" fontId="2" fillId="0" borderId="0" xfId="0" applyNumberFormat="1" applyFont="1" applyAlignment="1">
      <alignment horizontal="right" vertical="top"/>
    </xf>
    <xf numFmtId="43" fontId="0" fillId="0" borderId="0" xfId="1" applyFont="1"/>
    <xf numFmtId="0" fontId="18" fillId="3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3" fillId="9" borderId="5" xfId="0" applyNumberFormat="1" applyFont="1" applyFill="1" applyBorder="1" applyAlignment="1">
      <alignment horizontal="center"/>
    </xf>
    <xf numFmtId="3" fontId="1" fillId="0" borderId="8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/>
    </xf>
    <xf numFmtId="3" fontId="12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8" borderId="1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2" fontId="2" fillId="4" borderId="0" xfId="0" applyNumberFormat="1" applyFont="1" applyFill="1"/>
    <xf numFmtId="0" fontId="2" fillId="4" borderId="0" xfId="0" applyFont="1" applyFill="1" applyAlignment="1">
      <alignment horizontal="center"/>
    </xf>
    <xf numFmtId="3" fontId="2" fillId="0" borderId="0" xfId="0" applyNumberFormat="1" applyFont="1" applyAlignment="1">
      <alignment horizontal="left"/>
    </xf>
    <xf numFmtId="168" fontId="2" fillId="8" borderId="1" xfId="2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/>
    <xf numFmtId="0" fontId="13" fillId="8" borderId="1" xfId="0" applyFont="1" applyFill="1" applyBorder="1" applyAlignment="1">
      <alignment horizontal="left"/>
    </xf>
    <xf numFmtId="43" fontId="2" fillId="8" borderId="1" xfId="0" applyNumberFormat="1" applyFont="1" applyFill="1" applyBorder="1"/>
    <xf numFmtId="172" fontId="0" fillId="0" borderId="8" xfId="1" applyNumberFormat="1" applyFont="1" applyBorder="1" applyAlignment="1">
      <alignment horizontal="center"/>
    </xf>
    <xf numFmtId="172" fontId="0" fillId="0" borderId="1" xfId="1" applyNumberFormat="1" applyFont="1" applyBorder="1" applyAlignment="1">
      <alignment horizontal="center"/>
    </xf>
    <xf numFmtId="172" fontId="0" fillId="0" borderId="0" xfId="1" applyNumberFormat="1" applyFont="1" applyBorder="1" applyAlignment="1">
      <alignment horizontal="center"/>
    </xf>
    <xf numFmtId="0" fontId="21" fillId="0" borderId="0" xfId="0" applyFont="1"/>
    <xf numFmtId="0" fontId="18" fillId="0" borderId="8" xfId="0" applyFont="1" applyBorder="1" applyAlignment="1">
      <alignment horizontal="center"/>
    </xf>
    <xf numFmtId="0" fontId="0" fillId="0" borderId="8" xfId="0" applyBorder="1" applyAlignment="1">
      <alignment horizontal="right" vertical="center"/>
    </xf>
    <xf numFmtId="168" fontId="0" fillId="0" borderId="0" xfId="2" applyNumberFormat="1" applyFont="1" applyFill="1" applyBorder="1" applyAlignment="1">
      <alignment horizontal="center"/>
    </xf>
    <xf numFmtId="43" fontId="0" fillId="0" borderId="0" xfId="0" applyNumberFormat="1"/>
    <xf numFmtId="0" fontId="23" fillId="0" borderId="0" xfId="0" applyFont="1" applyAlignment="1">
      <alignment horizontal="center"/>
    </xf>
    <xf numFmtId="168" fontId="0" fillId="0" borderId="0" xfId="2" applyNumberFormat="1" applyFont="1" applyBorder="1" applyAlignment="1">
      <alignment horizontal="center"/>
    </xf>
    <xf numFmtId="4" fontId="2" fillId="13" borderId="0" xfId="0" applyNumberFormat="1" applyFont="1" applyFill="1"/>
    <xf numFmtId="164" fontId="1" fillId="12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168" fontId="0" fillId="12" borderId="0" xfId="2" applyNumberFormat="1" applyFont="1" applyFill="1" applyBorder="1"/>
    <xf numFmtId="9" fontId="2" fillId="0" borderId="0" xfId="2" applyFont="1" applyBorder="1" applyAlignment="1">
      <alignment horizontal="center"/>
    </xf>
    <xf numFmtId="0" fontId="0" fillId="14" borderId="0" xfId="0" applyFill="1"/>
    <xf numFmtId="43" fontId="2" fillId="0" borderId="0" xfId="1" applyFont="1" applyFill="1" applyBorder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43" fontId="2" fillId="0" borderId="0" xfId="1" applyFont="1" applyBorder="1" applyAlignment="1">
      <alignment horizontal="right" vertical="center"/>
    </xf>
    <xf numFmtId="43" fontId="2" fillId="0" borderId="0" xfId="0" applyNumberFormat="1" applyFont="1" applyAlignment="1">
      <alignment horizontal="right" vertical="center"/>
    </xf>
    <xf numFmtId="4" fontId="2" fillId="0" borderId="0" xfId="0" quotePrefix="1" applyNumberFormat="1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173" fontId="2" fillId="0" borderId="0" xfId="1" applyNumberFormat="1" applyFont="1" applyFill="1" applyAlignment="1">
      <alignment horizontal="right" vertical="center"/>
    </xf>
    <xf numFmtId="3" fontId="17" fillId="0" borderId="0" xfId="0" applyNumberFormat="1" applyFont="1" applyAlignment="1">
      <alignment horizontal="right" vertical="top"/>
    </xf>
    <xf numFmtId="168" fontId="0" fillId="0" borderId="1" xfId="2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7" fillId="0" borderId="1" xfId="0" applyFont="1" applyBorder="1" applyAlignment="1">
      <alignment horizontal="left"/>
    </xf>
    <xf numFmtId="3" fontId="0" fillId="0" borderId="0" xfId="0" applyNumberFormat="1" applyAlignment="1">
      <alignment horizontal="left"/>
    </xf>
    <xf numFmtId="164" fontId="25" fillId="0" borderId="0" xfId="0" applyNumberFormat="1" applyFont="1" applyAlignment="1">
      <alignment horizontal="right" vertical="center"/>
    </xf>
    <xf numFmtId="168" fontId="5" fillId="8" borderId="1" xfId="2" applyNumberFormat="1" applyFont="1" applyFill="1" applyBorder="1" applyAlignment="1">
      <alignment horizontal="center"/>
    </xf>
    <xf numFmtId="3" fontId="12" fillId="0" borderId="0" xfId="0" applyNumberFormat="1" applyFont="1" applyAlignment="1">
      <alignment horizontal="left"/>
    </xf>
    <xf numFmtId="169" fontId="5" fillId="0" borderId="0" xfId="1" applyNumberFormat="1" applyFont="1" applyFill="1" applyBorder="1" applyAlignment="1">
      <alignment horizontal="right" vertical="center"/>
    </xf>
    <xf numFmtId="0" fontId="0" fillId="0" borderId="0" xfId="0" quotePrefix="1" applyAlignment="1">
      <alignment horizontal="left"/>
    </xf>
    <xf numFmtId="4" fontId="0" fillId="14" borderId="0" xfId="0" applyNumberFormat="1" applyFill="1"/>
    <xf numFmtId="4" fontId="2" fillId="0" borderId="0" xfId="1" applyNumberFormat="1" applyFont="1" applyFill="1" applyBorder="1"/>
    <xf numFmtId="172" fontId="2" fillId="0" borderId="0" xfId="1" quotePrefix="1" applyNumberFormat="1" applyFont="1" applyFill="1" applyBorder="1" applyAlignment="1">
      <alignment horizontal="right" vertical="center"/>
    </xf>
    <xf numFmtId="10" fontId="16" fillId="15" borderId="12" xfId="5" applyNumberFormat="1" applyFont="1" applyFill="1" applyBorder="1" applyAlignment="1">
      <alignment vertical="center"/>
    </xf>
    <xf numFmtId="4" fontId="2" fillId="0" borderId="8" xfId="0" applyNumberFormat="1" applyFont="1" applyBorder="1"/>
    <xf numFmtId="4" fontId="2" fillId="0" borderId="9" xfId="0" applyNumberFormat="1" applyFont="1" applyBorder="1"/>
    <xf numFmtId="0" fontId="0" fillId="0" borderId="3" xfId="0" applyBorder="1"/>
    <xf numFmtId="4" fontId="2" fillId="4" borderId="9" xfId="0" applyNumberFormat="1" applyFont="1" applyFill="1" applyBorder="1"/>
    <xf numFmtId="9" fontId="0" fillId="0" borderId="3" xfId="2" applyFont="1" applyBorder="1"/>
    <xf numFmtId="3" fontId="5" fillId="0" borderId="0" xfId="0" applyNumberFormat="1" applyFont="1" applyAlignment="1">
      <alignment horizontal="left"/>
    </xf>
    <xf numFmtId="4" fontId="0" fillId="0" borderId="9" xfId="0" quotePrefix="1" applyNumberFormat="1" applyBorder="1"/>
    <xf numFmtId="4" fontId="0" fillId="0" borderId="2" xfId="0" quotePrefix="1" applyNumberFormat="1" applyBorder="1"/>
    <xf numFmtId="4" fontId="2" fillId="7" borderId="3" xfId="0" applyNumberFormat="1" applyFont="1" applyFill="1" applyBorder="1" applyAlignment="1">
      <alignment horizontal="right"/>
    </xf>
    <xf numFmtId="43" fontId="0" fillId="4" borderId="0" xfId="1" applyFont="1" applyFill="1"/>
    <xf numFmtId="164" fontId="1" fillId="17" borderId="0" xfId="0" applyNumberFormat="1" applyFont="1" applyFill="1" applyAlignment="1">
      <alignment horizontal="right" vertical="center"/>
    </xf>
    <xf numFmtId="4" fontId="16" fillId="15" borderId="12" xfId="5" applyNumberFormat="1" applyFont="1" applyFill="1" applyBorder="1" applyAlignment="1">
      <alignment vertical="center"/>
    </xf>
    <xf numFmtId="4" fontId="2" fillId="15" borderId="0" xfId="0" applyNumberFormat="1" applyFont="1" applyFill="1"/>
    <xf numFmtId="4" fontId="2" fillId="15" borderId="0" xfId="0" applyNumberFormat="1" applyFont="1" applyFill="1" applyAlignment="1">
      <alignment horizontal="right" vertical="center"/>
    </xf>
    <xf numFmtId="4" fontId="2" fillId="15" borderId="0" xfId="0" applyNumberFormat="1" applyFont="1" applyFill="1" applyAlignment="1">
      <alignment horizontal="right"/>
    </xf>
    <xf numFmtId="43" fontId="2" fillId="15" borderId="0" xfId="1" applyFont="1" applyFill="1" applyBorder="1" applyAlignment="1">
      <alignment horizontal="right" vertical="center"/>
    </xf>
    <xf numFmtId="43" fontId="2" fillId="15" borderId="0" xfId="1" applyFont="1" applyFill="1" applyAlignment="1">
      <alignment horizontal="right" vertical="center"/>
    </xf>
    <xf numFmtId="4" fontId="2" fillId="15" borderId="0" xfId="0" quotePrefix="1" applyNumberFormat="1" applyFont="1" applyFill="1" applyAlignment="1">
      <alignment horizontal="right" vertical="center"/>
    </xf>
    <xf numFmtId="43" fontId="0" fillId="15" borderId="0" xfId="1" applyFont="1" applyFill="1" applyBorder="1" applyAlignment="1">
      <alignment horizontal="right" vertical="center"/>
    </xf>
    <xf numFmtId="4" fontId="2" fillId="15" borderId="0" xfId="0" applyNumberFormat="1" applyFont="1" applyFill="1" applyAlignment="1">
      <alignment horizontal="right" vertical="top"/>
    </xf>
    <xf numFmtId="166" fontId="0" fillId="0" borderId="0" xfId="0" applyNumberFormat="1"/>
    <xf numFmtId="43" fontId="0" fillId="0" borderId="0" xfId="1" applyFont="1" applyAlignment="1">
      <alignment horizontal="center"/>
    </xf>
    <xf numFmtId="2" fontId="0" fillId="4" borderId="0" xfId="0" applyNumberFormat="1" applyFill="1" applyAlignment="1">
      <alignment horizontal="center"/>
    </xf>
    <xf numFmtId="43" fontId="0" fillId="0" borderId="0" xfId="1" applyFont="1" applyAlignment="1">
      <alignment horizontal="right" vertical="center"/>
    </xf>
    <xf numFmtId="3" fontId="18" fillId="18" borderId="0" xfId="0" applyNumberFormat="1" applyFont="1" applyFill="1" applyAlignment="1">
      <alignment horizontal="center"/>
    </xf>
    <xf numFmtId="10" fontId="0" fillId="18" borderId="0" xfId="2" applyNumberFormat="1" applyFont="1" applyFill="1" applyAlignment="1">
      <alignment horizontal="right" vertical="center"/>
    </xf>
    <xf numFmtId="4" fontId="0" fillId="18" borderId="0" xfId="0" applyNumberFormat="1" applyFill="1" applyAlignment="1">
      <alignment horizontal="right" vertical="center"/>
    </xf>
    <xf numFmtId="165" fontId="2" fillId="15" borderId="0" xfId="0" applyNumberFormat="1" applyFont="1" applyFill="1" applyAlignment="1">
      <alignment horizontal="right" vertical="center"/>
    </xf>
    <xf numFmtId="0" fontId="2" fillId="19" borderId="0" xfId="0" applyFont="1" applyFill="1"/>
    <xf numFmtId="3" fontId="3" fillId="19" borderId="0" xfId="0" applyNumberFormat="1" applyFont="1" applyFill="1" applyAlignment="1">
      <alignment horizontal="center"/>
    </xf>
    <xf numFmtId="0" fontId="2" fillId="19" borderId="0" xfId="0" applyFont="1" applyFill="1" applyAlignment="1">
      <alignment horizontal="right" vertical="center"/>
    </xf>
    <xf numFmtId="4" fontId="2" fillId="19" borderId="0" xfId="0" applyNumberFormat="1" applyFont="1" applyFill="1" applyAlignment="1">
      <alignment horizontal="right" vertical="center"/>
    </xf>
    <xf numFmtId="172" fontId="2" fillId="19" borderId="0" xfId="1" applyNumberFormat="1" applyFont="1" applyFill="1" applyAlignment="1">
      <alignment horizontal="right"/>
    </xf>
    <xf numFmtId="0" fontId="0" fillId="19" borderId="0" xfId="0" applyFill="1"/>
    <xf numFmtId="4" fontId="21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" fontId="5" fillId="0" borderId="0" xfId="0" applyNumberFormat="1" applyFont="1" applyAlignment="1">
      <alignment horizontal="right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8" fillId="4" borderId="12" xfId="0" applyFont="1" applyFill="1" applyBorder="1" applyAlignment="1">
      <alignment horizontal="center" vertical="center" wrapText="1"/>
    </xf>
    <xf numFmtId="0" fontId="0" fillId="14" borderId="1" xfId="0" applyFill="1" applyBorder="1"/>
    <xf numFmtId="4" fontId="0" fillId="0" borderId="1" xfId="0" applyNumberFormat="1" applyBorder="1" applyAlignment="1">
      <alignment horizontal="right" vertical="center"/>
    </xf>
    <xf numFmtId="0" fontId="18" fillId="4" borderId="4" xfId="0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0" fontId="0" fillId="0" borderId="15" xfId="0" applyBorder="1"/>
    <xf numFmtId="4" fontId="21" fillId="0" borderId="15" xfId="0" applyNumberFormat="1" applyFont="1" applyBorder="1" applyAlignment="1">
      <alignment horizontal="right" vertical="top"/>
    </xf>
    <xf numFmtId="4" fontId="0" fillId="0" borderId="15" xfId="0" applyNumberFormat="1" applyBorder="1" applyAlignment="1">
      <alignment horizontal="right" vertical="top"/>
    </xf>
    <xf numFmtId="4" fontId="0" fillId="0" borderId="15" xfId="0" applyNumberFormat="1" applyBorder="1" applyAlignment="1">
      <alignment horizontal="right"/>
    </xf>
    <xf numFmtId="4" fontId="0" fillId="0" borderId="15" xfId="0" applyNumberFormat="1" applyBorder="1" applyAlignment="1">
      <alignment horizontal="right" vertical="center"/>
    </xf>
    <xf numFmtId="4" fontId="0" fillId="0" borderId="15" xfId="0" applyNumberFormat="1" applyBorder="1"/>
    <xf numFmtId="0" fontId="0" fillId="0" borderId="14" xfId="0" applyBorder="1"/>
    <xf numFmtId="4" fontId="21" fillId="0" borderId="14" xfId="0" applyNumberFormat="1" applyFont="1" applyBorder="1" applyAlignment="1">
      <alignment horizontal="right" vertical="top"/>
    </xf>
    <xf numFmtId="164" fontId="26" fillId="0" borderId="15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right"/>
    </xf>
    <xf numFmtId="4" fontId="0" fillId="0" borderId="14" xfId="0" applyNumberFormat="1" applyBorder="1" applyAlignment="1">
      <alignment horizontal="right"/>
    </xf>
    <xf numFmtId="4" fontId="0" fillId="0" borderId="14" xfId="0" applyNumberFormat="1" applyBorder="1" applyAlignment="1">
      <alignment horizontal="right" vertical="center"/>
    </xf>
    <xf numFmtId="4" fontId="0" fillId="0" borderId="14" xfId="0" applyNumberFormat="1" applyBorder="1" applyAlignment="1">
      <alignment horizontal="right" vertical="top"/>
    </xf>
    <xf numFmtId="4" fontId="5" fillId="16" borderId="1" xfId="0" applyNumberFormat="1" applyFont="1" applyFill="1" applyBorder="1" applyAlignment="1">
      <alignment horizontal="right" vertical="center"/>
    </xf>
    <xf numFmtId="164" fontId="25" fillId="0" borderId="15" xfId="0" applyNumberFormat="1" applyFont="1" applyBorder="1" applyAlignment="1">
      <alignment horizontal="right" vertical="center"/>
    </xf>
    <xf numFmtId="0" fontId="0" fillId="0" borderId="16" xfId="0" applyBorder="1"/>
    <xf numFmtId="4" fontId="0" fillId="19" borderId="0" xfId="0" applyNumberFormat="1" applyFill="1"/>
    <xf numFmtId="43" fontId="0" fillId="20" borderId="0" xfId="0" applyNumberFormat="1" applyFill="1" applyAlignment="1">
      <alignment horizontal="center"/>
    </xf>
    <xf numFmtId="0" fontId="0" fillId="20" borderId="0" xfId="0" applyFill="1" applyAlignment="1">
      <alignment horizontal="left"/>
    </xf>
    <xf numFmtId="4" fontId="2" fillId="4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top" wrapText="1"/>
    </xf>
    <xf numFmtId="0" fontId="27" fillId="0" borderId="0" xfId="0" applyFont="1" applyAlignment="1">
      <alignment horizontal="right"/>
    </xf>
    <xf numFmtId="9" fontId="2" fillId="0" borderId="0" xfId="2" applyFont="1" applyAlignment="1">
      <alignment horizontal="center"/>
    </xf>
    <xf numFmtId="0" fontId="2" fillId="4" borderId="13" xfId="0" applyFont="1" applyFill="1" applyBorder="1" applyAlignment="1">
      <alignment horizontal="right"/>
    </xf>
    <xf numFmtId="2" fontId="2" fillId="4" borderId="14" xfId="0" applyNumberFormat="1" applyFont="1" applyFill="1" applyBorder="1" applyAlignment="1">
      <alignment horizontal="right"/>
    </xf>
    <xf numFmtId="0" fontId="0" fillId="10" borderId="12" xfId="0" applyFill="1" applyBorder="1" applyAlignment="1">
      <alignment horizontal="right"/>
    </xf>
    <xf numFmtId="2" fontId="0" fillId="10" borderId="0" xfId="0" applyNumberFormat="1" applyFill="1" applyAlignment="1">
      <alignment horizontal="right"/>
    </xf>
    <xf numFmtId="168" fontId="0" fillId="0" borderId="0" xfId="2" applyNumberFormat="1" applyFont="1" applyBorder="1" applyAlignment="1">
      <alignment horizontal="right"/>
    </xf>
    <xf numFmtId="10" fontId="2" fillId="0" borderId="0" xfId="2" applyNumberFormat="1" applyFont="1" applyFill="1" applyAlignment="1">
      <alignment horizontal="center"/>
    </xf>
    <xf numFmtId="0" fontId="0" fillId="4" borderId="0" xfId="0" applyFill="1" applyAlignment="1">
      <alignment horizontal="left"/>
    </xf>
    <xf numFmtId="3" fontId="5" fillId="4" borderId="4" xfId="0" applyNumberFormat="1" applyFont="1" applyFill="1" applyBorder="1" applyAlignment="1">
      <alignment horizontal="right"/>
    </xf>
    <xf numFmtId="3" fontId="12" fillId="4" borderId="12" xfId="0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right"/>
    </xf>
    <xf numFmtId="0" fontId="18" fillId="0" borderId="14" xfId="0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right"/>
    </xf>
    <xf numFmtId="43" fontId="0" fillId="4" borderId="1" xfId="1" applyFont="1" applyFill="1" applyBorder="1" applyAlignment="1">
      <alignment horizontal="center"/>
    </xf>
    <xf numFmtId="164" fontId="3" fillId="0" borderId="26" xfId="0" applyNumberFormat="1" applyFont="1" applyBorder="1" applyAlignment="1">
      <alignment horizontal="right" vertical="center"/>
    </xf>
    <xf numFmtId="164" fontId="3" fillId="0" borderId="27" xfId="0" applyNumberFormat="1" applyFont="1" applyBorder="1" applyAlignment="1">
      <alignment horizontal="right" vertical="center"/>
    </xf>
    <xf numFmtId="4" fontId="22" fillId="0" borderId="27" xfId="0" applyNumberFormat="1" applyFont="1" applyBorder="1" applyAlignment="1">
      <alignment horizontal="right" vertical="top"/>
    </xf>
    <xf numFmtId="4" fontId="2" fillId="0" borderId="27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right"/>
    </xf>
    <xf numFmtId="4" fontId="2" fillId="15" borderId="27" xfId="0" applyNumberFormat="1" applyFont="1" applyFill="1" applyBorder="1" applyAlignment="1">
      <alignment horizontal="right"/>
    </xf>
    <xf numFmtId="43" fontId="2" fillId="15" borderId="27" xfId="1" applyFont="1" applyFill="1" applyBorder="1" applyAlignment="1">
      <alignment horizontal="right"/>
    </xf>
    <xf numFmtId="43" fontId="2" fillId="15" borderId="26" xfId="0" applyNumberFormat="1" applyFont="1" applyFill="1" applyBorder="1" applyAlignment="1">
      <alignment horizontal="right"/>
    </xf>
    <xf numFmtId="4" fontId="21" fillId="0" borderId="0" xfId="0" applyNumberFormat="1" applyFont="1"/>
    <xf numFmtId="4" fontId="2" fillId="15" borderId="27" xfId="0" quotePrefix="1" applyNumberFormat="1" applyFont="1" applyFill="1" applyBorder="1" applyAlignment="1">
      <alignment horizontal="right" vertical="center"/>
    </xf>
    <xf numFmtId="171" fontId="2" fillId="15" borderId="27" xfId="0" applyNumberFormat="1" applyFont="1" applyFill="1" applyBorder="1" applyAlignment="1">
      <alignment horizontal="right"/>
    </xf>
    <xf numFmtId="4" fontId="0" fillId="0" borderId="0" xfId="0" applyNumberFormat="1" applyAlignment="1">
      <alignment vertical="top"/>
    </xf>
    <xf numFmtId="43" fontId="0" fillId="5" borderId="0" xfId="0" applyNumberFormat="1" applyFill="1" applyAlignment="1">
      <alignment horizontal="right"/>
    </xf>
    <xf numFmtId="0" fontId="2" fillId="15" borderId="27" xfId="0" applyFont="1" applyFill="1" applyBorder="1" applyAlignment="1">
      <alignment horizontal="right"/>
    </xf>
    <xf numFmtId="164" fontId="3" fillId="15" borderId="27" xfId="0" applyNumberFormat="1" applyFont="1" applyFill="1" applyBorder="1" applyAlignment="1">
      <alignment horizontal="right" vertical="center"/>
    </xf>
    <xf numFmtId="164" fontId="3" fillId="15" borderId="27" xfId="0" applyNumberFormat="1" applyFont="1" applyFill="1" applyBorder="1" applyAlignment="1">
      <alignment horizontal="left" vertical="center"/>
    </xf>
    <xf numFmtId="43" fontId="2" fillId="15" borderId="27" xfId="0" applyNumberFormat="1" applyFont="1" applyFill="1" applyBorder="1" applyAlignment="1">
      <alignment horizontal="right"/>
    </xf>
    <xf numFmtId="4" fontId="2" fillId="15" borderId="27" xfId="0" applyNumberFormat="1" applyFont="1" applyFill="1" applyBorder="1" applyAlignment="1">
      <alignment horizontal="left" vertical="center"/>
    </xf>
    <xf numFmtId="4" fontId="2" fillId="15" borderId="27" xfId="0" applyNumberFormat="1" applyFont="1" applyFill="1" applyBorder="1" applyAlignment="1">
      <alignment horizontal="right" vertical="center"/>
    </xf>
    <xf numFmtId="0" fontId="2" fillId="15" borderId="25" xfId="0" applyFont="1" applyFill="1" applyBorder="1" applyAlignment="1">
      <alignment horizontal="right"/>
    </xf>
    <xf numFmtId="4" fontId="2" fillId="15" borderId="27" xfId="0" applyNumberFormat="1" applyFont="1" applyFill="1" applyBorder="1" applyAlignment="1">
      <alignment horizontal="left"/>
    </xf>
    <xf numFmtId="4" fontId="2" fillId="15" borderId="26" xfId="0" applyNumberFormat="1" applyFont="1" applyFill="1" applyBorder="1" applyAlignment="1">
      <alignment horizontal="right"/>
    </xf>
    <xf numFmtId="4" fontId="2" fillId="15" borderId="27" xfId="0" applyNumberFormat="1" applyFont="1" applyFill="1" applyBorder="1" applyAlignment="1">
      <alignment horizontal="right" vertical="top"/>
    </xf>
    <xf numFmtId="4" fontId="2" fillId="15" borderId="26" xfId="0" quotePrefix="1" applyNumberFormat="1" applyFont="1" applyFill="1" applyBorder="1" applyAlignment="1">
      <alignment horizontal="right"/>
    </xf>
    <xf numFmtId="43" fontId="2" fillId="8" borderId="26" xfId="0" applyNumberFormat="1" applyFont="1" applyFill="1" applyBorder="1"/>
    <xf numFmtId="0" fontId="23" fillId="0" borderId="22" xfId="0" applyFont="1" applyBorder="1" applyAlignment="1">
      <alignment horizontal="center"/>
    </xf>
    <xf numFmtId="0" fontId="0" fillId="0" borderId="22" xfId="0" applyBorder="1"/>
    <xf numFmtId="0" fontId="23" fillId="0" borderId="21" xfId="0" applyFont="1" applyBorder="1" applyAlignment="1">
      <alignment horizontal="center"/>
    </xf>
    <xf numFmtId="0" fontId="14" fillId="0" borderId="21" xfId="0" applyFont="1" applyBorder="1"/>
    <xf numFmtId="0" fontId="0" fillId="15" borderId="21" xfId="0" applyFill="1" applyBorder="1" applyAlignment="1">
      <alignment horizontal="center"/>
    </xf>
    <xf numFmtId="0" fontId="0" fillId="0" borderId="21" xfId="0" applyBorder="1"/>
    <xf numFmtId="0" fontId="23" fillId="15" borderId="21" xfId="0" applyFont="1" applyFill="1" applyBorder="1" applyAlignment="1">
      <alignment horizontal="center"/>
    </xf>
    <xf numFmtId="4" fontId="23" fillId="15" borderId="12" xfId="0" applyNumberFormat="1" applyFont="1" applyFill="1" applyBorder="1" applyAlignment="1">
      <alignment horizontal="right" vertical="center"/>
    </xf>
    <xf numFmtId="4" fontId="5" fillId="16" borderId="8" xfId="0" applyNumberFormat="1" applyFont="1" applyFill="1" applyBorder="1"/>
    <xf numFmtId="172" fontId="0" fillId="4" borderId="0" xfId="0" applyNumberFormat="1" applyFill="1" applyAlignment="1">
      <alignment horizontal="right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2" fillId="8" borderId="1" xfId="0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 vertical="top"/>
    </xf>
    <xf numFmtId="0" fontId="2" fillId="9" borderId="5" xfId="0" applyFont="1" applyFill="1" applyBorder="1" applyAlignment="1">
      <alignment horizontal="center"/>
    </xf>
    <xf numFmtId="0" fontId="2" fillId="19" borderId="0" xfId="0" applyFont="1" applyFill="1" applyAlignment="1">
      <alignment horizontal="center"/>
    </xf>
    <xf numFmtId="4" fontId="2" fillId="21" borderId="6" xfId="0" applyNumberFormat="1" applyFont="1" applyFill="1" applyBorder="1" applyAlignment="1">
      <alignment horizontal="right"/>
    </xf>
    <xf numFmtId="4" fontId="0" fillId="21" borderId="0" xfId="0" applyNumberFormat="1" applyFill="1"/>
    <xf numFmtId="164" fontId="26" fillId="0" borderId="0" xfId="0" applyNumberFormat="1" applyFont="1" applyAlignment="1">
      <alignment horizontal="right" vertical="center"/>
    </xf>
    <xf numFmtId="0" fontId="18" fillId="5" borderId="4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164" fontId="26" fillId="5" borderId="15" xfId="0" applyNumberFormat="1" applyFont="1" applyFill="1" applyBorder="1" applyAlignment="1">
      <alignment horizontal="right" vertical="center"/>
    </xf>
    <xf numFmtId="4" fontId="0" fillId="5" borderId="15" xfId="0" applyNumberFormat="1" applyFill="1" applyBorder="1" applyAlignment="1">
      <alignment horizontal="right" vertical="top"/>
    </xf>
    <xf numFmtId="4" fontId="0" fillId="5" borderId="14" xfId="0" applyNumberFormat="1" applyFill="1" applyBorder="1" applyAlignment="1">
      <alignment horizontal="right" vertical="top"/>
    </xf>
    <xf numFmtId="0" fontId="0" fillId="22" borderId="0" xfId="0" applyFill="1"/>
    <xf numFmtId="4" fontId="0" fillId="22" borderId="0" xfId="0" applyNumberFormat="1" applyFill="1"/>
    <xf numFmtId="4" fontId="23" fillId="22" borderId="0" xfId="0" applyNumberFormat="1" applyFont="1" applyFill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0" xfId="0" applyFill="1"/>
    <xf numFmtId="0" fontId="0" fillId="4" borderId="2" xfId="0" applyFill="1" applyBorder="1"/>
    <xf numFmtId="0" fontId="0" fillId="4" borderId="1" xfId="0" applyFill="1" applyBorder="1"/>
    <xf numFmtId="0" fontId="0" fillId="4" borderId="3" xfId="0" applyFill="1" applyBorder="1"/>
    <xf numFmtId="0" fontId="0" fillId="23" borderId="0" xfId="0" applyFill="1"/>
    <xf numFmtId="4" fontId="0" fillId="22" borderId="0" xfId="0" applyNumberFormat="1" applyFill="1" applyAlignment="1">
      <alignment horizontal="right"/>
    </xf>
    <xf numFmtId="0" fontId="25" fillId="3" borderId="12" xfId="5" applyFont="1" applyFill="1" applyBorder="1" applyAlignment="1">
      <alignment horizontal="center" vertical="center"/>
    </xf>
    <xf numFmtId="164" fontId="1" fillId="4" borderId="0" xfId="0" applyNumberFormat="1" applyFont="1" applyFill="1" applyAlignment="1">
      <alignment horizontal="left" vertical="center"/>
    </xf>
    <xf numFmtId="164" fontId="1" fillId="4" borderId="0" xfId="0" applyNumberFormat="1" applyFont="1" applyFill="1" applyAlignment="1">
      <alignment horizontal="right" vertical="center"/>
    </xf>
    <xf numFmtId="4" fontId="0" fillId="4" borderId="0" xfId="0" applyNumberFormat="1" applyFill="1" applyAlignment="1">
      <alignment horizontal="right"/>
    </xf>
    <xf numFmtId="0" fontId="5" fillId="4" borderId="0" xfId="0" applyFont="1" applyFill="1"/>
    <xf numFmtId="3" fontId="0" fillId="4" borderId="0" xfId="0" applyNumberFormat="1" applyFill="1" applyAlignment="1">
      <alignment horizontal="center"/>
    </xf>
    <xf numFmtId="3" fontId="17" fillId="4" borderId="0" xfId="0" applyNumberFormat="1" applyFont="1" applyFill="1" applyAlignment="1">
      <alignment horizontal="left"/>
    </xf>
    <xf numFmtId="167" fontId="2" fillId="4" borderId="0" xfId="0" applyNumberFormat="1" applyFont="1" applyFill="1" applyAlignment="1">
      <alignment horizontal="right" vertical="center"/>
    </xf>
    <xf numFmtId="0" fontId="14" fillId="4" borderId="0" xfId="0" applyFont="1" applyFill="1"/>
    <xf numFmtId="0" fontId="2" fillId="4" borderId="0" xfId="0" applyFont="1" applyFill="1"/>
    <xf numFmtId="3" fontId="0" fillId="4" borderId="0" xfId="0" applyNumberFormat="1" applyFill="1" applyAlignment="1">
      <alignment horizontal="left"/>
    </xf>
    <xf numFmtId="164" fontId="25" fillId="4" borderId="0" xfId="0" applyNumberFormat="1" applyFont="1" applyFill="1" applyAlignment="1">
      <alignment horizontal="right" vertical="center"/>
    </xf>
    <xf numFmtId="164" fontId="2" fillId="4" borderId="0" xfId="0" applyNumberFormat="1" applyFont="1" applyFill="1" applyAlignment="1">
      <alignment horizontal="right"/>
    </xf>
    <xf numFmtId="2" fontId="0" fillId="4" borderId="0" xfId="0" applyNumberFormat="1" applyFill="1" applyAlignment="1">
      <alignment horizontal="right"/>
    </xf>
    <xf numFmtId="166" fontId="2" fillId="4" borderId="0" xfId="0" applyNumberFormat="1" applyFont="1" applyFill="1" applyAlignment="1">
      <alignment horizontal="right" vertical="center"/>
    </xf>
    <xf numFmtId="164" fontId="1" fillId="0" borderId="22" xfId="0" applyNumberFormat="1" applyFont="1" applyBorder="1" applyAlignment="1">
      <alignment horizontal="right" vertical="center"/>
    </xf>
    <xf numFmtId="164" fontId="25" fillId="0" borderId="21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0" fontId="0" fillId="0" borderId="12" xfId="0" applyBorder="1"/>
    <xf numFmtId="0" fontId="25" fillId="3" borderId="12" xfId="5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/>
    </xf>
    <xf numFmtId="4" fontId="25" fillId="0" borderId="21" xfId="0" applyNumberFormat="1" applyFont="1" applyBorder="1" applyAlignment="1">
      <alignment horizontal="right" vertical="center"/>
    </xf>
    <xf numFmtId="4" fontId="0" fillId="0" borderId="21" xfId="0" applyNumberFormat="1" applyBorder="1" applyAlignment="1">
      <alignment horizontal="right" vertical="top"/>
    </xf>
    <xf numFmtId="3" fontId="0" fillId="0" borderId="21" xfId="0" applyNumberFormat="1" applyBorder="1" applyAlignment="1">
      <alignment horizontal="center" vertical="top"/>
    </xf>
    <xf numFmtId="9" fontId="0" fillId="0" borderId="0" xfId="2" applyFont="1"/>
    <xf numFmtId="9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30" fillId="0" borderId="28" xfId="0" applyFont="1" applyBorder="1"/>
    <xf numFmtId="0" fontId="30" fillId="0" borderId="29" xfId="0" applyFont="1" applyBorder="1"/>
    <xf numFmtId="174" fontId="30" fillId="0" borderId="21" xfId="1" applyNumberFormat="1" applyFont="1" applyBorder="1"/>
    <xf numFmtId="174" fontId="30" fillId="0" borderId="23" xfId="1" applyNumberFormat="1" applyFont="1" applyBorder="1"/>
    <xf numFmtId="0" fontId="30" fillId="0" borderId="30" xfId="0" applyFont="1" applyBorder="1"/>
    <xf numFmtId="43" fontId="30" fillId="0" borderId="31" xfId="1" applyFont="1" applyBorder="1"/>
    <xf numFmtId="0" fontId="29" fillId="24" borderId="4" xfId="0" applyFont="1" applyFill="1" applyBorder="1" applyAlignment="1">
      <alignment horizontal="center" vertical="center" wrapText="1"/>
    </xf>
    <xf numFmtId="0" fontId="29" fillId="24" borderId="12" xfId="0" applyFont="1" applyFill="1" applyBorder="1" applyAlignment="1">
      <alignment horizontal="center" vertical="center" wrapText="1"/>
    </xf>
    <xf numFmtId="0" fontId="30" fillId="0" borderId="12" xfId="0" applyFont="1" applyBorder="1"/>
    <xf numFmtId="10" fontId="30" fillId="0" borderId="12" xfId="0" applyNumberFormat="1" applyFont="1" applyBorder="1"/>
    <xf numFmtId="0" fontId="30" fillId="0" borderId="21" xfId="0" applyFont="1" applyBorder="1"/>
    <xf numFmtId="0" fontId="30" fillId="0" borderId="31" xfId="0" applyFont="1" applyBorder="1"/>
    <xf numFmtId="3" fontId="30" fillId="0" borderId="31" xfId="0" applyNumberFormat="1" applyFont="1" applyBorder="1" applyAlignment="1">
      <alignment horizontal="center"/>
    </xf>
    <xf numFmtId="0" fontId="30" fillId="0" borderId="32" xfId="0" applyFont="1" applyBorder="1"/>
    <xf numFmtId="3" fontId="30" fillId="0" borderId="32" xfId="0" applyNumberFormat="1" applyFont="1" applyBorder="1" applyAlignment="1">
      <alignment horizontal="center"/>
    </xf>
    <xf numFmtId="0" fontId="31" fillId="0" borderId="12" xfId="0" applyFont="1" applyBorder="1"/>
    <xf numFmtId="3" fontId="31" fillId="0" borderId="12" xfId="0" applyNumberFormat="1" applyFont="1" applyBorder="1" applyAlignment="1">
      <alignment horizontal="center"/>
    </xf>
    <xf numFmtId="174" fontId="30" fillId="0" borderId="21" xfId="0" applyNumberFormat="1" applyFont="1" applyBorder="1"/>
    <xf numFmtId="0" fontId="30" fillId="0" borderId="23" xfId="0" applyFont="1" applyBorder="1"/>
    <xf numFmtId="174" fontId="30" fillId="0" borderId="23" xfId="0" applyNumberFormat="1" applyFont="1" applyBorder="1"/>
    <xf numFmtId="9" fontId="30" fillId="0" borderId="31" xfId="2" applyFont="1" applyBorder="1"/>
    <xf numFmtId="10" fontId="30" fillId="0" borderId="31" xfId="2" applyNumberFormat="1" applyFont="1" applyBorder="1" applyAlignment="1">
      <alignment horizontal="right"/>
    </xf>
    <xf numFmtId="10" fontId="30" fillId="0" borderId="31" xfId="0" applyNumberFormat="1" applyFont="1" applyBorder="1" applyAlignment="1">
      <alignment horizontal="right"/>
    </xf>
    <xf numFmtId="175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4" fontId="30" fillId="0" borderId="0" xfId="0" applyNumberFormat="1" applyFont="1"/>
    <xf numFmtId="165" fontId="30" fillId="0" borderId="0" xfId="0" applyNumberFormat="1" applyFont="1"/>
    <xf numFmtId="0" fontId="32" fillId="0" borderId="0" xfId="0" applyFont="1"/>
    <xf numFmtId="9" fontId="0" fillId="0" borderId="0" xfId="2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0" fontId="18" fillId="3" borderId="20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/>
    </xf>
    <xf numFmtId="0" fontId="23" fillId="0" borderId="21" xfId="0" applyFont="1" applyFill="1" applyBorder="1" applyAlignment="1">
      <alignment horizontal="center"/>
    </xf>
    <xf numFmtId="0" fontId="14" fillId="0" borderId="21" xfId="0" applyFont="1" applyFill="1" applyBorder="1"/>
    <xf numFmtId="164" fontId="25" fillId="0" borderId="21" xfId="0" applyNumberFormat="1" applyFont="1" applyFill="1" applyBorder="1" applyAlignment="1">
      <alignment horizontal="right" vertical="center"/>
    </xf>
    <xf numFmtId="4" fontId="25" fillId="0" borderId="21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/>
    </xf>
    <xf numFmtId="0" fontId="5" fillId="0" borderId="21" xfId="0" applyFont="1" applyFill="1" applyBorder="1"/>
    <xf numFmtId="4" fontId="5" fillId="0" borderId="21" xfId="0" applyNumberFormat="1" applyFont="1" applyFill="1" applyBorder="1" applyAlignment="1">
      <alignment horizontal="right" vertical="center"/>
    </xf>
    <xf numFmtId="3" fontId="0" fillId="0" borderId="21" xfId="0" applyNumberFormat="1" applyFill="1" applyBorder="1" applyAlignment="1">
      <alignment horizontal="center" vertical="top"/>
    </xf>
    <xf numFmtId="4" fontId="0" fillId="0" borderId="21" xfId="0" applyNumberFormat="1" applyFill="1" applyBorder="1" applyAlignment="1">
      <alignment horizontal="right" vertical="top"/>
    </xf>
    <xf numFmtId="0" fontId="0" fillId="0" borderId="21" xfId="0" applyFill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3" fontId="5" fillId="0" borderId="23" xfId="0" applyNumberFormat="1" applyFont="1" applyFill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right" vertical="center"/>
    </xf>
    <xf numFmtId="4" fontId="0" fillId="0" borderId="23" xfId="0" applyNumberFormat="1" applyFill="1" applyBorder="1" applyAlignment="1">
      <alignment horizontal="right" vertical="top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43" fontId="2" fillId="0" borderId="25" xfId="0" applyNumberFormat="1" applyFont="1" applyBorder="1" applyAlignment="1">
      <alignment horizontal="right"/>
    </xf>
    <xf numFmtId="0" fontId="18" fillId="0" borderId="24" xfId="0" applyFont="1" applyBorder="1" applyAlignment="1">
      <alignment vertical="center" wrapText="1"/>
    </xf>
    <xf numFmtId="4" fontId="2" fillId="11" borderId="0" xfId="0" applyNumberFormat="1" applyFont="1" applyFill="1" applyBorder="1" applyAlignment="1">
      <alignment horizontal="right"/>
    </xf>
    <xf numFmtId="4" fontId="0" fillId="4" borderId="0" xfId="0" applyNumberFormat="1" applyFill="1" applyBorder="1" applyAlignment="1">
      <alignment horizontal="right"/>
    </xf>
    <xf numFmtId="4" fontId="0" fillId="0" borderId="0" xfId="0" applyNumberFormat="1" applyBorder="1"/>
    <xf numFmtId="164" fontId="25" fillId="5" borderId="2" xfId="0" applyNumberFormat="1" applyFont="1" applyFill="1" applyBorder="1" applyAlignment="1">
      <alignment horizontal="right" vertical="center"/>
    </xf>
    <xf numFmtId="4" fontId="0" fillId="5" borderId="2" xfId="0" applyNumberFormat="1" applyFill="1" applyBorder="1" applyAlignment="1">
      <alignment horizontal="right" vertical="top"/>
    </xf>
    <xf numFmtId="164" fontId="27" fillId="5" borderId="2" xfId="0" applyNumberFormat="1" applyFont="1" applyFill="1" applyBorder="1" applyAlignment="1">
      <alignment horizontal="right" vertical="center"/>
    </xf>
    <xf numFmtId="4" fontId="21" fillId="5" borderId="2" xfId="0" applyNumberFormat="1" applyFont="1" applyFill="1" applyBorder="1" applyAlignment="1">
      <alignment horizontal="right" vertical="top"/>
    </xf>
    <xf numFmtId="4" fontId="21" fillId="5" borderId="3" xfId="0" applyNumberFormat="1" applyFont="1" applyFill="1" applyBorder="1" applyAlignment="1">
      <alignment horizontal="right" vertical="top"/>
    </xf>
    <xf numFmtId="164" fontId="26" fillId="22" borderId="2" xfId="0" applyNumberFormat="1" applyFont="1" applyFill="1" applyBorder="1" applyAlignment="1">
      <alignment horizontal="right" vertical="center"/>
    </xf>
    <xf numFmtId="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4" fontId="26" fillId="5" borderId="2" xfId="0" applyNumberFormat="1" applyFont="1" applyFill="1" applyBorder="1" applyAlignment="1">
      <alignment horizontal="right" vertical="center"/>
    </xf>
    <xf numFmtId="4" fontId="0" fillId="5" borderId="2" xfId="0" applyNumberFormat="1" applyFill="1" applyBorder="1" applyAlignment="1">
      <alignment horizontal="right"/>
    </xf>
    <xf numFmtId="4" fontId="0" fillId="5" borderId="3" xfId="0" applyNumberFormat="1" applyFill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5" borderId="2" xfId="0" applyNumberFormat="1" applyFill="1" applyBorder="1" applyAlignment="1">
      <alignment horizontal="right" vertical="center"/>
    </xf>
    <xf numFmtId="4" fontId="0" fillId="5" borderId="3" xfId="0" applyNumberFormat="1" applyFill="1" applyBorder="1" applyAlignment="1">
      <alignment horizontal="right" vertical="center"/>
    </xf>
    <xf numFmtId="4" fontId="0" fillId="5" borderId="2" xfId="0" applyNumberFormat="1" applyFill="1" applyBorder="1"/>
    <xf numFmtId="4" fontId="0" fillId="5" borderId="3" xfId="0" applyNumberFormat="1" applyFill="1" applyBorder="1"/>
    <xf numFmtId="4" fontId="0" fillId="22" borderId="2" xfId="0" applyNumberFormat="1" applyFill="1" applyBorder="1"/>
    <xf numFmtId="4" fontId="0" fillId="22" borderId="3" xfId="0" applyNumberFormat="1" applyFill="1" applyBorder="1"/>
    <xf numFmtId="4" fontId="0" fillId="22" borderId="2" xfId="0" applyNumberFormat="1" applyFill="1" applyBorder="1" applyAlignment="1">
      <alignment horizontal="right" vertical="top"/>
    </xf>
    <xf numFmtId="4" fontId="0" fillId="22" borderId="3" xfId="0" applyNumberFormat="1" applyFill="1" applyBorder="1" applyAlignment="1">
      <alignment horizontal="right" vertical="top"/>
    </xf>
    <xf numFmtId="4" fontId="0" fillId="5" borderId="3" xfId="0" applyNumberFormat="1" applyFill="1" applyBorder="1" applyAlignment="1">
      <alignment horizontal="right" vertical="top"/>
    </xf>
    <xf numFmtId="4" fontId="0" fillId="16" borderId="14" xfId="0" applyNumberFormat="1" applyFill="1" applyBorder="1" applyAlignment="1">
      <alignment horizontal="right" vertical="top"/>
    </xf>
    <xf numFmtId="0" fontId="0" fillId="0" borderId="18" xfId="0" applyBorder="1"/>
    <xf numFmtId="0" fontId="0" fillId="4" borderId="4" xfId="0" applyFill="1" applyBorder="1"/>
    <xf numFmtId="0" fontId="0" fillId="4" borderId="5" xfId="0" applyFill="1" applyBorder="1" applyAlignment="1">
      <alignment horizontal="center"/>
    </xf>
    <xf numFmtId="3" fontId="18" fillId="4" borderId="5" xfId="0" applyNumberFormat="1" applyFont="1" applyFill="1" applyBorder="1" applyAlignment="1">
      <alignment horizontal="center"/>
    </xf>
    <xf numFmtId="3" fontId="0" fillId="4" borderId="5" xfId="0" applyNumberFormat="1" applyFill="1" applyBorder="1"/>
    <xf numFmtId="4" fontId="23" fillId="4" borderId="5" xfId="0" applyNumberFormat="1" applyFont="1" applyFill="1" applyBorder="1" applyAlignment="1">
      <alignment horizontal="right" vertical="center"/>
    </xf>
    <xf numFmtId="4" fontId="23" fillId="4" borderId="35" xfId="0" applyNumberFormat="1" applyFont="1" applyFill="1" applyBorder="1" applyAlignment="1">
      <alignment horizontal="right" vertical="center"/>
    </xf>
    <xf numFmtId="4" fontId="23" fillId="4" borderId="6" xfId="0" applyNumberFormat="1" applyFont="1" applyFill="1" applyBorder="1" applyAlignment="1">
      <alignment horizontal="right" vertical="center"/>
    </xf>
    <xf numFmtId="0" fontId="2" fillId="9" borderId="4" xfId="0" applyFont="1" applyFill="1" applyBorder="1"/>
    <xf numFmtId="43" fontId="2" fillId="9" borderId="26" xfId="1" applyFont="1" applyFill="1" applyBorder="1" applyAlignment="1">
      <alignment horizontal="right" vertical="center"/>
    </xf>
    <xf numFmtId="43" fontId="2" fillId="9" borderId="36" xfId="1" applyFont="1" applyFill="1" applyBorder="1" applyAlignment="1">
      <alignment horizontal="right" vertical="center"/>
    </xf>
    <xf numFmtId="43" fontId="2" fillId="9" borderId="1" xfId="1" applyFont="1" applyFill="1" applyBorder="1" applyAlignment="1">
      <alignment horizontal="right" vertical="center"/>
    </xf>
    <xf numFmtId="43" fontId="2" fillId="9" borderId="3" xfId="1" applyFont="1" applyFill="1" applyBorder="1" applyAlignment="1">
      <alignment horizontal="right" vertical="center"/>
    </xf>
    <xf numFmtId="4" fontId="23" fillId="4" borderId="37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7" xfId="0" quotePrefix="1" applyBorder="1" applyAlignment="1">
      <alignment horizontal="right"/>
    </xf>
    <xf numFmtId="0" fontId="0" fillId="0" borderId="4" xfId="0" applyBorder="1" applyAlignment="1">
      <alignment horizontal="right"/>
    </xf>
    <xf numFmtId="4" fontId="0" fillId="0" borderId="4" xfId="0" applyNumberFormat="1" applyBorder="1"/>
    <xf numFmtId="4" fontId="0" fillId="0" borderId="7" xfId="0" applyNumberFormat="1" applyBorder="1"/>
    <xf numFmtId="4" fontId="0" fillId="0" borderId="10" xfId="0" applyNumberFormat="1" applyBorder="1"/>
    <xf numFmtId="4" fontId="0" fillId="0" borderId="11" xfId="0" applyNumberFormat="1" applyBorder="1"/>
  </cellXfs>
  <cellStyles count="6">
    <cellStyle name="Normal" xfId="0" builtinId="0"/>
    <cellStyle name="Normal 2 2" xfId="4" xr:uid="{00000000-0005-0000-0000-000001000000}"/>
    <cellStyle name="Normal_Orcamento_Obra-2-4" xfId="5" xr:uid="{00000000-0005-0000-0000-000002000000}"/>
    <cellStyle name="Porcentagem" xfId="2" builtinId="5"/>
    <cellStyle name="Separador de milhares 10" xfId="3" xr:uid="{00000000-0005-0000-0000-000004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Or&#231;amento%20Recupera&#231;&#227;o%20e%20Finaliza&#231;&#227;o%20Guadalupe-rev06_22112023.xlsx?84880A0B" TargetMode="External"/><Relationship Id="rId1" Type="http://schemas.openxmlformats.org/officeDocument/2006/relationships/externalLinkPath" Target="file:///\\84880A0B\Or&#231;amento%20Recupera&#231;&#227;o%20e%20Finaliza&#231;&#227;o%20Guadalupe-rev06_2211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ldo/AppData/Local/Temp/Rar$DIa9664.24575/Or&#231;am_Guadalupe_Total_25set23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1"/>
      <sheetName val="Quadro 2"/>
      <sheetName val="Quadro 3"/>
      <sheetName val="QUADRO 4"/>
      <sheetName val="QUADRO 5"/>
      <sheetName val="CPU-1"/>
      <sheetName val="171-C"/>
      <sheetName val="101-C"/>
      <sheetName val="SICRO"/>
      <sheetName val="SINAPI"/>
      <sheetName val="BDI"/>
      <sheetName val="BDI (materiais)"/>
      <sheetName val="RECUPERAÇÃO OBRAS"/>
      <sheetName val="EBAS NOVAS"/>
      <sheetName val="RESUMO"/>
      <sheetName val="RESUMO (2)"/>
      <sheetName val="RESUMO GERAL"/>
      <sheetName val="PRELIMINARES"/>
      <sheetName val="REDE DISTRIBUIÇÃO"/>
      <sheetName val="ESTRADAS"/>
      <sheetName val="DRENAGEM"/>
      <sheetName val="EBP NORTE"/>
      <sheetName val="EBP SUL"/>
      <sheetName val="EBS-EB9"/>
      <sheetName val="CANAIS"/>
      <sheetName val="EQUIP. REDE DISTRIBUIÇÃO"/>
      <sheetName val="EQUIP.EBP-NORTE"/>
      <sheetName val="EQUIP EBP SUL-EBS-EB9"/>
      <sheetName val="EQUIP. CANAIS"/>
      <sheetName val="MONTAGEM REDE DISTRIBUIÇÃO"/>
      <sheetName val="MONTAGEM EBP NORTE"/>
      <sheetName val="MONTAGEM EBP SUL"/>
      <sheetName val="MONTAGEM EBS-EB9"/>
      <sheetName val="MONTAGEM CANAIS"/>
      <sheetName val="ELE-EB9"/>
      <sheetName val="ELET-EBPSUL"/>
      <sheetName val="ELET-EBS"/>
      <sheetName val="ELET-EBPNORTE"/>
      <sheetName val="SEINF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">
          <cell r="G14">
            <v>2278479.2769959993</v>
          </cell>
        </row>
        <row r="15">
          <cell r="G15">
            <v>17780541.249975875</v>
          </cell>
        </row>
        <row r="16">
          <cell r="G16">
            <v>365007.78292302007</v>
          </cell>
        </row>
        <row r="22">
          <cell r="I22">
            <v>104123.60133434685</v>
          </cell>
          <cell r="J22">
            <v>467688.50932677463</v>
          </cell>
          <cell r="K22">
            <v>1010866.6296209507</v>
          </cell>
          <cell r="L22">
            <v>639579.2211962255</v>
          </cell>
          <cell r="M22">
            <v>11053501.208650926</v>
          </cell>
        </row>
        <row r="24">
          <cell r="G24">
            <v>643209.31303770491</v>
          </cell>
        </row>
        <row r="25">
          <cell r="G25">
            <v>60561.975124428012</v>
          </cell>
        </row>
        <row r="26">
          <cell r="G26">
            <v>416536.0997088243</v>
          </cell>
        </row>
        <row r="27">
          <cell r="G27">
            <v>228063.636657294</v>
          </cell>
        </row>
        <row r="28">
          <cell r="G28">
            <v>156968.66863231201</v>
          </cell>
        </row>
        <row r="29">
          <cell r="G29">
            <v>248593.30967165035</v>
          </cell>
        </row>
        <row r="30">
          <cell r="G30">
            <v>2052107.158206888</v>
          </cell>
        </row>
        <row r="32">
          <cell r="G32">
            <v>8642810.8664470278</v>
          </cell>
        </row>
        <row r="34">
          <cell r="G34">
            <v>970307.83401929983</v>
          </cell>
          <cell r="I34">
            <v>310482.63490259671</v>
          </cell>
          <cell r="J34">
            <v>1394584.5017708302</v>
          </cell>
          <cell r="K34">
            <v>3014268.9138460429</v>
          </cell>
          <cell r="L34">
            <v>1907139.5848892003</v>
          </cell>
        </row>
        <row r="35">
          <cell r="G35">
            <v>310527.97243776004</v>
          </cell>
        </row>
        <row r="36">
          <cell r="G36">
            <v>31212.87826356</v>
          </cell>
        </row>
        <row r="37">
          <cell r="G37">
            <v>43830.007981199989</v>
          </cell>
        </row>
        <row r="38">
          <cell r="G38">
            <v>498825.82747871999</v>
          </cell>
        </row>
        <row r="39">
          <cell r="G39">
            <v>5524.7368369199994</v>
          </cell>
        </row>
        <row r="40">
          <cell r="G40">
            <v>206053.41891161999</v>
          </cell>
        </row>
        <row r="41">
          <cell r="G41">
            <v>318966.35366190004</v>
          </cell>
        </row>
        <row r="42">
          <cell r="G42">
            <v>166688.70217776002</v>
          </cell>
        </row>
        <row r="43">
          <cell r="G43">
            <v>843146.18494301999</v>
          </cell>
        </row>
        <row r="44">
          <cell r="G44">
            <v>68363.160159703853</v>
          </cell>
        </row>
        <row r="45">
          <cell r="G45">
            <v>902923.10765999998</v>
          </cell>
        </row>
        <row r="46">
          <cell r="G46">
            <v>232427.65662059997</v>
          </cell>
        </row>
        <row r="47">
          <cell r="G47">
            <v>2870935.8885792601</v>
          </cell>
        </row>
        <row r="48">
          <cell r="G48">
            <v>2202047.9741384201</v>
          </cell>
        </row>
        <row r="50">
          <cell r="G50">
            <v>136287711.12090904</v>
          </cell>
        </row>
        <row r="52">
          <cell r="G52">
            <v>40461557.137408473</v>
          </cell>
        </row>
        <row r="53">
          <cell r="G53">
            <v>11220487.188864799</v>
          </cell>
        </row>
        <row r="54">
          <cell r="G54">
            <v>455754.40106469236</v>
          </cell>
        </row>
        <row r="55">
          <cell r="G55">
            <v>3009743.6921999999</v>
          </cell>
        </row>
        <row r="56">
          <cell r="G56">
            <v>13580061.544892583</v>
          </cell>
        </row>
        <row r="58">
          <cell r="G58">
            <v>648992.07482867991</v>
          </cell>
        </row>
        <row r="59">
          <cell r="G59">
            <v>1218895.50971408</v>
          </cell>
        </row>
        <row r="60">
          <cell r="G60">
            <v>314926.21139562014</v>
          </cell>
        </row>
        <row r="61">
          <cell r="G61">
            <v>591474.31817672029</v>
          </cell>
        </row>
        <row r="62">
          <cell r="G62">
            <v>542528.98999596003</v>
          </cell>
        </row>
        <row r="63">
          <cell r="G63">
            <v>1018943.3360497601</v>
          </cell>
        </row>
        <row r="64">
          <cell r="G64">
            <v>2575097.453778299</v>
          </cell>
        </row>
        <row r="65">
          <cell r="G65">
            <v>4836383.7483147988</v>
          </cell>
        </row>
        <row r="66">
          <cell r="G66">
            <v>6148630.0915608108</v>
          </cell>
        </row>
        <row r="67">
          <cell r="G67">
            <v>11547964.759777293</v>
          </cell>
        </row>
        <row r="68">
          <cell r="G68">
            <v>1673999.6900000002</v>
          </cell>
        </row>
        <row r="69">
          <cell r="G69">
            <v>3143999.4177777781</v>
          </cell>
        </row>
        <row r="71">
          <cell r="G71">
            <v>17173986.631560002</v>
          </cell>
        </row>
        <row r="72">
          <cell r="G72">
            <v>32255086.003360003</v>
          </cell>
        </row>
        <row r="73">
          <cell r="G73">
            <v>7813805.5987200011</v>
          </cell>
        </row>
        <row r="74">
          <cell r="G74">
            <v>14675391.160320001</v>
          </cell>
        </row>
        <row r="75">
          <cell r="G75">
            <v>6164718.1861320008</v>
          </cell>
        </row>
        <row r="76">
          <cell r="G76">
            <v>11578180.392592</v>
          </cell>
        </row>
        <row r="81">
          <cell r="G81">
            <v>139093.36679999999</v>
          </cell>
        </row>
        <row r="82">
          <cell r="G82">
            <v>61207.112999999998</v>
          </cell>
        </row>
        <row r="84">
          <cell r="G84">
            <v>257284.22099999999</v>
          </cell>
        </row>
        <row r="85">
          <cell r="G85">
            <v>340245.0012</v>
          </cell>
        </row>
        <row r="86">
          <cell r="G86">
            <v>395351.96519999998</v>
          </cell>
        </row>
        <row r="88">
          <cell r="G88">
            <v>138845.37299999999</v>
          </cell>
        </row>
        <row r="89">
          <cell r="G89">
            <v>81660.993600000002</v>
          </cell>
        </row>
        <row r="91">
          <cell r="G91">
            <v>91225.578600000008</v>
          </cell>
        </row>
        <row r="94">
          <cell r="G94">
            <v>230355.0852</v>
          </cell>
          <cell r="I94">
            <v>948504.50390500238</v>
          </cell>
          <cell r="J94">
            <v>930380.21402146725</v>
          </cell>
          <cell r="K94">
            <v>2010933.1156493679</v>
          </cell>
          <cell r="L94">
            <v>1272325.1498241622</v>
          </cell>
        </row>
        <row r="95">
          <cell r="G95">
            <v>43504.842000000004</v>
          </cell>
        </row>
        <row r="96">
          <cell r="G96">
            <v>666935.08499999996</v>
          </cell>
        </row>
        <row r="97">
          <cell r="G97">
            <v>1493002.4328000001</v>
          </cell>
        </row>
        <row r="98">
          <cell r="G98">
            <v>1094101.29</v>
          </cell>
        </row>
      </sheetData>
      <sheetData sheetId="15"/>
      <sheetData sheetId="16">
        <row r="13">
          <cell r="C13">
            <v>62856829.399999999</v>
          </cell>
        </row>
        <row r="14">
          <cell r="C14">
            <v>81403318.684478059</v>
          </cell>
        </row>
        <row r="15">
          <cell r="C15">
            <v>11193930</v>
          </cell>
        </row>
        <row r="17">
          <cell r="C17">
            <v>623635304.61363399</v>
          </cell>
        </row>
      </sheetData>
      <sheetData sheetId="17"/>
      <sheetData sheetId="18">
        <row r="41">
          <cell r="I41">
            <v>9654659.1651725136</v>
          </cell>
        </row>
        <row r="42">
          <cell r="I42">
            <v>1247135.6114806861</v>
          </cell>
        </row>
        <row r="43">
          <cell r="I43">
            <v>910904.7671148089</v>
          </cell>
        </row>
      </sheetData>
      <sheetData sheetId="19"/>
      <sheetData sheetId="20">
        <row r="44">
          <cell r="I44">
            <v>12508052.714237683</v>
          </cell>
        </row>
        <row r="45">
          <cell r="I45">
            <v>1743243.8829049582</v>
          </cell>
        </row>
        <row r="46">
          <cell r="I46">
            <v>1358644.8378540003</v>
          </cell>
        </row>
      </sheetData>
      <sheetData sheetId="21"/>
      <sheetData sheetId="22"/>
      <sheetData sheetId="23"/>
      <sheetData sheetId="24"/>
      <sheetData sheetId="25"/>
      <sheetData sheetId="26"/>
      <sheetData sheetId="27">
        <row r="98">
          <cell r="H98">
            <v>3010139.5599999996</v>
          </cell>
        </row>
        <row r="101">
          <cell r="H101">
            <v>6599459.0800000001</v>
          </cell>
        </row>
        <row r="107">
          <cell r="H107">
            <v>657200.24000000011</v>
          </cell>
        </row>
        <row r="111">
          <cell r="H111">
            <v>5394694.4000000004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"/>
      <sheetName val="Resum"/>
      <sheetName val="Plan3"/>
    </sheetNames>
    <sheetDataSet>
      <sheetData sheetId="0" refreshError="1">
        <row r="205">
          <cell r="K205">
            <v>1306497615.7211397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M74"/>
  <sheetViews>
    <sheetView tabSelected="1" workbookViewId="0">
      <selection activeCell="E12" sqref="E12"/>
    </sheetView>
  </sheetViews>
  <sheetFormatPr defaultRowHeight="15" x14ac:dyDescent="0.25"/>
  <cols>
    <col min="1" max="1" width="2.85546875" customWidth="1"/>
    <col min="2" max="2" width="38.140625" customWidth="1"/>
    <col min="3" max="3" width="13.5703125" bestFit="1" customWidth="1"/>
    <col min="4" max="11" width="12.7109375" customWidth="1"/>
    <col min="12" max="12" width="14.5703125" customWidth="1"/>
    <col min="13" max="13" width="14.42578125" customWidth="1"/>
    <col min="14" max="15" width="12.7109375" customWidth="1"/>
    <col min="16" max="19" width="11" bestFit="1" customWidth="1"/>
    <col min="20" max="20" width="13.85546875" bestFit="1" customWidth="1"/>
    <col min="21" max="21" width="15.42578125" bestFit="1" customWidth="1"/>
    <col min="22" max="37" width="11" bestFit="1" customWidth="1"/>
    <col min="38" max="39" width="12" bestFit="1" customWidth="1"/>
  </cols>
  <sheetData>
    <row r="2" spans="2:20" ht="25.5" x14ac:dyDescent="0.25">
      <c r="B2" s="350" t="s">
        <v>310</v>
      </c>
      <c r="C2" s="350" t="s">
        <v>311</v>
      </c>
      <c r="D2" s="350" t="s">
        <v>314</v>
      </c>
      <c r="E2" s="350" t="s">
        <v>315</v>
      </c>
    </row>
    <row r="3" spans="2:20" x14ac:dyDescent="0.25">
      <c r="B3" s="354" t="s">
        <v>312</v>
      </c>
      <c r="C3" s="355">
        <v>3837.3</v>
      </c>
      <c r="D3" s="355">
        <f>C3/C5*D5</f>
        <v>5592.7971757299938</v>
      </c>
      <c r="E3" s="355">
        <v>4</v>
      </c>
      <c r="F3" s="369"/>
      <c r="G3" s="370"/>
    </row>
    <row r="4" spans="2:20" x14ac:dyDescent="0.25">
      <c r="B4" s="356" t="s">
        <v>313</v>
      </c>
      <c r="C4" s="357">
        <v>6757.5</v>
      </c>
      <c r="D4" s="357">
        <f>D5-D3</f>
        <v>9848.9372514516544</v>
      </c>
      <c r="E4" s="357">
        <v>8</v>
      </c>
      <c r="F4" s="369"/>
      <c r="G4" s="370"/>
    </row>
    <row r="5" spans="2:20" x14ac:dyDescent="0.25">
      <c r="B5" s="358" t="s">
        <v>182</v>
      </c>
      <c r="C5" s="359">
        <f>SUM(C3:C4)</f>
        <v>10594.8</v>
      </c>
      <c r="D5" s="359">
        <f>C9</f>
        <v>15441.734427181647</v>
      </c>
      <c r="E5" s="359" t="s">
        <v>80</v>
      </c>
    </row>
    <row r="7" spans="2:20" x14ac:dyDescent="0.25">
      <c r="B7" s="349" t="s">
        <v>301</v>
      </c>
      <c r="C7" s="350" t="s">
        <v>302</v>
      </c>
    </row>
    <row r="8" spans="2:20" x14ac:dyDescent="0.25">
      <c r="B8" s="347" t="s">
        <v>304</v>
      </c>
      <c r="C8" s="348">
        <v>3235.56</v>
      </c>
    </row>
    <row r="9" spans="2:20" x14ac:dyDescent="0.25">
      <c r="B9" s="343" t="s">
        <v>303</v>
      </c>
      <c r="C9" s="345">
        <v>15441.734427181647</v>
      </c>
    </row>
    <row r="10" spans="2:20" x14ac:dyDescent="0.25">
      <c r="B10" s="343" t="s">
        <v>305</v>
      </c>
      <c r="C10" s="345">
        <f>C8*C9</f>
        <v>49962658.243211851</v>
      </c>
    </row>
    <row r="11" spans="2:20" x14ac:dyDescent="0.25">
      <c r="B11" s="343" t="s">
        <v>306</v>
      </c>
      <c r="C11" s="345">
        <f>'Valoração da IE'!G60</f>
        <v>148284737.23659375</v>
      </c>
    </row>
    <row r="12" spans="2:20" x14ac:dyDescent="0.25">
      <c r="B12" s="343" t="s">
        <v>307</v>
      </c>
      <c r="C12" s="345">
        <f>C10+C11</f>
        <v>198247395.47980559</v>
      </c>
    </row>
    <row r="13" spans="2:20" x14ac:dyDescent="0.25">
      <c r="B13" s="344" t="s">
        <v>308</v>
      </c>
      <c r="C13" s="346">
        <f>C12/C9</f>
        <v>12838.415037810541</v>
      </c>
    </row>
    <row r="14" spans="2:20" x14ac:dyDescent="0.25">
      <c r="L14" s="368"/>
      <c r="M14" s="368"/>
      <c r="N14" s="368"/>
      <c r="O14" s="368"/>
      <c r="P14" s="368"/>
      <c r="Q14" s="368"/>
      <c r="R14" s="368"/>
      <c r="S14" s="368"/>
      <c r="T14" s="368"/>
    </row>
    <row r="15" spans="2:20" x14ac:dyDescent="0.25">
      <c r="B15" s="351" t="s">
        <v>309</v>
      </c>
      <c r="C15" s="352">
        <v>9.1899999999999996E-2</v>
      </c>
      <c r="L15" s="367"/>
      <c r="M15" s="367"/>
      <c r="N15" s="367"/>
      <c r="O15" s="367"/>
      <c r="P15" s="367"/>
      <c r="Q15" s="367"/>
      <c r="R15" s="367"/>
      <c r="S15" s="367"/>
      <c r="T15" s="367"/>
    </row>
    <row r="17" spans="2:39" x14ac:dyDescent="0.25">
      <c r="B17" s="371" t="s">
        <v>319</v>
      </c>
    </row>
    <row r="18" spans="2:39" x14ac:dyDescent="0.25">
      <c r="B18" s="350"/>
      <c r="C18" s="350" t="s">
        <v>182</v>
      </c>
      <c r="D18" s="350">
        <v>0</v>
      </c>
      <c r="E18" s="350">
        <v>1</v>
      </c>
      <c r="F18" s="350">
        <v>2</v>
      </c>
      <c r="G18" s="350">
        <v>3</v>
      </c>
      <c r="H18" s="350">
        <v>4</v>
      </c>
      <c r="I18" s="350">
        <v>5</v>
      </c>
      <c r="J18" s="350">
        <v>6</v>
      </c>
      <c r="K18" s="350">
        <v>7</v>
      </c>
      <c r="L18" s="350">
        <v>8</v>
      </c>
      <c r="M18" s="350">
        <v>9</v>
      </c>
      <c r="N18" s="350">
        <v>10</v>
      </c>
      <c r="O18" s="350">
        <v>11</v>
      </c>
      <c r="P18" s="350">
        <v>12</v>
      </c>
      <c r="Q18" s="350">
        <v>13</v>
      </c>
      <c r="R18" s="350">
        <v>14</v>
      </c>
      <c r="S18" s="350">
        <v>15</v>
      </c>
      <c r="T18" s="350">
        <v>16</v>
      </c>
      <c r="U18" s="350">
        <v>17</v>
      </c>
      <c r="V18" s="350">
        <v>18</v>
      </c>
      <c r="W18" s="350">
        <v>19</v>
      </c>
      <c r="X18" s="350">
        <v>20</v>
      </c>
      <c r="Y18" s="350">
        <v>21</v>
      </c>
      <c r="Z18" s="350">
        <v>22</v>
      </c>
      <c r="AA18" s="350">
        <v>23</v>
      </c>
      <c r="AB18" s="350">
        <v>24</v>
      </c>
      <c r="AC18" s="350">
        <v>25</v>
      </c>
      <c r="AD18" s="350">
        <v>26</v>
      </c>
      <c r="AE18" s="350">
        <v>27</v>
      </c>
      <c r="AF18" s="350">
        <v>28</v>
      </c>
      <c r="AG18" s="350">
        <v>29</v>
      </c>
      <c r="AH18" s="350">
        <v>30</v>
      </c>
      <c r="AI18" s="350">
        <v>31</v>
      </c>
      <c r="AJ18" s="350">
        <v>32</v>
      </c>
      <c r="AK18" s="350">
        <v>33</v>
      </c>
      <c r="AL18" s="350">
        <v>34</v>
      </c>
      <c r="AM18" s="350">
        <v>35</v>
      </c>
    </row>
    <row r="19" spans="2:39" x14ac:dyDescent="0.25">
      <c r="B19" s="354" t="s">
        <v>318</v>
      </c>
      <c r="C19" s="363">
        <v>1</v>
      </c>
      <c r="D19" s="364">
        <v>0.2</v>
      </c>
      <c r="E19" s="365">
        <v>0</v>
      </c>
      <c r="F19" s="365">
        <v>0</v>
      </c>
      <c r="G19" s="365">
        <v>0</v>
      </c>
      <c r="H19" s="365">
        <f>80%/(35-4+1)</f>
        <v>2.5000000000000001E-2</v>
      </c>
      <c r="I19" s="365">
        <f t="shared" ref="I19:AM19" si="0">80%/(35-4+1)</f>
        <v>2.5000000000000001E-2</v>
      </c>
      <c r="J19" s="365">
        <f t="shared" si="0"/>
        <v>2.5000000000000001E-2</v>
      </c>
      <c r="K19" s="365">
        <f t="shared" si="0"/>
        <v>2.5000000000000001E-2</v>
      </c>
      <c r="L19" s="365">
        <f t="shared" si="0"/>
        <v>2.5000000000000001E-2</v>
      </c>
      <c r="M19" s="365">
        <f t="shared" si="0"/>
        <v>2.5000000000000001E-2</v>
      </c>
      <c r="N19" s="365">
        <f t="shared" si="0"/>
        <v>2.5000000000000001E-2</v>
      </c>
      <c r="O19" s="365">
        <f t="shared" si="0"/>
        <v>2.5000000000000001E-2</v>
      </c>
      <c r="P19" s="365">
        <f t="shared" si="0"/>
        <v>2.5000000000000001E-2</v>
      </c>
      <c r="Q19" s="365">
        <f t="shared" si="0"/>
        <v>2.5000000000000001E-2</v>
      </c>
      <c r="R19" s="365">
        <f t="shared" si="0"/>
        <v>2.5000000000000001E-2</v>
      </c>
      <c r="S19" s="365">
        <f t="shared" si="0"/>
        <v>2.5000000000000001E-2</v>
      </c>
      <c r="T19" s="365">
        <f t="shared" si="0"/>
        <v>2.5000000000000001E-2</v>
      </c>
      <c r="U19" s="365">
        <f t="shared" si="0"/>
        <v>2.5000000000000001E-2</v>
      </c>
      <c r="V19" s="365">
        <f t="shared" si="0"/>
        <v>2.5000000000000001E-2</v>
      </c>
      <c r="W19" s="365">
        <f t="shared" si="0"/>
        <v>2.5000000000000001E-2</v>
      </c>
      <c r="X19" s="365">
        <f t="shared" si="0"/>
        <v>2.5000000000000001E-2</v>
      </c>
      <c r="Y19" s="365">
        <f t="shared" si="0"/>
        <v>2.5000000000000001E-2</v>
      </c>
      <c r="Z19" s="365">
        <f t="shared" si="0"/>
        <v>2.5000000000000001E-2</v>
      </c>
      <c r="AA19" s="365">
        <f t="shared" si="0"/>
        <v>2.5000000000000001E-2</v>
      </c>
      <c r="AB19" s="365">
        <f t="shared" si="0"/>
        <v>2.5000000000000001E-2</v>
      </c>
      <c r="AC19" s="365">
        <f t="shared" si="0"/>
        <v>2.5000000000000001E-2</v>
      </c>
      <c r="AD19" s="365">
        <f t="shared" si="0"/>
        <v>2.5000000000000001E-2</v>
      </c>
      <c r="AE19" s="365">
        <f t="shared" si="0"/>
        <v>2.5000000000000001E-2</v>
      </c>
      <c r="AF19" s="365">
        <f t="shared" si="0"/>
        <v>2.5000000000000001E-2</v>
      </c>
      <c r="AG19" s="365">
        <f t="shared" si="0"/>
        <v>2.5000000000000001E-2</v>
      </c>
      <c r="AH19" s="365">
        <f t="shared" si="0"/>
        <v>2.5000000000000001E-2</v>
      </c>
      <c r="AI19" s="365">
        <f t="shared" si="0"/>
        <v>2.5000000000000001E-2</v>
      </c>
      <c r="AJ19" s="365">
        <f t="shared" si="0"/>
        <v>2.5000000000000001E-2</v>
      </c>
      <c r="AK19" s="365">
        <f t="shared" si="0"/>
        <v>2.5000000000000001E-2</v>
      </c>
      <c r="AL19" s="365">
        <f t="shared" si="0"/>
        <v>2.5000000000000001E-2</v>
      </c>
      <c r="AM19" s="365">
        <f t="shared" si="0"/>
        <v>2.5000000000000001E-2</v>
      </c>
    </row>
    <row r="20" spans="2:39" x14ac:dyDescent="0.25">
      <c r="B20" s="353" t="s">
        <v>316</v>
      </c>
      <c r="C20" s="360">
        <f>SUM(D20:AM20)</f>
        <v>198247395.4798055</v>
      </c>
      <c r="D20" s="345">
        <f>$C$12*D19</f>
        <v>39649479.095961116</v>
      </c>
      <c r="E20" s="345">
        <f t="shared" ref="E20:AM20" si="1">$C$12*E19</f>
        <v>0</v>
      </c>
      <c r="F20" s="345">
        <f t="shared" si="1"/>
        <v>0</v>
      </c>
      <c r="G20" s="345">
        <f t="shared" si="1"/>
        <v>0</v>
      </c>
      <c r="H20" s="345">
        <f t="shared" si="1"/>
        <v>4956184.8869951395</v>
      </c>
      <c r="I20" s="345">
        <f t="shared" si="1"/>
        <v>4956184.8869951395</v>
      </c>
      <c r="J20" s="345">
        <f t="shared" si="1"/>
        <v>4956184.8869951395</v>
      </c>
      <c r="K20" s="345">
        <f t="shared" si="1"/>
        <v>4956184.8869951395</v>
      </c>
      <c r="L20" s="345">
        <f t="shared" si="1"/>
        <v>4956184.8869951395</v>
      </c>
      <c r="M20" s="345">
        <f t="shared" si="1"/>
        <v>4956184.8869951395</v>
      </c>
      <c r="N20" s="345">
        <f t="shared" si="1"/>
        <v>4956184.8869951395</v>
      </c>
      <c r="O20" s="345">
        <f t="shared" si="1"/>
        <v>4956184.8869951395</v>
      </c>
      <c r="P20" s="345">
        <f t="shared" si="1"/>
        <v>4956184.8869951395</v>
      </c>
      <c r="Q20" s="345">
        <f t="shared" si="1"/>
        <v>4956184.8869951395</v>
      </c>
      <c r="R20" s="345">
        <f t="shared" si="1"/>
        <v>4956184.8869951395</v>
      </c>
      <c r="S20" s="345">
        <f t="shared" si="1"/>
        <v>4956184.8869951395</v>
      </c>
      <c r="T20" s="345">
        <f t="shared" si="1"/>
        <v>4956184.8869951395</v>
      </c>
      <c r="U20" s="345">
        <f t="shared" si="1"/>
        <v>4956184.8869951395</v>
      </c>
      <c r="V20" s="345">
        <f t="shared" si="1"/>
        <v>4956184.8869951395</v>
      </c>
      <c r="W20" s="345">
        <f t="shared" si="1"/>
        <v>4956184.8869951395</v>
      </c>
      <c r="X20" s="345">
        <f t="shared" si="1"/>
        <v>4956184.8869951395</v>
      </c>
      <c r="Y20" s="345">
        <f t="shared" si="1"/>
        <v>4956184.8869951395</v>
      </c>
      <c r="Z20" s="345">
        <f t="shared" si="1"/>
        <v>4956184.8869951395</v>
      </c>
      <c r="AA20" s="345">
        <f t="shared" si="1"/>
        <v>4956184.8869951395</v>
      </c>
      <c r="AB20" s="345">
        <f t="shared" si="1"/>
        <v>4956184.8869951395</v>
      </c>
      <c r="AC20" s="345">
        <f t="shared" si="1"/>
        <v>4956184.8869951395</v>
      </c>
      <c r="AD20" s="345">
        <f t="shared" si="1"/>
        <v>4956184.8869951395</v>
      </c>
      <c r="AE20" s="345">
        <f t="shared" si="1"/>
        <v>4956184.8869951395</v>
      </c>
      <c r="AF20" s="345">
        <f t="shared" si="1"/>
        <v>4956184.8869951395</v>
      </c>
      <c r="AG20" s="345">
        <f t="shared" si="1"/>
        <v>4956184.8869951395</v>
      </c>
      <c r="AH20" s="345">
        <f t="shared" si="1"/>
        <v>4956184.8869951395</v>
      </c>
      <c r="AI20" s="345">
        <f t="shared" si="1"/>
        <v>4956184.8869951395</v>
      </c>
      <c r="AJ20" s="345">
        <f t="shared" si="1"/>
        <v>4956184.8869951395</v>
      </c>
      <c r="AK20" s="345">
        <f t="shared" si="1"/>
        <v>4956184.8869951395</v>
      </c>
      <c r="AL20" s="345">
        <f t="shared" si="1"/>
        <v>4956184.8869951395</v>
      </c>
      <c r="AM20" s="345">
        <f t="shared" si="1"/>
        <v>4956184.8869951395</v>
      </c>
    </row>
    <row r="21" spans="2:39" x14ac:dyDescent="0.25">
      <c r="B21" s="361" t="s">
        <v>317</v>
      </c>
      <c r="C21" s="362">
        <f>SUM(D21:AM21)</f>
        <v>1240650028.3047616</v>
      </c>
      <c r="D21" s="346">
        <f>D20*(1+$C$15)^D18</f>
        <v>39649479.095961116</v>
      </c>
      <c r="E21" s="346">
        <f t="shared" ref="E21:AM21" si="2">E20*(1+$C$15)^E18</f>
        <v>0</v>
      </c>
      <c r="F21" s="346">
        <f t="shared" si="2"/>
        <v>0</v>
      </c>
      <c r="G21" s="346">
        <f t="shared" si="2"/>
        <v>0</v>
      </c>
      <c r="H21" s="346">
        <f t="shared" si="2"/>
        <v>7044966.998204818</v>
      </c>
      <c r="I21" s="346">
        <f t="shared" si="2"/>
        <v>7692399.4653398404</v>
      </c>
      <c r="J21" s="346">
        <f t="shared" si="2"/>
        <v>8399330.9762045741</v>
      </c>
      <c r="K21" s="346">
        <f t="shared" si="2"/>
        <v>9171229.4929177742</v>
      </c>
      <c r="L21" s="346">
        <f t="shared" si="2"/>
        <v>10014065.483316921</v>
      </c>
      <c r="M21" s="346">
        <f t="shared" si="2"/>
        <v>10934358.101233747</v>
      </c>
      <c r="N21" s="346">
        <f t="shared" si="2"/>
        <v>11939225.61073713</v>
      </c>
      <c r="O21" s="346">
        <f t="shared" si="2"/>
        <v>13036440.444363875</v>
      </c>
      <c r="P21" s="346">
        <f t="shared" si="2"/>
        <v>14234489.321200918</v>
      </c>
      <c r="Q21" s="346">
        <f t="shared" si="2"/>
        <v>15542638.889819283</v>
      </c>
      <c r="R21" s="346">
        <f t="shared" si="2"/>
        <v>16971007.403793678</v>
      </c>
      <c r="S21" s="346">
        <f t="shared" si="2"/>
        <v>18530642.984202318</v>
      </c>
      <c r="T21" s="346">
        <f t="shared" si="2"/>
        <v>20233609.074450519</v>
      </c>
      <c r="U21" s="346">
        <f t="shared" si="2"/>
        <v>22093077.748392522</v>
      </c>
      <c r="V21" s="346">
        <f t="shared" si="2"/>
        <v>24123431.593469799</v>
      </c>
      <c r="W21" s="346">
        <f t="shared" si="2"/>
        <v>26340374.956909675</v>
      </c>
      <c r="X21" s="346">
        <f t="shared" si="2"/>
        <v>28761055.415449679</v>
      </c>
      <c r="Y21" s="346">
        <f t="shared" si="2"/>
        <v>31404196.408129506</v>
      </c>
      <c r="Z21" s="346">
        <f t="shared" si="2"/>
        <v>34290242.058036618</v>
      </c>
      <c r="AA21" s="346">
        <f t="shared" si="2"/>
        <v>37441515.303170182</v>
      </c>
      <c r="AB21" s="346">
        <f t="shared" si="2"/>
        <v>40882390.55953154</v>
      </c>
      <c r="AC21" s="346">
        <f t="shared" si="2"/>
        <v>44639482.251952484</v>
      </c>
      <c r="AD21" s="346">
        <f t="shared" si="2"/>
        <v>48741850.670906931</v>
      </c>
      <c r="AE21" s="346">
        <f t="shared" si="2"/>
        <v>53221226.74756328</v>
      </c>
      <c r="AF21" s="346">
        <f t="shared" si="2"/>
        <v>58112257.48566436</v>
      </c>
      <c r="AG21" s="346">
        <f t="shared" si="2"/>
        <v>63452773.948596917</v>
      </c>
      <c r="AH21" s="346">
        <f t="shared" si="2"/>
        <v>69284083.874472976</v>
      </c>
      <c r="AI21" s="346">
        <f t="shared" si="2"/>
        <v>75651291.182537064</v>
      </c>
      <c r="AJ21" s="346">
        <f t="shared" si="2"/>
        <v>82603644.84221223</v>
      </c>
      <c r="AK21" s="346">
        <f t="shared" si="2"/>
        <v>90194919.80321154</v>
      </c>
      <c r="AL21" s="346">
        <f t="shared" si="2"/>
        <v>98483832.933126703</v>
      </c>
      <c r="AM21" s="346">
        <f t="shared" si="2"/>
        <v>107534497.17968106</v>
      </c>
    </row>
    <row r="22" spans="2:39" x14ac:dyDescent="0.25">
      <c r="D22" s="366"/>
    </row>
    <row r="23" spans="2:39" x14ac:dyDescent="0.25">
      <c r="B23" s="371" t="s">
        <v>320</v>
      </c>
      <c r="D23" s="366"/>
    </row>
    <row r="24" spans="2:39" x14ac:dyDescent="0.25">
      <c r="B24" s="350"/>
      <c r="C24" s="350" t="s">
        <v>182</v>
      </c>
      <c r="D24" s="350">
        <v>0</v>
      </c>
      <c r="E24" s="350">
        <v>1</v>
      </c>
      <c r="F24" s="350">
        <v>2</v>
      </c>
      <c r="G24" s="350">
        <v>3</v>
      </c>
      <c r="H24" s="350">
        <v>4</v>
      </c>
      <c r="I24" s="350">
        <v>5</v>
      </c>
      <c r="J24" s="350">
        <v>6</v>
      </c>
      <c r="K24" s="350">
        <v>7</v>
      </c>
      <c r="L24" s="350">
        <v>8</v>
      </c>
      <c r="M24" s="350">
        <v>9</v>
      </c>
      <c r="N24" s="350">
        <v>10</v>
      </c>
      <c r="O24" s="350">
        <v>11</v>
      </c>
      <c r="P24" s="350">
        <v>12</v>
      </c>
      <c r="Q24" s="350">
        <v>13</v>
      </c>
      <c r="R24" s="350">
        <v>14</v>
      </c>
      <c r="S24" s="350">
        <v>15</v>
      </c>
      <c r="T24" s="350">
        <v>16</v>
      </c>
      <c r="U24" s="350">
        <v>17</v>
      </c>
      <c r="V24" s="350">
        <v>18</v>
      </c>
      <c r="W24" s="350">
        <v>19</v>
      </c>
      <c r="X24" s="350">
        <v>20</v>
      </c>
      <c r="Y24" s="350">
        <v>21</v>
      </c>
      <c r="Z24" s="350">
        <v>22</v>
      </c>
      <c r="AA24" s="350">
        <v>23</v>
      </c>
      <c r="AB24" s="350">
        <v>24</v>
      </c>
      <c r="AC24" s="350">
        <v>25</v>
      </c>
      <c r="AD24" s="350">
        <v>26</v>
      </c>
      <c r="AE24" s="350">
        <v>27</v>
      </c>
      <c r="AF24" s="350">
        <v>28</v>
      </c>
      <c r="AG24" s="350">
        <v>29</v>
      </c>
      <c r="AH24" s="350">
        <v>30</v>
      </c>
      <c r="AI24" s="350">
        <v>31</v>
      </c>
      <c r="AJ24" s="350">
        <v>32</v>
      </c>
      <c r="AK24" s="350">
        <v>33</v>
      </c>
      <c r="AL24" s="350">
        <v>34</v>
      </c>
      <c r="AM24" s="350">
        <v>35</v>
      </c>
    </row>
    <row r="25" spans="2:39" x14ac:dyDescent="0.25">
      <c r="B25" s="354" t="s">
        <v>318</v>
      </c>
      <c r="C25" s="363">
        <v>1</v>
      </c>
      <c r="D25" s="364">
        <v>0.2</v>
      </c>
      <c r="E25" s="365">
        <v>0</v>
      </c>
      <c r="F25" s="365">
        <v>0</v>
      </c>
      <c r="G25" s="365">
        <v>0</v>
      </c>
      <c r="H25" s="365">
        <v>0.3</v>
      </c>
      <c r="I25" s="364">
        <f>50%/(35-$I$24+1)</f>
        <v>1.6129032258064516E-2</v>
      </c>
      <c r="J25" s="364">
        <f>I25</f>
        <v>1.6129032258064516E-2</v>
      </c>
      <c r="K25" s="364">
        <f t="shared" ref="K25:AM25" si="3">J25</f>
        <v>1.6129032258064516E-2</v>
      </c>
      <c r="L25" s="364">
        <f t="shared" si="3"/>
        <v>1.6129032258064516E-2</v>
      </c>
      <c r="M25" s="364">
        <f t="shared" si="3"/>
        <v>1.6129032258064516E-2</v>
      </c>
      <c r="N25" s="364">
        <f t="shared" si="3"/>
        <v>1.6129032258064516E-2</v>
      </c>
      <c r="O25" s="364">
        <f t="shared" si="3"/>
        <v>1.6129032258064516E-2</v>
      </c>
      <c r="P25" s="364">
        <f t="shared" si="3"/>
        <v>1.6129032258064516E-2</v>
      </c>
      <c r="Q25" s="364">
        <f t="shared" si="3"/>
        <v>1.6129032258064516E-2</v>
      </c>
      <c r="R25" s="364">
        <f t="shared" si="3"/>
        <v>1.6129032258064516E-2</v>
      </c>
      <c r="S25" s="364">
        <f t="shared" si="3"/>
        <v>1.6129032258064516E-2</v>
      </c>
      <c r="T25" s="364">
        <f t="shared" si="3"/>
        <v>1.6129032258064516E-2</v>
      </c>
      <c r="U25" s="364">
        <f t="shared" si="3"/>
        <v>1.6129032258064516E-2</v>
      </c>
      <c r="V25" s="364">
        <f t="shared" si="3"/>
        <v>1.6129032258064516E-2</v>
      </c>
      <c r="W25" s="364">
        <f t="shared" si="3"/>
        <v>1.6129032258064516E-2</v>
      </c>
      <c r="X25" s="364">
        <f t="shared" si="3"/>
        <v>1.6129032258064516E-2</v>
      </c>
      <c r="Y25" s="364">
        <f t="shared" si="3"/>
        <v>1.6129032258064516E-2</v>
      </c>
      <c r="Z25" s="364">
        <f t="shared" si="3"/>
        <v>1.6129032258064516E-2</v>
      </c>
      <c r="AA25" s="364">
        <f t="shared" si="3"/>
        <v>1.6129032258064516E-2</v>
      </c>
      <c r="AB25" s="364">
        <f t="shared" si="3"/>
        <v>1.6129032258064516E-2</v>
      </c>
      <c r="AC25" s="364">
        <f t="shared" si="3"/>
        <v>1.6129032258064516E-2</v>
      </c>
      <c r="AD25" s="364">
        <f t="shared" si="3"/>
        <v>1.6129032258064516E-2</v>
      </c>
      <c r="AE25" s="364">
        <f t="shared" si="3"/>
        <v>1.6129032258064516E-2</v>
      </c>
      <c r="AF25" s="364">
        <f t="shared" si="3"/>
        <v>1.6129032258064516E-2</v>
      </c>
      <c r="AG25" s="364">
        <f t="shared" si="3"/>
        <v>1.6129032258064516E-2</v>
      </c>
      <c r="AH25" s="364">
        <f t="shared" si="3"/>
        <v>1.6129032258064516E-2</v>
      </c>
      <c r="AI25" s="364">
        <f t="shared" si="3"/>
        <v>1.6129032258064516E-2</v>
      </c>
      <c r="AJ25" s="364">
        <f t="shared" si="3"/>
        <v>1.6129032258064516E-2</v>
      </c>
      <c r="AK25" s="364">
        <f t="shared" si="3"/>
        <v>1.6129032258064516E-2</v>
      </c>
      <c r="AL25" s="364">
        <f t="shared" si="3"/>
        <v>1.6129032258064516E-2</v>
      </c>
      <c r="AM25" s="364">
        <f t="shared" si="3"/>
        <v>1.6129032258064516E-2</v>
      </c>
    </row>
    <row r="26" spans="2:39" x14ac:dyDescent="0.25">
      <c r="B26" s="353" t="s">
        <v>316</v>
      </c>
      <c r="C26" s="360">
        <f>SUM(D26:AM26)</f>
        <v>198247395.47980544</v>
      </c>
      <c r="D26" s="345">
        <f>$C$12*D25</f>
        <v>39649479.095961116</v>
      </c>
      <c r="E26" s="345">
        <f t="shared" ref="E26:AM26" si="4">$C$12*E25</f>
        <v>0</v>
      </c>
      <c r="F26" s="345">
        <f t="shared" si="4"/>
        <v>0</v>
      </c>
      <c r="G26" s="345">
        <f t="shared" si="4"/>
        <v>0</v>
      </c>
      <c r="H26" s="345">
        <f t="shared" si="4"/>
        <v>59474218.643941678</v>
      </c>
      <c r="I26" s="345">
        <f t="shared" si="4"/>
        <v>3197538.6367710577</v>
      </c>
      <c r="J26" s="345">
        <f t="shared" si="4"/>
        <v>3197538.6367710577</v>
      </c>
      <c r="K26" s="345">
        <f t="shared" si="4"/>
        <v>3197538.6367710577</v>
      </c>
      <c r="L26" s="345">
        <f t="shared" si="4"/>
        <v>3197538.6367710577</v>
      </c>
      <c r="M26" s="345">
        <f t="shared" si="4"/>
        <v>3197538.6367710577</v>
      </c>
      <c r="N26" s="345">
        <f t="shared" si="4"/>
        <v>3197538.6367710577</v>
      </c>
      <c r="O26" s="345">
        <f t="shared" si="4"/>
        <v>3197538.6367710577</v>
      </c>
      <c r="P26" s="345">
        <f t="shared" si="4"/>
        <v>3197538.6367710577</v>
      </c>
      <c r="Q26" s="345">
        <f t="shared" si="4"/>
        <v>3197538.6367710577</v>
      </c>
      <c r="R26" s="345">
        <f t="shared" si="4"/>
        <v>3197538.6367710577</v>
      </c>
      <c r="S26" s="345">
        <f t="shared" si="4"/>
        <v>3197538.6367710577</v>
      </c>
      <c r="T26" s="345">
        <f t="shared" si="4"/>
        <v>3197538.6367710577</v>
      </c>
      <c r="U26" s="345">
        <f t="shared" si="4"/>
        <v>3197538.6367710577</v>
      </c>
      <c r="V26" s="345">
        <f t="shared" si="4"/>
        <v>3197538.6367710577</v>
      </c>
      <c r="W26" s="345">
        <f t="shared" si="4"/>
        <v>3197538.6367710577</v>
      </c>
      <c r="X26" s="345">
        <f t="shared" si="4"/>
        <v>3197538.6367710577</v>
      </c>
      <c r="Y26" s="345">
        <f t="shared" si="4"/>
        <v>3197538.6367710577</v>
      </c>
      <c r="Z26" s="345">
        <f t="shared" si="4"/>
        <v>3197538.6367710577</v>
      </c>
      <c r="AA26" s="345">
        <f t="shared" si="4"/>
        <v>3197538.6367710577</v>
      </c>
      <c r="AB26" s="345">
        <f t="shared" si="4"/>
        <v>3197538.6367710577</v>
      </c>
      <c r="AC26" s="345">
        <f t="shared" si="4"/>
        <v>3197538.6367710577</v>
      </c>
      <c r="AD26" s="345">
        <f t="shared" si="4"/>
        <v>3197538.6367710577</v>
      </c>
      <c r="AE26" s="345">
        <f t="shared" si="4"/>
        <v>3197538.6367710577</v>
      </c>
      <c r="AF26" s="345">
        <f t="shared" si="4"/>
        <v>3197538.6367710577</v>
      </c>
      <c r="AG26" s="345">
        <f t="shared" si="4"/>
        <v>3197538.6367710577</v>
      </c>
      <c r="AH26" s="345">
        <f t="shared" si="4"/>
        <v>3197538.6367710577</v>
      </c>
      <c r="AI26" s="345">
        <f t="shared" si="4"/>
        <v>3197538.6367710577</v>
      </c>
      <c r="AJ26" s="345">
        <f t="shared" si="4"/>
        <v>3197538.6367710577</v>
      </c>
      <c r="AK26" s="345">
        <f t="shared" si="4"/>
        <v>3197538.6367710577</v>
      </c>
      <c r="AL26" s="345">
        <f t="shared" si="4"/>
        <v>3197538.6367710577</v>
      </c>
      <c r="AM26" s="345">
        <f t="shared" si="4"/>
        <v>3197538.6367710577</v>
      </c>
    </row>
    <row r="27" spans="2:39" x14ac:dyDescent="0.25">
      <c r="B27" s="361" t="s">
        <v>317</v>
      </c>
      <c r="C27" s="362">
        <f>SUM(D27:AM27)</f>
        <v>894483007.08125496</v>
      </c>
      <c r="D27" s="346">
        <f>D26*(1+$C$15)^D24</f>
        <v>39649479.095961116</v>
      </c>
      <c r="E27" s="346">
        <f t="shared" ref="E27:AM27" si="5">E26*(1+$C$15)^E24</f>
        <v>0</v>
      </c>
      <c r="F27" s="346">
        <f t="shared" si="5"/>
        <v>0</v>
      </c>
      <c r="G27" s="346">
        <f t="shared" si="5"/>
        <v>0</v>
      </c>
      <c r="H27" s="346">
        <f t="shared" si="5"/>
        <v>84539603.978457823</v>
      </c>
      <c r="I27" s="346">
        <f t="shared" si="5"/>
        <v>4962838.3647353807</v>
      </c>
      <c r="J27" s="346">
        <f t="shared" si="5"/>
        <v>5418923.2104545636</v>
      </c>
      <c r="K27" s="346">
        <f t="shared" si="5"/>
        <v>5916922.2534953384</v>
      </c>
      <c r="L27" s="346">
        <f t="shared" si="5"/>
        <v>6460687.408591562</v>
      </c>
      <c r="M27" s="346">
        <f t="shared" si="5"/>
        <v>7054424.5814411268</v>
      </c>
      <c r="N27" s="346">
        <f t="shared" si="5"/>
        <v>7702726.200475568</v>
      </c>
      <c r="O27" s="346">
        <f t="shared" si="5"/>
        <v>8410606.7382992748</v>
      </c>
      <c r="P27" s="346">
        <f t="shared" si="5"/>
        <v>9183541.4975489788</v>
      </c>
      <c r="Q27" s="346">
        <f t="shared" si="5"/>
        <v>10027508.96117373</v>
      </c>
      <c r="R27" s="346">
        <f t="shared" si="5"/>
        <v>10949037.034705598</v>
      </c>
      <c r="S27" s="346">
        <f t="shared" si="5"/>
        <v>11955253.538195044</v>
      </c>
      <c r="T27" s="346">
        <f t="shared" si="5"/>
        <v>13053941.338355172</v>
      </c>
      <c r="U27" s="346">
        <f t="shared" si="5"/>
        <v>14253598.547350015</v>
      </c>
      <c r="V27" s="346">
        <f t="shared" si="5"/>
        <v>15563504.253851483</v>
      </c>
      <c r="W27" s="346">
        <f t="shared" si="5"/>
        <v>16993790.294780433</v>
      </c>
      <c r="X27" s="346">
        <f t="shared" si="5"/>
        <v>18555519.622870762</v>
      </c>
      <c r="Y27" s="346">
        <f t="shared" si="5"/>
        <v>20260771.876212586</v>
      </c>
      <c r="Z27" s="346">
        <f t="shared" si="5"/>
        <v>22122736.811636526</v>
      </c>
      <c r="AA27" s="346">
        <f t="shared" si="5"/>
        <v>24155816.324625924</v>
      </c>
      <c r="AB27" s="346">
        <f t="shared" si="5"/>
        <v>26375735.844859056</v>
      </c>
      <c r="AC27" s="346">
        <f t="shared" si="5"/>
        <v>28799665.969001602</v>
      </c>
      <c r="AD27" s="346">
        <f t="shared" si="5"/>
        <v>31446355.271552857</v>
      </c>
      <c r="AE27" s="346">
        <f t="shared" si="5"/>
        <v>34336275.32100857</v>
      </c>
      <c r="AF27" s="346">
        <f t="shared" si="5"/>
        <v>37491779.023009263</v>
      </c>
      <c r="AG27" s="346">
        <f t="shared" si="5"/>
        <v>40937273.515223816</v>
      </c>
      <c r="AH27" s="346">
        <f t="shared" si="5"/>
        <v>44699408.95127289</v>
      </c>
      <c r="AI27" s="346">
        <f t="shared" si="5"/>
        <v>48807284.633894876</v>
      </c>
      <c r="AJ27" s="346">
        <f t="shared" si="5"/>
        <v>53292674.091749832</v>
      </c>
      <c r="AK27" s="346">
        <f t="shared" si="5"/>
        <v>58190270.840781644</v>
      </c>
      <c r="AL27" s="346">
        <f t="shared" si="5"/>
        <v>63537956.731049486</v>
      </c>
      <c r="AM27" s="346">
        <f t="shared" si="5"/>
        <v>69377094.954632938</v>
      </c>
    </row>
    <row r="29" spans="2:39" x14ac:dyDescent="0.25">
      <c r="B29" s="371" t="s">
        <v>321</v>
      </c>
      <c r="D29" s="366"/>
    </row>
    <row r="30" spans="2:39" x14ac:dyDescent="0.25">
      <c r="B30" s="350"/>
      <c r="C30" s="350" t="s">
        <v>182</v>
      </c>
      <c r="D30" s="350">
        <v>0</v>
      </c>
      <c r="E30" s="350">
        <v>1</v>
      </c>
      <c r="F30" s="350">
        <v>2</v>
      </c>
      <c r="G30" s="350">
        <v>3</v>
      </c>
      <c r="H30" s="350">
        <v>4</v>
      </c>
      <c r="I30" s="350">
        <v>5</v>
      </c>
      <c r="J30" s="350">
        <v>6</v>
      </c>
      <c r="K30" s="350">
        <v>7</v>
      </c>
      <c r="L30" s="350">
        <v>8</v>
      </c>
      <c r="M30" s="350">
        <v>9</v>
      </c>
      <c r="N30" s="350">
        <v>10</v>
      </c>
      <c r="O30" s="350">
        <v>11</v>
      </c>
      <c r="P30" s="350">
        <v>12</v>
      </c>
      <c r="Q30" s="350">
        <v>13</v>
      </c>
      <c r="R30" s="350">
        <v>14</v>
      </c>
      <c r="S30" s="350">
        <v>15</v>
      </c>
      <c r="T30" s="350">
        <v>16</v>
      </c>
      <c r="U30" s="350">
        <v>17</v>
      </c>
      <c r="V30" s="350">
        <v>18</v>
      </c>
      <c r="W30" s="350">
        <v>19</v>
      </c>
      <c r="X30" s="350">
        <v>20</v>
      </c>
      <c r="Y30" s="350">
        <v>21</v>
      </c>
      <c r="Z30" s="350">
        <v>22</v>
      </c>
      <c r="AA30" s="350">
        <v>23</v>
      </c>
      <c r="AB30" s="350">
        <v>24</v>
      </c>
      <c r="AC30" s="350">
        <v>25</v>
      </c>
      <c r="AD30" s="350">
        <v>26</v>
      </c>
      <c r="AE30" s="350">
        <v>27</v>
      </c>
      <c r="AF30" s="350">
        <v>28</v>
      </c>
      <c r="AG30" s="350">
        <v>29</v>
      </c>
      <c r="AH30" s="350">
        <v>30</v>
      </c>
      <c r="AI30" s="350">
        <v>31</v>
      </c>
      <c r="AJ30" s="350">
        <v>32</v>
      </c>
      <c r="AK30" s="350">
        <v>33</v>
      </c>
      <c r="AL30" s="350">
        <v>34</v>
      </c>
      <c r="AM30" s="350">
        <v>35</v>
      </c>
    </row>
    <row r="31" spans="2:39" x14ac:dyDescent="0.25">
      <c r="B31" s="354" t="s">
        <v>318</v>
      </c>
      <c r="C31" s="363">
        <v>1</v>
      </c>
      <c r="D31" s="364">
        <v>0.2</v>
      </c>
      <c r="E31" s="365">
        <v>0</v>
      </c>
      <c r="F31" s="365">
        <v>0</v>
      </c>
      <c r="G31" s="365">
        <v>0</v>
      </c>
      <c r="H31" s="365">
        <v>0.3</v>
      </c>
      <c r="I31" s="364">
        <f>50%/(35-$I$24+1)</f>
        <v>1.6129032258064516E-2</v>
      </c>
      <c r="J31" s="364">
        <f>I31</f>
        <v>1.6129032258064516E-2</v>
      </c>
      <c r="K31" s="364">
        <f t="shared" ref="K31" si="6">J31</f>
        <v>1.6129032258064516E-2</v>
      </c>
      <c r="L31" s="364">
        <f>C31-SUM(D31:K31)</f>
        <v>0.45161290322580649</v>
      </c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  <c r="AM31" s="364"/>
    </row>
    <row r="32" spans="2:39" x14ac:dyDescent="0.25">
      <c r="B32" s="353" t="s">
        <v>316</v>
      </c>
      <c r="C32" s="360">
        <f>SUM(D32:AM32)</f>
        <v>198247395.47980559</v>
      </c>
      <c r="D32" s="345">
        <f>$C$12*D31</f>
        <v>39649479.095961116</v>
      </c>
      <c r="E32" s="345">
        <f t="shared" ref="E32" si="7">$C$12*E31</f>
        <v>0</v>
      </c>
      <c r="F32" s="345">
        <f t="shared" ref="F32" si="8">$C$12*F31</f>
        <v>0</v>
      </c>
      <c r="G32" s="345">
        <f t="shared" ref="G32" si="9">$C$12*G31</f>
        <v>0</v>
      </c>
      <c r="H32" s="345">
        <f t="shared" ref="H32" si="10">$C$12*H31</f>
        <v>59474218.643941678</v>
      </c>
      <c r="I32" s="345">
        <f t="shared" ref="I32" si="11">$C$12*I31</f>
        <v>3197538.6367710577</v>
      </c>
      <c r="J32" s="345">
        <f t="shared" ref="J32" si="12">$C$12*J31</f>
        <v>3197538.6367710577</v>
      </c>
      <c r="K32" s="345">
        <f t="shared" ref="K32" si="13">$C$12*K31</f>
        <v>3197538.6367710577</v>
      </c>
      <c r="L32" s="345">
        <f t="shared" ref="L32" si="14">$C$12*L31</f>
        <v>89531081.829589635</v>
      </c>
      <c r="M32" s="345">
        <f t="shared" ref="M32" si="15">$C$12*M31</f>
        <v>0</v>
      </c>
      <c r="N32" s="345">
        <f t="shared" ref="N32" si="16">$C$12*N31</f>
        <v>0</v>
      </c>
      <c r="O32" s="345">
        <f t="shared" ref="O32" si="17">$C$12*O31</f>
        <v>0</v>
      </c>
      <c r="P32" s="345">
        <f t="shared" ref="P32" si="18">$C$12*P31</f>
        <v>0</v>
      </c>
      <c r="Q32" s="345">
        <f t="shared" ref="Q32" si="19">$C$12*Q31</f>
        <v>0</v>
      </c>
      <c r="R32" s="345">
        <f t="shared" ref="R32" si="20">$C$12*R31</f>
        <v>0</v>
      </c>
      <c r="S32" s="345">
        <f t="shared" ref="S32" si="21">$C$12*S31</f>
        <v>0</v>
      </c>
      <c r="T32" s="345">
        <f t="shared" ref="T32" si="22">$C$12*T31</f>
        <v>0</v>
      </c>
      <c r="U32" s="345">
        <f t="shared" ref="U32" si="23">$C$12*U31</f>
        <v>0</v>
      </c>
      <c r="V32" s="345">
        <f t="shared" ref="V32" si="24">$C$12*V31</f>
        <v>0</v>
      </c>
      <c r="W32" s="345">
        <f t="shared" ref="W32" si="25">$C$12*W31</f>
        <v>0</v>
      </c>
      <c r="X32" s="345">
        <f t="shared" ref="X32" si="26">$C$12*X31</f>
        <v>0</v>
      </c>
      <c r="Y32" s="345">
        <f t="shared" ref="Y32" si="27">$C$12*Y31</f>
        <v>0</v>
      </c>
      <c r="Z32" s="345">
        <f t="shared" ref="Z32" si="28">$C$12*Z31</f>
        <v>0</v>
      </c>
      <c r="AA32" s="345">
        <f t="shared" ref="AA32" si="29">$C$12*AA31</f>
        <v>0</v>
      </c>
      <c r="AB32" s="345">
        <f t="shared" ref="AB32" si="30">$C$12*AB31</f>
        <v>0</v>
      </c>
      <c r="AC32" s="345">
        <f t="shared" ref="AC32" si="31">$C$12*AC31</f>
        <v>0</v>
      </c>
      <c r="AD32" s="345">
        <f t="shared" ref="AD32" si="32">$C$12*AD31</f>
        <v>0</v>
      </c>
      <c r="AE32" s="345">
        <f t="shared" ref="AE32" si="33">$C$12*AE31</f>
        <v>0</v>
      </c>
      <c r="AF32" s="345">
        <f t="shared" ref="AF32" si="34">$C$12*AF31</f>
        <v>0</v>
      </c>
      <c r="AG32" s="345">
        <f t="shared" ref="AG32" si="35">$C$12*AG31</f>
        <v>0</v>
      </c>
      <c r="AH32" s="345">
        <f t="shared" ref="AH32" si="36">$C$12*AH31</f>
        <v>0</v>
      </c>
      <c r="AI32" s="345">
        <f t="shared" ref="AI32" si="37">$C$12*AI31</f>
        <v>0</v>
      </c>
      <c r="AJ32" s="345">
        <f t="shared" ref="AJ32" si="38">$C$12*AJ31</f>
        <v>0</v>
      </c>
      <c r="AK32" s="345">
        <f t="shared" ref="AK32" si="39">$C$12*AK31</f>
        <v>0</v>
      </c>
      <c r="AL32" s="345">
        <f t="shared" ref="AL32" si="40">$C$12*AL31</f>
        <v>0</v>
      </c>
      <c r="AM32" s="345">
        <f t="shared" ref="AM32" si="41">$C$12*AM31</f>
        <v>0</v>
      </c>
    </row>
    <row r="33" spans="2:39" x14ac:dyDescent="0.25">
      <c r="B33" s="361" t="s">
        <v>317</v>
      </c>
      <c r="C33" s="362">
        <f>SUM(D33:AM33)</f>
        <v>321387014.34366798</v>
      </c>
      <c r="D33" s="346">
        <f>D32*(1+$C$15)^D30</f>
        <v>39649479.095961116</v>
      </c>
      <c r="E33" s="346">
        <f t="shared" ref="E33:AM33" si="42">E32*(1+$C$15)^E30</f>
        <v>0</v>
      </c>
      <c r="F33" s="346">
        <f t="shared" si="42"/>
        <v>0</v>
      </c>
      <c r="G33" s="346">
        <f t="shared" si="42"/>
        <v>0</v>
      </c>
      <c r="H33" s="346">
        <f t="shared" si="42"/>
        <v>84539603.978457823</v>
      </c>
      <c r="I33" s="346">
        <f t="shared" si="42"/>
        <v>4962838.3647353807</v>
      </c>
      <c r="J33" s="346">
        <f t="shared" si="42"/>
        <v>5418923.2104545636</v>
      </c>
      <c r="K33" s="346">
        <f t="shared" si="42"/>
        <v>5916922.2534953384</v>
      </c>
      <c r="L33" s="346">
        <f t="shared" si="42"/>
        <v>180899247.44056377</v>
      </c>
      <c r="M33" s="346">
        <f t="shared" si="42"/>
        <v>0</v>
      </c>
      <c r="N33" s="346">
        <f t="shared" si="42"/>
        <v>0</v>
      </c>
      <c r="O33" s="346">
        <f t="shared" si="42"/>
        <v>0</v>
      </c>
      <c r="P33" s="346">
        <f t="shared" si="42"/>
        <v>0</v>
      </c>
      <c r="Q33" s="346">
        <f t="shared" si="42"/>
        <v>0</v>
      </c>
      <c r="R33" s="346">
        <f t="shared" si="42"/>
        <v>0</v>
      </c>
      <c r="S33" s="346">
        <f t="shared" si="42"/>
        <v>0</v>
      </c>
      <c r="T33" s="346">
        <f t="shared" si="42"/>
        <v>0</v>
      </c>
      <c r="U33" s="346">
        <f t="shared" si="42"/>
        <v>0</v>
      </c>
      <c r="V33" s="346">
        <f t="shared" si="42"/>
        <v>0</v>
      </c>
      <c r="W33" s="346">
        <f t="shared" si="42"/>
        <v>0</v>
      </c>
      <c r="X33" s="346">
        <f t="shared" si="42"/>
        <v>0</v>
      </c>
      <c r="Y33" s="346">
        <f t="shared" si="42"/>
        <v>0</v>
      </c>
      <c r="Z33" s="346">
        <f t="shared" si="42"/>
        <v>0</v>
      </c>
      <c r="AA33" s="346">
        <f t="shared" si="42"/>
        <v>0</v>
      </c>
      <c r="AB33" s="346">
        <f t="shared" si="42"/>
        <v>0</v>
      </c>
      <c r="AC33" s="346">
        <f t="shared" si="42"/>
        <v>0</v>
      </c>
      <c r="AD33" s="346">
        <f t="shared" si="42"/>
        <v>0</v>
      </c>
      <c r="AE33" s="346">
        <f t="shared" si="42"/>
        <v>0</v>
      </c>
      <c r="AF33" s="346">
        <f t="shared" si="42"/>
        <v>0</v>
      </c>
      <c r="AG33" s="346">
        <f t="shared" si="42"/>
        <v>0</v>
      </c>
      <c r="AH33" s="346">
        <f t="shared" si="42"/>
        <v>0</v>
      </c>
      <c r="AI33" s="346">
        <f t="shared" si="42"/>
        <v>0</v>
      </c>
      <c r="AJ33" s="346">
        <f t="shared" si="42"/>
        <v>0</v>
      </c>
      <c r="AK33" s="346">
        <f t="shared" si="42"/>
        <v>0</v>
      </c>
      <c r="AL33" s="346">
        <f t="shared" si="42"/>
        <v>0</v>
      </c>
      <c r="AM33" s="346">
        <f t="shared" si="42"/>
        <v>0</v>
      </c>
    </row>
    <row r="38" spans="2:39" x14ac:dyDescent="0.25">
      <c r="K38" s="368"/>
      <c r="L38" s="4"/>
      <c r="M38" s="4"/>
      <c r="S38" s="372"/>
      <c r="T38" s="4"/>
      <c r="U38" s="4"/>
    </row>
    <row r="39" spans="2:39" x14ac:dyDescent="0.25">
      <c r="K39" s="368"/>
      <c r="L39" s="4"/>
      <c r="M39" s="4"/>
      <c r="S39" s="372"/>
      <c r="T39" s="4"/>
      <c r="U39" s="4"/>
    </row>
    <row r="40" spans="2:39" x14ac:dyDescent="0.25">
      <c r="K40" s="368"/>
      <c r="L40" s="4"/>
      <c r="M40" s="4"/>
      <c r="S40" s="372"/>
      <c r="T40" s="4"/>
      <c r="U40" s="4"/>
    </row>
    <row r="41" spans="2:39" x14ac:dyDescent="0.25">
      <c r="K41" s="368"/>
      <c r="L41" s="4"/>
      <c r="M41" s="4"/>
      <c r="S41" s="372"/>
      <c r="T41" s="4"/>
      <c r="U41" s="4"/>
    </row>
    <row r="42" spans="2:39" x14ac:dyDescent="0.25">
      <c r="K42" s="368"/>
      <c r="L42" s="4"/>
      <c r="M42" s="4"/>
      <c r="S42" s="372"/>
      <c r="T42" s="4"/>
      <c r="U42" s="4"/>
    </row>
    <row r="43" spans="2:39" x14ac:dyDescent="0.25">
      <c r="K43" s="368"/>
      <c r="L43" s="4"/>
      <c r="M43" s="4"/>
      <c r="S43" s="372"/>
      <c r="T43" s="4"/>
      <c r="U43" s="4"/>
    </row>
    <row r="44" spans="2:39" x14ac:dyDescent="0.25">
      <c r="K44" s="368"/>
      <c r="L44" s="4"/>
      <c r="M44" s="4"/>
      <c r="S44" s="372"/>
      <c r="T44" s="4"/>
      <c r="U44" s="4"/>
    </row>
    <row r="45" spans="2:39" x14ac:dyDescent="0.25">
      <c r="K45" s="368"/>
      <c r="L45" s="4"/>
      <c r="M45" s="4"/>
      <c r="S45" s="372"/>
      <c r="T45" s="4"/>
      <c r="U45" s="4"/>
    </row>
    <row r="46" spans="2:39" x14ac:dyDescent="0.25">
      <c r="K46" s="368"/>
      <c r="L46" s="4"/>
      <c r="M46" s="4"/>
      <c r="S46" s="372"/>
      <c r="T46" s="4"/>
      <c r="U46" s="4"/>
    </row>
    <row r="47" spans="2:39" x14ac:dyDescent="0.25">
      <c r="K47" s="368"/>
      <c r="L47" s="4"/>
      <c r="M47" s="4"/>
      <c r="S47" s="372"/>
      <c r="T47" s="4"/>
      <c r="U47" s="4"/>
    </row>
    <row r="48" spans="2:39" x14ac:dyDescent="0.25">
      <c r="S48" s="372"/>
      <c r="T48" s="4"/>
      <c r="U48" s="4"/>
    </row>
    <row r="49" spans="19:21" x14ac:dyDescent="0.25">
      <c r="S49" s="372"/>
      <c r="T49" s="4"/>
      <c r="U49" s="4"/>
    </row>
    <row r="50" spans="19:21" x14ac:dyDescent="0.25">
      <c r="S50" s="372"/>
      <c r="T50" s="4"/>
      <c r="U50" s="4"/>
    </row>
    <row r="51" spans="19:21" x14ac:dyDescent="0.25">
      <c r="S51" s="372"/>
      <c r="T51" s="4"/>
      <c r="U51" s="4"/>
    </row>
    <row r="52" spans="19:21" x14ac:dyDescent="0.25">
      <c r="S52" s="372"/>
      <c r="T52" s="4"/>
      <c r="U52" s="4"/>
    </row>
    <row r="53" spans="19:21" x14ac:dyDescent="0.25">
      <c r="S53" s="372"/>
      <c r="T53" s="4"/>
      <c r="U53" s="4"/>
    </row>
    <row r="54" spans="19:21" x14ac:dyDescent="0.25">
      <c r="S54" s="372"/>
      <c r="T54" s="4"/>
      <c r="U54" s="4"/>
    </row>
    <row r="55" spans="19:21" x14ac:dyDescent="0.25">
      <c r="S55" s="372"/>
      <c r="T55" s="4"/>
      <c r="U55" s="4"/>
    </row>
    <row r="56" spans="19:21" x14ac:dyDescent="0.25">
      <c r="S56" s="372"/>
      <c r="T56" s="4"/>
      <c r="U56" s="4"/>
    </row>
    <row r="57" spans="19:21" x14ac:dyDescent="0.25">
      <c r="S57" s="372"/>
      <c r="T57" s="4"/>
      <c r="U57" s="4"/>
    </row>
    <row r="58" spans="19:21" x14ac:dyDescent="0.25">
      <c r="S58" s="372"/>
      <c r="T58" s="4"/>
      <c r="U58" s="4"/>
    </row>
    <row r="59" spans="19:21" x14ac:dyDescent="0.25">
      <c r="S59" s="372"/>
      <c r="T59" s="4"/>
      <c r="U59" s="4"/>
    </row>
    <row r="60" spans="19:21" x14ac:dyDescent="0.25">
      <c r="S60" s="372"/>
      <c r="T60" s="4"/>
      <c r="U60" s="4"/>
    </row>
    <row r="61" spans="19:21" x14ac:dyDescent="0.25">
      <c r="S61" s="372"/>
      <c r="T61" s="4"/>
      <c r="U61" s="4"/>
    </row>
    <row r="62" spans="19:21" x14ac:dyDescent="0.25">
      <c r="S62" s="372"/>
      <c r="T62" s="4"/>
      <c r="U62" s="4"/>
    </row>
    <row r="63" spans="19:21" x14ac:dyDescent="0.25">
      <c r="S63" s="372"/>
      <c r="T63" s="4"/>
      <c r="U63" s="4"/>
    </row>
    <row r="64" spans="19:21" x14ac:dyDescent="0.25">
      <c r="S64" s="372"/>
      <c r="T64" s="4"/>
      <c r="U64" s="4"/>
    </row>
    <row r="65" spans="19:21" x14ac:dyDescent="0.25">
      <c r="S65" s="372"/>
      <c r="T65" s="4"/>
      <c r="U65" s="4"/>
    </row>
    <row r="66" spans="19:21" x14ac:dyDescent="0.25">
      <c r="S66" s="372"/>
      <c r="T66" s="4"/>
      <c r="U66" s="4"/>
    </row>
    <row r="67" spans="19:21" x14ac:dyDescent="0.25">
      <c r="S67" s="372"/>
      <c r="T67" s="4"/>
      <c r="U67" s="4"/>
    </row>
    <row r="68" spans="19:21" x14ac:dyDescent="0.25">
      <c r="S68" s="372"/>
      <c r="T68" s="4"/>
      <c r="U68" s="4"/>
    </row>
    <row r="69" spans="19:21" x14ac:dyDescent="0.25">
      <c r="S69" s="372"/>
      <c r="T69" s="4"/>
      <c r="U69" s="4"/>
    </row>
    <row r="70" spans="19:21" x14ac:dyDescent="0.25">
      <c r="S70" s="372"/>
      <c r="T70" s="4"/>
      <c r="U70" s="4"/>
    </row>
    <row r="71" spans="19:21" x14ac:dyDescent="0.25">
      <c r="S71" s="372"/>
      <c r="T71" s="4"/>
      <c r="U71" s="4"/>
    </row>
    <row r="72" spans="19:21" x14ac:dyDescent="0.25">
      <c r="S72" s="372"/>
      <c r="T72" s="4"/>
      <c r="U72" s="4"/>
    </row>
    <row r="73" spans="19:21" x14ac:dyDescent="0.25">
      <c r="S73" s="372"/>
      <c r="T73" s="4"/>
      <c r="U73" s="4"/>
    </row>
    <row r="74" spans="19:21" x14ac:dyDescent="0.25">
      <c r="S74" s="372"/>
      <c r="T74" s="4"/>
      <c r="U74" s="4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141"/>
  <sheetViews>
    <sheetView zoomScale="85" zoomScaleNormal="85" workbookViewId="0"/>
  </sheetViews>
  <sheetFormatPr defaultRowHeight="15" x14ac:dyDescent="0.25"/>
  <cols>
    <col min="1" max="1" width="9.140625" style="137"/>
    <col min="2" max="2" width="47.28515625" customWidth="1"/>
    <col min="3" max="3" width="17.140625" style="34" customWidth="1"/>
    <col min="4" max="4" width="13.42578125" style="34" customWidth="1"/>
    <col min="5" max="5" width="13.42578125" style="34" hidden="1" customWidth="1"/>
    <col min="6" max="6" width="13.42578125" style="34" customWidth="1"/>
    <col min="7" max="7" width="15" style="34" customWidth="1"/>
    <col min="8" max="8" width="11.7109375" bestFit="1" customWidth="1"/>
    <col min="9" max="9" width="22.5703125" customWidth="1"/>
  </cols>
  <sheetData>
    <row r="1" spans="1:10" x14ac:dyDescent="0.25">
      <c r="C1" s="1"/>
      <c r="D1" s="1"/>
      <c r="E1" s="1"/>
      <c r="F1" s="1"/>
      <c r="G1" s="1"/>
    </row>
    <row r="2" spans="1:10" x14ac:dyDescent="0.25">
      <c r="C2" s="1"/>
      <c r="D2" s="1"/>
      <c r="E2" s="1"/>
      <c r="F2" s="1"/>
      <c r="G2" s="1"/>
    </row>
    <row r="3" spans="1:10" ht="45" x14ac:dyDescent="0.25">
      <c r="A3" s="316" t="s">
        <v>222</v>
      </c>
      <c r="B3" s="316" t="s">
        <v>223</v>
      </c>
      <c r="C3" s="335" t="s">
        <v>292</v>
      </c>
      <c r="D3" s="335" t="s">
        <v>294</v>
      </c>
      <c r="E3" s="335" t="s">
        <v>295</v>
      </c>
      <c r="F3" s="335" t="s">
        <v>296</v>
      </c>
      <c r="G3" s="335" t="s">
        <v>300</v>
      </c>
    </row>
    <row r="4" spans="1:10" x14ac:dyDescent="0.25">
      <c r="A4" s="274"/>
      <c r="B4" s="275"/>
      <c r="C4" s="331"/>
      <c r="D4" s="331"/>
      <c r="E4" s="331"/>
      <c r="F4" s="331"/>
      <c r="G4" s="331"/>
      <c r="I4" s="334" t="s">
        <v>299</v>
      </c>
      <c r="J4" s="341">
        <v>0</v>
      </c>
    </row>
    <row r="5" spans="1:10" ht="15" customHeight="1" x14ac:dyDescent="0.25">
      <c r="A5" s="280" t="s">
        <v>224</v>
      </c>
      <c r="B5" s="277" t="s">
        <v>293</v>
      </c>
      <c r="C5" s="337">
        <f>Orçam!O13</f>
        <v>2410135.9463468827</v>
      </c>
      <c r="D5" s="337"/>
      <c r="E5" s="337">
        <f>E6</f>
        <v>0</v>
      </c>
      <c r="F5" s="337">
        <f>F6</f>
        <v>826332.3244617884</v>
      </c>
      <c r="G5" s="337">
        <f>G6</f>
        <v>1583803.6218850943</v>
      </c>
      <c r="I5" s="334" t="s">
        <v>297</v>
      </c>
      <c r="J5" s="342">
        <v>2012</v>
      </c>
    </row>
    <row r="6" spans="1:10" ht="15" customHeight="1" x14ac:dyDescent="0.25">
      <c r="A6" s="278" t="s">
        <v>225</v>
      </c>
      <c r="B6" s="279" t="s">
        <v>21</v>
      </c>
      <c r="C6" s="338">
        <f>Orçam!O14</f>
        <v>2410135.9463468827</v>
      </c>
      <c r="D6" s="339">
        <v>35</v>
      </c>
      <c r="E6" s="338">
        <f>C6*$J$4</f>
        <v>0</v>
      </c>
      <c r="F6" s="338">
        <f>(C6-E6)/D6*$J$6</f>
        <v>826332.3244617884</v>
      </c>
      <c r="G6" s="338">
        <f>C6-F6</f>
        <v>1583803.6218850943</v>
      </c>
      <c r="I6" s="334" t="s">
        <v>298</v>
      </c>
      <c r="J6" s="342">
        <f>2024-J5</f>
        <v>12</v>
      </c>
    </row>
    <row r="7" spans="1:10" x14ac:dyDescent="0.25">
      <c r="A7" s="276">
        <v>3</v>
      </c>
      <c r="B7" s="277" t="s">
        <v>229</v>
      </c>
      <c r="C7" s="337">
        <f>Orçam!O25</f>
        <v>5788883.8173393458</v>
      </c>
      <c r="D7" s="332"/>
      <c r="E7" s="337">
        <f>E8</f>
        <v>0</v>
      </c>
      <c r="F7" s="337">
        <f>F8</f>
        <v>1984760.1659449185</v>
      </c>
      <c r="G7" s="337">
        <f>G8</f>
        <v>3804123.6513944273</v>
      </c>
    </row>
    <row r="8" spans="1:10" x14ac:dyDescent="0.25">
      <c r="A8" s="278" t="s">
        <v>226</v>
      </c>
      <c r="B8" s="279" t="s">
        <v>56</v>
      </c>
      <c r="C8" s="333">
        <f>Orçam!O26</f>
        <v>5788883.8173393458</v>
      </c>
      <c r="D8" s="339">
        <v>35</v>
      </c>
      <c r="E8" s="338">
        <f>C8*$J$4</f>
        <v>0</v>
      </c>
      <c r="F8" s="338">
        <f>(C8-E8)/D8*$J$6</f>
        <v>1984760.1659449185</v>
      </c>
      <c r="G8" s="338">
        <f>C8-F8</f>
        <v>3804123.6513944273</v>
      </c>
    </row>
    <row r="9" spans="1:10" x14ac:dyDescent="0.25">
      <c r="A9" s="276">
        <v>4</v>
      </c>
      <c r="B9" s="277" t="s">
        <v>230</v>
      </c>
      <c r="C9" s="337">
        <f>Orçam!O33</f>
        <v>2360371.2316833371</v>
      </c>
      <c r="D9" s="332"/>
      <c r="E9" s="337">
        <f>E10</f>
        <v>0</v>
      </c>
      <c r="F9" s="337">
        <f>F10</f>
        <v>809270.13657714415</v>
      </c>
      <c r="G9" s="337">
        <f>G10</f>
        <v>1551101.0951061929</v>
      </c>
    </row>
    <row r="10" spans="1:10" x14ac:dyDescent="0.25">
      <c r="A10" s="278" t="s">
        <v>227</v>
      </c>
      <c r="B10" s="279" t="s">
        <v>21</v>
      </c>
      <c r="C10" s="333">
        <f>Orçam!O34</f>
        <v>2360371.2316833371</v>
      </c>
      <c r="D10" s="339">
        <v>35</v>
      </c>
      <c r="E10" s="338">
        <f>C10*$J$4</f>
        <v>0</v>
      </c>
      <c r="F10" s="338">
        <f>(C10-E10)/D10*$J$6</f>
        <v>809270.13657714415</v>
      </c>
      <c r="G10" s="338">
        <f>C10-F10</f>
        <v>1551101.0951061929</v>
      </c>
    </row>
    <row r="11" spans="1:10" x14ac:dyDescent="0.25">
      <c r="A11" s="276">
        <v>5</v>
      </c>
      <c r="B11" s="277" t="s">
        <v>231</v>
      </c>
      <c r="C11" s="337">
        <f>Orçam!O41</f>
        <v>2052572.7299156468</v>
      </c>
      <c r="D11" s="332"/>
      <c r="E11" s="337">
        <f>E12</f>
        <v>0</v>
      </c>
      <c r="F11" s="337">
        <f>F12</f>
        <v>703739.22168536461</v>
      </c>
      <c r="G11" s="337">
        <f>G12</f>
        <v>1348833.5082302822</v>
      </c>
    </row>
    <row r="12" spans="1:10" x14ac:dyDescent="0.25">
      <c r="A12" s="278" t="s">
        <v>232</v>
      </c>
      <c r="B12" s="279" t="s">
        <v>21</v>
      </c>
      <c r="C12" s="333">
        <f>Orçam!O42</f>
        <v>2052572.7299156468</v>
      </c>
      <c r="D12" s="339">
        <v>35</v>
      </c>
      <c r="E12" s="338">
        <f>C12*$J$4</f>
        <v>0</v>
      </c>
      <c r="F12" s="338">
        <f>(C12-E12)/D12*$J$6</f>
        <v>703739.22168536461</v>
      </c>
      <c r="G12" s="338">
        <f>C12-F12</f>
        <v>1348833.5082302822</v>
      </c>
    </row>
    <row r="13" spans="1:10" x14ac:dyDescent="0.25">
      <c r="A13" s="276">
        <v>7</v>
      </c>
      <c r="B13" s="277" t="s">
        <v>132</v>
      </c>
      <c r="C13" s="337">
        <f>Orçam!O57</f>
        <v>6669348.2641723864</v>
      </c>
      <c r="D13" s="332"/>
      <c r="E13" s="337">
        <f>E14</f>
        <v>0</v>
      </c>
      <c r="F13" s="337">
        <f>F14</f>
        <v>2286633.6905733896</v>
      </c>
      <c r="G13" s="337">
        <f>G14</f>
        <v>4382714.5735989967</v>
      </c>
    </row>
    <row r="14" spans="1:10" x14ac:dyDescent="0.25">
      <c r="A14" s="278" t="s">
        <v>234</v>
      </c>
      <c r="B14" s="279" t="s">
        <v>21</v>
      </c>
      <c r="C14" s="333">
        <f>Orçam!O58</f>
        <v>6669348.2641723864</v>
      </c>
      <c r="D14" s="339">
        <v>35</v>
      </c>
      <c r="E14" s="338">
        <f>C14*$J$4</f>
        <v>0</v>
      </c>
      <c r="F14" s="338">
        <f>(C14-E14)/D14*$J$6</f>
        <v>2286633.6905733896</v>
      </c>
      <c r="G14" s="338">
        <f>C14-F14</f>
        <v>4382714.5735989967</v>
      </c>
    </row>
    <row r="15" spans="1:10" x14ac:dyDescent="0.25">
      <c r="A15" s="276">
        <v>9</v>
      </c>
      <c r="B15" s="277" t="s">
        <v>58</v>
      </c>
      <c r="C15" s="337">
        <f>Orçam!O70</f>
        <v>14410432.203163082</v>
      </c>
      <c r="D15" s="332"/>
      <c r="E15" s="337">
        <f>SUM(E16:E19)</f>
        <v>0</v>
      </c>
      <c r="F15" s="337">
        <f>SUM(F16:F19)</f>
        <v>5689284.7932652319</v>
      </c>
      <c r="G15" s="337">
        <f>SUM(G16:G19)</f>
        <v>8721147.4098978471</v>
      </c>
    </row>
    <row r="16" spans="1:10" x14ac:dyDescent="0.25">
      <c r="A16" s="278" t="s">
        <v>228</v>
      </c>
      <c r="B16" s="279" t="s">
        <v>21</v>
      </c>
      <c r="C16" s="333">
        <f>Orçam!O71</f>
        <v>1310541.54</v>
      </c>
      <c r="D16" s="339">
        <v>35</v>
      </c>
      <c r="E16" s="338">
        <f t="shared" ref="E16:E19" si="0">C16*$J$4</f>
        <v>0</v>
      </c>
      <c r="F16" s="338">
        <f t="shared" ref="F16:F19" si="1">(C16-E16)/D16*$J$6</f>
        <v>449328.52800000005</v>
      </c>
      <c r="G16" s="338">
        <f t="shared" ref="G16:G19" si="2">C16-F16</f>
        <v>861213.01199999999</v>
      </c>
    </row>
    <row r="17" spans="1:7" x14ac:dyDescent="0.25">
      <c r="A17" s="278" t="s">
        <v>235</v>
      </c>
      <c r="B17" s="279" t="s">
        <v>60</v>
      </c>
      <c r="C17" s="333">
        <f>Orçam!O72</f>
        <v>9775869.5999999996</v>
      </c>
      <c r="D17" s="336">
        <v>30</v>
      </c>
      <c r="E17" s="338">
        <f t="shared" si="0"/>
        <v>0</v>
      </c>
      <c r="F17" s="338">
        <f t="shared" si="1"/>
        <v>3910347.84</v>
      </c>
      <c r="G17" s="338">
        <f t="shared" si="2"/>
        <v>5865521.7599999998</v>
      </c>
    </row>
    <row r="18" spans="1:7" x14ac:dyDescent="0.25">
      <c r="A18" s="278" t="s">
        <v>236</v>
      </c>
      <c r="B18" s="279" t="s">
        <v>85</v>
      </c>
      <c r="C18" s="333">
        <f>Orçam!O73</f>
        <v>2138144.4</v>
      </c>
      <c r="D18" s="336">
        <v>30</v>
      </c>
      <c r="E18" s="338">
        <f t="shared" si="0"/>
        <v>0</v>
      </c>
      <c r="F18" s="338">
        <f t="shared" si="1"/>
        <v>855257.76</v>
      </c>
      <c r="G18" s="338">
        <f t="shared" si="2"/>
        <v>1282886.6399999999</v>
      </c>
    </row>
    <row r="19" spans="1:7" x14ac:dyDescent="0.25">
      <c r="A19" s="278" t="s">
        <v>233</v>
      </c>
      <c r="B19" s="279" t="s">
        <v>215</v>
      </c>
      <c r="C19" s="333">
        <f>Orçam!O74</f>
        <v>1185876.6631630801</v>
      </c>
      <c r="D19" s="336">
        <v>30</v>
      </c>
      <c r="E19" s="338">
        <f t="shared" si="0"/>
        <v>0</v>
      </c>
      <c r="F19" s="338">
        <f t="shared" si="1"/>
        <v>474350.66526523209</v>
      </c>
      <c r="G19" s="338">
        <f t="shared" si="2"/>
        <v>711525.99789784802</v>
      </c>
    </row>
    <row r="20" spans="1:7" x14ac:dyDescent="0.25">
      <c r="A20" s="276">
        <v>10</v>
      </c>
      <c r="B20" s="277" t="s">
        <v>79</v>
      </c>
      <c r="C20" s="337">
        <f>Orçam!O77</f>
        <v>60021808.124518804</v>
      </c>
      <c r="D20" s="332"/>
      <c r="E20" s="337">
        <f>SUM(E21:E24)</f>
        <v>0</v>
      </c>
      <c r="F20" s="337">
        <f>SUM(F21:F24)</f>
        <v>23696693.960807521</v>
      </c>
      <c r="G20" s="337">
        <f>SUM(G21:G24)</f>
        <v>36325114.16371128</v>
      </c>
    </row>
    <row r="21" spans="1:7" x14ac:dyDescent="0.25">
      <c r="A21" s="278" t="s">
        <v>237</v>
      </c>
      <c r="B21" s="279" t="s">
        <v>249</v>
      </c>
      <c r="C21" s="333">
        <f>Orçam!O78</f>
        <v>5460512.557500001</v>
      </c>
      <c r="D21" s="339">
        <v>35</v>
      </c>
      <c r="E21" s="338">
        <f t="shared" ref="E21:E24" si="3">C21*$J$4</f>
        <v>0</v>
      </c>
      <c r="F21" s="338">
        <f t="shared" ref="F21:F24" si="4">(C21-E21)/D21*$J$6</f>
        <v>1872175.7340000002</v>
      </c>
      <c r="G21" s="338">
        <f t="shared" ref="G21:G24" si="5">C21-F21</f>
        <v>3588336.8235000009</v>
      </c>
    </row>
    <row r="22" spans="1:7" x14ac:dyDescent="0.25">
      <c r="A22" s="278" t="s">
        <v>238</v>
      </c>
      <c r="B22" s="279" t="s">
        <v>60</v>
      </c>
      <c r="C22" s="333">
        <f>Orçam!O79</f>
        <v>47277165</v>
      </c>
      <c r="D22" s="336">
        <v>30</v>
      </c>
      <c r="E22" s="338">
        <f t="shared" si="3"/>
        <v>0</v>
      </c>
      <c r="F22" s="338">
        <f t="shared" si="4"/>
        <v>18910866</v>
      </c>
      <c r="G22" s="338">
        <f t="shared" si="5"/>
        <v>28366299</v>
      </c>
    </row>
    <row r="23" spans="1:7" x14ac:dyDescent="0.25">
      <c r="A23" s="278" t="s">
        <v>239</v>
      </c>
      <c r="B23" s="279" t="s">
        <v>250</v>
      </c>
      <c r="C23" s="333">
        <f>Orçam!O80</f>
        <v>2363858.25</v>
      </c>
      <c r="D23" s="336">
        <v>30</v>
      </c>
      <c r="E23" s="338">
        <f t="shared" si="3"/>
        <v>0</v>
      </c>
      <c r="F23" s="338">
        <f t="shared" si="4"/>
        <v>945543.29999999993</v>
      </c>
      <c r="G23" s="338">
        <f t="shared" si="5"/>
        <v>1418314.9500000002</v>
      </c>
    </row>
    <row r="24" spans="1:7" x14ac:dyDescent="0.25">
      <c r="A24" s="278" t="s">
        <v>240</v>
      </c>
      <c r="B24" s="279" t="s">
        <v>215</v>
      </c>
      <c r="C24" s="333">
        <f>Orçam!O81</f>
        <v>4920272.3170188004</v>
      </c>
      <c r="D24" s="336">
        <v>30</v>
      </c>
      <c r="E24" s="338">
        <f t="shared" si="3"/>
        <v>0</v>
      </c>
      <c r="F24" s="338">
        <f t="shared" si="4"/>
        <v>1968108.92680752</v>
      </c>
      <c r="G24" s="338">
        <f t="shared" si="5"/>
        <v>2952163.3902112804</v>
      </c>
    </row>
    <row r="25" spans="1:7" x14ac:dyDescent="0.25">
      <c r="A25" s="278">
        <v>13</v>
      </c>
      <c r="B25" s="277" t="s">
        <v>248</v>
      </c>
      <c r="C25" s="337">
        <f>Orçam!O97</f>
        <v>14857330.083524615</v>
      </c>
      <c r="D25" s="332"/>
      <c r="E25" s="337">
        <f>SUM(E26:E28)</f>
        <v>0</v>
      </c>
      <c r="F25" s="337">
        <f>SUM(F26:F28)</f>
        <v>5099173.3506980585</v>
      </c>
      <c r="G25" s="337">
        <f>SUM(G26:G28)</f>
        <v>9758156.7328265551</v>
      </c>
    </row>
    <row r="26" spans="1:7" x14ac:dyDescent="0.25">
      <c r="A26" s="278" t="s">
        <v>241</v>
      </c>
      <c r="B26" s="279" t="s">
        <v>251</v>
      </c>
      <c r="C26" s="333">
        <f>Orçam!O98</f>
        <v>14636250.37211749</v>
      </c>
      <c r="D26" s="339">
        <v>35</v>
      </c>
      <c r="E26" s="338">
        <f t="shared" ref="E26:E28" si="6">C26*$J$4</f>
        <v>0</v>
      </c>
      <c r="F26" s="338">
        <f t="shared" ref="F26:F28" si="7">(C26-E26)/D26*$J$6</f>
        <v>5018142.9847259969</v>
      </c>
      <c r="G26" s="338">
        <f t="shared" ref="G26:G28" si="8">C26-F26</f>
        <v>9618107.3873914927</v>
      </c>
    </row>
    <row r="27" spans="1:7" x14ac:dyDescent="0.25">
      <c r="A27" s="278" t="s">
        <v>242</v>
      </c>
      <c r="B27" s="279" t="s">
        <v>38</v>
      </c>
      <c r="C27" s="333">
        <f>Orçam!O99</f>
        <v>129526.57533879936</v>
      </c>
      <c r="D27" s="339">
        <v>35</v>
      </c>
      <c r="E27" s="338">
        <f t="shared" si="6"/>
        <v>0</v>
      </c>
      <c r="F27" s="338">
        <f t="shared" si="7"/>
        <v>44409.111544731211</v>
      </c>
      <c r="G27" s="338">
        <f t="shared" si="8"/>
        <v>85117.463794068142</v>
      </c>
    </row>
    <row r="28" spans="1:7" x14ac:dyDescent="0.25">
      <c r="A28" s="278" t="s">
        <v>243</v>
      </c>
      <c r="B28" s="279" t="s">
        <v>29</v>
      </c>
      <c r="C28" s="333">
        <f>Orçam!O100</f>
        <v>91553.136068325999</v>
      </c>
      <c r="D28" s="336">
        <v>30</v>
      </c>
      <c r="E28" s="338">
        <f t="shared" si="6"/>
        <v>0</v>
      </c>
      <c r="F28" s="338">
        <f t="shared" si="7"/>
        <v>36621.254427330394</v>
      </c>
      <c r="G28" s="338">
        <f t="shared" si="8"/>
        <v>54931.881640995605</v>
      </c>
    </row>
    <row r="29" spans="1:7" x14ac:dyDescent="0.25">
      <c r="A29" s="280">
        <v>14</v>
      </c>
      <c r="B29" s="277" t="s">
        <v>247</v>
      </c>
      <c r="C29" s="337">
        <f>Orçam!O104</f>
        <v>13119536.569460548</v>
      </c>
      <c r="D29" s="332"/>
      <c r="E29" s="337">
        <f t="shared" ref="E29:G29" si="9">SUM(E30:E32)</f>
        <v>0</v>
      </c>
      <c r="F29" s="337">
        <f t="shared" si="9"/>
        <v>4502964.0185587117</v>
      </c>
      <c r="G29" s="337">
        <f t="shared" si="9"/>
        <v>8616572.5509018376</v>
      </c>
    </row>
    <row r="30" spans="1:7" x14ac:dyDescent="0.25">
      <c r="A30" s="278" t="s">
        <v>244</v>
      </c>
      <c r="B30" s="279" t="s">
        <v>251</v>
      </c>
      <c r="C30" s="333">
        <f>Orçam!O105</f>
        <v>12915124.147147071</v>
      </c>
      <c r="D30" s="339">
        <v>35</v>
      </c>
      <c r="E30" s="338">
        <f t="shared" ref="E30:E32" si="10">C30*$J$4</f>
        <v>0</v>
      </c>
      <c r="F30" s="338">
        <f t="shared" ref="F30:F32" si="11">(C30-E30)/D30*$J$6</f>
        <v>4428042.564736139</v>
      </c>
      <c r="G30" s="338">
        <f t="shared" ref="G30:G32" si="12">C30-F30</f>
        <v>8487081.5824109316</v>
      </c>
    </row>
    <row r="31" spans="1:7" x14ac:dyDescent="0.25">
      <c r="A31" s="278" t="s">
        <v>245</v>
      </c>
      <c r="B31" s="279" t="s">
        <v>38</v>
      </c>
      <c r="C31" s="333">
        <f>Orçam!O106</f>
        <v>119761.51429931598</v>
      </c>
      <c r="D31" s="339">
        <v>35</v>
      </c>
      <c r="E31" s="338">
        <f t="shared" si="10"/>
        <v>0</v>
      </c>
      <c r="F31" s="338">
        <f t="shared" si="11"/>
        <v>41061.090616908339</v>
      </c>
      <c r="G31" s="338">
        <f t="shared" si="12"/>
        <v>78700.423682407651</v>
      </c>
    </row>
    <row r="32" spans="1:7" x14ac:dyDescent="0.25">
      <c r="A32" s="278" t="s">
        <v>246</v>
      </c>
      <c r="B32" s="279" t="s">
        <v>29</v>
      </c>
      <c r="C32" s="333">
        <f>Orçam!O107</f>
        <v>84650.908014161352</v>
      </c>
      <c r="D32" s="336">
        <v>30</v>
      </c>
      <c r="E32" s="338">
        <f t="shared" si="10"/>
        <v>0</v>
      </c>
      <c r="F32" s="338">
        <f t="shared" si="11"/>
        <v>33860.363205664537</v>
      </c>
      <c r="G32" s="338">
        <f t="shared" si="12"/>
        <v>50790.544808496816</v>
      </c>
    </row>
    <row r="33" spans="1:7" x14ac:dyDescent="0.25">
      <c r="A33" s="280">
        <v>15</v>
      </c>
      <c r="B33" s="277" t="s">
        <v>252</v>
      </c>
      <c r="C33" s="337">
        <f>Orçam!O111</f>
        <v>61321930.370310001</v>
      </c>
      <c r="D33" s="332"/>
      <c r="E33" s="337">
        <f>SUM(E34:E35)</f>
        <v>0</v>
      </c>
      <c r="F33" s="337">
        <f>SUM(F34:F35)</f>
        <v>21024661.841249146</v>
      </c>
      <c r="G33" s="337">
        <f>SUM(G34:G35)</f>
        <v>40297268.529060856</v>
      </c>
    </row>
    <row r="34" spans="1:7" x14ac:dyDescent="0.25">
      <c r="A34" s="278" t="s">
        <v>254</v>
      </c>
      <c r="B34" s="279" t="s">
        <v>253</v>
      </c>
      <c r="C34" s="333">
        <f>Orçam!O112</f>
        <v>60806270.643900245</v>
      </c>
      <c r="D34" s="339">
        <v>35</v>
      </c>
      <c r="E34" s="338">
        <f t="shared" ref="E34:E35" si="13">C34*$J$4</f>
        <v>0</v>
      </c>
      <c r="F34" s="338">
        <f t="shared" ref="F34:F35" si="14">(C34-E34)/D34*$J$6</f>
        <v>20847864.220765799</v>
      </c>
      <c r="G34" s="338">
        <f t="shared" ref="G34:G35" si="15">C34-F34</f>
        <v>39958406.423134446</v>
      </c>
    </row>
    <row r="35" spans="1:7" x14ac:dyDescent="0.25">
      <c r="A35" s="278" t="s">
        <v>255</v>
      </c>
      <c r="B35" s="279" t="s">
        <v>38</v>
      </c>
      <c r="C35" s="333">
        <f>Orçam!O113</f>
        <v>515659.72640975745</v>
      </c>
      <c r="D35" s="339">
        <v>35</v>
      </c>
      <c r="E35" s="338">
        <f t="shared" si="13"/>
        <v>0</v>
      </c>
      <c r="F35" s="338">
        <f t="shared" si="14"/>
        <v>176797.62048334541</v>
      </c>
      <c r="G35" s="338">
        <f t="shared" si="15"/>
        <v>338862.10592641204</v>
      </c>
    </row>
    <row r="36" spans="1:7" x14ac:dyDescent="0.25">
      <c r="A36" s="276">
        <v>16</v>
      </c>
      <c r="B36" s="277" t="s">
        <v>42</v>
      </c>
      <c r="C36" s="337">
        <f>Orçam!O118</f>
        <v>14171491.7239665</v>
      </c>
      <c r="D36" s="332"/>
      <c r="E36" s="337">
        <f>SUM(E37:E42)</f>
        <v>0</v>
      </c>
      <c r="F36" s="337">
        <f>SUM(F37:F42)</f>
        <v>5562970.6643148009</v>
      </c>
      <c r="G36" s="337">
        <f>SUM(G37:G42)</f>
        <v>8608521.0596516989</v>
      </c>
    </row>
    <row r="37" spans="1:7" x14ac:dyDescent="0.25">
      <c r="A37" s="278" t="s">
        <v>256</v>
      </c>
      <c r="B37" s="279" t="s">
        <v>262</v>
      </c>
      <c r="C37" s="333">
        <f>Orçam!O119</f>
        <v>1848455.4422565005</v>
      </c>
      <c r="D37" s="339">
        <v>35</v>
      </c>
      <c r="E37" s="338">
        <f t="shared" ref="E37:E42" si="16">C37*$J$4</f>
        <v>0</v>
      </c>
      <c r="F37" s="338">
        <f t="shared" ref="F37:F42" si="17">(C37-E37)/D37*$J$6</f>
        <v>633756.15163080022</v>
      </c>
      <c r="G37" s="338">
        <f t="shared" ref="G37:G42" si="18">C37-F37</f>
        <v>1214699.2906257003</v>
      </c>
    </row>
    <row r="38" spans="1:7" x14ac:dyDescent="0.25">
      <c r="A38" s="278" t="s">
        <v>257</v>
      </c>
      <c r="B38" s="279" t="s">
        <v>66</v>
      </c>
      <c r="C38" s="333">
        <f>Orçam!O120</f>
        <v>6402055.4819999998</v>
      </c>
      <c r="D38" s="336">
        <v>30</v>
      </c>
      <c r="E38" s="338">
        <f t="shared" si="16"/>
        <v>0</v>
      </c>
      <c r="F38" s="338">
        <f t="shared" si="17"/>
        <v>2560822.1928000003</v>
      </c>
      <c r="G38" s="338">
        <f t="shared" si="18"/>
        <v>3841233.2891999995</v>
      </c>
    </row>
    <row r="39" spans="1:7" x14ac:dyDescent="0.25">
      <c r="A39" s="278" t="s">
        <v>258</v>
      </c>
      <c r="B39" s="279" t="s">
        <v>67</v>
      </c>
      <c r="C39" s="333">
        <f>Orçam!O121</f>
        <v>2327588</v>
      </c>
      <c r="D39" s="336">
        <v>30</v>
      </c>
      <c r="E39" s="338">
        <f t="shared" si="16"/>
        <v>0</v>
      </c>
      <c r="F39" s="338">
        <f t="shared" si="17"/>
        <v>931035.2</v>
      </c>
      <c r="G39" s="338">
        <f t="shared" si="18"/>
        <v>1396552.8</v>
      </c>
    </row>
    <row r="40" spans="1:7" x14ac:dyDescent="0.25">
      <c r="A40" s="278" t="s">
        <v>260</v>
      </c>
      <c r="B40" s="279" t="s">
        <v>68</v>
      </c>
      <c r="C40" s="333">
        <f>Orçam!O122</f>
        <v>1939652</v>
      </c>
      <c r="D40" s="336">
        <v>30</v>
      </c>
      <c r="E40" s="338">
        <f t="shared" si="16"/>
        <v>0</v>
      </c>
      <c r="F40" s="338">
        <f t="shared" si="17"/>
        <v>775860.8</v>
      </c>
      <c r="G40" s="338">
        <f t="shared" si="18"/>
        <v>1163791.2</v>
      </c>
    </row>
    <row r="41" spans="1:7" x14ac:dyDescent="0.25">
      <c r="A41" s="278" t="s">
        <v>259</v>
      </c>
      <c r="B41" s="279" t="s">
        <v>250</v>
      </c>
      <c r="C41" s="333">
        <f>Orçam!O123</f>
        <v>533464.77410000004</v>
      </c>
      <c r="D41" s="336">
        <v>30</v>
      </c>
      <c r="E41" s="338">
        <f t="shared" si="16"/>
        <v>0</v>
      </c>
      <c r="F41" s="338">
        <f t="shared" si="17"/>
        <v>213385.90964000003</v>
      </c>
      <c r="G41" s="338">
        <f t="shared" si="18"/>
        <v>320078.86446000001</v>
      </c>
    </row>
    <row r="42" spans="1:7" x14ac:dyDescent="0.25">
      <c r="A42" s="278" t="s">
        <v>261</v>
      </c>
      <c r="B42" s="279" t="s">
        <v>215</v>
      </c>
      <c r="C42" s="333">
        <f>Orçam!O124</f>
        <v>1120276.0256100001</v>
      </c>
      <c r="D42" s="336">
        <v>30</v>
      </c>
      <c r="E42" s="338">
        <f t="shared" si="16"/>
        <v>0</v>
      </c>
      <c r="F42" s="338">
        <f t="shared" si="17"/>
        <v>448110.41024400003</v>
      </c>
      <c r="G42" s="338">
        <f t="shared" si="18"/>
        <v>672165.6153660001</v>
      </c>
    </row>
    <row r="43" spans="1:7" x14ac:dyDescent="0.25">
      <c r="A43" s="276">
        <v>17</v>
      </c>
      <c r="B43" s="277" t="s">
        <v>35</v>
      </c>
      <c r="C43" s="337">
        <f>Orçam!O127</f>
        <v>366260.22680872801</v>
      </c>
      <c r="D43" s="332"/>
      <c r="E43" s="337">
        <f>E44</f>
        <v>0</v>
      </c>
      <c r="F43" s="337">
        <f>F44</f>
        <v>219756.13608523682</v>
      </c>
      <c r="G43" s="337">
        <f>G44</f>
        <v>146504.09072349119</v>
      </c>
    </row>
    <row r="44" spans="1:7" x14ac:dyDescent="0.25">
      <c r="A44" s="278" t="s">
        <v>263</v>
      </c>
      <c r="B44" s="279" t="s">
        <v>95</v>
      </c>
      <c r="C44" s="333">
        <f>Orçam!O129</f>
        <v>366260.22680872801</v>
      </c>
      <c r="D44" s="336">
        <v>20</v>
      </c>
      <c r="E44" s="338">
        <f>C44*$J$4</f>
        <v>0</v>
      </c>
      <c r="F44" s="338">
        <f>(C44-E44)/D44*$J$6</f>
        <v>219756.13608523682</v>
      </c>
      <c r="G44" s="338">
        <f>C44-F44</f>
        <v>146504.09072349119</v>
      </c>
    </row>
    <row r="45" spans="1:7" x14ac:dyDescent="0.25">
      <c r="A45" s="276">
        <v>18</v>
      </c>
      <c r="B45" s="277" t="s">
        <v>36</v>
      </c>
      <c r="C45" s="337">
        <f>Orçam!O132</f>
        <v>435038.2919253881</v>
      </c>
      <c r="D45" s="332"/>
      <c r="E45" s="337">
        <f>E46</f>
        <v>0</v>
      </c>
      <c r="F45" s="337">
        <f>F46</f>
        <v>149155.98580299021</v>
      </c>
      <c r="G45" s="337">
        <f>G46</f>
        <v>285882.30612239789</v>
      </c>
    </row>
    <row r="46" spans="1:7" x14ac:dyDescent="0.25">
      <c r="A46" s="278" t="s">
        <v>264</v>
      </c>
      <c r="B46" s="279" t="s">
        <v>21</v>
      </c>
      <c r="C46" s="333">
        <f>Orçam!O133</f>
        <v>435038.2919253881</v>
      </c>
      <c r="D46" s="339">
        <v>35</v>
      </c>
      <c r="E46" s="338">
        <f>C46*$J$4</f>
        <v>0</v>
      </c>
      <c r="F46" s="338">
        <f>(C46-E46)/D46*$J$6</f>
        <v>149155.98580299021</v>
      </c>
      <c r="G46" s="338">
        <f>C46-F46</f>
        <v>285882.30612239789</v>
      </c>
    </row>
    <row r="47" spans="1:7" x14ac:dyDescent="0.25">
      <c r="A47" s="395">
        <v>19</v>
      </c>
      <c r="B47" s="396" t="s">
        <v>32</v>
      </c>
      <c r="C47" s="398">
        <f>Orçam!O138</f>
        <v>17134336.945121977</v>
      </c>
      <c r="D47" s="397"/>
      <c r="E47" s="398">
        <f>E48</f>
        <v>0</v>
      </c>
      <c r="F47" s="398">
        <f>F48</f>
        <v>5874629.8097561067</v>
      </c>
      <c r="G47" s="398">
        <f>G48</f>
        <v>11259707.13536587</v>
      </c>
    </row>
    <row r="48" spans="1:7" x14ac:dyDescent="0.25">
      <c r="A48" s="399" t="s">
        <v>265</v>
      </c>
      <c r="B48" s="400" t="s">
        <v>154</v>
      </c>
      <c r="C48" s="401">
        <f>Orçam!O139</f>
        <v>17134336.945121977</v>
      </c>
      <c r="D48" s="402">
        <v>35</v>
      </c>
      <c r="E48" s="403">
        <f>C48*$J$4</f>
        <v>0</v>
      </c>
      <c r="F48" s="403">
        <f>(C48-E48)/D48*$J$6</f>
        <v>5874629.8097561067</v>
      </c>
      <c r="G48" s="403">
        <f>C48-F48</f>
        <v>11259707.13536587</v>
      </c>
    </row>
    <row r="49" spans="1:7" x14ac:dyDescent="0.25">
      <c r="A49" s="395">
        <v>20</v>
      </c>
      <c r="B49" s="396" t="s">
        <v>41</v>
      </c>
      <c r="C49" s="398">
        <f>Orçam!O146</f>
        <v>4785014.423597577</v>
      </c>
      <c r="D49" s="397"/>
      <c r="E49" s="398">
        <f>SUM(E50:E54)</f>
        <v>0</v>
      </c>
      <c r="F49" s="398">
        <f>SUM(F50:F54)</f>
        <v>1640576.3738048836</v>
      </c>
      <c r="G49" s="398">
        <f>SUM(G50:G54)</f>
        <v>3144438.0497926935</v>
      </c>
    </row>
    <row r="50" spans="1:7" x14ac:dyDescent="0.25">
      <c r="A50" s="399" t="s">
        <v>266</v>
      </c>
      <c r="B50" s="400" t="s">
        <v>93</v>
      </c>
      <c r="C50" s="401">
        <f>Orçam!O147</f>
        <v>602835.18048715545</v>
      </c>
      <c r="D50" s="402">
        <v>35</v>
      </c>
      <c r="E50" s="403">
        <f t="shared" ref="E50:E54" si="19">C50*$J$4</f>
        <v>0</v>
      </c>
      <c r="F50" s="403">
        <f t="shared" ref="F50:F54" si="20">(C50-E50)/D50*$J$6</f>
        <v>206686.34759559616</v>
      </c>
      <c r="G50" s="403">
        <f t="shared" ref="G50:G54" si="21">C50-F50</f>
        <v>396148.83289155929</v>
      </c>
    </row>
    <row r="51" spans="1:7" x14ac:dyDescent="0.25">
      <c r="A51" s="399" t="s">
        <v>267</v>
      </c>
      <c r="B51" s="404" t="s">
        <v>39</v>
      </c>
      <c r="C51" s="401">
        <f>Orçam!O148</f>
        <v>768443.62137670582</v>
      </c>
      <c r="D51" s="402">
        <v>35</v>
      </c>
      <c r="E51" s="403">
        <f t="shared" si="19"/>
        <v>0</v>
      </c>
      <c r="F51" s="403">
        <f t="shared" si="20"/>
        <v>263466.38447201345</v>
      </c>
      <c r="G51" s="403">
        <f t="shared" si="21"/>
        <v>504977.23690469237</v>
      </c>
    </row>
    <row r="52" spans="1:7" x14ac:dyDescent="0.25">
      <c r="A52" s="399" t="s">
        <v>268</v>
      </c>
      <c r="B52" s="404" t="s">
        <v>40</v>
      </c>
      <c r="C52" s="401">
        <f>Orçam!O149</f>
        <v>753759.98529944406</v>
      </c>
      <c r="D52" s="402">
        <v>35</v>
      </c>
      <c r="E52" s="403">
        <f t="shared" si="19"/>
        <v>0</v>
      </c>
      <c r="F52" s="403">
        <f t="shared" si="20"/>
        <v>258431.99495980941</v>
      </c>
      <c r="G52" s="403">
        <f t="shared" si="21"/>
        <v>495327.99033963465</v>
      </c>
    </row>
    <row r="53" spans="1:7" x14ac:dyDescent="0.25">
      <c r="A53" s="399" t="s">
        <v>269</v>
      </c>
      <c r="B53" s="404" t="s">
        <v>53</v>
      </c>
      <c r="C53" s="401">
        <f>Orçam!O150</f>
        <v>1030791.2526237851</v>
      </c>
      <c r="D53" s="402">
        <v>35</v>
      </c>
      <c r="E53" s="403">
        <f t="shared" si="19"/>
        <v>0</v>
      </c>
      <c r="F53" s="403">
        <f t="shared" si="20"/>
        <v>353414.14375672629</v>
      </c>
      <c r="G53" s="403">
        <f t="shared" si="21"/>
        <v>677377.10886705876</v>
      </c>
    </row>
    <row r="54" spans="1:7" x14ac:dyDescent="0.25">
      <c r="A54" s="399" t="s">
        <v>270</v>
      </c>
      <c r="B54" s="404" t="s">
        <v>34</v>
      </c>
      <c r="C54" s="401">
        <f>Orçam!O151</f>
        <v>1629184.3838104866</v>
      </c>
      <c r="D54" s="402">
        <v>35</v>
      </c>
      <c r="E54" s="403">
        <f t="shared" si="19"/>
        <v>0</v>
      </c>
      <c r="F54" s="403">
        <f t="shared" si="20"/>
        <v>558577.50302073825</v>
      </c>
      <c r="G54" s="403">
        <f t="shared" si="21"/>
        <v>1070606.8807897484</v>
      </c>
    </row>
    <row r="55" spans="1:7" x14ac:dyDescent="0.25">
      <c r="A55" s="395">
        <v>22</v>
      </c>
      <c r="B55" s="396" t="s">
        <v>27</v>
      </c>
      <c r="C55" s="398">
        <f>Orçam!O163</f>
        <v>8303093.697949348</v>
      </c>
      <c r="D55" s="397"/>
      <c r="E55" s="398">
        <f>E56</f>
        <v>0</v>
      </c>
      <c r="F55" s="398">
        <f>F56</f>
        <v>2846774.982154062</v>
      </c>
      <c r="G55" s="398">
        <f>G56</f>
        <v>5456318.715795286</v>
      </c>
    </row>
    <row r="56" spans="1:7" x14ac:dyDescent="0.25">
      <c r="A56" s="399" t="s">
        <v>271</v>
      </c>
      <c r="B56" s="404" t="s">
        <v>153</v>
      </c>
      <c r="C56" s="401">
        <f>Orçam!O165</f>
        <v>8303093.697949348</v>
      </c>
      <c r="D56" s="402">
        <v>35</v>
      </c>
      <c r="E56" s="403">
        <f>C56*$J$4</f>
        <v>0</v>
      </c>
      <c r="F56" s="403">
        <f>(C56-E56)/D56*$J$6</f>
        <v>2846774.982154062</v>
      </c>
      <c r="G56" s="403">
        <f>C56-F56</f>
        <v>5456318.715795286</v>
      </c>
    </row>
    <row r="57" spans="1:7" x14ac:dyDescent="0.25">
      <c r="A57" s="395">
        <v>23</v>
      </c>
      <c r="B57" s="396" t="s">
        <v>16</v>
      </c>
      <c r="C57" s="398">
        <f>Orçam!O169</f>
        <v>4556893.5429788269</v>
      </c>
      <c r="D57" s="397"/>
      <c r="E57" s="398">
        <f>E58</f>
        <v>0</v>
      </c>
      <c r="F57" s="398">
        <f>F58</f>
        <v>1562363.5004498835</v>
      </c>
      <c r="G57" s="398">
        <f>G58</f>
        <v>2994530.0425289432</v>
      </c>
    </row>
    <row r="58" spans="1:7" x14ac:dyDescent="0.25">
      <c r="A58" s="405" t="s">
        <v>272</v>
      </c>
      <c r="B58" s="406" t="s">
        <v>154</v>
      </c>
      <c r="C58" s="408">
        <f>Orçam!O171</f>
        <v>4556893.5429788269</v>
      </c>
      <c r="D58" s="407">
        <v>35</v>
      </c>
      <c r="E58" s="408">
        <f>C58*$J$4</f>
        <v>0</v>
      </c>
      <c r="F58" s="409">
        <f>(C58-E58)/D58*$J$6</f>
        <v>1562363.5004498835</v>
      </c>
      <c r="G58" s="409">
        <f>C58-F58</f>
        <v>2994530.0425289432</v>
      </c>
    </row>
    <row r="59" spans="1:7" ht="14.25" customHeight="1" x14ac:dyDescent="0.25">
      <c r="B59" s="57"/>
      <c r="C59" s="136"/>
      <c r="D59"/>
      <c r="E59"/>
      <c r="F59"/>
      <c r="G59"/>
    </row>
    <row r="60" spans="1:7" x14ac:dyDescent="0.25">
      <c r="A60" s="394" t="s">
        <v>273</v>
      </c>
      <c r="B60" s="394"/>
      <c r="C60" s="281">
        <f>C5+C7+C9+C11+C13+C15+C20+C25+C29+C33+C36+C43+C45+C47+C49+C55+C57</f>
        <v>232764478.192783</v>
      </c>
      <c r="D60" s="281"/>
      <c r="E60" s="281">
        <f>E5+E7+E9+E11+E13+E15+E20+E25+E29+E33+E36+E43+E45+E47+E49+E55+E57</f>
        <v>0</v>
      </c>
      <c r="F60" s="281">
        <f>F5+F7+F9+F11+F13+F15+F20+F25+F29+F33+F36+F43+F45+F47+F49+F55+F57</f>
        <v>84479740.95618923</v>
      </c>
      <c r="G60" s="281">
        <f>G5+G7+G9+G11+G13+G15+G20+G25+G29+G33+G36+G43+G45+G47+G49+G55+G57</f>
        <v>148284737.23659375</v>
      </c>
    </row>
    <row r="61" spans="1:7" x14ac:dyDescent="0.25">
      <c r="C61"/>
      <c r="D61"/>
      <c r="E61"/>
      <c r="F61"/>
      <c r="G61" s="340"/>
    </row>
    <row r="62" spans="1:7" x14ac:dyDescent="0.25">
      <c r="A62"/>
      <c r="C62" s="4"/>
      <c r="D62" s="4"/>
      <c r="E62" s="4"/>
      <c r="F62" s="4"/>
      <c r="G62" s="4"/>
    </row>
    <row r="63" spans="1:7" x14ac:dyDescent="0.25">
      <c r="A63"/>
      <c r="C63"/>
      <c r="D63"/>
      <c r="E63"/>
      <c r="F63"/>
      <c r="G63"/>
    </row>
    <row r="64" spans="1:7" x14ac:dyDescent="0.25">
      <c r="A64"/>
      <c r="C64"/>
      <c r="D64"/>
      <c r="E64"/>
      <c r="F64"/>
      <c r="G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41" customFormat="1" x14ac:dyDescent="0.25"/>
  </sheetData>
  <mergeCells count="1">
    <mergeCell ref="A60:B60"/>
  </mergeCells>
  <phoneticPr fontId="28" type="noConversion"/>
  <printOptions horizontalCentered="1"/>
  <pageMargins left="0.70866141732283472" right="0.51181102362204722" top="0.78740157480314965" bottom="0.78740157480314965" header="0.31496062992125984" footer="0.31496062992125984"/>
  <pageSetup paperSize="9" scale="72" fitToHeight="3" orientation="portrait" horizontalDpi="300" verticalDpi="300" r:id="rId1"/>
  <ignoredErrors>
    <ignoredError sqref="E6:G5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Q339"/>
  <sheetViews>
    <sheetView zoomScale="85" zoomScaleNormal="85" workbookViewId="0">
      <selection sqref="A1:A1048576"/>
    </sheetView>
  </sheetViews>
  <sheetFormatPr defaultRowHeight="15" x14ac:dyDescent="0.25"/>
  <cols>
    <col min="1" max="1" width="7.140625" style="137" customWidth="1"/>
    <col min="2" max="2" width="42.140625" customWidth="1"/>
    <col min="3" max="3" width="6.85546875" style="1" customWidth="1"/>
    <col min="4" max="4" width="14.28515625" style="1" customWidth="1"/>
    <col min="5" max="5" width="31.7109375" style="1" bestFit="1" customWidth="1"/>
    <col min="6" max="6" width="28.42578125" customWidth="1"/>
    <col min="7" max="7" width="8.28515625" style="287" customWidth="1"/>
    <col min="8" max="8" width="14.5703125" style="109" customWidth="1"/>
    <col min="9" max="9" width="8.7109375" style="34" customWidth="1"/>
    <col min="10" max="10" width="15.28515625" style="34" customWidth="1"/>
    <col min="11" max="11" width="15.85546875" style="50" customWidth="1"/>
    <col min="12" max="12" width="29.28515625" bestFit="1" customWidth="1"/>
    <col min="13" max="16" width="19.7109375" customWidth="1"/>
    <col min="17" max="17" width="4.42578125" customWidth="1"/>
    <col min="18" max="18" width="14.42578125" customWidth="1"/>
    <col min="19" max="19" width="14.28515625" customWidth="1"/>
    <col min="20" max="20" width="18.5703125" bestFit="1" customWidth="1"/>
    <col min="21" max="21" width="15.140625" bestFit="1" customWidth="1"/>
    <col min="22" max="22" width="16" customWidth="1"/>
    <col min="23" max="23" width="18.5703125" bestFit="1" customWidth="1"/>
    <col min="24" max="24" width="12.85546875" bestFit="1" customWidth="1"/>
    <col min="25" max="25" width="13.28515625" customWidth="1"/>
    <col min="26" max="26" width="12.7109375" customWidth="1"/>
    <col min="27" max="27" width="12.85546875" bestFit="1" customWidth="1"/>
    <col min="28" max="28" width="15.140625" bestFit="1" customWidth="1"/>
    <col min="29" max="29" width="10.28515625" bestFit="1" customWidth="1"/>
    <col min="30" max="30" width="15" customWidth="1"/>
    <col min="32" max="32" width="9.140625" customWidth="1"/>
    <col min="33" max="33" width="14.28515625" customWidth="1"/>
    <col min="34" max="34" width="12.7109375" bestFit="1" customWidth="1"/>
    <col min="37" max="37" width="15.140625" customWidth="1"/>
  </cols>
  <sheetData>
    <row r="1" spans="1:30" x14ac:dyDescent="0.25">
      <c r="G1" s="1"/>
      <c r="H1"/>
      <c r="I1"/>
      <c r="J1"/>
      <c r="K1"/>
      <c r="O1" s="373" t="s">
        <v>282</v>
      </c>
      <c r="P1" s="373"/>
      <c r="Q1" s="453"/>
    </row>
    <row r="2" spans="1:30" ht="15.75" thickBot="1" x14ac:dyDescent="0.3">
      <c r="G2" s="1"/>
      <c r="H2" s="108"/>
      <c r="O2" s="374"/>
      <c r="P2" s="374"/>
      <c r="Q2" s="453"/>
    </row>
    <row r="3" spans="1:30" ht="16.5" customHeight="1" x14ac:dyDescent="0.25">
      <c r="A3" s="380" t="s">
        <v>280</v>
      </c>
      <c r="B3" s="380" t="s">
        <v>173</v>
      </c>
      <c r="C3" s="380" t="s">
        <v>47</v>
      </c>
      <c r="D3" s="390" t="s">
        <v>211</v>
      </c>
      <c r="E3" s="391"/>
      <c r="F3" s="382" t="s">
        <v>172</v>
      </c>
      <c r="G3" s="382" t="s">
        <v>86</v>
      </c>
      <c r="H3" s="384" t="s">
        <v>121</v>
      </c>
      <c r="I3" s="385"/>
      <c r="J3" s="378" t="s">
        <v>213</v>
      </c>
      <c r="K3" s="410" t="s">
        <v>214</v>
      </c>
      <c r="L3" s="413"/>
      <c r="M3" s="386" t="s">
        <v>191</v>
      </c>
      <c r="N3" s="387"/>
      <c r="O3" s="388" t="s">
        <v>191</v>
      </c>
      <c r="P3" s="389"/>
      <c r="Q3" s="454"/>
      <c r="R3" s="14" t="s">
        <v>3</v>
      </c>
      <c r="S3" s="14" t="s">
        <v>4</v>
      </c>
      <c r="T3" s="15" t="s">
        <v>5</v>
      </c>
      <c r="U3" s="14" t="s">
        <v>6</v>
      </c>
      <c r="V3" s="15" t="s">
        <v>7</v>
      </c>
      <c r="W3" s="15" t="s">
        <v>8</v>
      </c>
      <c r="X3" s="14" t="s">
        <v>9</v>
      </c>
      <c r="Y3" s="14" t="s">
        <v>10</v>
      </c>
      <c r="Z3" s="15" t="s">
        <v>11</v>
      </c>
      <c r="AA3" s="14" t="s">
        <v>12</v>
      </c>
      <c r="AB3" s="14" t="s">
        <v>13</v>
      </c>
      <c r="AC3" s="16" t="s">
        <v>14</v>
      </c>
    </row>
    <row r="4" spans="1:30" ht="23.25" customHeight="1" thickBot="1" x14ac:dyDescent="0.3">
      <c r="A4" s="381"/>
      <c r="B4" s="381"/>
      <c r="C4" s="381"/>
      <c r="D4" s="392"/>
      <c r="E4" s="393"/>
      <c r="F4" s="383"/>
      <c r="G4" s="383"/>
      <c r="H4" s="107" t="s">
        <v>107</v>
      </c>
      <c r="I4" s="107" t="s">
        <v>108</v>
      </c>
      <c r="J4" s="379"/>
      <c r="K4" s="411"/>
      <c r="L4" s="246"/>
      <c r="M4" s="208" t="s">
        <v>192</v>
      </c>
      <c r="N4" s="205" t="s">
        <v>193</v>
      </c>
      <c r="O4" s="298" t="s">
        <v>283</v>
      </c>
      <c r="P4" s="299" t="s">
        <v>193</v>
      </c>
      <c r="Q4" s="454"/>
    </row>
    <row r="5" spans="1:30" x14ac:dyDescent="0.25">
      <c r="B5" s="2" t="s">
        <v>15</v>
      </c>
      <c r="C5" s="73" t="s">
        <v>0</v>
      </c>
      <c r="D5" s="129">
        <f>SUM(R5:AC5)</f>
        <v>11073.67</v>
      </c>
      <c r="E5" s="73"/>
      <c r="F5" s="42"/>
      <c r="G5" s="284"/>
      <c r="H5" s="111"/>
      <c r="I5" s="42"/>
      <c r="J5" s="42"/>
      <c r="K5" s="250"/>
      <c r="L5" s="42"/>
      <c r="M5" s="209"/>
      <c r="N5" s="209"/>
      <c r="O5" s="75"/>
      <c r="P5" s="209"/>
      <c r="Q5" s="211"/>
      <c r="R5" s="42">
        <v>956.2</v>
      </c>
      <c r="S5" s="42">
        <v>875</v>
      </c>
      <c r="T5" s="42">
        <v>1012.18</v>
      </c>
      <c r="U5" s="42">
        <v>665</v>
      </c>
      <c r="V5" s="42">
        <v>576.55999999999995</v>
      </c>
      <c r="W5" s="42">
        <v>1006.43</v>
      </c>
      <c r="X5" s="42">
        <v>1155.2</v>
      </c>
      <c r="Y5" s="42">
        <v>761.4</v>
      </c>
      <c r="Z5" s="76">
        <v>676.1</v>
      </c>
      <c r="AA5" s="42">
        <v>1195.5999999999999</v>
      </c>
      <c r="AB5" s="42">
        <v>881</v>
      </c>
      <c r="AC5" s="75">
        <v>1313</v>
      </c>
    </row>
    <row r="6" spans="1:30" x14ac:dyDescent="0.25">
      <c r="B6" s="6" t="s">
        <v>90</v>
      </c>
      <c r="C6" s="7" t="s">
        <v>0</v>
      </c>
      <c r="D6" s="130">
        <f>SUM(R6:AC6)</f>
        <v>10238.18</v>
      </c>
      <c r="E6" s="7"/>
      <c r="F6" s="43"/>
      <c r="G6" s="285"/>
      <c r="H6" s="112"/>
      <c r="I6" s="43"/>
      <c r="J6" s="43"/>
      <c r="K6" s="249"/>
      <c r="L6" s="43"/>
      <c r="M6" s="210"/>
      <c r="N6" s="210"/>
      <c r="O6" s="72"/>
      <c r="P6" s="210"/>
      <c r="Q6" s="211"/>
      <c r="R6" s="43">
        <v>908.39</v>
      </c>
      <c r="S6" s="43">
        <v>831.25</v>
      </c>
      <c r="T6" s="43">
        <v>919.2</v>
      </c>
      <c r="U6" s="43">
        <v>631.75</v>
      </c>
      <c r="V6" s="43">
        <v>508.47</v>
      </c>
      <c r="W6" s="43">
        <v>878.78</v>
      </c>
      <c r="X6" s="43">
        <v>1097.44</v>
      </c>
      <c r="Y6" s="43">
        <v>723.33</v>
      </c>
      <c r="Z6" s="77">
        <v>519.45000000000005</v>
      </c>
      <c r="AA6" s="43">
        <v>1135.82</v>
      </c>
      <c r="AB6" s="43">
        <v>836.95</v>
      </c>
      <c r="AC6" s="72">
        <v>1247.3499999999999</v>
      </c>
      <c r="AD6" s="19"/>
    </row>
    <row r="7" spans="1:30" x14ac:dyDescent="0.25">
      <c r="B7" s="2" t="s">
        <v>277</v>
      </c>
      <c r="C7" s="1" t="s">
        <v>0</v>
      </c>
      <c r="D7" s="131">
        <f>SUM(R7:AC7)</f>
        <v>3795</v>
      </c>
      <c r="F7" s="45"/>
      <c r="G7" s="286"/>
      <c r="H7" s="113"/>
      <c r="I7" s="45"/>
      <c r="J7" s="45"/>
      <c r="K7" s="250"/>
      <c r="L7" s="45"/>
      <c r="M7" s="211"/>
      <c r="N7" s="211"/>
      <c r="O7" s="78"/>
      <c r="P7" s="211"/>
      <c r="Q7" s="211"/>
      <c r="R7" s="45">
        <v>385</v>
      </c>
      <c r="S7" s="45">
        <v>110</v>
      </c>
      <c r="T7" s="45">
        <v>715</v>
      </c>
      <c r="U7" s="45">
        <v>330</v>
      </c>
      <c r="V7" s="45">
        <v>275</v>
      </c>
      <c r="W7" s="45">
        <v>0</v>
      </c>
      <c r="X7" s="45">
        <v>605</v>
      </c>
      <c r="Y7" s="45">
        <v>55</v>
      </c>
      <c r="Z7" s="46">
        <v>0</v>
      </c>
      <c r="AA7" s="45">
        <v>385</v>
      </c>
      <c r="AB7" s="45">
        <v>605</v>
      </c>
      <c r="AC7" s="78">
        <v>330</v>
      </c>
    </row>
    <row r="8" spans="1:30" x14ac:dyDescent="0.25">
      <c r="B8" s="6" t="s">
        <v>278</v>
      </c>
      <c r="C8" s="7" t="s">
        <v>0</v>
      </c>
      <c r="D8" s="130">
        <f>SUM(R8:AC8)</f>
        <v>6443.18</v>
      </c>
      <c r="E8" s="7"/>
      <c r="F8" s="43"/>
      <c r="G8" s="285"/>
      <c r="H8" s="112"/>
      <c r="I8" s="43"/>
      <c r="J8" s="43"/>
      <c r="K8" s="249"/>
      <c r="L8" s="43"/>
      <c r="M8" s="210"/>
      <c r="N8" s="210"/>
      <c r="O8" s="72"/>
      <c r="P8" s="210"/>
      <c r="Q8" s="211"/>
      <c r="R8" s="43">
        <f>R6-R7</f>
        <v>523.39</v>
      </c>
      <c r="S8" s="43">
        <f t="shared" ref="S8:AC8" si="0">S6-S7</f>
        <v>721.25</v>
      </c>
      <c r="T8" s="43">
        <f t="shared" si="0"/>
        <v>204.20000000000005</v>
      </c>
      <c r="U8" s="43">
        <f t="shared" si="0"/>
        <v>301.75</v>
      </c>
      <c r="V8" s="43">
        <f t="shared" si="0"/>
        <v>233.47000000000003</v>
      </c>
      <c r="W8" s="43">
        <f t="shared" si="0"/>
        <v>878.78</v>
      </c>
      <c r="X8" s="43">
        <f t="shared" si="0"/>
        <v>492.44000000000005</v>
      </c>
      <c r="Y8" s="43">
        <f t="shared" si="0"/>
        <v>668.33</v>
      </c>
      <c r="Z8" s="43">
        <f t="shared" si="0"/>
        <v>519.45000000000005</v>
      </c>
      <c r="AA8" s="43">
        <f t="shared" si="0"/>
        <v>750.81999999999994</v>
      </c>
      <c r="AB8" s="43">
        <f t="shared" si="0"/>
        <v>231.95000000000005</v>
      </c>
      <c r="AC8" s="43">
        <f t="shared" si="0"/>
        <v>917.34999999999991</v>
      </c>
    </row>
    <row r="9" spans="1:30" x14ac:dyDescent="0.25">
      <c r="G9" s="1"/>
      <c r="H9" s="108"/>
      <c r="J9" s="45"/>
      <c r="K9" s="250"/>
      <c r="M9" s="212"/>
      <c r="N9" s="212"/>
      <c r="O9" s="18"/>
      <c r="P9" s="212"/>
    </row>
    <row r="10" spans="1:30" s="132" customFormat="1" ht="15" customHeight="1" x14ac:dyDescent="0.25">
      <c r="A10" s="137">
        <v>1</v>
      </c>
      <c r="B10" s="85" t="s">
        <v>105</v>
      </c>
      <c r="C10" s="1"/>
      <c r="D10" s="38" t="s">
        <v>127</v>
      </c>
      <c r="E10" s="100"/>
      <c r="F10"/>
      <c r="G10" s="287"/>
      <c r="H10" s="156"/>
      <c r="I10" s="37"/>
      <c r="J10" s="157">
        <f>J11+J13</f>
        <v>19984175.57260735</v>
      </c>
      <c r="K10" s="251"/>
      <c r="L10" s="200"/>
      <c r="M10" s="227">
        <f>M11</f>
        <v>17574039.626260467</v>
      </c>
      <c r="N10" s="227">
        <f t="shared" ref="N10:P10" si="1">N11+N13</f>
        <v>0</v>
      </c>
      <c r="O10" s="417">
        <f t="shared" si="1"/>
        <v>11724376.94826493</v>
      </c>
      <c r="P10" s="227">
        <f t="shared" si="1"/>
        <v>0</v>
      </c>
      <c r="Q10" s="157"/>
    </row>
    <row r="11" spans="1:30" ht="15" customHeight="1" x14ac:dyDescent="0.25">
      <c r="B11" s="85" t="s">
        <v>129</v>
      </c>
      <c r="C11" s="1" t="s">
        <v>133</v>
      </c>
      <c r="D11" s="121">
        <f>359086/4.02/131</f>
        <v>681.86927955641647</v>
      </c>
      <c r="E11" s="122" t="s">
        <v>128</v>
      </c>
      <c r="F11" s="38"/>
      <c r="G11" s="118"/>
      <c r="H11" s="118"/>
      <c r="I11" s="119"/>
      <c r="J11" s="120">
        <f>SUM(J12)</f>
        <v>17574039.626260467</v>
      </c>
      <c r="K11" s="252"/>
      <c r="L11" s="201"/>
      <c r="M11" s="214">
        <f>J11</f>
        <v>17574039.626260467</v>
      </c>
      <c r="N11" s="214"/>
      <c r="O11" s="418">
        <f>M11*0.53</f>
        <v>9314241.0019180477</v>
      </c>
      <c r="P11" s="214">
        <f>N11</f>
        <v>0</v>
      </c>
      <c r="Q11" s="200"/>
      <c r="R11" s="306" t="s">
        <v>284</v>
      </c>
      <c r="S11" s="307"/>
      <c r="T11" s="308"/>
    </row>
    <row r="12" spans="1:30" ht="15" customHeight="1" x14ac:dyDescent="0.25">
      <c r="B12" t="s">
        <v>21</v>
      </c>
      <c r="C12" s="1" t="s">
        <v>133</v>
      </c>
      <c r="F12" t="s">
        <v>195</v>
      </c>
      <c r="G12" s="118">
        <v>2013</v>
      </c>
      <c r="H12" s="123" t="s">
        <v>109</v>
      </c>
      <c r="I12" s="49">
        <v>2.0599709530508776</v>
      </c>
      <c r="J12" s="36">
        <f>(D11*9.5*1317)*I12</f>
        <v>17574039.626260467</v>
      </c>
      <c r="K12" s="252"/>
      <c r="L12" s="201"/>
      <c r="M12" s="214"/>
      <c r="N12" s="214"/>
      <c r="O12" s="418"/>
      <c r="P12" s="214"/>
      <c r="Q12" s="201"/>
      <c r="R12" s="309" t="s">
        <v>285</v>
      </c>
      <c r="S12" s="310"/>
      <c r="T12" s="311"/>
    </row>
    <row r="13" spans="1:30" ht="15" customHeight="1" x14ac:dyDescent="0.25">
      <c r="B13" s="85" t="s">
        <v>134</v>
      </c>
      <c r="C13" s="1" t="s">
        <v>133</v>
      </c>
      <c r="F13" s="38"/>
      <c r="G13" s="118"/>
      <c r="H13" s="118"/>
      <c r="I13" s="119"/>
      <c r="J13" s="120">
        <f>SUM(J14)</f>
        <v>2410135.9463468827</v>
      </c>
      <c r="K13" s="252"/>
      <c r="L13" s="201"/>
      <c r="M13" s="227">
        <f>M14</f>
        <v>2410135.9463468827</v>
      </c>
      <c r="N13" s="214"/>
      <c r="O13" s="419">
        <f>M13</f>
        <v>2410135.9463468827</v>
      </c>
      <c r="P13" s="214">
        <f>N13</f>
        <v>0</v>
      </c>
      <c r="Q13" s="200"/>
      <c r="R13" s="32" t="s">
        <v>286</v>
      </c>
      <c r="S13" s="312"/>
      <c r="T13" s="313"/>
    </row>
    <row r="14" spans="1:30" ht="15" customHeight="1" x14ac:dyDescent="0.25">
      <c r="B14" t="s">
        <v>21</v>
      </c>
      <c r="C14" s="1" t="s">
        <v>133</v>
      </c>
      <c r="F14" t="s">
        <v>195</v>
      </c>
      <c r="G14" s="118">
        <v>2013</v>
      </c>
      <c r="H14" s="123" t="s">
        <v>109</v>
      </c>
      <c r="I14" s="49">
        <v>2.0599709530508776</v>
      </c>
      <c r="J14" s="36">
        <f>(D11*8.37*205)*I14</f>
        <v>2410135.9463468827</v>
      </c>
      <c r="K14" s="252"/>
      <c r="L14" s="201"/>
      <c r="M14" s="214">
        <f>J14</f>
        <v>2410135.9463468827</v>
      </c>
      <c r="N14" s="214"/>
      <c r="O14" s="418">
        <f>M14</f>
        <v>2410135.9463468827</v>
      </c>
      <c r="P14" s="214"/>
      <c r="Q14" s="201"/>
      <c r="R14" s="314" t="s">
        <v>289</v>
      </c>
      <c r="S14" s="314"/>
      <c r="T14" s="314"/>
      <c r="U14" s="314"/>
      <c r="V14" s="314"/>
      <c r="W14" s="314"/>
    </row>
    <row r="15" spans="1:30" x14ac:dyDescent="0.25">
      <c r="B15" s="80" t="s">
        <v>136</v>
      </c>
      <c r="C15" s="158" t="s">
        <v>133</v>
      </c>
      <c r="D15" s="124"/>
      <c r="E15" s="125"/>
      <c r="F15" s="126"/>
      <c r="G15" s="288"/>
      <c r="H15" s="127"/>
      <c r="I15" s="126"/>
      <c r="J15" s="67">
        <v>0</v>
      </c>
      <c r="K15" s="273"/>
      <c r="L15" s="6"/>
      <c r="M15" s="218"/>
      <c r="N15" s="218"/>
      <c r="O15" s="168"/>
      <c r="P15" s="218"/>
      <c r="R15" s="303" t="s">
        <v>288</v>
      </c>
      <c r="S15" s="315"/>
      <c r="T15" s="303"/>
      <c r="U15" s="303"/>
    </row>
    <row r="16" spans="1:30" x14ac:dyDescent="0.25">
      <c r="G16" s="1"/>
      <c r="H16" s="108"/>
      <c r="K16" s="253"/>
      <c r="M16" s="212"/>
      <c r="N16" s="212"/>
      <c r="O16" s="18"/>
      <c r="P16" s="212"/>
      <c r="X16" s="4">
        <f>'[1]EQUIP EBP SUL-EBS-EB9'!$H$98</f>
        <v>3010139.5599999996</v>
      </c>
      <c r="AA16" s="4">
        <f>AA19+AA35+AA43</f>
        <v>39178415.713409275</v>
      </c>
    </row>
    <row r="17" spans="1:30" s="132" customFormat="1" ht="15" customHeight="1" x14ac:dyDescent="0.25">
      <c r="A17" s="137">
        <v>2</v>
      </c>
      <c r="B17" s="85" t="s">
        <v>81</v>
      </c>
      <c r="C17" s="1"/>
      <c r="D17" s="233"/>
      <c r="E17" s="234" t="s">
        <v>197</v>
      </c>
      <c r="F17" s="233" t="s">
        <v>196</v>
      </c>
      <c r="G17" s="287"/>
      <c r="H17" s="171"/>
      <c r="I17" s="58"/>
      <c r="J17" s="157">
        <f>SUM(J18:J23)</f>
        <v>62223466.920393847</v>
      </c>
      <c r="K17" s="251"/>
      <c r="L17" s="200"/>
      <c r="M17" s="227">
        <f t="shared" ref="M17:P17" si="2">SUM(M18:M23)</f>
        <v>39290423.012017101</v>
      </c>
      <c r="N17" s="227">
        <f t="shared" si="2"/>
        <v>22933043.908376731</v>
      </c>
      <c r="O17" s="417">
        <f t="shared" si="2"/>
        <v>20823924.196369067</v>
      </c>
      <c r="P17" s="227">
        <f t="shared" si="2"/>
        <v>22933043.908376731</v>
      </c>
      <c r="Q17" s="157"/>
      <c r="U17" s="132" t="s">
        <v>180</v>
      </c>
      <c r="AD17" s="257">
        <f>W19+W35+W43</f>
        <v>12651353.720000001</v>
      </c>
    </row>
    <row r="18" spans="1:30" ht="15" customHeight="1" x14ac:dyDescent="0.25">
      <c r="B18" t="s">
        <v>21</v>
      </c>
      <c r="C18" s="1" t="s">
        <v>133</v>
      </c>
      <c r="E18" s="55">
        <f>(J26/0.75)/8.37</f>
        <v>1024626.5440664359</v>
      </c>
      <c r="F18" t="s">
        <v>155</v>
      </c>
      <c r="G18" s="287">
        <v>2023</v>
      </c>
      <c r="H18" s="114"/>
      <c r="I18" s="101"/>
      <c r="J18" s="36">
        <f>(E18*9.05)</f>
        <v>9272870.2238012459</v>
      </c>
      <c r="K18" s="254">
        <f>[1]RESUMO!$G$25</f>
        <v>60561.975124428012</v>
      </c>
      <c r="L18" s="200"/>
      <c r="M18" s="213">
        <f>J18-K18</f>
        <v>9212308.2486768179</v>
      </c>
      <c r="N18" s="213">
        <f>K18</f>
        <v>60561.975124428012</v>
      </c>
      <c r="O18" s="420">
        <f>M18*0.53</f>
        <v>4882523.3717987137</v>
      </c>
      <c r="P18" s="213">
        <f>N18</f>
        <v>60561.975124428012</v>
      </c>
      <c r="Q18" s="200"/>
      <c r="U18">
        <v>1.1528</v>
      </c>
      <c r="W18" s="1" t="s">
        <v>218</v>
      </c>
      <c r="X18" t="s">
        <v>220</v>
      </c>
      <c r="Y18" t="s">
        <v>221</v>
      </c>
      <c r="Z18" s="1" t="s">
        <v>217</v>
      </c>
      <c r="AA18" t="s">
        <v>219</v>
      </c>
    </row>
    <row r="19" spans="1:30" ht="15.75" x14ac:dyDescent="0.25">
      <c r="B19" t="s">
        <v>23</v>
      </c>
      <c r="C19" s="1" t="s">
        <v>133</v>
      </c>
      <c r="D19" s="233"/>
      <c r="E19" s="41">
        <f>J27/8.37</f>
        <v>4834116.7428206066</v>
      </c>
      <c r="F19" t="s">
        <v>155</v>
      </c>
      <c r="G19" s="287">
        <v>2013</v>
      </c>
      <c r="J19" s="178">
        <f>E19*9.05</f>
        <v>43748756.522526495</v>
      </c>
      <c r="K19" s="254">
        <f>AA19</f>
        <v>21516460.064442202</v>
      </c>
      <c r="L19" s="200"/>
      <c r="M19" s="213">
        <f t="shared" ref="M19:M23" si="3">J19-K19</f>
        <v>22232296.458084293</v>
      </c>
      <c r="N19" s="213">
        <f t="shared" ref="N19:N23" si="4">K19</f>
        <v>21516460.064442202</v>
      </c>
      <c r="O19" s="420">
        <f t="shared" ref="O19:O22" si="5">M19*0.53</f>
        <v>11783117.122784676</v>
      </c>
      <c r="P19" s="213">
        <f t="shared" ref="P19:P22" si="6">N19</f>
        <v>21516460.064442202</v>
      </c>
      <c r="Q19" s="200"/>
      <c r="R19" s="455" t="s">
        <v>175</v>
      </c>
      <c r="S19" s="166">
        <v>8601161.8533445336</v>
      </c>
      <c r="T19" s="167">
        <f>S19*X21</f>
        <v>18664521.221757635</v>
      </c>
      <c r="U19" s="175">
        <f>T19*$U$18</f>
        <v>21516460.064442202</v>
      </c>
      <c r="W19" s="4">
        <f>'[1]EQUIP EBP SUL-EBS-EB9'!$H$101</f>
        <v>6599459.0800000001</v>
      </c>
      <c r="X19" s="4">
        <f>Y19-W19</f>
        <v>2001702.7733445335</v>
      </c>
      <c r="Y19" s="4">
        <f>S19</f>
        <v>8601161.8533445336</v>
      </c>
      <c r="Z19" s="4">
        <f>Y19*X21</f>
        <v>18664521.221757635</v>
      </c>
      <c r="AA19" s="4">
        <f>Z19*U18</f>
        <v>21516460.064442202</v>
      </c>
      <c r="AD19">
        <f>W19/AD17</f>
        <v>0.52164054741171206</v>
      </c>
    </row>
    <row r="20" spans="1:30" ht="15.75" x14ac:dyDescent="0.25">
      <c r="B20" t="s">
        <v>22</v>
      </c>
      <c r="C20" s="1" t="s">
        <v>133</v>
      </c>
      <c r="D20" s="233"/>
      <c r="E20" s="41">
        <f>J28/8.37</f>
        <v>115926.86188999999</v>
      </c>
      <c r="F20" t="s">
        <v>155</v>
      </c>
      <c r="G20" s="287">
        <v>2023</v>
      </c>
      <c r="H20" s="114"/>
      <c r="I20" s="51"/>
      <c r="J20" s="178">
        <f>E20*9.05</f>
        <v>1049138.1001044998</v>
      </c>
      <c r="K20" s="254">
        <f>[1]RESUMO!$G$35</f>
        <v>310527.97243776004</v>
      </c>
      <c r="L20" s="200"/>
      <c r="M20" s="213">
        <f t="shared" si="3"/>
        <v>738610.12766673975</v>
      </c>
      <c r="N20" s="213">
        <f t="shared" si="4"/>
        <v>310527.97243776004</v>
      </c>
      <c r="O20" s="420">
        <f t="shared" si="5"/>
        <v>391463.36766337208</v>
      </c>
      <c r="P20" s="213">
        <f t="shared" si="6"/>
        <v>310527.97243776004</v>
      </c>
      <c r="Q20" s="200"/>
      <c r="R20" s="74"/>
      <c r="S20" s="6"/>
      <c r="T20" s="168"/>
    </row>
    <row r="21" spans="1:30" ht="15.75" x14ac:dyDescent="0.25">
      <c r="B21" t="s">
        <v>24</v>
      </c>
      <c r="C21" s="1" t="s">
        <v>133</v>
      </c>
      <c r="D21" s="233"/>
      <c r="E21" s="41">
        <f>J29/8.37</f>
        <v>577823.62584406207</v>
      </c>
      <c r="F21" t="s">
        <v>155</v>
      </c>
      <c r="G21" s="287">
        <v>2023</v>
      </c>
      <c r="H21" s="114"/>
      <c r="I21" s="51"/>
      <c r="J21" s="179">
        <f>E21*9.05</f>
        <v>5229303.8138887621</v>
      </c>
      <c r="K21" s="254">
        <f>[1]RESUMO!$G$61</f>
        <v>591474.31817672029</v>
      </c>
      <c r="L21" s="202"/>
      <c r="M21" s="213">
        <f t="shared" si="3"/>
        <v>4637829.4957120419</v>
      </c>
      <c r="N21" s="213">
        <f t="shared" si="4"/>
        <v>591474.31817672029</v>
      </c>
      <c r="O21" s="420">
        <f t="shared" si="5"/>
        <v>2458049.6327273822</v>
      </c>
      <c r="P21" s="213">
        <f t="shared" si="6"/>
        <v>591474.31817672029</v>
      </c>
      <c r="Q21" s="200"/>
      <c r="W21" s="171" t="s">
        <v>176</v>
      </c>
      <c r="X21" s="58">
        <v>2.17</v>
      </c>
    </row>
    <row r="22" spans="1:30" ht="15.75" x14ac:dyDescent="0.25">
      <c r="B22" t="s">
        <v>25</v>
      </c>
      <c r="C22" s="1" t="s">
        <v>133</v>
      </c>
      <c r="D22" s="233"/>
      <c r="E22" s="55">
        <f>J30/8.37</f>
        <v>307657.99925666658</v>
      </c>
      <c r="F22" t="s">
        <v>155</v>
      </c>
      <c r="G22" s="287">
        <v>2023</v>
      </c>
      <c r="H22" s="114"/>
      <c r="I22" s="52"/>
      <c r="J22" s="179">
        <f>E22*9.05</f>
        <v>2784304.8932728325</v>
      </c>
      <c r="K22" s="254">
        <f>[1]RESUMO!$G$60</f>
        <v>314926.21139562014</v>
      </c>
      <c r="L22" s="200"/>
      <c r="M22" s="213">
        <f t="shared" si="3"/>
        <v>2469378.6818772126</v>
      </c>
      <c r="N22" s="213">
        <f t="shared" si="4"/>
        <v>314926.21139562014</v>
      </c>
      <c r="O22" s="420">
        <f t="shared" si="5"/>
        <v>1308770.7013949228</v>
      </c>
      <c r="P22" s="213">
        <f t="shared" si="6"/>
        <v>314926.21139562014</v>
      </c>
      <c r="Q22" s="200"/>
      <c r="T22" s="4">
        <f>K19+K35+K43</f>
        <v>39178415.713409275</v>
      </c>
      <c r="W22" t="s">
        <v>180</v>
      </c>
      <c r="X22">
        <f>U18</f>
        <v>1.1528</v>
      </c>
    </row>
    <row r="23" spans="1:30" ht="15.75" x14ac:dyDescent="0.25">
      <c r="B23" s="80" t="s">
        <v>136</v>
      </c>
      <c r="C23" s="53" t="s">
        <v>133</v>
      </c>
      <c r="D23" s="68"/>
      <c r="E23" s="66"/>
      <c r="F23" s="79" t="s">
        <v>155</v>
      </c>
      <c r="G23" s="53">
        <v>2023</v>
      </c>
      <c r="H23" s="116"/>
      <c r="I23" s="79"/>
      <c r="J23" s="128">
        <f>K23</f>
        <v>139093.36679999999</v>
      </c>
      <c r="K23" s="273">
        <f>[1]RESUMO!$G$81</f>
        <v>139093.36679999999</v>
      </c>
      <c r="L23" s="31"/>
      <c r="M23" s="219">
        <f t="shared" si="3"/>
        <v>0</v>
      </c>
      <c r="N23" s="219">
        <f t="shared" si="4"/>
        <v>139093.36679999999</v>
      </c>
      <c r="O23" s="421">
        <f t="shared" ref="O23" si="7">M23*0.53</f>
        <v>0</v>
      </c>
      <c r="P23" s="219">
        <f t="shared" ref="P23" si="8">N23</f>
        <v>139093.36679999999</v>
      </c>
      <c r="Q23" s="200"/>
    </row>
    <row r="24" spans="1:30" x14ac:dyDescent="0.25">
      <c r="G24" s="1"/>
      <c r="H24" s="108"/>
      <c r="K24" s="262"/>
      <c r="M24" s="212"/>
      <c r="N24" s="212"/>
      <c r="O24" s="18"/>
      <c r="P24" s="212"/>
    </row>
    <row r="25" spans="1:30" x14ac:dyDescent="0.25">
      <c r="A25" s="137">
        <v>3</v>
      </c>
      <c r="B25" s="85" t="s">
        <v>84</v>
      </c>
      <c r="H25" s="203"/>
      <c r="I25" s="37"/>
      <c r="J25" s="157">
        <f>SUM(J26:J31)</f>
        <v>55532723.524897918</v>
      </c>
      <c r="K25" s="263"/>
      <c r="L25" s="45"/>
      <c r="M25" s="220">
        <f t="shared" ref="M25:P25" si="9">SUM(M26:M31)</f>
        <v>5788883.8173393458</v>
      </c>
      <c r="N25" s="220">
        <f t="shared" si="9"/>
        <v>49743839.70755858</v>
      </c>
      <c r="O25" s="422">
        <f>SUM(O26:O31)</f>
        <v>5788883.8173393458</v>
      </c>
      <c r="P25" s="220">
        <f t="shared" si="9"/>
        <v>49743839.70755858</v>
      </c>
      <c r="Q25" s="297"/>
    </row>
    <row r="26" spans="1:30" ht="15.75" x14ac:dyDescent="0.25">
      <c r="B26" t="s">
        <v>56</v>
      </c>
      <c r="C26" s="1" t="s">
        <v>133</v>
      </c>
      <c r="D26" s="40" t="s">
        <v>274</v>
      </c>
      <c r="F26" t="s">
        <v>155</v>
      </c>
      <c r="G26" s="287">
        <v>2023</v>
      </c>
      <c r="H26" s="114"/>
      <c r="I26" s="101"/>
      <c r="J26" s="36">
        <f>(K26/(1-0.9))</f>
        <v>6432093.1303770505</v>
      </c>
      <c r="K26" s="254">
        <f>[1]RESUMO!$G$24</f>
        <v>643209.31303770491</v>
      </c>
      <c r="L26" s="45"/>
      <c r="M26" s="211">
        <f>J26-K26</f>
        <v>5788883.8173393458</v>
      </c>
      <c r="N26" s="211">
        <f>K26</f>
        <v>643209.31303770491</v>
      </c>
      <c r="O26" s="78">
        <f>M26</f>
        <v>5788883.8173393458</v>
      </c>
      <c r="P26" s="211">
        <f t="shared" ref="P26:P31" si="10">N26</f>
        <v>643209.31303770491</v>
      </c>
      <c r="Q26" s="200"/>
    </row>
    <row r="27" spans="1:30" ht="15.75" x14ac:dyDescent="0.25">
      <c r="B27" t="s">
        <v>23</v>
      </c>
      <c r="C27" s="1" t="s">
        <v>133</v>
      </c>
      <c r="F27" t="s">
        <v>155</v>
      </c>
      <c r="G27" s="287">
        <v>2023</v>
      </c>
      <c r="H27" s="171"/>
      <c r="I27" s="58"/>
      <c r="J27" s="178">
        <f>K27</f>
        <v>40461557.137408473</v>
      </c>
      <c r="K27" s="254">
        <f>[1]RESUMO!$G$52</f>
        <v>40461557.137408473</v>
      </c>
      <c r="L27" s="45"/>
      <c r="M27" s="211">
        <f t="shared" ref="M27:M31" si="11">J27-K27</f>
        <v>0</v>
      </c>
      <c r="N27" s="211">
        <f t="shared" ref="N27:N31" si="12">K27</f>
        <v>40461557.137408473</v>
      </c>
      <c r="O27" s="78">
        <f t="shared" ref="O27:O31" si="13">M27</f>
        <v>0</v>
      </c>
      <c r="P27" s="211">
        <f t="shared" si="10"/>
        <v>40461557.137408473</v>
      </c>
      <c r="Q27" s="200"/>
      <c r="R27" s="455" t="s">
        <v>178</v>
      </c>
      <c r="S27" s="282">
        <v>16174426.496499997</v>
      </c>
      <c r="T27" s="167">
        <f>S27*I27</f>
        <v>0</v>
      </c>
      <c r="U27" s="175">
        <f>T27*$U$18</f>
        <v>0</v>
      </c>
    </row>
    <row r="28" spans="1:30" ht="15.75" x14ac:dyDescent="0.25">
      <c r="B28" t="s">
        <v>22</v>
      </c>
      <c r="C28" s="1" t="s">
        <v>133</v>
      </c>
      <c r="F28" t="s">
        <v>155</v>
      </c>
      <c r="G28" s="287">
        <v>2023</v>
      </c>
      <c r="H28" s="114"/>
      <c r="I28" s="101"/>
      <c r="J28" s="178">
        <f>K28</f>
        <v>970307.83401929983</v>
      </c>
      <c r="K28" s="254">
        <f>[1]RESUMO!$G$34</f>
        <v>970307.83401929983</v>
      </c>
      <c r="L28" s="45"/>
      <c r="M28" s="211">
        <f t="shared" si="11"/>
        <v>0</v>
      </c>
      <c r="N28" s="211">
        <f t="shared" si="12"/>
        <v>970307.83401929983</v>
      </c>
      <c r="O28" s="78">
        <f t="shared" si="13"/>
        <v>0</v>
      </c>
      <c r="P28" s="211">
        <f t="shared" si="10"/>
        <v>970307.83401929983</v>
      </c>
      <c r="Q28" s="200"/>
      <c r="R28" s="74"/>
      <c r="S28" s="6"/>
      <c r="T28" s="168"/>
    </row>
    <row r="29" spans="1:30" ht="15.75" x14ac:dyDescent="0.25">
      <c r="B29" t="s">
        <v>24</v>
      </c>
      <c r="C29" s="1" t="s">
        <v>133</v>
      </c>
      <c r="F29" t="s">
        <v>155</v>
      </c>
      <c r="G29" s="287">
        <v>2023</v>
      </c>
      <c r="H29" s="114"/>
      <c r="I29" s="101"/>
      <c r="J29" s="178">
        <f t="shared" ref="J29:J30" si="14">K29</f>
        <v>4836383.7483147988</v>
      </c>
      <c r="K29" s="255">
        <f>[1]RESUMO!$G$65</f>
        <v>4836383.7483147988</v>
      </c>
      <c r="L29" s="45"/>
      <c r="M29" s="211">
        <f t="shared" si="11"/>
        <v>0</v>
      </c>
      <c r="N29" s="211">
        <f t="shared" si="12"/>
        <v>4836383.7483147988</v>
      </c>
      <c r="O29" s="78">
        <f t="shared" si="13"/>
        <v>0</v>
      </c>
      <c r="P29" s="211">
        <f t="shared" si="10"/>
        <v>4836383.7483147988</v>
      </c>
      <c r="Q29" s="200"/>
    </row>
    <row r="30" spans="1:30" ht="15.75" x14ac:dyDescent="0.25">
      <c r="B30" t="s">
        <v>25</v>
      </c>
      <c r="C30" s="1" t="s">
        <v>133</v>
      </c>
      <c r="D30" s="54">
        <v>0.3</v>
      </c>
      <c r="F30" t="s">
        <v>155</v>
      </c>
      <c r="G30" s="287">
        <v>2023</v>
      </c>
      <c r="H30" s="114"/>
      <c r="I30" s="101"/>
      <c r="J30" s="178">
        <f t="shared" si="14"/>
        <v>2575097.453778299</v>
      </c>
      <c r="K30" s="255">
        <f>[1]RESUMO!$G$64</f>
        <v>2575097.453778299</v>
      </c>
      <c r="M30" s="211">
        <f t="shared" si="11"/>
        <v>0</v>
      </c>
      <c r="N30" s="211">
        <f t="shared" si="12"/>
        <v>2575097.453778299</v>
      </c>
      <c r="O30" s="78">
        <f t="shared" si="13"/>
        <v>0</v>
      </c>
      <c r="P30" s="211">
        <f t="shared" si="10"/>
        <v>2575097.453778299</v>
      </c>
      <c r="Q30" s="200"/>
    </row>
    <row r="31" spans="1:30" ht="15.75" x14ac:dyDescent="0.25">
      <c r="B31" s="80" t="s">
        <v>136</v>
      </c>
      <c r="C31" s="53" t="s">
        <v>133</v>
      </c>
      <c r="D31" s="68"/>
      <c r="E31" s="66"/>
      <c r="F31" s="79" t="s">
        <v>155</v>
      </c>
      <c r="G31" s="53">
        <v>2023</v>
      </c>
      <c r="H31" s="116"/>
      <c r="I31" s="79"/>
      <c r="J31" s="67">
        <f>K31</f>
        <v>257284.22099999999</v>
      </c>
      <c r="K31" s="273">
        <f>[1]RESUMO!$G$84</f>
        <v>257284.22099999999</v>
      </c>
      <c r="L31" s="31"/>
      <c r="M31" s="210">
        <f t="shared" si="11"/>
        <v>0</v>
      </c>
      <c r="N31" s="210">
        <f t="shared" si="12"/>
        <v>257284.22099999999</v>
      </c>
      <c r="O31" s="72">
        <f t="shared" si="13"/>
        <v>0</v>
      </c>
      <c r="P31" s="210">
        <f t="shared" si="10"/>
        <v>257284.22099999999</v>
      </c>
      <c r="Q31" s="200"/>
    </row>
    <row r="32" spans="1:30" x14ac:dyDescent="0.25">
      <c r="G32" s="1"/>
      <c r="H32" s="108"/>
      <c r="K32" s="262"/>
      <c r="M32" s="212"/>
      <c r="N32" s="212"/>
      <c r="O32" s="18"/>
      <c r="P32" s="212"/>
    </row>
    <row r="33" spans="1:30" x14ac:dyDescent="0.25">
      <c r="A33" s="137">
        <v>4</v>
      </c>
      <c r="B33" s="85" t="s">
        <v>82</v>
      </c>
      <c r="H33" s="156"/>
      <c r="I33" s="37"/>
      <c r="J33" s="157">
        <f>SUM(J34:J39)</f>
        <v>20553317.937015414</v>
      </c>
      <c r="K33" s="263"/>
      <c r="L33" s="45"/>
      <c r="M33" s="220">
        <f t="shared" ref="M33:N33" si="15">SUM(M34:M39)</f>
        <v>2360371.2316833371</v>
      </c>
      <c r="N33" s="220">
        <f t="shared" si="15"/>
        <v>18192946.705332074</v>
      </c>
      <c r="O33" s="422">
        <f>SUM(O34:O39)</f>
        <v>2360371.2316833371</v>
      </c>
      <c r="P33" s="220">
        <f t="shared" ref="P33" si="16">SUM(P34:P39)</f>
        <v>18192946.705332074</v>
      </c>
      <c r="Q33" s="297"/>
      <c r="R33" s="36"/>
    </row>
    <row r="34" spans="1:30" ht="15.75" x14ac:dyDescent="0.25">
      <c r="B34" t="s">
        <v>21</v>
      </c>
      <c r="C34" s="1" t="s">
        <v>133</v>
      </c>
      <c r="D34" s="40" t="s">
        <v>275</v>
      </c>
      <c r="F34" t="s">
        <v>155</v>
      </c>
      <c r="G34" s="287">
        <v>2023</v>
      </c>
      <c r="H34" s="114"/>
      <c r="I34" s="101"/>
      <c r="J34" s="36">
        <f>(K34/(1-0.85))</f>
        <v>2776907.3313921615</v>
      </c>
      <c r="K34" s="254">
        <f>[1]RESUMO!$G$26</f>
        <v>416536.0997088243</v>
      </c>
      <c r="L34" s="45"/>
      <c r="M34" s="211">
        <f>J34-K34</f>
        <v>2360371.2316833371</v>
      </c>
      <c r="N34" s="211">
        <f>K34</f>
        <v>416536.0997088243</v>
      </c>
      <c r="O34" s="78">
        <f>M34</f>
        <v>2360371.2316833371</v>
      </c>
      <c r="P34" s="211">
        <f t="shared" ref="P34:P39" si="17">N34</f>
        <v>416536.0997088243</v>
      </c>
      <c r="Q34" s="200"/>
      <c r="S34">
        <f>3.95/5</f>
        <v>0.79</v>
      </c>
      <c r="W34" s="1" t="s">
        <v>218</v>
      </c>
      <c r="X34" t="s">
        <v>220</v>
      </c>
      <c r="Y34" t="s">
        <v>221</v>
      </c>
      <c r="Z34" s="1" t="s">
        <v>217</v>
      </c>
      <c r="AA34" t="s">
        <v>219</v>
      </c>
    </row>
    <row r="35" spans="1:30" ht="15.75" x14ac:dyDescent="0.25">
      <c r="B35" t="s">
        <v>23</v>
      </c>
      <c r="C35" s="1" t="s">
        <v>133</v>
      </c>
      <c r="F35" t="s">
        <v>155</v>
      </c>
      <c r="G35" s="287">
        <v>2023</v>
      </c>
      <c r="H35" s="171"/>
      <c r="I35" s="58"/>
      <c r="J35" s="180">
        <f>K35</f>
        <v>15577267.07909881</v>
      </c>
      <c r="K35" s="254">
        <f>AA35</f>
        <v>15577267.07909881</v>
      </c>
      <c r="L35" s="45"/>
      <c r="M35" s="211">
        <f t="shared" ref="M35:M39" si="18">J35-K35</f>
        <v>0</v>
      </c>
      <c r="N35" s="211">
        <f t="shared" ref="N35:N39" si="19">K35</f>
        <v>15577267.07909881</v>
      </c>
      <c r="O35" s="78">
        <f t="shared" ref="O35:O39" si="20">M35</f>
        <v>0</v>
      </c>
      <c r="P35" s="211">
        <f t="shared" si="17"/>
        <v>15577267.07909881</v>
      </c>
      <c r="Q35" s="200"/>
      <c r="R35" s="456" t="s">
        <v>177</v>
      </c>
      <c r="S35" s="166">
        <v>6226981.3426011484</v>
      </c>
      <c r="T35" s="169">
        <f>S35*I35</f>
        <v>0</v>
      </c>
      <c r="U35" s="175">
        <f>T35*$U$18</f>
        <v>0</v>
      </c>
      <c r="W35" s="4">
        <f>'[1]EQUIP EBP SUL-EBS-EB9'!$H$111</f>
        <v>5394694.4000000004</v>
      </c>
      <c r="X35" s="4">
        <f>Y35-W35</f>
        <v>832286.94260114804</v>
      </c>
      <c r="Y35" s="4">
        <f>S35</f>
        <v>6226981.3426011484</v>
      </c>
      <c r="Z35" s="4">
        <f>Y35*X21</f>
        <v>13512549.513444491</v>
      </c>
      <c r="AA35" s="4">
        <f>Z35*U18</f>
        <v>15577267.07909881</v>
      </c>
      <c r="AD35">
        <f>W35/AD17</f>
        <v>0.42641242347621278</v>
      </c>
    </row>
    <row r="36" spans="1:30" ht="15.75" x14ac:dyDescent="0.25">
      <c r="B36" t="s">
        <v>215</v>
      </c>
      <c r="C36" s="1" t="s">
        <v>133</v>
      </c>
      <c r="F36" t="s">
        <v>155</v>
      </c>
      <c r="G36" s="287">
        <v>2023</v>
      </c>
      <c r="H36" s="114"/>
      <c r="I36" s="101"/>
      <c r="J36" s="180">
        <f>K36</f>
        <v>498825.82747871999</v>
      </c>
      <c r="K36" s="254">
        <f>[1]RESUMO!$G$38</f>
        <v>498825.82747871999</v>
      </c>
      <c r="L36" s="45"/>
      <c r="M36" s="211">
        <f t="shared" si="18"/>
        <v>0</v>
      </c>
      <c r="N36" s="211">
        <f t="shared" si="19"/>
        <v>498825.82747871999</v>
      </c>
      <c r="O36" s="78">
        <f t="shared" si="20"/>
        <v>0</v>
      </c>
      <c r="P36" s="211">
        <f t="shared" si="17"/>
        <v>498825.82747871999</v>
      </c>
      <c r="Q36" s="200"/>
      <c r="R36" s="74"/>
      <c r="S36" s="86"/>
      <c r="T36" s="170"/>
    </row>
    <row r="37" spans="1:30" ht="15.75" x14ac:dyDescent="0.25">
      <c r="B37" t="s">
        <v>24</v>
      </c>
      <c r="C37" s="1" t="s">
        <v>133</v>
      </c>
      <c r="F37" t="s">
        <v>155</v>
      </c>
      <c r="G37" s="287">
        <v>2023</v>
      </c>
      <c r="H37" s="114"/>
      <c r="I37" s="101"/>
      <c r="J37" s="180">
        <f>K37</f>
        <v>1018943.3360497601</v>
      </c>
      <c r="K37" s="254">
        <f>[1]RESUMO!$G$63</f>
        <v>1018943.3360497601</v>
      </c>
      <c r="L37" s="45"/>
      <c r="M37" s="211">
        <f t="shared" si="18"/>
        <v>0</v>
      </c>
      <c r="N37" s="211">
        <f t="shared" si="19"/>
        <v>1018943.3360497601</v>
      </c>
      <c r="O37" s="78">
        <f t="shared" si="20"/>
        <v>0</v>
      </c>
      <c r="P37" s="211">
        <f t="shared" si="17"/>
        <v>1018943.3360497601</v>
      </c>
      <c r="Q37" s="200"/>
    </row>
    <row r="38" spans="1:30" ht="15.75" x14ac:dyDescent="0.25">
      <c r="B38" t="s">
        <v>216</v>
      </c>
      <c r="C38" s="1" t="s">
        <v>133</v>
      </c>
      <c r="F38" t="s">
        <v>155</v>
      </c>
      <c r="G38" s="287">
        <v>2023</v>
      </c>
      <c r="H38" s="114"/>
      <c r="I38" s="101"/>
      <c r="J38" s="181">
        <f>K38</f>
        <v>542528.98999596003</v>
      </c>
      <c r="K38" s="254">
        <f>[1]RESUMO!$G$62</f>
        <v>542528.98999596003</v>
      </c>
      <c r="M38" s="211">
        <f t="shared" si="18"/>
        <v>0</v>
      </c>
      <c r="N38" s="211">
        <f t="shared" si="19"/>
        <v>542528.98999596003</v>
      </c>
      <c r="O38" s="78">
        <f t="shared" si="20"/>
        <v>0</v>
      </c>
      <c r="P38" s="211">
        <f t="shared" si="17"/>
        <v>542528.98999596003</v>
      </c>
      <c r="Q38" s="200"/>
      <c r="R38" s="4">
        <f>K36+K20+K44</f>
        <v>1041781.45653708</v>
      </c>
    </row>
    <row r="39" spans="1:30" ht="15.75" x14ac:dyDescent="0.25">
      <c r="B39" s="80" t="s">
        <v>136</v>
      </c>
      <c r="C39" s="53" t="s">
        <v>133</v>
      </c>
      <c r="D39" s="68"/>
      <c r="E39" s="66"/>
      <c r="F39" s="79" t="s">
        <v>155</v>
      </c>
      <c r="G39" s="53">
        <v>2023</v>
      </c>
      <c r="H39" s="116"/>
      <c r="I39" s="79"/>
      <c r="J39" s="67">
        <f>K39</f>
        <v>138845.37299999999</v>
      </c>
      <c r="K39" s="273">
        <f>[1]RESUMO!$G$88</f>
        <v>138845.37299999999</v>
      </c>
      <c r="L39" s="31"/>
      <c r="M39" s="210">
        <f t="shared" si="18"/>
        <v>0</v>
      </c>
      <c r="N39" s="210">
        <f t="shared" si="19"/>
        <v>138845.37299999999</v>
      </c>
      <c r="O39" s="72">
        <f t="shared" si="20"/>
        <v>0</v>
      </c>
      <c r="P39" s="210">
        <f t="shared" si="17"/>
        <v>138845.37299999999</v>
      </c>
      <c r="Q39" s="200"/>
      <c r="R39" s="4">
        <f>K43+K35+K19</f>
        <v>39178415.713409275</v>
      </c>
    </row>
    <row r="40" spans="1:30" x14ac:dyDescent="0.25">
      <c r="G40" s="1"/>
      <c r="H40" s="108"/>
      <c r="K40" s="262"/>
      <c r="M40" s="212"/>
      <c r="N40" s="212"/>
      <c r="O40" s="18"/>
      <c r="P40" s="212"/>
    </row>
    <row r="41" spans="1:30" x14ac:dyDescent="0.25">
      <c r="A41" s="137">
        <v>5</v>
      </c>
      <c r="B41" s="85" t="s">
        <v>83</v>
      </c>
      <c r="E41" s="234" t="s">
        <v>185</v>
      </c>
      <c r="H41" s="156"/>
      <c r="I41" s="37"/>
      <c r="J41" s="157">
        <f>SUM(J42:J47)</f>
        <v>6556865.7562045669</v>
      </c>
      <c r="K41" s="263"/>
      <c r="L41" s="45"/>
      <c r="M41" s="220">
        <f t="shared" ref="M41:N41" si="21">SUM(M42:M47)</f>
        <v>2052572.7299156468</v>
      </c>
      <c r="N41" s="220">
        <f t="shared" si="21"/>
        <v>4504293.0262889201</v>
      </c>
      <c r="O41" s="422">
        <f>SUM(O42:O47)</f>
        <v>2052572.7299156468</v>
      </c>
      <c r="P41" s="220">
        <f t="shared" ref="P41" si="22">SUM(P42:P47)</f>
        <v>4504293.0262889201</v>
      </c>
      <c r="Q41" s="297"/>
      <c r="S41" s="30"/>
    </row>
    <row r="42" spans="1:30" ht="15.75" x14ac:dyDescent="0.25">
      <c r="B42" t="s">
        <v>21</v>
      </c>
      <c r="C42" s="1" t="s">
        <v>133</v>
      </c>
      <c r="D42" s="40" t="s">
        <v>274</v>
      </c>
      <c r="E42" s="29">
        <f>J42/0.836</f>
        <v>2728033.9313073456</v>
      </c>
      <c r="F42" t="s">
        <v>155</v>
      </c>
      <c r="G42" s="287">
        <v>2023</v>
      </c>
      <c r="H42" s="114"/>
      <c r="I42" s="101"/>
      <c r="J42" s="36">
        <f>(K42/(1-0.9))</f>
        <v>2280636.3665729407</v>
      </c>
      <c r="K42" s="254">
        <f>[1]RESUMO!$G$27</f>
        <v>228063.636657294</v>
      </c>
      <c r="L42" s="45"/>
      <c r="M42" s="211">
        <f>J42-K42</f>
        <v>2052572.7299156468</v>
      </c>
      <c r="N42" s="211">
        <f>K42</f>
        <v>228063.636657294</v>
      </c>
      <c r="O42" s="78">
        <f>M42</f>
        <v>2052572.7299156468</v>
      </c>
      <c r="P42" s="211">
        <f t="shared" ref="P42:P47" si="23">N42</f>
        <v>228063.636657294</v>
      </c>
      <c r="Q42" s="200"/>
      <c r="S42">
        <f>0.836/5</f>
        <v>0.16719999999999999</v>
      </c>
      <c r="W42" s="1" t="s">
        <v>218</v>
      </c>
      <c r="X42" t="s">
        <v>220</v>
      </c>
      <c r="Y42" t="s">
        <v>221</v>
      </c>
      <c r="Z42" s="1" t="s">
        <v>217</v>
      </c>
      <c r="AA42" t="s">
        <v>219</v>
      </c>
    </row>
    <row r="43" spans="1:30" ht="15.75" x14ac:dyDescent="0.25">
      <c r="B43" t="s">
        <v>23</v>
      </c>
      <c r="C43" s="1" t="s">
        <v>133</v>
      </c>
      <c r="E43" s="29">
        <f>J43/0.836</f>
        <v>2493646.6146749603</v>
      </c>
      <c r="F43" t="s">
        <v>155</v>
      </c>
      <c r="G43" s="287">
        <v>2023</v>
      </c>
      <c r="H43" s="171"/>
      <c r="I43" s="58"/>
      <c r="J43" s="182">
        <f>K43</f>
        <v>2084688.5698682668</v>
      </c>
      <c r="K43" s="254">
        <f>AA43</f>
        <v>2084688.5698682668</v>
      </c>
      <c r="L43" s="45"/>
      <c r="M43" s="211">
        <f t="shared" ref="M43:M47" si="24">J43-K43</f>
        <v>0</v>
      </c>
      <c r="N43" s="211">
        <f t="shared" ref="N43:N47" si="25">K43</f>
        <v>2084688.5698682668</v>
      </c>
      <c r="O43" s="78">
        <f t="shared" ref="O43:O47" si="26">M43</f>
        <v>0</v>
      </c>
      <c r="P43" s="211">
        <f t="shared" si="23"/>
        <v>2084688.5698682668</v>
      </c>
      <c r="Q43" s="200"/>
      <c r="R43" s="457" t="s">
        <v>179</v>
      </c>
      <c r="S43" s="166">
        <v>833350.08405431896</v>
      </c>
      <c r="T43" s="169">
        <f>S43*I43</f>
        <v>0</v>
      </c>
      <c r="U43" s="175">
        <f>T43*$U$18</f>
        <v>0</v>
      </c>
      <c r="W43" s="4">
        <f>'[1]EQUIP EBP SUL-EBS-EB9'!$H$107</f>
        <v>657200.24000000011</v>
      </c>
      <c r="X43" s="4">
        <f>Y43-W43</f>
        <v>176149.84405431885</v>
      </c>
      <c r="Y43" s="4">
        <f>S43</f>
        <v>833350.08405431896</v>
      </c>
      <c r="Z43" s="4">
        <f>Y43*X21</f>
        <v>1808369.682397872</v>
      </c>
      <c r="AA43" s="4">
        <f>Z43*U18</f>
        <v>2084688.5698682668</v>
      </c>
      <c r="AD43">
        <f>W43/AD17</f>
        <v>5.194702911207514E-2</v>
      </c>
    </row>
    <row r="44" spans="1:30" ht="15.75" x14ac:dyDescent="0.25">
      <c r="B44" t="s">
        <v>215</v>
      </c>
      <c r="C44" s="1" t="s">
        <v>133</v>
      </c>
      <c r="E44" s="29">
        <f>J44/0.836</f>
        <v>278023.51270406693</v>
      </c>
      <c r="F44" t="s">
        <v>155</v>
      </c>
      <c r="G44" s="287">
        <v>2023</v>
      </c>
      <c r="H44" s="114"/>
      <c r="I44" s="101"/>
      <c r="J44" s="180">
        <f>K44</f>
        <v>232427.65662059997</v>
      </c>
      <c r="K44" s="254">
        <f>[1]RESUMO!$G$46</f>
        <v>232427.65662059997</v>
      </c>
      <c r="L44" s="45"/>
      <c r="M44" s="211">
        <f t="shared" si="24"/>
        <v>0</v>
      </c>
      <c r="N44" s="211">
        <f t="shared" si="25"/>
        <v>232427.65662059997</v>
      </c>
      <c r="O44" s="78">
        <f t="shared" si="26"/>
        <v>0</v>
      </c>
      <c r="P44" s="211">
        <f t="shared" si="23"/>
        <v>232427.65662059997</v>
      </c>
      <c r="Q44" s="200"/>
      <c r="R44" s="74"/>
      <c r="S44" s="86"/>
      <c r="T44" s="170"/>
    </row>
    <row r="45" spans="1:30" ht="15.75" x14ac:dyDescent="0.25">
      <c r="B45" t="s">
        <v>24</v>
      </c>
      <c r="C45" s="1" t="s">
        <v>133</v>
      </c>
      <c r="E45" s="29">
        <f>J45/0.836</f>
        <v>1458008.9829115791</v>
      </c>
      <c r="F45" t="s">
        <v>155</v>
      </c>
      <c r="G45" s="287">
        <v>2023</v>
      </c>
      <c r="H45" s="114"/>
      <c r="I45" s="101"/>
      <c r="J45" s="180">
        <f>K45</f>
        <v>1218895.50971408</v>
      </c>
      <c r="K45" s="254">
        <f>[1]RESUMO!$G$59</f>
        <v>1218895.50971408</v>
      </c>
      <c r="L45" s="45"/>
      <c r="M45" s="211">
        <f t="shared" si="24"/>
        <v>0</v>
      </c>
      <c r="N45" s="211">
        <f t="shared" si="25"/>
        <v>1218895.50971408</v>
      </c>
      <c r="O45" s="78">
        <f t="shared" si="26"/>
        <v>0</v>
      </c>
      <c r="P45" s="211">
        <f t="shared" si="23"/>
        <v>1218895.50971408</v>
      </c>
      <c r="Q45" s="200"/>
    </row>
    <row r="46" spans="1:30" ht="15.75" x14ac:dyDescent="0.25">
      <c r="B46" t="s">
        <v>216</v>
      </c>
      <c r="C46" s="1" t="s">
        <v>133</v>
      </c>
      <c r="E46" s="29">
        <f>J46/0.836</f>
        <v>776306.30960368412</v>
      </c>
      <c r="F46" t="s">
        <v>155</v>
      </c>
      <c r="G46" s="287">
        <v>2023</v>
      </c>
      <c r="H46" s="114"/>
      <c r="I46" s="101"/>
      <c r="J46" s="181">
        <f>K46</f>
        <v>648992.07482867991</v>
      </c>
      <c r="K46" s="254">
        <f>[1]RESUMO!$G$58</f>
        <v>648992.07482867991</v>
      </c>
      <c r="M46" s="211">
        <f t="shared" si="24"/>
        <v>0</v>
      </c>
      <c r="N46" s="211">
        <f t="shared" si="25"/>
        <v>648992.07482867991</v>
      </c>
      <c r="O46" s="78">
        <f t="shared" si="26"/>
        <v>0</v>
      </c>
      <c r="P46" s="211">
        <f t="shared" si="23"/>
        <v>648992.07482867991</v>
      </c>
      <c r="Q46" s="200"/>
      <c r="U46" s="136"/>
    </row>
    <row r="47" spans="1:30" ht="15.75" x14ac:dyDescent="0.25">
      <c r="B47" s="80" t="s">
        <v>136</v>
      </c>
      <c r="C47" s="53" t="s">
        <v>133</v>
      </c>
      <c r="D47" s="68"/>
      <c r="E47" s="66"/>
      <c r="F47" s="79" t="s">
        <v>155</v>
      </c>
      <c r="G47" s="53">
        <v>2023</v>
      </c>
      <c r="H47" s="116"/>
      <c r="I47" s="79"/>
      <c r="J47" s="67">
        <f>K47</f>
        <v>91225.578600000008</v>
      </c>
      <c r="K47" s="273">
        <f>[1]RESUMO!$G$91</f>
        <v>91225.578600000008</v>
      </c>
      <c r="L47" s="31"/>
      <c r="M47" s="210">
        <f t="shared" si="24"/>
        <v>0</v>
      </c>
      <c r="N47" s="210">
        <f t="shared" si="25"/>
        <v>91225.578600000008</v>
      </c>
      <c r="O47" s="72">
        <f t="shared" si="26"/>
        <v>0</v>
      </c>
      <c r="P47" s="210">
        <f t="shared" si="23"/>
        <v>91225.578600000008</v>
      </c>
      <c r="Q47" s="200"/>
      <c r="S47" s="4"/>
    </row>
    <row r="48" spans="1:30" x14ac:dyDescent="0.25">
      <c r="G48" s="1"/>
      <c r="H48" s="108"/>
      <c r="K48" s="262"/>
      <c r="M48" s="212"/>
      <c r="N48" s="212"/>
      <c r="O48" s="18"/>
      <c r="P48" s="212"/>
      <c r="S48" s="4"/>
      <c r="T48" s="4"/>
    </row>
    <row r="49" spans="1:29" x14ac:dyDescent="0.25">
      <c r="A49" s="137">
        <v>6</v>
      </c>
      <c r="B49" s="85" t="s">
        <v>131</v>
      </c>
      <c r="H49" s="156"/>
      <c r="I49" s="37"/>
      <c r="J49" s="157">
        <f>SUM(J50:J55)</f>
        <v>42121515.236816138</v>
      </c>
      <c r="K49" s="254"/>
      <c r="L49" s="45"/>
      <c r="M49" s="220">
        <f t="shared" ref="M49" si="27">SUM(M50:M55)</f>
        <v>0</v>
      </c>
      <c r="N49" s="220">
        <f t="shared" ref="N49" si="28">SUM(N50:N55)</f>
        <v>42121515.236816138</v>
      </c>
      <c r="O49" s="422">
        <f>SUM(O50:O55)</f>
        <v>0</v>
      </c>
      <c r="P49" s="220">
        <f t="shared" ref="P49" si="29">SUM(P50:P55)</f>
        <v>42121515.236816138</v>
      </c>
      <c r="Q49" s="297"/>
      <c r="S49" s="30"/>
    </row>
    <row r="50" spans="1:29" ht="15.75" x14ac:dyDescent="0.25">
      <c r="B50" t="s">
        <v>21</v>
      </c>
      <c r="C50" s="1" t="s">
        <v>133</v>
      </c>
      <c r="F50" t="s">
        <v>155</v>
      </c>
      <c r="G50" s="287">
        <v>2023</v>
      </c>
      <c r="H50" s="114"/>
      <c r="I50" s="101"/>
      <c r="J50" s="149">
        <f>K50</f>
        <v>8642810.8664470278</v>
      </c>
      <c r="K50" s="254">
        <f>[1]RESUMO!$G$32</f>
        <v>8642810.8664470278</v>
      </c>
      <c r="M50" s="217">
        <f>J50-K50</f>
        <v>0</v>
      </c>
      <c r="N50" s="217">
        <f>K50</f>
        <v>8642810.8664470278</v>
      </c>
      <c r="O50" s="5">
        <f>M50</f>
        <v>0</v>
      </c>
      <c r="P50" s="217">
        <f t="shared" ref="P50:P55" si="30">N50</f>
        <v>8642810.8664470278</v>
      </c>
      <c r="Q50" s="200"/>
      <c r="S50" s="9"/>
      <c r="T50" s="29"/>
    </row>
    <row r="51" spans="1:29" ht="15.75" x14ac:dyDescent="0.25">
      <c r="B51" t="s">
        <v>23</v>
      </c>
      <c r="C51" s="1" t="s">
        <v>133</v>
      </c>
      <c r="F51" t="s">
        <v>155</v>
      </c>
      <c r="G51" s="287">
        <v>2023</v>
      </c>
      <c r="H51" s="114"/>
      <c r="I51" s="101"/>
      <c r="J51" s="183">
        <f t="shared" ref="J51:J54" si="31">K51</f>
        <v>13580061.544892583</v>
      </c>
      <c r="K51" s="254">
        <f>[1]RESUMO!$G$56</f>
        <v>13580061.544892583</v>
      </c>
      <c r="M51" s="217">
        <f t="shared" ref="M51:M55" si="32">J51-K51</f>
        <v>0</v>
      </c>
      <c r="N51" s="217">
        <f t="shared" ref="N51:N55" si="33">K51</f>
        <v>13580061.544892583</v>
      </c>
      <c r="O51" s="5">
        <f t="shared" ref="O51:O55" si="34">M51</f>
        <v>0</v>
      </c>
      <c r="P51" s="217">
        <f t="shared" si="30"/>
        <v>13580061.544892583</v>
      </c>
      <c r="Q51" s="200"/>
      <c r="S51" s="30"/>
    </row>
    <row r="52" spans="1:29" ht="15.75" x14ac:dyDescent="0.25">
      <c r="B52" t="s">
        <v>215</v>
      </c>
      <c r="C52" s="1" t="s">
        <v>133</v>
      </c>
      <c r="F52" t="s">
        <v>155</v>
      </c>
      <c r="G52" s="287">
        <v>2023</v>
      </c>
      <c r="H52" s="114"/>
      <c r="I52" s="101"/>
      <c r="J52" s="183">
        <f t="shared" si="31"/>
        <v>2202047.9741384201</v>
      </c>
      <c r="K52" s="254">
        <f>[1]RESUMO!$G$48</f>
        <v>2202047.9741384201</v>
      </c>
      <c r="M52" s="217">
        <f t="shared" si="32"/>
        <v>0</v>
      </c>
      <c r="N52" s="217">
        <f t="shared" si="33"/>
        <v>2202047.9741384201</v>
      </c>
      <c r="O52" s="5">
        <f t="shared" si="34"/>
        <v>0</v>
      </c>
      <c r="P52" s="217">
        <f t="shared" si="30"/>
        <v>2202047.9741384201</v>
      </c>
      <c r="Q52" s="200"/>
      <c r="S52" s="36"/>
    </row>
    <row r="53" spans="1:29" ht="15.75" x14ac:dyDescent="0.25">
      <c r="B53" t="s">
        <v>24</v>
      </c>
      <c r="C53" s="1" t="s">
        <v>133</v>
      </c>
      <c r="F53" t="s">
        <v>155</v>
      </c>
      <c r="G53" s="287">
        <v>2023</v>
      </c>
      <c r="H53" s="114"/>
      <c r="I53" s="101"/>
      <c r="J53" s="183">
        <f t="shared" si="31"/>
        <v>11547964.759777293</v>
      </c>
      <c r="K53" s="254">
        <f>[1]RESUMO!$G$67</f>
        <v>11547964.759777293</v>
      </c>
      <c r="M53" s="217">
        <f t="shared" si="32"/>
        <v>0</v>
      </c>
      <c r="N53" s="217">
        <f t="shared" si="33"/>
        <v>11547964.759777293</v>
      </c>
      <c r="O53" s="5">
        <f t="shared" si="34"/>
        <v>0</v>
      </c>
      <c r="P53" s="217">
        <f t="shared" si="30"/>
        <v>11547964.759777293</v>
      </c>
      <c r="Q53" s="200"/>
      <c r="S53" s="36"/>
    </row>
    <row r="54" spans="1:29" ht="15.75" x14ac:dyDescent="0.25">
      <c r="B54" t="s">
        <v>216</v>
      </c>
      <c r="C54" s="1" t="s">
        <v>133</v>
      </c>
      <c r="F54" t="s">
        <v>155</v>
      </c>
      <c r="G54" s="287">
        <v>2023</v>
      </c>
      <c r="H54" s="114"/>
      <c r="I54" s="101"/>
      <c r="J54" s="183">
        <f t="shared" si="31"/>
        <v>6148630.0915608108</v>
      </c>
      <c r="K54" s="254">
        <f>[1]RESUMO!$G$66</f>
        <v>6148630.0915608108</v>
      </c>
      <c r="M54" s="217">
        <f t="shared" si="32"/>
        <v>0</v>
      </c>
      <c r="N54" s="217">
        <f t="shared" si="33"/>
        <v>6148630.0915608108</v>
      </c>
      <c r="O54" s="5">
        <f t="shared" si="34"/>
        <v>0</v>
      </c>
      <c r="P54" s="217">
        <f t="shared" si="30"/>
        <v>6148630.0915608108</v>
      </c>
      <c r="Q54" s="200"/>
      <c r="S54" s="30"/>
    </row>
    <row r="55" spans="1:29" ht="15.75" x14ac:dyDescent="0.25">
      <c r="B55" s="80" t="s">
        <v>136</v>
      </c>
      <c r="C55" s="53" t="s">
        <v>133</v>
      </c>
      <c r="D55" s="68"/>
      <c r="E55" s="66"/>
      <c r="F55" s="79"/>
      <c r="G55" s="53"/>
      <c r="H55" s="116"/>
      <c r="I55" s="79"/>
      <c r="J55" s="67">
        <v>0</v>
      </c>
      <c r="K55" s="273">
        <f>J55</f>
        <v>0</v>
      </c>
      <c r="L55" s="6"/>
      <c r="M55" s="221">
        <f t="shared" si="32"/>
        <v>0</v>
      </c>
      <c r="N55" s="221">
        <f t="shared" si="33"/>
        <v>0</v>
      </c>
      <c r="O55" s="87">
        <f t="shared" si="34"/>
        <v>0</v>
      </c>
      <c r="P55" s="221">
        <f t="shared" si="30"/>
        <v>0</v>
      </c>
      <c r="Q55" s="200"/>
      <c r="S55" s="30"/>
    </row>
    <row r="56" spans="1:29" x14ac:dyDescent="0.25">
      <c r="G56" s="1"/>
      <c r="H56" s="108"/>
      <c r="K56" s="262"/>
      <c r="M56" s="212"/>
      <c r="N56" s="212"/>
      <c r="O56" s="18"/>
      <c r="P56" s="212"/>
    </row>
    <row r="57" spans="1:29" x14ac:dyDescent="0.25">
      <c r="A57" s="137">
        <v>7</v>
      </c>
      <c r="B57" s="85" t="s">
        <v>132</v>
      </c>
      <c r="H57" s="156"/>
      <c r="I57" s="37"/>
      <c r="J57" s="157">
        <f>SUM(J58:J61)</f>
        <v>13301057.307239272</v>
      </c>
      <c r="K57" s="264"/>
      <c r="L57" s="45"/>
      <c r="M57" s="220">
        <f t="shared" ref="M57:N57" si="35">SUM(M58:M61)</f>
        <v>6669348.2641723864</v>
      </c>
      <c r="N57" s="220">
        <f t="shared" si="35"/>
        <v>6631709.0430668881</v>
      </c>
      <c r="O57" s="422">
        <f>SUM(O58:O61)</f>
        <v>6669348.2641723864</v>
      </c>
      <c r="P57" s="220">
        <f>SUM(P58:P61)</f>
        <v>6631709.0430668881</v>
      </c>
      <c r="Q57" s="297"/>
      <c r="R57" s="4" t="s">
        <v>182</v>
      </c>
      <c r="S57" s="176">
        <f>SUM(S59:S61)</f>
        <v>51</v>
      </c>
      <c r="T57" s="45"/>
      <c r="U57" s="45"/>
      <c r="V57" s="45"/>
      <c r="W57" s="45"/>
      <c r="X57" s="45"/>
      <c r="Y57" s="45"/>
      <c r="Z57" s="46"/>
      <c r="AA57" s="45"/>
      <c r="AB57" s="45"/>
      <c r="AC57" s="45"/>
    </row>
    <row r="58" spans="1:29" ht="15.75" x14ac:dyDescent="0.25">
      <c r="B58" t="s">
        <v>21</v>
      </c>
      <c r="C58" s="1" t="s">
        <v>133</v>
      </c>
      <c r="D58" s="98">
        <v>51</v>
      </c>
      <c r="E58" s="91" t="s">
        <v>98</v>
      </c>
      <c r="F58" t="s">
        <v>155</v>
      </c>
      <c r="G58" s="287">
        <v>2023</v>
      </c>
      <c r="H58" s="114"/>
      <c r="I58" s="101"/>
      <c r="J58" s="36">
        <f>(K58/S59)*S57</f>
        <v>8721455.4223792739</v>
      </c>
      <c r="K58" s="254">
        <f>[1]RESUMO!$G$30</f>
        <v>2052107.158206888</v>
      </c>
      <c r="L58" s="45"/>
      <c r="M58" s="211">
        <f>J58-K58</f>
        <v>6669348.2641723864</v>
      </c>
      <c r="N58" s="211">
        <f>K58</f>
        <v>2052107.158206888</v>
      </c>
      <c r="O58" s="78">
        <f>M58</f>
        <v>6669348.2641723864</v>
      </c>
      <c r="P58" s="211">
        <f t="shared" ref="P58:P61" si="36">N58</f>
        <v>2052107.158206888</v>
      </c>
      <c r="Q58" s="200"/>
      <c r="T58" s="4"/>
      <c r="U58" s="165"/>
      <c r="V58" s="93"/>
      <c r="W58" s="9"/>
      <c r="X58" s="4"/>
      <c r="Y58" s="4"/>
      <c r="Z58" s="4"/>
    </row>
    <row r="59" spans="1:29" ht="15.75" x14ac:dyDescent="0.25">
      <c r="B59" t="s">
        <v>88</v>
      </c>
      <c r="C59" s="1" t="s">
        <v>133</v>
      </c>
      <c r="D59" s="11" t="s">
        <v>198</v>
      </c>
      <c r="E59" s="10">
        <v>27195.66</v>
      </c>
      <c r="F59" t="s">
        <v>166</v>
      </c>
      <c r="G59" s="287">
        <v>2013</v>
      </c>
      <c r="H59" s="114" t="s">
        <v>109</v>
      </c>
      <c r="I59" s="37">
        <v>2.17</v>
      </c>
      <c r="J59" s="149">
        <f>K59</f>
        <v>3009743.6921999999</v>
      </c>
      <c r="K59" s="258">
        <f>[1]RESUMO!$G$55</f>
        <v>3009743.6921999999</v>
      </c>
      <c r="L59" s="141"/>
      <c r="M59" s="211">
        <f t="shared" ref="M59:M61" si="37">J59-K59</f>
        <v>0</v>
      </c>
      <c r="N59" s="211">
        <f t="shared" ref="N59:N61" si="38">K59</f>
        <v>3009743.6921999999</v>
      </c>
      <c r="O59" s="78">
        <f t="shared" ref="O59:O61" si="39">M59</f>
        <v>0</v>
      </c>
      <c r="P59" s="211">
        <f t="shared" si="36"/>
        <v>3009743.6921999999</v>
      </c>
      <c r="Q59" s="200"/>
      <c r="R59" s="162" t="s">
        <v>170</v>
      </c>
      <c r="S59" s="4">
        <v>12</v>
      </c>
      <c r="T59" s="4"/>
      <c r="V59" s="93">
        <v>2052107.158206888</v>
      </c>
      <c r="W59" s="9"/>
      <c r="X59" s="4"/>
      <c r="Y59" s="4"/>
      <c r="Z59" s="4"/>
    </row>
    <row r="60" spans="1:29" ht="15.75" x14ac:dyDescent="0.25">
      <c r="B60" t="s">
        <v>89</v>
      </c>
      <c r="C60" s="1" t="s">
        <v>133</v>
      </c>
      <c r="D60" s="11" t="s">
        <v>198</v>
      </c>
      <c r="E60" s="10">
        <f>E59*0.3</f>
        <v>8158.6979999999994</v>
      </c>
      <c r="F60" t="s">
        <v>166</v>
      </c>
      <c r="G60" s="287">
        <v>2013</v>
      </c>
      <c r="H60" s="114" t="s">
        <v>109</v>
      </c>
      <c r="I60" s="37">
        <v>2.17</v>
      </c>
      <c r="J60" s="183">
        <f>K60</f>
        <v>902923.10765999998</v>
      </c>
      <c r="K60" s="258">
        <f>[1]RESUMO!$G$45</f>
        <v>902923.10765999998</v>
      </c>
      <c r="L60" s="203"/>
      <c r="M60" s="215">
        <f t="shared" si="37"/>
        <v>0</v>
      </c>
      <c r="N60" s="215">
        <f t="shared" si="38"/>
        <v>902923.10765999998</v>
      </c>
      <c r="O60" s="423">
        <f t="shared" si="39"/>
        <v>0</v>
      </c>
      <c r="P60" s="215">
        <f t="shared" si="36"/>
        <v>902923.10765999998</v>
      </c>
      <c r="Q60" s="200"/>
      <c r="R60" s="4"/>
      <c r="S60" s="4"/>
      <c r="T60" s="4"/>
      <c r="W60" s="9"/>
      <c r="X60" s="4"/>
      <c r="Y60" s="4"/>
      <c r="Z60" s="4"/>
    </row>
    <row r="61" spans="1:29" ht="15.75" x14ac:dyDescent="0.25">
      <c r="B61" s="80" t="s">
        <v>136</v>
      </c>
      <c r="C61" s="53" t="s">
        <v>133</v>
      </c>
      <c r="D61" s="68"/>
      <c r="E61" s="66"/>
      <c r="F61" s="79" t="s">
        <v>155</v>
      </c>
      <c r="G61" s="53">
        <v>2023</v>
      </c>
      <c r="H61" s="116"/>
      <c r="I61" s="79"/>
      <c r="J61" s="128">
        <f>K61</f>
        <v>666935.08499999996</v>
      </c>
      <c r="K61" s="273">
        <f>[1]RESUMO!$G$96</f>
        <v>666935.08499999996</v>
      </c>
      <c r="L61" s="6"/>
      <c r="M61" s="222">
        <f t="shared" si="37"/>
        <v>0</v>
      </c>
      <c r="N61" s="222">
        <f t="shared" si="38"/>
        <v>666935.08499999996</v>
      </c>
      <c r="O61" s="424">
        <f t="shared" si="39"/>
        <v>0</v>
      </c>
      <c r="P61" s="222">
        <f t="shared" si="36"/>
        <v>666935.08499999996</v>
      </c>
      <c r="Q61" s="200"/>
      <c r="R61" s="144" t="s">
        <v>171</v>
      </c>
      <c r="S61" s="4">
        <v>39</v>
      </c>
      <c r="T61" s="136"/>
      <c r="V61" s="106">
        <f>V59/S59</f>
        <v>171008.929850574</v>
      </c>
    </row>
    <row r="62" spans="1:29" x14ac:dyDescent="0.25">
      <c r="G62" s="1"/>
      <c r="H62" s="108"/>
      <c r="K62" s="262"/>
      <c r="M62" s="212"/>
      <c r="N62" s="212"/>
      <c r="O62" s="18"/>
      <c r="P62" s="212"/>
      <c r="V62" s="136">
        <f>V58/V61</f>
        <v>0</v>
      </c>
    </row>
    <row r="63" spans="1:29" x14ac:dyDescent="0.25">
      <c r="A63" s="137">
        <v>8</v>
      </c>
      <c r="B63" s="85" t="s">
        <v>77</v>
      </c>
      <c r="H63" s="156"/>
      <c r="I63" s="37"/>
      <c r="J63" s="157">
        <f>SUM(J64:J68)</f>
        <v>5463754.3355999999</v>
      </c>
      <c r="K63" s="263"/>
      <c r="L63" s="45"/>
      <c r="M63" s="220">
        <f t="shared" ref="M63:N63" si="40">SUM(M64:M68)</f>
        <v>5371334.3443364399</v>
      </c>
      <c r="N63" s="220">
        <f t="shared" si="40"/>
        <v>92419.99126355999</v>
      </c>
      <c r="O63" s="425">
        <f>SUM(O64:O68)</f>
        <v>2846807.2024983135</v>
      </c>
      <c r="P63" s="220">
        <f>SUM(P64:P68)</f>
        <v>92419.99126355999</v>
      </c>
      <c r="Q63" s="297"/>
      <c r="S63" s="30"/>
    </row>
    <row r="64" spans="1:29" ht="15.75" x14ac:dyDescent="0.25">
      <c r="B64" t="s">
        <v>78</v>
      </c>
      <c r="C64" s="1" t="s">
        <v>133</v>
      </c>
      <c r="H64" s="114"/>
      <c r="I64" s="37"/>
      <c r="J64" s="36">
        <f>0.1*SUM(J65:J67)</f>
        <v>491140.65659999999</v>
      </c>
      <c r="K64" s="262"/>
      <c r="L64" s="30"/>
      <c r="M64" s="215">
        <f>J64-K64</f>
        <v>491140.65659999999</v>
      </c>
      <c r="N64" s="215">
        <f>K64</f>
        <v>0</v>
      </c>
      <c r="O64" s="426">
        <f>M64*0.53</f>
        <v>260304.54799799999</v>
      </c>
      <c r="P64" s="215">
        <f>N64</f>
        <v>0</v>
      </c>
      <c r="Q64" s="200"/>
    </row>
    <row r="65" spans="1:19" ht="15.75" x14ac:dyDescent="0.25">
      <c r="B65" t="s">
        <v>60</v>
      </c>
      <c r="C65" s="1" t="s">
        <v>133</v>
      </c>
      <c r="D65" s="1" t="s">
        <v>199</v>
      </c>
      <c r="E65" s="33" t="s">
        <v>59</v>
      </c>
      <c r="F65" s="40" t="s">
        <v>99</v>
      </c>
      <c r="G65" s="287">
        <v>2023</v>
      </c>
      <c r="H65" s="114"/>
      <c r="I65" s="69"/>
      <c r="J65" s="145">
        <f>((1*314*4849.13)+(1*314*7273.41))</f>
        <v>3806477.5599999996</v>
      </c>
      <c r="K65" s="262"/>
      <c r="L65" s="204"/>
      <c r="M65" s="215">
        <f t="shared" ref="M65:M68" si="41">J65-K65</f>
        <v>3806477.5599999996</v>
      </c>
      <c r="N65" s="215">
        <f t="shared" ref="N65:N68" si="42">K65</f>
        <v>0</v>
      </c>
      <c r="O65" s="426">
        <f t="shared" ref="O65:O67" si="43">M65*0.53</f>
        <v>2017433.1068</v>
      </c>
      <c r="P65" s="215">
        <f t="shared" ref="P65:P67" si="44">N65</f>
        <v>0</v>
      </c>
      <c r="Q65" s="200"/>
    </row>
    <row r="66" spans="1:19" ht="15.75" x14ac:dyDescent="0.25">
      <c r="B66" t="s">
        <v>61</v>
      </c>
      <c r="C66" s="1" t="s">
        <v>133</v>
      </c>
      <c r="D66" s="1" t="s">
        <v>200</v>
      </c>
      <c r="E66" s="1" t="s">
        <v>115</v>
      </c>
      <c r="F66" s="40" t="s">
        <v>99</v>
      </c>
      <c r="G66" s="287">
        <v>2023</v>
      </c>
      <c r="H66" s="12" t="s">
        <v>112</v>
      </c>
      <c r="I66" s="69"/>
      <c r="J66" s="145">
        <f>(2*263375)*1.25</f>
        <v>658437.5</v>
      </c>
      <c r="K66" s="262"/>
      <c r="L66" s="204"/>
      <c r="M66" s="215">
        <f t="shared" si="41"/>
        <v>658437.5</v>
      </c>
      <c r="N66" s="215">
        <f t="shared" si="42"/>
        <v>0</v>
      </c>
      <c r="O66" s="426">
        <f t="shared" si="43"/>
        <v>348971.875</v>
      </c>
      <c r="P66" s="215">
        <f t="shared" si="44"/>
        <v>0</v>
      </c>
      <c r="Q66" s="200"/>
    </row>
    <row r="67" spans="1:19" ht="15.75" x14ac:dyDescent="0.25">
      <c r="B67" t="s">
        <v>215</v>
      </c>
      <c r="C67" s="1" t="s">
        <v>133</v>
      </c>
      <c r="E67" s="1" t="s">
        <v>113</v>
      </c>
      <c r="F67" t="s">
        <v>155</v>
      </c>
      <c r="G67" s="287">
        <v>2023</v>
      </c>
      <c r="H67" s="1" t="s">
        <v>114</v>
      </c>
      <c r="I67" s="101"/>
      <c r="J67" s="36">
        <f>0.1*SUM(J65:J66)</f>
        <v>446491.50599999999</v>
      </c>
      <c r="K67" s="259">
        <f>[1]RESUMO!$G$36</f>
        <v>31212.87826356</v>
      </c>
      <c r="L67" s="204"/>
      <c r="M67" s="215">
        <f t="shared" si="41"/>
        <v>415278.62773643999</v>
      </c>
      <c r="N67" s="215">
        <f t="shared" si="42"/>
        <v>31212.87826356</v>
      </c>
      <c r="O67" s="426">
        <f t="shared" si="43"/>
        <v>220097.67270031321</v>
      </c>
      <c r="P67" s="215">
        <f t="shared" si="44"/>
        <v>31212.87826356</v>
      </c>
      <c r="Q67" s="200"/>
    </row>
    <row r="68" spans="1:19" ht="15.75" x14ac:dyDescent="0.25">
      <c r="B68" s="80" t="s">
        <v>136</v>
      </c>
      <c r="C68" s="53" t="s">
        <v>133</v>
      </c>
      <c r="D68" s="68"/>
      <c r="E68" s="66"/>
      <c r="F68" s="79"/>
      <c r="G68" s="53"/>
      <c r="H68" s="116"/>
      <c r="I68" s="79"/>
      <c r="J68" s="67">
        <f>K68</f>
        <v>61207.112999999998</v>
      </c>
      <c r="K68" s="273">
        <f>[1]RESUMO!$G$82</f>
        <v>61207.112999999998</v>
      </c>
      <c r="L68" s="31"/>
      <c r="M68" s="223">
        <f t="shared" si="41"/>
        <v>0</v>
      </c>
      <c r="N68" s="223">
        <f t="shared" si="42"/>
        <v>61207.112999999998</v>
      </c>
      <c r="O68" s="427">
        <f t="shared" ref="O68" si="45">M68*0.53</f>
        <v>0</v>
      </c>
      <c r="P68" s="223">
        <f t="shared" ref="P68" si="46">N68</f>
        <v>61207.112999999998</v>
      </c>
      <c r="Q68" s="200"/>
    </row>
    <row r="69" spans="1:19" x14ac:dyDescent="0.25">
      <c r="G69" s="1"/>
      <c r="H69" s="108"/>
      <c r="K69" s="262"/>
      <c r="M69" s="212"/>
      <c r="N69" s="212"/>
      <c r="O69" s="18"/>
      <c r="P69" s="212"/>
    </row>
    <row r="70" spans="1:19" x14ac:dyDescent="0.25">
      <c r="A70" s="137">
        <v>9</v>
      </c>
      <c r="B70" s="85" t="s">
        <v>58</v>
      </c>
      <c r="H70" s="156"/>
      <c r="I70" s="37"/>
      <c r="J70" s="157">
        <f>SUM(J71:J75)</f>
        <v>14415956.940000001</v>
      </c>
      <c r="K70" s="263"/>
      <c r="L70" s="45"/>
      <c r="M70" s="220">
        <f t="shared" ref="M70" si="47">SUM(M71:M75)</f>
        <v>14410432.203163082</v>
      </c>
      <c r="N70" s="220">
        <f t="shared" ref="N70" si="48">SUM(N71:N75)</f>
        <v>87185.730436919999</v>
      </c>
      <c r="O70" s="422">
        <f>SUM(O71:O75)</f>
        <v>14410432.203163082</v>
      </c>
      <c r="P70" s="220">
        <f>SUM(P71:P75)</f>
        <v>87185.730436919999</v>
      </c>
      <c r="Q70" s="297"/>
      <c r="S70" s="30"/>
    </row>
    <row r="71" spans="1:19" ht="15.75" x14ac:dyDescent="0.25">
      <c r="B71" t="s">
        <v>78</v>
      </c>
      <c r="C71" s="1" t="s">
        <v>133</v>
      </c>
      <c r="H71" s="114"/>
      <c r="I71" s="56"/>
      <c r="J71" s="36">
        <f>0.1*SUM(J72:J74)</f>
        <v>1310541.54</v>
      </c>
      <c r="K71" s="262"/>
      <c r="L71" s="30"/>
      <c r="M71" s="215">
        <f>J71-K71</f>
        <v>1310541.54</v>
      </c>
      <c r="N71" s="215">
        <f>K71</f>
        <v>0</v>
      </c>
      <c r="O71" s="423">
        <f>M71</f>
        <v>1310541.54</v>
      </c>
      <c r="P71" s="215">
        <f t="shared" ref="P71:P75" si="49">N71</f>
        <v>0</v>
      </c>
      <c r="Q71" s="200"/>
    </row>
    <row r="72" spans="1:19" ht="15.75" x14ac:dyDescent="0.25">
      <c r="B72" t="s">
        <v>60</v>
      </c>
      <c r="C72" s="1" t="s">
        <v>133</v>
      </c>
      <c r="D72" s="1" t="s">
        <v>202</v>
      </c>
      <c r="E72" s="33" t="s">
        <v>62</v>
      </c>
      <c r="F72" s="40" t="s">
        <v>99</v>
      </c>
      <c r="G72" s="289">
        <v>2023</v>
      </c>
      <c r="H72" s="159"/>
      <c r="I72" s="160"/>
      <c r="J72" s="147">
        <f>2*(840*5818.97)</f>
        <v>9775869.5999999996</v>
      </c>
      <c r="K72" s="265"/>
      <c r="L72" s="204"/>
      <c r="M72" s="215">
        <f t="shared" ref="M72:M74" si="50">J72-K72</f>
        <v>9775869.5999999996</v>
      </c>
      <c r="N72" s="215">
        <f t="shared" ref="N72:N75" si="51">K72</f>
        <v>0</v>
      </c>
      <c r="O72" s="423">
        <f t="shared" ref="O72:O75" si="52">M72</f>
        <v>9775869.5999999996</v>
      </c>
      <c r="P72" s="215">
        <f t="shared" si="49"/>
        <v>0</v>
      </c>
      <c r="Q72" s="200"/>
    </row>
    <row r="73" spans="1:19" ht="15.75" x14ac:dyDescent="0.25">
      <c r="B73" t="s">
        <v>85</v>
      </c>
      <c r="C73" s="1" t="s">
        <v>133</v>
      </c>
      <c r="E73" s="1" t="s">
        <v>63</v>
      </c>
      <c r="F73" t="s">
        <v>201</v>
      </c>
      <c r="G73" s="289">
        <v>2013</v>
      </c>
      <c r="H73" s="114" t="s">
        <v>109</v>
      </c>
      <c r="I73" s="37">
        <v>2.17</v>
      </c>
      <c r="J73" s="147">
        <f>(2*469200)*1.05*I73</f>
        <v>2138144.4</v>
      </c>
      <c r="K73" s="262"/>
      <c r="L73" s="204"/>
      <c r="M73" s="215">
        <f t="shared" si="50"/>
        <v>2138144.4</v>
      </c>
      <c r="N73" s="215">
        <f t="shared" si="51"/>
        <v>0</v>
      </c>
      <c r="O73" s="423">
        <f t="shared" si="52"/>
        <v>2138144.4</v>
      </c>
      <c r="P73" s="215">
        <f t="shared" si="49"/>
        <v>0</v>
      </c>
      <c r="Q73" s="200"/>
    </row>
    <row r="74" spans="1:19" ht="15.75" x14ac:dyDescent="0.25">
      <c r="B74" t="s">
        <v>76</v>
      </c>
      <c r="C74" s="1" t="s">
        <v>133</v>
      </c>
      <c r="F74" t="s">
        <v>155</v>
      </c>
      <c r="G74" s="287">
        <v>2023</v>
      </c>
      <c r="H74" s="114"/>
      <c r="I74" s="101"/>
      <c r="J74" s="36">
        <f>0.1*SUM(J72:J73)</f>
        <v>1191401.4000000001</v>
      </c>
      <c r="K74" s="259">
        <f>[1]RESUMO!$G$39</f>
        <v>5524.7368369199994</v>
      </c>
      <c r="L74" s="204"/>
      <c r="M74" s="215">
        <f t="shared" si="50"/>
        <v>1185876.6631630801</v>
      </c>
      <c r="N74" s="215">
        <f t="shared" si="51"/>
        <v>5524.7368369199994</v>
      </c>
      <c r="O74" s="423">
        <f t="shared" si="52"/>
        <v>1185876.6631630801</v>
      </c>
      <c r="P74" s="215">
        <f t="shared" si="49"/>
        <v>5524.7368369199994</v>
      </c>
      <c r="Q74" s="200"/>
    </row>
    <row r="75" spans="1:19" ht="15.75" x14ac:dyDescent="0.25">
      <c r="B75" s="80" t="s">
        <v>136</v>
      </c>
      <c r="C75" s="53" t="s">
        <v>133</v>
      </c>
      <c r="D75" s="68"/>
      <c r="E75" s="66"/>
      <c r="F75" s="79"/>
      <c r="G75" s="53"/>
      <c r="H75" s="116"/>
      <c r="I75" s="79"/>
      <c r="J75" s="67">
        <v>0</v>
      </c>
      <c r="K75" s="273">
        <f>[1]RESUMO!$G$89</f>
        <v>81660.993600000002</v>
      </c>
      <c r="L75" s="31"/>
      <c r="M75" s="223" t="s">
        <v>80</v>
      </c>
      <c r="N75" s="223">
        <f t="shared" si="51"/>
        <v>81660.993600000002</v>
      </c>
      <c r="O75" s="428" t="str">
        <f t="shared" si="52"/>
        <v>-</v>
      </c>
      <c r="P75" s="223">
        <f t="shared" si="49"/>
        <v>81660.993600000002</v>
      </c>
      <c r="Q75" s="200"/>
    </row>
    <row r="76" spans="1:19" x14ac:dyDescent="0.25">
      <c r="G76" s="1"/>
      <c r="H76" s="108"/>
      <c r="K76" s="262"/>
      <c r="M76" s="212"/>
      <c r="N76" s="212"/>
      <c r="O76" s="18"/>
      <c r="P76" s="212"/>
    </row>
    <row r="77" spans="1:19" x14ac:dyDescent="0.25">
      <c r="A77" s="137">
        <v>10</v>
      </c>
      <c r="B77" s="85" t="s">
        <v>79</v>
      </c>
      <c r="H77" s="156"/>
      <c r="I77" s="37"/>
      <c r="J77" s="157">
        <f>SUM(J78:J82)</f>
        <v>60065638.132500008</v>
      </c>
      <c r="K77" s="263"/>
      <c r="L77" s="45"/>
      <c r="M77" s="220">
        <f t="shared" ref="M77" si="53">SUM(M78:M82)</f>
        <v>60021808.124518804</v>
      </c>
      <c r="N77" s="220">
        <f t="shared" ref="N77" si="54">SUM(N78:N82)</f>
        <v>384075.0091812</v>
      </c>
      <c r="O77" s="422">
        <f>SUM(O78:O82)</f>
        <v>60021808.124518804</v>
      </c>
      <c r="P77" s="220">
        <f>SUM(P78:P82)</f>
        <v>384075.0091812</v>
      </c>
      <c r="Q77" s="297"/>
      <c r="S77" s="30"/>
    </row>
    <row r="78" spans="1:19" ht="15.75" x14ac:dyDescent="0.25">
      <c r="B78" t="s">
        <v>78</v>
      </c>
      <c r="C78" s="1" t="s">
        <v>133</v>
      </c>
      <c r="H78" s="114"/>
      <c r="I78" s="37"/>
      <c r="J78" s="36">
        <f>0.1*SUM(J79:J81)</f>
        <v>5460512.557500001</v>
      </c>
      <c r="K78" s="262"/>
      <c r="L78" s="30"/>
      <c r="M78" s="215">
        <f>J78-K78</f>
        <v>5460512.557500001</v>
      </c>
      <c r="N78" s="215">
        <f>K78</f>
        <v>0</v>
      </c>
      <c r="O78" s="423">
        <f>M78</f>
        <v>5460512.557500001</v>
      </c>
      <c r="P78" s="215">
        <f t="shared" ref="P78:P82" si="55">N78</f>
        <v>0</v>
      </c>
      <c r="Q78" s="200"/>
    </row>
    <row r="79" spans="1:19" ht="15.75" x14ac:dyDescent="0.25">
      <c r="B79" t="s">
        <v>60</v>
      </c>
      <c r="C79" s="1" t="s">
        <v>133</v>
      </c>
      <c r="D79" s="1" t="s">
        <v>64</v>
      </c>
      <c r="E79" s="33" t="s">
        <v>65</v>
      </c>
      <c r="F79" s="40" t="s">
        <v>99</v>
      </c>
      <c r="G79" s="118">
        <v>2023</v>
      </c>
      <c r="H79" s="114"/>
      <c r="I79" s="37"/>
      <c r="J79" s="145">
        <f>2*(3250*7273.41)</f>
        <v>47277165</v>
      </c>
      <c r="K79" s="265"/>
      <c r="L79" s="204"/>
      <c r="M79" s="215">
        <f t="shared" ref="M79:M81" si="56">J79-K79</f>
        <v>47277165</v>
      </c>
      <c r="N79" s="215">
        <f t="shared" ref="N79:N82" si="57">K79</f>
        <v>0</v>
      </c>
      <c r="O79" s="423">
        <f t="shared" ref="O79:O82" si="58">M79</f>
        <v>47277165</v>
      </c>
      <c r="P79" s="215">
        <f t="shared" si="55"/>
        <v>0</v>
      </c>
      <c r="Q79" s="200"/>
    </row>
    <row r="80" spans="1:19" ht="15.75" x14ac:dyDescent="0.25">
      <c r="B80" t="s">
        <v>75</v>
      </c>
      <c r="C80" s="1" t="s">
        <v>133</v>
      </c>
      <c r="H80" s="114"/>
      <c r="I80" s="70"/>
      <c r="J80" s="148">
        <f>0.05*J79</f>
        <v>2363858.25</v>
      </c>
      <c r="K80" s="262"/>
      <c r="L80" s="204"/>
      <c r="M80" s="215">
        <f t="shared" si="56"/>
        <v>2363858.25</v>
      </c>
      <c r="N80" s="215">
        <f t="shared" si="57"/>
        <v>0</v>
      </c>
      <c r="O80" s="423">
        <f t="shared" si="58"/>
        <v>2363858.25</v>
      </c>
      <c r="P80" s="215">
        <f t="shared" si="55"/>
        <v>0</v>
      </c>
      <c r="Q80" s="200"/>
    </row>
    <row r="81" spans="1:29" ht="15.75" x14ac:dyDescent="0.25">
      <c r="B81" t="s">
        <v>215</v>
      </c>
      <c r="C81" s="1" t="s">
        <v>133</v>
      </c>
      <c r="H81" s="114"/>
      <c r="I81" s="52"/>
      <c r="J81" s="36">
        <f>0.1*SUM(J79:J80)</f>
        <v>4964102.3250000002</v>
      </c>
      <c r="K81" s="259">
        <f>[1]RESUMO!$G$37</f>
        <v>43830.007981199989</v>
      </c>
      <c r="L81" s="204"/>
      <c r="M81" s="215">
        <f t="shared" si="56"/>
        <v>4920272.3170188004</v>
      </c>
      <c r="N81" s="215">
        <f t="shared" si="57"/>
        <v>43830.007981199989</v>
      </c>
      <c r="O81" s="423">
        <f t="shared" si="58"/>
        <v>4920272.3170188004</v>
      </c>
      <c r="P81" s="215">
        <f t="shared" si="55"/>
        <v>43830.007981199989</v>
      </c>
      <c r="Q81" s="200"/>
    </row>
    <row r="82" spans="1:29" ht="15.75" x14ac:dyDescent="0.25">
      <c r="B82" s="80" t="s">
        <v>136</v>
      </c>
      <c r="C82" s="53" t="s">
        <v>133</v>
      </c>
      <c r="D82" s="68"/>
      <c r="E82" s="66"/>
      <c r="F82" s="79"/>
      <c r="G82" s="53"/>
      <c r="H82" s="116"/>
      <c r="I82" s="79"/>
      <c r="J82" s="67">
        <v>0</v>
      </c>
      <c r="K82" s="273">
        <f>[1]RESUMO!$G$85</f>
        <v>340245.0012</v>
      </c>
      <c r="L82" s="31"/>
      <c r="M82" s="223" t="s">
        <v>80</v>
      </c>
      <c r="N82" s="223">
        <f t="shared" si="57"/>
        <v>340245.0012</v>
      </c>
      <c r="O82" s="428" t="str">
        <f t="shared" si="58"/>
        <v>-</v>
      </c>
      <c r="P82" s="223">
        <f t="shared" si="55"/>
        <v>340245.0012</v>
      </c>
      <c r="Q82" s="200"/>
    </row>
    <row r="83" spans="1:29" x14ac:dyDescent="0.25">
      <c r="G83" s="1"/>
      <c r="H83" s="108"/>
      <c r="K83" s="262"/>
      <c r="M83" s="212"/>
      <c r="N83" s="212"/>
      <c r="O83" s="18"/>
      <c r="P83" s="212"/>
    </row>
    <row r="84" spans="1:29" x14ac:dyDescent="0.25">
      <c r="A84" s="137">
        <v>11</v>
      </c>
      <c r="B84" s="85" t="s">
        <v>100</v>
      </c>
      <c r="H84" s="156"/>
      <c r="I84" s="37"/>
      <c r="J84" s="157">
        <f>SUM(J85:J88)</f>
        <v>4392651.0506370887</v>
      </c>
      <c r="K84" s="263"/>
      <c r="L84" s="45"/>
      <c r="M84" s="220">
        <f t="shared" ref="M84" si="59">SUM(M85:M89)</f>
        <v>3997299.0854370887</v>
      </c>
      <c r="N84" s="220">
        <f t="shared" ref="N84" si="60">SUM(N85:N89)</f>
        <v>395351.96519999998</v>
      </c>
      <c r="O84" s="425">
        <f>SUM(O85:O89)</f>
        <v>2118568.5152816572</v>
      </c>
      <c r="P84" s="220">
        <f>SUM(P85:P88)</f>
        <v>395351.96519999998</v>
      </c>
      <c r="Q84" s="297"/>
      <c r="R84" s="45"/>
      <c r="S84" s="45"/>
      <c r="T84" s="45"/>
      <c r="U84" s="45"/>
      <c r="V84" s="45"/>
      <c r="W84" s="45"/>
      <c r="X84" s="45"/>
      <c r="Y84" s="45"/>
      <c r="Z84" s="46"/>
      <c r="AA84" s="45"/>
      <c r="AB84" s="45"/>
      <c r="AC84" s="45"/>
    </row>
    <row r="85" spans="1:29" ht="15.75" x14ac:dyDescent="0.25">
      <c r="B85" t="s">
        <v>204</v>
      </c>
      <c r="C85" s="1" t="s">
        <v>133</v>
      </c>
      <c r="D85" s="99"/>
      <c r="E85" s="99"/>
      <c r="F85" s="4" t="s">
        <v>91</v>
      </c>
      <c r="G85" s="287">
        <v>2013</v>
      </c>
      <c r="H85" s="114" t="s">
        <v>109</v>
      </c>
      <c r="I85" s="90">
        <v>2.4594548096904609</v>
      </c>
      <c r="J85" s="36">
        <f>(D91*5.6*500)*I85</f>
        <v>3172459.5916167372</v>
      </c>
      <c r="K85" s="266"/>
      <c r="L85" s="37"/>
      <c r="M85" s="216">
        <f>J85-K85</f>
        <v>3172459.5916167372</v>
      </c>
      <c r="N85" s="216">
        <f>K85</f>
        <v>0</v>
      </c>
      <c r="O85" s="429">
        <f>M85*0.53</f>
        <v>1681403.5835568707</v>
      </c>
      <c r="P85" s="216">
        <f>N85</f>
        <v>0</v>
      </c>
      <c r="Q85" s="200"/>
      <c r="S85" s="30"/>
    </row>
    <row r="86" spans="1:29" ht="15.75" x14ac:dyDescent="0.25">
      <c r="B86" t="s">
        <v>88</v>
      </c>
      <c r="C86" s="1" t="s">
        <v>133</v>
      </c>
      <c r="D86" s="61">
        <v>0.2</v>
      </c>
      <c r="E86" s="4"/>
      <c r="F86" s="4"/>
      <c r="H86" s="114"/>
      <c r="I86" s="47"/>
      <c r="J86" s="36">
        <f>J85*D86</f>
        <v>634491.91832334746</v>
      </c>
      <c r="K86" s="254"/>
      <c r="L86" s="4"/>
      <c r="M86" s="216">
        <f t="shared" ref="M86:M88" si="61">J86-K86</f>
        <v>634491.91832334746</v>
      </c>
      <c r="N86" s="216">
        <f t="shared" ref="N86:N88" si="62">K86</f>
        <v>0</v>
      </c>
      <c r="O86" s="429">
        <f t="shared" ref="O86:O88" si="63">M86*0.53</f>
        <v>336280.71671137417</v>
      </c>
      <c r="P86" s="216">
        <f t="shared" ref="P86:P88" si="64">N86</f>
        <v>0</v>
      </c>
      <c r="Q86" s="200"/>
      <c r="S86" s="30"/>
    </row>
    <row r="87" spans="1:29" ht="15.75" x14ac:dyDescent="0.25">
      <c r="B87" t="s">
        <v>101</v>
      </c>
      <c r="C87" s="1" t="s">
        <v>133</v>
      </c>
      <c r="D87" s="61">
        <v>0.3</v>
      </c>
      <c r="E87" s="4"/>
      <c r="F87" s="4"/>
      <c r="H87" s="114"/>
      <c r="I87" s="37"/>
      <c r="J87" s="36">
        <f>J86*D87</f>
        <v>190347.57549700423</v>
      </c>
      <c r="K87" s="254"/>
      <c r="L87" s="4"/>
      <c r="M87" s="216">
        <f t="shared" si="61"/>
        <v>190347.57549700423</v>
      </c>
      <c r="N87" s="216">
        <f t="shared" si="62"/>
        <v>0</v>
      </c>
      <c r="O87" s="429">
        <f t="shared" si="63"/>
        <v>100884.21501341225</v>
      </c>
      <c r="P87" s="216">
        <f t="shared" si="64"/>
        <v>0</v>
      </c>
      <c r="Q87" s="200"/>
      <c r="S87" s="30"/>
    </row>
    <row r="88" spans="1:29" ht="15.75" x14ac:dyDescent="0.25">
      <c r="B88" s="80" t="s">
        <v>136</v>
      </c>
      <c r="C88" s="53" t="s">
        <v>133</v>
      </c>
      <c r="D88" s="68"/>
      <c r="E88" s="66"/>
      <c r="F88" s="79" t="s">
        <v>155</v>
      </c>
      <c r="G88" s="53">
        <v>2023</v>
      </c>
      <c r="H88" s="116"/>
      <c r="I88" s="79"/>
      <c r="J88" s="128">
        <f>K88</f>
        <v>395351.96519999998</v>
      </c>
      <c r="K88" s="273">
        <f>[1]RESUMO!$G$86</f>
        <v>395351.96519999998</v>
      </c>
      <c r="L88" s="6"/>
      <c r="M88" s="224">
        <f t="shared" si="61"/>
        <v>0</v>
      </c>
      <c r="N88" s="224">
        <f t="shared" si="62"/>
        <v>395351.96519999998</v>
      </c>
      <c r="O88" s="430">
        <f t="shared" si="63"/>
        <v>0</v>
      </c>
      <c r="P88" s="224">
        <f t="shared" si="64"/>
        <v>395351.96519999998</v>
      </c>
      <c r="Q88" s="200"/>
      <c r="S88" s="30"/>
    </row>
    <row r="89" spans="1:29" x14ac:dyDescent="0.25">
      <c r="E89" s="187"/>
      <c r="G89" s="1"/>
      <c r="H89" s="108"/>
      <c r="K89" s="262"/>
      <c r="M89" s="212"/>
      <c r="N89" s="212"/>
      <c r="O89" s="18"/>
      <c r="P89" s="212"/>
    </row>
    <row r="90" spans="1:29" x14ac:dyDescent="0.25">
      <c r="A90" s="137">
        <v>12</v>
      </c>
      <c r="B90" s="324" t="s">
        <v>46</v>
      </c>
      <c r="C90" s="12"/>
      <c r="D90" s="242" t="s">
        <v>203</v>
      </c>
      <c r="E90" s="188">
        <v>5.6</v>
      </c>
      <c r="F90" s="325" t="s">
        <v>281</v>
      </c>
      <c r="G90" s="321"/>
      <c r="H90" s="326"/>
      <c r="I90" s="35"/>
      <c r="J90" s="327">
        <f>SUM(J91:J95)</f>
        <v>36500713.280619361</v>
      </c>
      <c r="K90" s="263"/>
      <c r="L90" s="4"/>
      <c r="M90" s="227">
        <f>SUM(M91:M95)</f>
        <v>35035672.722900137</v>
      </c>
      <c r="N90" s="227">
        <f>SUM(N91:N95)</f>
        <v>1465040.557719219</v>
      </c>
      <c r="O90" s="417">
        <f>SUM(O91:O95)</f>
        <v>18568906.543137074</v>
      </c>
      <c r="P90" s="227">
        <f>SUM(P91:P95)</f>
        <v>1465040.557719219</v>
      </c>
      <c r="Q90" s="297"/>
      <c r="R90" s="45" t="s">
        <v>137</v>
      </c>
      <c r="S90" s="317" t="s">
        <v>290</v>
      </c>
      <c r="T90" s="318"/>
      <c r="U90" s="318"/>
      <c r="V90" s="318"/>
      <c r="W90" s="45"/>
      <c r="X90" s="45"/>
      <c r="Y90" s="45"/>
      <c r="Z90" s="46"/>
      <c r="AA90" s="45"/>
      <c r="AB90" s="45"/>
      <c r="AC90" s="45"/>
    </row>
    <row r="91" spans="1:29" ht="15.75" x14ac:dyDescent="0.25">
      <c r="B91" t="s">
        <v>206</v>
      </c>
      <c r="C91" s="1" t="s">
        <v>133</v>
      </c>
      <c r="D91" s="23">
        <v>460.67985402946346</v>
      </c>
      <c r="E91" s="9" t="s">
        <v>54</v>
      </c>
      <c r="F91" s="4" t="s">
        <v>165</v>
      </c>
      <c r="G91" s="287">
        <v>2010</v>
      </c>
      <c r="H91" s="114" t="s">
        <v>109</v>
      </c>
      <c r="I91" s="90">
        <v>2.45945480969046</v>
      </c>
      <c r="J91" s="36">
        <f>5495*D91*E90*I91</f>
        <v>34865330.911867931</v>
      </c>
      <c r="K91" s="267">
        <f>[1]RESUMO!$I$34</f>
        <v>310482.63490259671</v>
      </c>
      <c r="L91" s="4"/>
      <c r="M91" s="217">
        <f>J91-K91</f>
        <v>34554848.276965335</v>
      </c>
      <c r="N91" s="217">
        <f>K91</f>
        <v>310482.63490259671</v>
      </c>
      <c r="O91" s="431">
        <f>M91*0.53</f>
        <v>18314069.586791627</v>
      </c>
      <c r="P91" s="217">
        <f>N91</f>
        <v>310482.63490259671</v>
      </c>
      <c r="Q91" s="200"/>
      <c r="R91" s="4" t="s">
        <v>138</v>
      </c>
      <c r="S91" s="4"/>
      <c r="T91" s="4"/>
      <c r="W91" s="9"/>
      <c r="X91" s="4"/>
      <c r="Y91" s="4"/>
      <c r="Z91" s="4"/>
    </row>
    <row r="92" spans="1:29" ht="15.75" x14ac:dyDescent="0.25">
      <c r="B92" t="s">
        <v>38</v>
      </c>
      <c r="C92" s="1" t="s">
        <v>133</v>
      </c>
      <c r="D92" s="241">
        <v>8.0798396563723299E-3</v>
      </c>
      <c r="E92" s="9" t="s">
        <v>187</v>
      </c>
      <c r="F92" s="4" t="s">
        <v>165</v>
      </c>
      <c r="G92" s="287">
        <v>2010</v>
      </c>
      <c r="H92" s="114"/>
      <c r="I92" s="193"/>
      <c r="J92" s="36">
        <f>J91*D92</f>
        <v>281706.28333425458</v>
      </c>
      <c r="K92" s="254"/>
      <c r="L92" s="4"/>
      <c r="M92" s="217">
        <f t="shared" ref="M92:M95" si="65">J92-K92</f>
        <v>281706.28333425458</v>
      </c>
      <c r="N92" s="217">
        <f t="shared" ref="N92:N95" si="66">K92</f>
        <v>0</v>
      </c>
      <c r="O92" s="431">
        <f t="shared" ref="O92:O94" si="67">M92*0.53</f>
        <v>149304.33016715493</v>
      </c>
      <c r="P92" s="217">
        <f t="shared" ref="P92:P94" si="68">N92</f>
        <v>0</v>
      </c>
      <c r="Q92" s="200"/>
      <c r="R92" s="4"/>
      <c r="S92" s="4"/>
      <c r="T92" s="4"/>
      <c r="W92" s="9"/>
      <c r="X92" s="4"/>
      <c r="Y92" s="4"/>
      <c r="Z92" s="4"/>
    </row>
    <row r="93" spans="1:29" ht="15.75" x14ac:dyDescent="0.25">
      <c r="B93" t="s">
        <v>29</v>
      </c>
      <c r="C93" s="1" t="s">
        <v>133</v>
      </c>
      <c r="D93" s="241">
        <v>0.70682897180638637</v>
      </c>
      <c r="E93" s="9" t="s">
        <v>186</v>
      </c>
      <c r="F93" s="4" t="s">
        <v>165</v>
      </c>
      <c r="G93" s="287">
        <v>2010</v>
      </c>
      <c r="H93" s="114"/>
      <c r="I93" s="193"/>
      <c r="J93" s="36">
        <f>J92*D93</f>
        <v>199118.16260054972</v>
      </c>
      <c r="K93" s="254"/>
      <c r="L93" s="4"/>
      <c r="M93" s="217">
        <f t="shared" si="65"/>
        <v>199118.16260054972</v>
      </c>
      <c r="N93" s="217">
        <f t="shared" si="66"/>
        <v>0</v>
      </c>
      <c r="O93" s="431">
        <f t="shared" si="67"/>
        <v>105532.62617829136</v>
      </c>
      <c r="P93" s="217">
        <f t="shared" si="68"/>
        <v>0</v>
      </c>
      <c r="Q93" s="200"/>
      <c r="R93" s="4"/>
      <c r="S93" s="4"/>
      <c r="T93" s="4"/>
      <c r="W93" s="9"/>
      <c r="X93" s="4"/>
      <c r="Y93" s="4"/>
      <c r="Z93" s="4"/>
    </row>
    <row r="94" spans="1:29" ht="15.75" x14ac:dyDescent="0.25">
      <c r="B94" t="s">
        <v>37</v>
      </c>
      <c r="C94" s="1" t="s">
        <v>133</v>
      </c>
      <c r="D94" s="11"/>
      <c r="F94" s="4" t="s">
        <v>155</v>
      </c>
      <c r="G94" s="287">
        <v>2023</v>
      </c>
      <c r="H94" s="114"/>
      <c r="I94" s="37"/>
      <c r="J94" s="36">
        <f>K94</f>
        <v>206053.41891161999</v>
      </c>
      <c r="K94" s="267">
        <f>[1]RESUMO!$G$40</f>
        <v>206053.41891161999</v>
      </c>
      <c r="L94" s="4"/>
      <c r="M94" s="217">
        <f t="shared" si="65"/>
        <v>0</v>
      </c>
      <c r="N94" s="217">
        <f t="shared" si="66"/>
        <v>206053.41891161999</v>
      </c>
      <c r="O94" s="431">
        <f t="shared" si="67"/>
        <v>0</v>
      </c>
      <c r="P94" s="217">
        <f t="shared" si="68"/>
        <v>206053.41891161999</v>
      </c>
      <c r="Q94" s="200"/>
      <c r="R94" s="4"/>
      <c r="S94" s="4"/>
      <c r="T94" s="4"/>
      <c r="W94" s="9"/>
      <c r="X94" s="4"/>
      <c r="Y94" s="4"/>
      <c r="Z94" s="4"/>
    </row>
    <row r="95" spans="1:29" ht="15.75" x14ac:dyDescent="0.25">
      <c r="B95" s="80" t="s">
        <v>136</v>
      </c>
      <c r="C95" s="53" t="s">
        <v>133</v>
      </c>
      <c r="D95" s="68"/>
      <c r="E95" s="66"/>
      <c r="F95" s="79" t="s">
        <v>155</v>
      </c>
      <c r="G95" s="53">
        <v>2023</v>
      </c>
      <c r="H95" s="116"/>
      <c r="I95" s="79"/>
      <c r="J95" s="128">
        <f>K95</f>
        <v>948504.50390500238</v>
      </c>
      <c r="K95" s="273">
        <f>[1]RESUMO!$I$94</f>
        <v>948504.50390500238</v>
      </c>
      <c r="L95" s="6"/>
      <c r="M95" s="221">
        <f t="shared" si="65"/>
        <v>0</v>
      </c>
      <c r="N95" s="221">
        <f t="shared" si="66"/>
        <v>948504.50390500238</v>
      </c>
      <c r="O95" s="432">
        <f t="shared" ref="O95" si="69">M95*0.53</f>
        <v>0</v>
      </c>
      <c r="P95" s="221">
        <f t="shared" ref="P95" si="70">N95</f>
        <v>948504.50390500238</v>
      </c>
      <c r="Q95" s="200"/>
      <c r="S95" s="30"/>
    </row>
    <row r="96" spans="1:29" x14ac:dyDescent="0.25">
      <c r="G96" s="1"/>
      <c r="H96" s="108"/>
      <c r="K96" s="262"/>
      <c r="M96" s="212"/>
      <c r="N96" s="212"/>
      <c r="O96" s="18"/>
      <c r="P96" s="212"/>
    </row>
    <row r="97" spans="1:26" x14ac:dyDescent="0.25">
      <c r="A97" s="137">
        <v>13</v>
      </c>
      <c r="B97" s="85" t="s">
        <v>45</v>
      </c>
      <c r="D97" s="242" t="s">
        <v>205</v>
      </c>
      <c r="E97" s="188">
        <f>(3.95+1.3)/2</f>
        <v>2.625</v>
      </c>
      <c r="H97" s="156"/>
      <c r="I97" s="37"/>
      <c r="J97" s="157">
        <f>SUM(J98:J102)</f>
        <v>17501261.152978811</v>
      </c>
      <c r="K97" s="263"/>
      <c r="L97" s="45"/>
      <c r="M97" s="220">
        <f>SUM(M98:M102)</f>
        <v>14857330.083524615</v>
      </c>
      <c r="N97" s="220">
        <f>SUM(N98:N102)</f>
        <v>2643931.0694541973</v>
      </c>
      <c r="O97" s="422">
        <f>SUM(O98:O102)</f>
        <v>14857330.083524615</v>
      </c>
      <c r="P97" s="220">
        <f>SUM(P98:P102)</f>
        <v>2643931.0694541973</v>
      </c>
      <c r="Q97" s="297"/>
      <c r="S97" s="30"/>
    </row>
    <row r="98" spans="1:26" ht="15.75" x14ac:dyDescent="0.25">
      <c r="B98" t="s">
        <v>207</v>
      </c>
      <c r="C98" s="1" t="s">
        <v>133</v>
      </c>
      <c r="D98" s="23">
        <v>460.67985402946346</v>
      </c>
      <c r="E98" s="9" t="s">
        <v>54</v>
      </c>
      <c r="F98" s="4" t="s">
        <v>165</v>
      </c>
      <c r="G98" s="287">
        <v>2010</v>
      </c>
      <c r="H98" s="114" t="s">
        <v>109</v>
      </c>
      <c r="I98" s="90">
        <v>2.45945480969046</v>
      </c>
      <c r="J98" s="36">
        <f>D98*E97*5390*I98</f>
        <v>16030834.873888319</v>
      </c>
      <c r="K98" s="267">
        <f>[1]RESUMO!$J$34</f>
        <v>1394584.5017708302</v>
      </c>
      <c r="L98" s="4"/>
      <c r="M98" s="217">
        <f t="shared" ref="M98:M102" si="71">J98-K98</f>
        <v>14636250.37211749</v>
      </c>
      <c r="N98" s="217">
        <f t="shared" ref="N98:N102" si="72">K98</f>
        <v>1394584.5017708302</v>
      </c>
      <c r="O98" s="433">
        <f>M98</f>
        <v>14636250.37211749</v>
      </c>
      <c r="P98" s="217">
        <f>N98</f>
        <v>1394584.5017708302</v>
      </c>
      <c r="Q98" s="200"/>
      <c r="R98" s="4"/>
      <c r="S98" s="4"/>
      <c r="T98" s="4"/>
      <c r="W98" s="9"/>
      <c r="X98" s="4"/>
      <c r="Y98" s="4"/>
      <c r="Z98" s="4"/>
    </row>
    <row r="99" spans="1:26" ht="15.75" x14ac:dyDescent="0.25">
      <c r="B99" t="s">
        <v>38</v>
      </c>
      <c r="C99" s="1" t="s">
        <v>133</v>
      </c>
      <c r="D99" s="241">
        <v>8.0798396563723299E-3</v>
      </c>
      <c r="E99" s="9" t="s">
        <v>187</v>
      </c>
      <c r="F99" s="4" t="s">
        <v>165</v>
      </c>
      <c r="G99" s="287">
        <v>2010</v>
      </c>
      <c r="H99" s="114"/>
      <c r="I99" s="47"/>
      <c r="J99" s="36">
        <f>J98*D99</f>
        <v>129526.57533879936</v>
      </c>
      <c r="K99" s="254"/>
      <c r="L99" s="4"/>
      <c r="M99" s="217">
        <f t="shared" si="71"/>
        <v>129526.57533879936</v>
      </c>
      <c r="N99" s="217">
        <f t="shared" si="72"/>
        <v>0</v>
      </c>
      <c r="O99" s="433">
        <f t="shared" ref="O99:O102" si="73">M99</f>
        <v>129526.57533879936</v>
      </c>
      <c r="P99" s="217">
        <f t="shared" ref="P99:P102" si="74">N99</f>
        <v>0</v>
      </c>
      <c r="Q99" s="200"/>
      <c r="R99" s="4"/>
      <c r="S99" s="4"/>
      <c r="T99" s="4"/>
      <c r="W99" s="9"/>
      <c r="X99" s="4"/>
      <c r="Y99" s="4"/>
      <c r="Z99" s="4"/>
    </row>
    <row r="100" spans="1:26" ht="15.75" x14ac:dyDescent="0.25">
      <c r="B100" t="s">
        <v>29</v>
      </c>
      <c r="C100" s="1" t="s">
        <v>133</v>
      </c>
      <c r="D100" s="241">
        <v>0.70682897180638637</v>
      </c>
      <c r="E100" s="9" t="s">
        <v>186</v>
      </c>
      <c r="F100" s="4" t="s">
        <v>165</v>
      </c>
      <c r="G100" s="287">
        <v>2010</v>
      </c>
      <c r="H100" s="114"/>
      <c r="I100" s="47"/>
      <c r="J100" s="36">
        <f>J99*D100</f>
        <v>91553.136068325999</v>
      </c>
      <c r="K100" s="254"/>
      <c r="L100" s="4"/>
      <c r="M100" s="217">
        <f t="shared" si="71"/>
        <v>91553.136068325999</v>
      </c>
      <c r="N100" s="217">
        <f t="shared" si="72"/>
        <v>0</v>
      </c>
      <c r="O100" s="433">
        <f t="shared" si="73"/>
        <v>91553.136068325999</v>
      </c>
      <c r="P100" s="217">
        <f t="shared" si="74"/>
        <v>0</v>
      </c>
      <c r="Q100" s="200"/>
      <c r="R100" s="4"/>
      <c r="S100" s="4"/>
      <c r="T100" s="4"/>
      <c r="W100" s="9"/>
      <c r="X100" s="4"/>
      <c r="Y100" s="4"/>
      <c r="Z100" s="4"/>
    </row>
    <row r="101" spans="1:26" ht="15.75" x14ac:dyDescent="0.25">
      <c r="B101" t="s">
        <v>97</v>
      </c>
      <c r="C101" s="1" t="s">
        <v>133</v>
      </c>
      <c r="F101" s="4" t="s">
        <v>155</v>
      </c>
      <c r="G101" s="287">
        <v>2023</v>
      </c>
      <c r="H101" s="114"/>
      <c r="I101" s="37"/>
      <c r="J101" s="36">
        <f>K101</f>
        <v>318966.35366190004</v>
      </c>
      <c r="K101" s="254">
        <f>[1]RESUMO!$G$41</f>
        <v>318966.35366190004</v>
      </c>
      <c r="L101" s="4"/>
      <c r="M101" s="217">
        <f t="shared" si="71"/>
        <v>0</v>
      </c>
      <c r="N101" s="217">
        <f t="shared" si="72"/>
        <v>318966.35366190004</v>
      </c>
      <c r="O101" s="433">
        <f t="shared" si="73"/>
        <v>0</v>
      </c>
      <c r="P101" s="217">
        <f t="shared" si="74"/>
        <v>318966.35366190004</v>
      </c>
      <c r="Q101" s="200"/>
      <c r="W101" s="38"/>
    </row>
    <row r="102" spans="1:26" ht="15.75" x14ac:dyDescent="0.25">
      <c r="B102" s="80" t="s">
        <v>136</v>
      </c>
      <c r="C102" s="53" t="s">
        <v>133</v>
      </c>
      <c r="D102" s="68"/>
      <c r="E102" s="66"/>
      <c r="F102" s="79" t="s">
        <v>155</v>
      </c>
      <c r="G102" s="53">
        <v>2023</v>
      </c>
      <c r="H102" s="116"/>
      <c r="I102" s="79"/>
      <c r="J102" s="128">
        <f>K102</f>
        <v>930380.21402146725</v>
      </c>
      <c r="K102" s="273">
        <f>[1]RESUMO!$J$94</f>
        <v>930380.21402146725</v>
      </c>
      <c r="L102" s="6"/>
      <c r="M102" s="221">
        <f t="shared" si="71"/>
        <v>0</v>
      </c>
      <c r="N102" s="221">
        <f t="shared" si="72"/>
        <v>930380.21402146725</v>
      </c>
      <c r="O102" s="434">
        <f t="shared" si="73"/>
        <v>0</v>
      </c>
      <c r="P102" s="221">
        <f t="shared" si="74"/>
        <v>930380.21402146725</v>
      </c>
      <c r="Q102" s="200"/>
      <c r="S102" s="30"/>
    </row>
    <row r="103" spans="1:26" x14ac:dyDescent="0.25">
      <c r="G103" s="1"/>
      <c r="H103" s="108"/>
      <c r="K103" s="262"/>
      <c r="M103" s="212"/>
      <c r="N103" s="212"/>
      <c r="O103" s="18"/>
      <c r="P103" s="212"/>
    </row>
    <row r="104" spans="1:26" x14ac:dyDescent="0.25">
      <c r="A104" s="137">
        <v>14</v>
      </c>
      <c r="B104" s="85" t="s">
        <v>44</v>
      </c>
      <c r="D104" s="242" t="s">
        <v>205</v>
      </c>
      <c r="E104" s="188">
        <f>(2.24+1.3)/2</f>
        <v>1.77</v>
      </c>
      <c r="H104" s="156"/>
      <c r="I104" s="37"/>
      <c r="J104" s="157">
        <f>SUM(J105:J109)</f>
        <v>16465690.00635167</v>
      </c>
      <c r="K104" s="263"/>
      <c r="L104" s="45"/>
      <c r="M104" s="220">
        <f>SUM(M105:M109)</f>
        <v>13119536.569460548</v>
      </c>
      <c r="N104" s="220">
        <f>SUM(N105:N109)</f>
        <v>3346153.4368911227</v>
      </c>
      <c r="O104" s="422">
        <f>SUM(O105:O109)</f>
        <v>13119536.569460548</v>
      </c>
      <c r="P104" s="220">
        <f>SUM(P105:P109)</f>
        <v>3346153.4368911227</v>
      </c>
      <c r="Q104" s="297"/>
      <c r="S104" s="30"/>
    </row>
    <row r="105" spans="1:26" ht="15.75" x14ac:dyDescent="0.25">
      <c r="B105" t="s">
        <v>208</v>
      </c>
      <c r="C105" s="1" t="s">
        <v>133</v>
      </c>
      <c r="D105" s="23">
        <v>460.67985402946346</v>
      </c>
      <c r="E105" s="9" t="s">
        <v>54</v>
      </c>
      <c r="F105" s="4" t="s">
        <v>165</v>
      </c>
      <c r="G105" s="287">
        <v>2010</v>
      </c>
      <c r="H105" s="114" t="s">
        <v>109</v>
      </c>
      <c r="I105" s="90">
        <v>2.45945480969046</v>
      </c>
      <c r="J105" s="36">
        <f>D105*E104*7391*I105</f>
        <v>14822263.73203627</v>
      </c>
      <c r="K105" s="267">
        <f>[1]RESUMO!$L$34</f>
        <v>1907139.5848892003</v>
      </c>
      <c r="L105" s="4"/>
      <c r="M105" s="217">
        <f t="shared" ref="M105:M109" si="75">J105-K105</f>
        <v>12915124.147147071</v>
      </c>
      <c r="N105" s="217">
        <f t="shared" ref="N105:N109" si="76">K105</f>
        <v>1907139.5848892003</v>
      </c>
      <c r="O105" s="433">
        <f>M105</f>
        <v>12915124.147147071</v>
      </c>
      <c r="P105" s="217">
        <f>N105</f>
        <v>1907139.5848892003</v>
      </c>
      <c r="Q105" s="200"/>
      <c r="R105" s="4"/>
      <c r="S105" s="4"/>
      <c r="T105" s="4"/>
      <c r="W105" s="9"/>
      <c r="X105" s="4"/>
      <c r="Y105" s="4"/>
      <c r="Z105" s="4"/>
    </row>
    <row r="106" spans="1:26" ht="15.75" x14ac:dyDescent="0.25">
      <c r="B106" t="s">
        <v>38</v>
      </c>
      <c r="C106" s="1" t="s">
        <v>133</v>
      </c>
      <c r="D106" s="241">
        <v>8.0798396563723299E-3</v>
      </c>
      <c r="E106" s="9" t="s">
        <v>187</v>
      </c>
      <c r="F106" s="4" t="s">
        <v>165</v>
      </c>
      <c r="G106" s="287">
        <v>2010</v>
      </c>
      <c r="H106" s="114"/>
      <c r="I106" s="47"/>
      <c r="J106" s="36">
        <f>J105*D106</f>
        <v>119761.51429931598</v>
      </c>
      <c r="K106" s="254"/>
      <c r="L106" s="4"/>
      <c r="M106" s="217">
        <f t="shared" si="75"/>
        <v>119761.51429931598</v>
      </c>
      <c r="N106" s="217">
        <f t="shared" si="76"/>
        <v>0</v>
      </c>
      <c r="O106" s="433">
        <f t="shared" ref="O106:O109" si="77">M106</f>
        <v>119761.51429931598</v>
      </c>
      <c r="P106" s="217">
        <f t="shared" ref="P106:P109" si="78">N106</f>
        <v>0</v>
      </c>
      <c r="Q106" s="200"/>
      <c r="R106" s="4"/>
      <c r="S106" s="4"/>
      <c r="T106" s="4"/>
      <c r="W106" s="9"/>
      <c r="X106" s="4"/>
      <c r="Y106" s="4"/>
      <c r="Z106" s="4"/>
    </row>
    <row r="107" spans="1:26" ht="15.75" x14ac:dyDescent="0.25">
      <c r="B107" t="s">
        <v>29</v>
      </c>
      <c r="C107" s="1" t="s">
        <v>133</v>
      </c>
      <c r="D107" s="241">
        <v>0.70682897180638637</v>
      </c>
      <c r="E107" s="9" t="s">
        <v>186</v>
      </c>
      <c r="F107" s="4" t="s">
        <v>167</v>
      </c>
      <c r="G107" s="287">
        <v>2010</v>
      </c>
      <c r="H107" s="114"/>
      <c r="I107" s="47"/>
      <c r="J107" s="36">
        <f>J106*D107</f>
        <v>84650.908014161352</v>
      </c>
      <c r="K107" s="262"/>
      <c r="M107" s="217">
        <f t="shared" si="75"/>
        <v>84650.908014161352</v>
      </c>
      <c r="N107" s="217">
        <f t="shared" si="76"/>
        <v>0</v>
      </c>
      <c r="O107" s="433">
        <f t="shared" si="77"/>
        <v>84650.908014161352</v>
      </c>
      <c r="P107" s="217">
        <f t="shared" si="78"/>
        <v>0</v>
      </c>
      <c r="Q107" s="200"/>
      <c r="R107" s="4"/>
      <c r="S107" s="4"/>
      <c r="T107" s="4"/>
      <c r="W107" s="9"/>
      <c r="X107" s="4"/>
      <c r="Y107" s="4"/>
      <c r="Z107" s="4"/>
    </row>
    <row r="108" spans="1:26" ht="15.75" x14ac:dyDescent="0.25">
      <c r="B108" t="s">
        <v>96</v>
      </c>
      <c r="C108" s="1" t="s">
        <v>133</v>
      </c>
      <c r="F108" s="4" t="s">
        <v>155</v>
      </c>
      <c r="G108" s="287">
        <v>2023</v>
      </c>
      <c r="H108" s="114"/>
      <c r="I108" s="37"/>
      <c r="J108" s="36">
        <f>K108</f>
        <v>166688.70217776002</v>
      </c>
      <c r="K108" s="254">
        <f>[1]RESUMO!$G$42</f>
        <v>166688.70217776002</v>
      </c>
      <c r="M108" s="217">
        <f t="shared" si="75"/>
        <v>0</v>
      </c>
      <c r="N108" s="217">
        <f t="shared" si="76"/>
        <v>166688.70217776002</v>
      </c>
      <c r="O108" s="433">
        <f t="shared" si="77"/>
        <v>0</v>
      </c>
      <c r="P108" s="217">
        <f t="shared" si="78"/>
        <v>166688.70217776002</v>
      </c>
      <c r="Q108" s="200"/>
      <c r="W108" s="38"/>
    </row>
    <row r="109" spans="1:26" ht="15.75" x14ac:dyDescent="0.25">
      <c r="B109" s="80" t="s">
        <v>136</v>
      </c>
      <c r="C109" s="53" t="s">
        <v>133</v>
      </c>
      <c r="D109" s="68"/>
      <c r="E109" s="66"/>
      <c r="F109" s="79" t="s">
        <v>155</v>
      </c>
      <c r="G109" s="53">
        <v>2023</v>
      </c>
      <c r="H109" s="116"/>
      <c r="I109" s="79"/>
      <c r="J109" s="128">
        <f>K109</f>
        <v>1272325.1498241622</v>
      </c>
      <c r="K109" s="273">
        <f>[1]RESUMO!$L$94</f>
        <v>1272325.1498241622</v>
      </c>
      <c r="L109" s="6"/>
      <c r="M109" s="221">
        <f t="shared" si="75"/>
        <v>0</v>
      </c>
      <c r="N109" s="221">
        <f t="shared" si="76"/>
        <v>1272325.1498241622</v>
      </c>
      <c r="O109" s="434">
        <f t="shared" si="77"/>
        <v>0</v>
      </c>
      <c r="P109" s="221">
        <f t="shared" si="78"/>
        <v>1272325.1498241622</v>
      </c>
      <c r="Q109" s="200"/>
      <c r="S109" s="30"/>
    </row>
    <row r="110" spans="1:26" x14ac:dyDescent="0.25">
      <c r="G110" s="1"/>
      <c r="H110" s="108"/>
      <c r="K110" s="262"/>
      <c r="M110" s="212"/>
      <c r="N110" s="212"/>
      <c r="O110" s="18"/>
      <c r="P110" s="212"/>
    </row>
    <row r="111" spans="1:26" x14ac:dyDescent="0.25">
      <c r="A111" s="137">
        <v>15</v>
      </c>
      <c r="B111" s="85" t="s">
        <v>43</v>
      </c>
      <c r="D111" s="242" t="s">
        <v>205</v>
      </c>
      <c r="E111" s="188">
        <f>(8.37+1.3)/2</f>
        <v>4.835</v>
      </c>
      <c r="H111" s="156"/>
      <c r="I111" s="37"/>
      <c r="J111" s="157">
        <f>SUM(J112:J116)</f>
        <v>78410765.773613244</v>
      </c>
      <c r="K111" s="263"/>
      <c r="L111" s="45"/>
      <c r="M111" s="220">
        <f>SUM(M112:M116)</f>
        <v>61321930.370310001</v>
      </c>
      <c r="N111" s="220">
        <f>SUM(N112:N116)</f>
        <v>17088835.403303232</v>
      </c>
      <c r="O111" s="422">
        <f>SUM(O112:O116)</f>
        <v>61321930.370310001</v>
      </c>
      <c r="P111" s="220">
        <f>SUM(P112:P116)</f>
        <v>17088835.403303232</v>
      </c>
      <c r="Q111" s="297"/>
      <c r="S111" s="30"/>
    </row>
    <row r="112" spans="1:26" ht="15.75" x14ac:dyDescent="0.25">
      <c r="B112" t="s">
        <v>209</v>
      </c>
      <c r="C112" s="1" t="s">
        <v>133</v>
      </c>
      <c r="D112" s="23">
        <v>460.67985402946346</v>
      </c>
      <c r="E112" s="9" t="s">
        <v>54</v>
      </c>
      <c r="F112" s="4" t="s">
        <v>165</v>
      </c>
      <c r="G112" s="287">
        <v>2010</v>
      </c>
      <c r="H112" s="114" t="s">
        <v>109</v>
      </c>
      <c r="I112" s="90">
        <v>2.45945480969046</v>
      </c>
      <c r="J112" s="36">
        <f>D112*E111*11650*I112</f>
        <v>63820539.557746291</v>
      </c>
      <c r="K112" s="267">
        <f>[1]RESUMO!$K$34</f>
        <v>3014268.9138460429</v>
      </c>
      <c r="L112" s="4"/>
      <c r="M112" s="217">
        <f t="shared" ref="M112:M116" si="79">J112-K112</f>
        <v>60806270.643900245</v>
      </c>
      <c r="N112" s="217">
        <f t="shared" ref="N112:N116" si="80">K112</f>
        <v>3014268.9138460429</v>
      </c>
      <c r="O112" s="433">
        <f>M112</f>
        <v>60806270.643900245</v>
      </c>
      <c r="P112" s="217">
        <f>N112</f>
        <v>3014268.9138460429</v>
      </c>
      <c r="Q112" s="200"/>
      <c r="R112" s="4"/>
      <c r="S112" s="4"/>
      <c r="T112" s="4"/>
      <c r="W112" s="9"/>
      <c r="X112" s="4"/>
      <c r="Y112" s="4"/>
      <c r="Z112" s="4"/>
    </row>
    <row r="113" spans="1:29" ht="15.75" x14ac:dyDescent="0.25">
      <c r="B113" t="s">
        <v>38</v>
      </c>
      <c r="C113" s="1" t="s">
        <v>133</v>
      </c>
      <c r="D113" s="241">
        <v>8.0798396563723299E-3</v>
      </c>
      <c r="E113" s="9" t="s">
        <v>187</v>
      </c>
      <c r="F113" s="4" t="s">
        <v>165</v>
      </c>
      <c r="G113" s="287">
        <v>2010</v>
      </c>
      <c r="H113" s="114"/>
      <c r="I113" s="47"/>
      <c r="J113" s="36">
        <f>J112*D113</f>
        <v>515659.72640975745</v>
      </c>
      <c r="K113" s="254"/>
      <c r="L113" s="4"/>
      <c r="M113" s="217">
        <f t="shared" si="79"/>
        <v>515659.72640975745</v>
      </c>
      <c r="N113" s="217">
        <f t="shared" si="80"/>
        <v>0</v>
      </c>
      <c r="O113" s="433">
        <f t="shared" ref="O113:O116" si="81">M113</f>
        <v>515659.72640975745</v>
      </c>
      <c r="P113" s="217">
        <f t="shared" ref="P113:P116" si="82">N113</f>
        <v>0</v>
      </c>
      <c r="Q113" s="200"/>
      <c r="R113" s="4"/>
      <c r="S113" s="4"/>
      <c r="T113" s="4"/>
      <c r="W113" s="9"/>
      <c r="X113" s="4"/>
      <c r="Y113" s="4"/>
      <c r="Z113" s="4"/>
    </row>
    <row r="114" spans="1:29" ht="15.75" x14ac:dyDescent="0.25">
      <c r="B114" t="s">
        <v>29</v>
      </c>
      <c r="C114" s="1" t="s">
        <v>133</v>
      </c>
      <c r="E114" s="24"/>
      <c r="F114" s="4" t="s">
        <v>155</v>
      </c>
      <c r="G114" s="287">
        <v>2023</v>
      </c>
      <c r="H114" s="114"/>
      <c r="I114" s="47"/>
      <c r="J114" s="36">
        <f>K114</f>
        <v>11220487.188864799</v>
      </c>
      <c r="K114" s="254">
        <f>[1]RESUMO!$G$53</f>
        <v>11220487.188864799</v>
      </c>
      <c r="L114" s="4"/>
      <c r="M114" s="217">
        <f t="shared" si="79"/>
        <v>0</v>
      </c>
      <c r="N114" s="217">
        <f t="shared" si="80"/>
        <v>11220487.188864799</v>
      </c>
      <c r="O114" s="433">
        <f t="shared" si="81"/>
        <v>0</v>
      </c>
      <c r="P114" s="217">
        <f t="shared" si="82"/>
        <v>11220487.188864799</v>
      </c>
      <c r="Q114" s="200"/>
      <c r="R114" s="4"/>
      <c r="S114" s="4"/>
      <c r="T114" s="4"/>
      <c r="W114" s="9"/>
      <c r="X114" s="4"/>
      <c r="Y114" s="4"/>
      <c r="Z114" s="4"/>
    </row>
    <row r="115" spans="1:29" ht="15.75" x14ac:dyDescent="0.25">
      <c r="B115" t="s">
        <v>37</v>
      </c>
      <c r="C115" s="1" t="s">
        <v>133</v>
      </c>
      <c r="F115" s="4" t="s">
        <v>155</v>
      </c>
      <c r="G115" s="287">
        <v>2023</v>
      </c>
      <c r="H115" s="114"/>
      <c r="I115" s="37"/>
      <c r="J115" s="36">
        <f>K115</f>
        <v>843146.18494301999</v>
      </c>
      <c r="K115" s="254">
        <f>[1]RESUMO!$G$43</f>
        <v>843146.18494301999</v>
      </c>
      <c r="L115" s="4"/>
      <c r="M115" s="217">
        <f t="shared" si="79"/>
        <v>0</v>
      </c>
      <c r="N115" s="217">
        <f t="shared" si="80"/>
        <v>843146.18494301999</v>
      </c>
      <c r="O115" s="433">
        <f t="shared" si="81"/>
        <v>0</v>
      </c>
      <c r="P115" s="217">
        <f t="shared" si="82"/>
        <v>843146.18494301999</v>
      </c>
      <c r="Q115" s="200"/>
      <c r="W115" s="38"/>
    </row>
    <row r="116" spans="1:29" ht="15.75" x14ac:dyDescent="0.25">
      <c r="B116" s="80" t="s">
        <v>136</v>
      </c>
      <c r="C116" s="53" t="s">
        <v>133</v>
      </c>
      <c r="D116" s="68"/>
      <c r="E116" s="66"/>
      <c r="F116" s="79" t="s">
        <v>155</v>
      </c>
      <c r="G116" s="53">
        <v>2023</v>
      </c>
      <c r="H116" s="116"/>
      <c r="I116" s="79"/>
      <c r="J116" s="128">
        <f>K116</f>
        <v>2010933.1156493679</v>
      </c>
      <c r="K116" s="273">
        <f>[1]RESUMO!$K$94</f>
        <v>2010933.1156493679</v>
      </c>
      <c r="L116" s="6"/>
      <c r="M116" s="221">
        <f t="shared" si="79"/>
        <v>0</v>
      </c>
      <c r="N116" s="221">
        <f t="shared" si="80"/>
        <v>2010933.1156493679</v>
      </c>
      <c r="O116" s="434">
        <f t="shared" si="81"/>
        <v>0</v>
      </c>
      <c r="P116" s="221">
        <f t="shared" si="82"/>
        <v>2010933.1156493679</v>
      </c>
      <c r="Q116" s="200"/>
      <c r="S116" s="30"/>
    </row>
    <row r="117" spans="1:29" x14ac:dyDescent="0.25">
      <c r="G117" s="1"/>
      <c r="H117" s="108"/>
      <c r="K117" s="254"/>
      <c r="M117" s="212"/>
      <c r="N117" s="212"/>
      <c r="O117" s="18"/>
      <c r="P117" s="212"/>
    </row>
    <row r="118" spans="1:29" x14ac:dyDescent="0.25">
      <c r="A118" s="137">
        <v>16</v>
      </c>
      <c r="B118" s="85" t="s">
        <v>42</v>
      </c>
      <c r="H118" s="156"/>
      <c r="I118" s="37"/>
      <c r="J118" s="157">
        <f>SUM(J119:J125)</f>
        <v>14401846.8091665</v>
      </c>
      <c r="K118" s="263"/>
      <c r="L118" s="45"/>
      <c r="M118" s="220">
        <f>SUM(M119:M125)</f>
        <v>14171491.7239665</v>
      </c>
      <c r="N118" s="220">
        <f>SUM(N119:N125)</f>
        <v>230355.0852</v>
      </c>
      <c r="O118" s="422">
        <f>SUM(O119:O125)</f>
        <v>14171491.7239665</v>
      </c>
      <c r="P118" s="220">
        <f>SUM(P119:P125)</f>
        <v>230355.0852</v>
      </c>
      <c r="Q118" s="297"/>
      <c r="S118" s="30"/>
    </row>
    <row r="119" spans="1:29" ht="15.75" x14ac:dyDescent="0.25">
      <c r="B119" t="s">
        <v>116</v>
      </c>
      <c r="H119" s="114"/>
      <c r="I119" s="37"/>
      <c r="J119" s="36">
        <f>(D123+D124)*SUM(J120:J124)</f>
        <v>1848455.4422565005</v>
      </c>
      <c r="K119" s="262"/>
      <c r="L119" s="30"/>
      <c r="M119" s="217">
        <f t="shared" ref="M119:M125" si="83">J119-K119</f>
        <v>1848455.4422565005</v>
      </c>
      <c r="N119" s="217">
        <f t="shared" ref="N119:N125" si="84">K119</f>
        <v>0</v>
      </c>
      <c r="O119" s="433">
        <f>M119</f>
        <v>1848455.4422565005</v>
      </c>
      <c r="P119" s="217">
        <f>N119</f>
        <v>0</v>
      </c>
      <c r="Q119" s="200"/>
    </row>
    <row r="120" spans="1:29" ht="15.75" x14ac:dyDescent="0.25">
      <c r="B120" t="s">
        <v>66</v>
      </c>
      <c r="C120" s="1" t="s">
        <v>133</v>
      </c>
      <c r="D120" s="1" t="s">
        <v>69</v>
      </c>
      <c r="E120" s="1" t="s">
        <v>70</v>
      </c>
      <c r="F120" s="40" t="s">
        <v>99</v>
      </c>
      <c r="G120" s="118">
        <v>2023</v>
      </c>
      <c r="H120" s="114"/>
      <c r="I120" s="69"/>
      <c r="J120" s="145">
        <f>2*(440.1*7273.41)</f>
        <v>6402055.4819999998</v>
      </c>
      <c r="K120" s="262"/>
      <c r="L120" s="204"/>
      <c r="M120" s="217">
        <f t="shared" si="83"/>
        <v>6402055.4819999998</v>
      </c>
      <c r="N120" s="217">
        <f t="shared" si="84"/>
        <v>0</v>
      </c>
      <c r="O120" s="433">
        <f t="shared" ref="O120:O123" si="85">M120</f>
        <v>6402055.4819999998</v>
      </c>
      <c r="P120" s="217">
        <f t="shared" ref="P120:P123" si="86">N120</f>
        <v>0</v>
      </c>
      <c r="Q120" s="200"/>
    </row>
    <row r="121" spans="1:29" ht="15.75" x14ac:dyDescent="0.25">
      <c r="B121" t="s">
        <v>67</v>
      </c>
      <c r="C121" s="1" t="s">
        <v>133</v>
      </c>
      <c r="D121" s="1" t="s">
        <v>71</v>
      </c>
      <c r="E121" s="1" t="s">
        <v>72</v>
      </c>
      <c r="F121" s="40" t="s">
        <v>99</v>
      </c>
      <c r="G121" s="118">
        <v>2023</v>
      </c>
      <c r="H121" s="114"/>
      <c r="I121" s="69"/>
      <c r="J121" s="145">
        <f>1*(400*5818.97)</f>
        <v>2327588</v>
      </c>
      <c r="K121" s="262"/>
      <c r="L121" s="204"/>
      <c r="M121" s="217">
        <f t="shared" si="83"/>
        <v>2327588</v>
      </c>
      <c r="N121" s="217">
        <f t="shared" si="84"/>
        <v>0</v>
      </c>
      <c r="O121" s="433">
        <f t="shared" si="85"/>
        <v>2327588</v>
      </c>
      <c r="P121" s="217">
        <f t="shared" si="86"/>
        <v>0</v>
      </c>
      <c r="Q121" s="200"/>
    </row>
    <row r="122" spans="1:29" ht="15.75" x14ac:dyDescent="0.25">
      <c r="B122" t="s">
        <v>68</v>
      </c>
      <c r="C122" s="1" t="s">
        <v>133</v>
      </c>
      <c r="D122" s="1" t="s">
        <v>71</v>
      </c>
      <c r="E122" s="1" t="s">
        <v>73</v>
      </c>
      <c r="F122" s="40" t="s">
        <v>99</v>
      </c>
      <c r="G122" s="118">
        <v>2023</v>
      </c>
      <c r="H122" s="114"/>
      <c r="I122" s="69"/>
      <c r="J122" s="145">
        <f>1*(400*4849.13)</f>
        <v>1939652</v>
      </c>
      <c r="K122" s="262"/>
      <c r="L122" s="204"/>
      <c r="M122" s="217">
        <f t="shared" si="83"/>
        <v>1939652</v>
      </c>
      <c r="N122" s="217">
        <f t="shared" si="84"/>
        <v>0</v>
      </c>
      <c r="O122" s="433">
        <f t="shared" si="85"/>
        <v>1939652</v>
      </c>
      <c r="P122" s="217">
        <f t="shared" si="86"/>
        <v>0</v>
      </c>
      <c r="Q122" s="200"/>
    </row>
    <row r="123" spans="1:29" ht="15.75" x14ac:dyDescent="0.25">
      <c r="B123" t="s">
        <v>75</v>
      </c>
      <c r="C123" s="1" t="s">
        <v>133</v>
      </c>
      <c r="D123" s="235">
        <v>0.05</v>
      </c>
      <c r="E123" s="161" t="s">
        <v>157</v>
      </c>
      <c r="G123" s="118">
        <v>2023</v>
      </c>
      <c r="H123" s="114"/>
      <c r="I123" s="69"/>
      <c r="J123" s="148">
        <f>D123*SUM(J120:J122)</f>
        <v>533464.77410000004</v>
      </c>
      <c r="K123" s="262"/>
      <c r="L123" s="204"/>
      <c r="M123" s="217">
        <f t="shared" si="83"/>
        <v>533464.77410000004</v>
      </c>
      <c r="N123" s="217">
        <f t="shared" si="84"/>
        <v>0</v>
      </c>
      <c r="O123" s="433">
        <f t="shared" si="85"/>
        <v>533464.77410000004</v>
      </c>
      <c r="P123" s="217">
        <f t="shared" si="86"/>
        <v>0</v>
      </c>
      <c r="Q123" s="200"/>
    </row>
    <row r="124" spans="1:29" ht="15.75" x14ac:dyDescent="0.25">
      <c r="B124" t="s">
        <v>76</v>
      </c>
      <c r="C124" s="1" t="s">
        <v>133</v>
      </c>
      <c r="D124" s="235">
        <v>0.1</v>
      </c>
      <c r="E124" s="40" t="s">
        <v>156</v>
      </c>
      <c r="G124" s="118">
        <v>2023</v>
      </c>
      <c r="H124" s="114"/>
      <c r="I124" s="69"/>
      <c r="J124" s="36">
        <f>D124*SUM(J120:J123)</f>
        <v>1120276.0256100001</v>
      </c>
      <c r="K124" s="262"/>
      <c r="L124" s="30"/>
      <c r="M124" s="217">
        <f t="shared" si="83"/>
        <v>1120276.0256100001</v>
      </c>
      <c r="N124" s="217">
        <f t="shared" si="84"/>
        <v>0</v>
      </c>
      <c r="O124" s="433">
        <f t="shared" ref="O124:O125" si="87">M124</f>
        <v>1120276.0256100001</v>
      </c>
      <c r="P124" s="217">
        <f t="shared" ref="P124:P125" si="88">N124</f>
        <v>0</v>
      </c>
      <c r="Q124" s="200"/>
    </row>
    <row r="125" spans="1:29" ht="15.75" x14ac:dyDescent="0.25">
      <c r="B125" s="80" t="s">
        <v>136</v>
      </c>
      <c r="C125" s="53" t="s">
        <v>133</v>
      </c>
      <c r="D125" s="68"/>
      <c r="E125" s="66"/>
      <c r="F125" s="79" t="s">
        <v>155</v>
      </c>
      <c r="G125" s="53">
        <v>2023</v>
      </c>
      <c r="H125" s="116"/>
      <c r="I125" s="79"/>
      <c r="J125" s="128">
        <f>K125</f>
        <v>230355.0852</v>
      </c>
      <c r="K125" s="273">
        <f>[1]RESUMO!$G$94</f>
        <v>230355.0852</v>
      </c>
      <c r="L125" s="31"/>
      <c r="M125" s="221">
        <f t="shared" si="83"/>
        <v>0</v>
      </c>
      <c r="N125" s="221">
        <f t="shared" si="84"/>
        <v>230355.0852</v>
      </c>
      <c r="O125" s="434">
        <f t="shared" si="87"/>
        <v>0</v>
      </c>
      <c r="P125" s="221">
        <f t="shared" si="88"/>
        <v>230355.0852</v>
      </c>
      <c r="Q125" s="200"/>
    </row>
    <row r="126" spans="1:29" x14ac:dyDescent="0.25">
      <c r="G126" s="1"/>
      <c r="H126" s="108"/>
      <c r="K126" s="262"/>
      <c r="M126" s="212"/>
      <c r="N126" s="212"/>
      <c r="O126" s="18"/>
      <c r="P126" s="212"/>
    </row>
    <row r="127" spans="1:29" x14ac:dyDescent="0.25">
      <c r="A127" s="137">
        <v>17</v>
      </c>
      <c r="B127" s="85" t="s">
        <v>35</v>
      </c>
      <c r="D127" s="98">
        <v>6</v>
      </c>
      <c r="E127" s="91" t="s">
        <v>98</v>
      </c>
      <c r="H127" s="156"/>
      <c r="I127" s="37"/>
      <c r="J127" s="157">
        <f>SUM(J128:J130)</f>
        <v>523228.89544104005</v>
      </c>
      <c r="K127" s="263"/>
      <c r="L127" s="45"/>
      <c r="M127" s="220">
        <f>SUM(M128:M130)</f>
        <v>366260.22680872801</v>
      </c>
      <c r="N127" s="220">
        <f>SUM(N128:N130)</f>
        <v>156968.66863231201</v>
      </c>
      <c r="O127" s="422">
        <f>SUM(O128:O130)</f>
        <v>366260.22680872801</v>
      </c>
      <c r="P127" s="220">
        <f>SUM(P128:P130)</f>
        <v>156968.66863231201</v>
      </c>
      <c r="Q127" s="297"/>
      <c r="R127" s="45"/>
      <c r="S127" s="45"/>
      <c r="T127" s="45"/>
      <c r="U127" s="45"/>
      <c r="V127" s="45"/>
      <c r="W127" s="45"/>
      <c r="X127" s="45"/>
      <c r="Y127" s="45"/>
      <c r="Z127" s="46"/>
      <c r="AA127" s="45"/>
      <c r="AB127" s="45"/>
      <c r="AC127" s="45"/>
    </row>
    <row r="128" spans="1:29" ht="15.75" x14ac:dyDescent="0.25">
      <c r="B128" t="s">
        <v>21</v>
      </c>
      <c r="C128" s="1" t="s">
        <v>133</v>
      </c>
      <c r="D128" s="44">
        <v>0.3</v>
      </c>
      <c r="F128" s="4" t="s">
        <v>155</v>
      </c>
      <c r="G128" s="287">
        <v>2023</v>
      </c>
      <c r="H128" s="114"/>
      <c r="I128" s="37"/>
      <c r="J128" s="36">
        <f>K128</f>
        <v>156968.66863231201</v>
      </c>
      <c r="K128" s="254">
        <f>[1]RESUMO!$G$28</f>
        <v>156968.66863231201</v>
      </c>
      <c r="L128" s="45"/>
      <c r="M128" s="217">
        <f t="shared" ref="M128:M129" si="89">J128-K128</f>
        <v>0</v>
      </c>
      <c r="N128" s="217">
        <f t="shared" ref="N128:N129" si="90">K128</f>
        <v>156968.66863231201</v>
      </c>
      <c r="O128" s="433">
        <f>M128</f>
        <v>0</v>
      </c>
      <c r="P128" s="217">
        <f>N128</f>
        <v>156968.66863231201</v>
      </c>
      <c r="Q128" s="200"/>
      <c r="R128" s="4"/>
      <c r="S128" s="4"/>
      <c r="T128" s="4"/>
      <c r="W128" s="9"/>
      <c r="X128" s="4"/>
      <c r="Y128" s="4"/>
      <c r="Z128" s="4"/>
    </row>
    <row r="129" spans="1:29" ht="15.75" x14ac:dyDescent="0.25">
      <c r="B129" t="s">
        <v>95</v>
      </c>
      <c r="C129" s="1" t="s">
        <v>133</v>
      </c>
      <c r="D129" s="44">
        <v>0.7</v>
      </c>
      <c r="E129" s="161" t="s">
        <v>158</v>
      </c>
      <c r="H129" s="114"/>
      <c r="I129" s="37"/>
      <c r="J129" s="36">
        <f>(J128/0.3*0.7)</f>
        <v>366260.22680872801</v>
      </c>
      <c r="K129" s="254"/>
      <c r="L129" s="45"/>
      <c r="M129" s="217">
        <f t="shared" si="89"/>
        <v>366260.22680872801</v>
      </c>
      <c r="N129" s="217">
        <f t="shared" si="90"/>
        <v>0</v>
      </c>
      <c r="O129" s="433">
        <f t="shared" ref="O129:O130" si="91">M129</f>
        <v>366260.22680872801</v>
      </c>
      <c r="P129" s="217">
        <f t="shared" ref="P129:P130" si="92">N129</f>
        <v>0</v>
      </c>
      <c r="Q129" s="200"/>
      <c r="R129" s="4"/>
      <c r="S129" s="4"/>
      <c r="T129" s="4"/>
      <c r="W129" s="9"/>
      <c r="X129" s="4"/>
      <c r="Y129" s="4"/>
      <c r="Z129" s="4"/>
    </row>
    <row r="130" spans="1:29" ht="15.75" x14ac:dyDescent="0.25">
      <c r="B130" s="80" t="s">
        <v>136</v>
      </c>
      <c r="C130" s="53" t="s">
        <v>133</v>
      </c>
      <c r="D130" s="68"/>
      <c r="E130" s="66"/>
      <c r="F130" s="79"/>
      <c r="G130" s="53"/>
      <c r="H130" s="116"/>
      <c r="I130" s="79"/>
      <c r="J130" s="128">
        <f>J128*D130</f>
        <v>0</v>
      </c>
      <c r="K130" s="273">
        <f>J130</f>
        <v>0</v>
      </c>
      <c r="L130" s="6"/>
      <c r="M130" s="221">
        <f t="shared" ref="M130" si="93">J130-K130</f>
        <v>0</v>
      </c>
      <c r="N130" s="221">
        <f t="shared" ref="N130" si="94">K130</f>
        <v>0</v>
      </c>
      <c r="O130" s="434">
        <f t="shared" si="91"/>
        <v>0</v>
      </c>
      <c r="P130" s="221">
        <f t="shared" si="92"/>
        <v>0</v>
      </c>
      <c r="Q130" s="200"/>
      <c r="S130" s="30"/>
    </row>
    <row r="131" spans="1:29" x14ac:dyDescent="0.25">
      <c r="G131" s="1"/>
      <c r="H131" s="108"/>
      <c r="K131" s="262"/>
      <c r="M131" s="212"/>
      <c r="N131" s="212"/>
      <c r="O131" s="18"/>
      <c r="P131" s="212"/>
    </row>
    <row r="132" spans="1:29" x14ac:dyDescent="0.25">
      <c r="A132" s="137">
        <v>18</v>
      </c>
      <c r="B132" s="85" t="s">
        <v>36</v>
      </c>
      <c r="H132" s="156"/>
      <c r="I132" s="37"/>
      <c r="J132" s="157">
        <f>SUM(J133:J136)</f>
        <v>1251254.0048214346</v>
      </c>
      <c r="K132" s="263"/>
      <c r="L132" s="414"/>
      <c r="M132" s="220">
        <f>SUM(M133:M136)</f>
        <v>435038.2919253881</v>
      </c>
      <c r="N132" s="220">
        <f>SUM(N133:N136)</f>
        <v>816215.71289604646</v>
      </c>
      <c r="O132" s="422">
        <f>SUM(O133:O136)</f>
        <v>435038.2919253881</v>
      </c>
      <c r="P132" s="220">
        <f>SUM(P133:P136)</f>
        <v>816215.71289604646</v>
      </c>
      <c r="Q132" s="297"/>
      <c r="R132" s="45"/>
      <c r="S132" s="45"/>
      <c r="T132" s="45"/>
      <c r="U132" s="45"/>
      <c r="V132" s="45"/>
      <c r="W132" s="45"/>
      <c r="X132" s="45"/>
      <c r="Y132" s="45"/>
      <c r="Z132" s="46"/>
      <c r="AA132" s="45"/>
      <c r="AB132" s="45"/>
      <c r="AC132" s="45"/>
    </row>
    <row r="133" spans="1:29" ht="15.75" x14ac:dyDescent="0.25">
      <c r="B133" t="s">
        <v>21</v>
      </c>
      <c r="C133" s="1" t="s">
        <v>133</v>
      </c>
      <c r="D133" s="98">
        <v>22</v>
      </c>
      <c r="E133" s="91" t="s">
        <v>98</v>
      </c>
      <c r="F133" s="4" t="s">
        <v>155</v>
      </c>
      <c r="G133" s="287">
        <v>2023</v>
      </c>
      <c r="H133" s="114"/>
      <c r="I133" s="47"/>
      <c r="J133" s="36">
        <f>(K133/8)*22</f>
        <v>683631.60159703845</v>
      </c>
      <c r="K133" s="254">
        <f>[1]RESUMO!$G$29</f>
        <v>248593.30967165035</v>
      </c>
      <c r="L133" s="415"/>
      <c r="M133" s="217">
        <f t="shared" ref="M133:M136" si="95">J133-K133</f>
        <v>435038.2919253881</v>
      </c>
      <c r="N133" s="217">
        <f t="shared" ref="N133:N136" si="96">K133</f>
        <v>248593.30967165035</v>
      </c>
      <c r="O133" s="433">
        <f>M133</f>
        <v>435038.2919253881</v>
      </c>
      <c r="P133" s="217">
        <f>N133</f>
        <v>248593.30967165035</v>
      </c>
      <c r="Q133" s="200"/>
      <c r="R133" s="93" t="s">
        <v>181</v>
      </c>
      <c r="S133" s="4"/>
      <c r="T133" s="4"/>
      <c r="W133" s="9"/>
      <c r="X133" s="4"/>
      <c r="Y133" s="4"/>
      <c r="Z133" s="4"/>
    </row>
    <row r="134" spans="1:29" ht="15.75" x14ac:dyDescent="0.25">
      <c r="B134" t="s">
        <v>87</v>
      </c>
      <c r="C134" s="1" t="s">
        <v>133</v>
      </c>
      <c r="D134" s="23">
        <f>J133/0.6*0.4</f>
        <v>455754.40106469236</v>
      </c>
      <c r="E134" s="161" t="s">
        <v>168</v>
      </c>
      <c r="G134" s="118">
        <v>2023</v>
      </c>
      <c r="H134" s="114"/>
      <c r="I134" s="164"/>
      <c r="J134" s="149">
        <f>K134</f>
        <v>455754.40106469236</v>
      </c>
      <c r="K134" s="258">
        <f>[1]RESUMO!$G$54</f>
        <v>455754.40106469236</v>
      </c>
      <c r="L134" s="416"/>
      <c r="M134" s="217">
        <f t="shared" si="95"/>
        <v>0</v>
      </c>
      <c r="N134" s="217">
        <f t="shared" si="96"/>
        <v>455754.40106469236</v>
      </c>
      <c r="O134" s="433">
        <f t="shared" ref="O134:O135" si="97">M134</f>
        <v>0</v>
      </c>
      <c r="P134" s="217">
        <f t="shared" ref="P134:P135" si="98">N134</f>
        <v>455754.40106469236</v>
      </c>
      <c r="Q134" s="200"/>
      <c r="R134" s="4"/>
      <c r="S134" s="4"/>
      <c r="T134" s="4"/>
      <c r="W134" s="9"/>
      <c r="X134" s="4"/>
      <c r="Y134" s="4"/>
      <c r="Z134" s="4"/>
    </row>
    <row r="135" spans="1:29" ht="15.75" x14ac:dyDescent="0.25">
      <c r="B135" t="s">
        <v>37</v>
      </c>
      <c r="C135" s="1" t="s">
        <v>133</v>
      </c>
      <c r="D135" s="23">
        <f>L133*0.15</f>
        <v>0</v>
      </c>
      <c r="E135" s="161" t="s">
        <v>169</v>
      </c>
      <c r="G135" s="118">
        <v>2023</v>
      </c>
      <c r="H135" s="114"/>
      <c r="I135" s="37"/>
      <c r="J135" s="149">
        <f>K135</f>
        <v>68363.160159703853</v>
      </c>
      <c r="K135" s="258">
        <f>[1]RESUMO!$G$44</f>
        <v>68363.160159703853</v>
      </c>
      <c r="L135" s="416"/>
      <c r="M135" s="217">
        <f t="shared" si="95"/>
        <v>0</v>
      </c>
      <c r="N135" s="217">
        <f t="shared" si="96"/>
        <v>68363.160159703853</v>
      </c>
      <c r="O135" s="433">
        <f t="shared" si="97"/>
        <v>0</v>
      </c>
      <c r="P135" s="217">
        <f t="shared" si="98"/>
        <v>68363.160159703853</v>
      </c>
      <c r="Q135" s="200"/>
      <c r="R135" s="4"/>
      <c r="S135" s="4"/>
      <c r="T135" s="4"/>
      <c r="W135" s="9"/>
      <c r="X135" s="4"/>
      <c r="Y135" s="4"/>
      <c r="Z135" s="4"/>
    </row>
    <row r="136" spans="1:29" ht="15.75" x14ac:dyDescent="0.25">
      <c r="B136" s="80" t="s">
        <v>136</v>
      </c>
      <c r="C136" s="53" t="s">
        <v>133</v>
      </c>
      <c r="D136" s="68"/>
      <c r="E136" s="66"/>
      <c r="F136" s="79" t="s">
        <v>155</v>
      </c>
      <c r="G136" s="53">
        <v>2023</v>
      </c>
      <c r="H136" s="116"/>
      <c r="I136" s="79"/>
      <c r="J136" s="128">
        <f>K136</f>
        <v>43504.842000000004</v>
      </c>
      <c r="K136" s="273">
        <f>[1]RESUMO!$G$95</f>
        <v>43504.842000000004</v>
      </c>
      <c r="L136" s="6"/>
      <c r="M136" s="221">
        <f t="shared" si="95"/>
        <v>0</v>
      </c>
      <c r="N136" s="221">
        <f t="shared" si="96"/>
        <v>43504.842000000004</v>
      </c>
      <c r="O136" s="434">
        <f t="shared" ref="O136" si="99">M136</f>
        <v>0</v>
      </c>
      <c r="P136" s="221">
        <f t="shared" ref="P136" si="100">N136</f>
        <v>43504.842000000004</v>
      </c>
      <c r="Q136" s="200"/>
      <c r="S136" s="30"/>
    </row>
    <row r="137" spans="1:29" x14ac:dyDescent="0.25">
      <c r="B137" s="2"/>
      <c r="C137" s="73"/>
      <c r="D137" s="73"/>
      <c r="E137" s="73"/>
      <c r="F137" s="2"/>
      <c r="G137" s="73"/>
      <c r="H137" s="133"/>
      <c r="I137" s="134"/>
      <c r="J137" s="134"/>
      <c r="K137" s="268"/>
      <c r="M137" s="212"/>
      <c r="N137" s="212"/>
      <c r="O137" s="18"/>
      <c r="P137" s="212"/>
    </row>
    <row r="138" spans="1:29" x14ac:dyDescent="0.25">
      <c r="A138" s="137">
        <v>19</v>
      </c>
      <c r="B138" s="85" t="s">
        <v>32</v>
      </c>
      <c r="H138" s="156"/>
      <c r="I138" s="37"/>
      <c r="J138" s="157">
        <f>SUM(J139:J144)</f>
        <v>20849597.339400277</v>
      </c>
      <c r="K138" s="263"/>
      <c r="L138" s="45"/>
      <c r="M138" s="220">
        <f>SUM(M139:M144)</f>
        <v>17134336.945121977</v>
      </c>
      <c r="N138" s="220">
        <f>SUM(N139:N144)</f>
        <v>3715260.3942782977</v>
      </c>
      <c r="O138" s="422">
        <f>SUM(O139:O144)</f>
        <v>17134336.945121977</v>
      </c>
      <c r="P138" s="220">
        <f>SUM(P139:P144)</f>
        <v>3715260.3942782977</v>
      </c>
      <c r="Q138" s="297"/>
      <c r="R138" s="45" t="s">
        <v>135</v>
      </c>
      <c r="S138" s="139">
        <v>13275759.170129223</v>
      </c>
      <c r="T138" s="140">
        <v>1493002.4328000001</v>
      </c>
      <c r="U138" s="141" t="s">
        <v>139</v>
      </c>
      <c r="V138" s="45"/>
      <c r="W138" s="45"/>
      <c r="X138" s="45"/>
      <c r="Y138" s="45"/>
      <c r="Z138" s="46"/>
      <c r="AA138" s="45"/>
      <c r="AB138" s="45"/>
    </row>
    <row r="139" spans="1:29" ht="15.75" x14ac:dyDescent="0.25">
      <c r="B139" s="320" t="s">
        <v>154</v>
      </c>
      <c r="C139" s="12" t="s">
        <v>133</v>
      </c>
      <c r="D139" s="232">
        <v>710.72</v>
      </c>
      <c r="E139" s="48" t="s">
        <v>50</v>
      </c>
      <c r="F139" s="93" t="s">
        <v>165</v>
      </c>
      <c r="G139" s="321">
        <v>2010</v>
      </c>
      <c r="H139" s="322" t="s">
        <v>109</v>
      </c>
      <c r="I139" s="323">
        <v>2.4594548096904609</v>
      </c>
      <c r="J139" s="232">
        <f>(D139*SUM(R5:AC5)*I139)-SUM(J140:J143)</f>
        <v>17134336.945121977</v>
      </c>
      <c r="K139" s="269"/>
      <c r="L139" s="4"/>
      <c r="M139" s="217">
        <f t="shared" ref="M139:M144" si="101">J139-K139</f>
        <v>17134336.945121977</v>
      </c>
      <c r="N139" s="217">
        <f t="shared" ref="N139:N144" si="102">K139</f>
        <v>0</v>
      </c>
      <c r="O139" s="433">
        <f>M139</f>
        <v>17134336.945121977</v>
      </c>
      <c r="P139" s="217">
        <f>N139</f>
        <v>0</v>
      </c>
      <c r="Q139" s="200"/>
      <c r="S139" s="30"/>
      <c r="U139" s="4"/>
      <c r="V139" s="4"/>
      <c r="W139" s="4"/>
      <c r="Z139" s="9"/>
      <c r="AA139" s="4"/>
      <c r="AB139" s="4"/>
    </row>
    <row r="140" spans="1:29" ht="15.75" x14ac:dyDescent="0.25">
      <c r="B140" t="s">
        <v>39</v>
      </c>
      <c r="C140" s="1" t="s">
        <v>133</v>
      </c>
      <c r="D140" s="13">
        <v>5495</v>
      </c>
      <c r="E140" s="91" t="s">
        <v>1</v>
      </c>
      <c r="F140" s="4" t="s">
        <v>155</v>
      </c>
      <c r="G140" s="287">
        <v>2023</v>
      </c>
      <c r="H140" s="114"/>
      <c r="I140" s="37"/>
      <c r="J140" s="149">
        <f>K140</f>
        <v>104123.60133434685</v>
      </c>
      <c r="K140" s="255">
        <f>[1]RESUMO!$I$22</f>
        <v>104123.60133434685</v>
      </c>
      <c r="L140" s="4"/>
      <c r="M140" s="217">
        <f t="shared" si="101"/>
        <v>0</v>
      </c>
      <c r="N140" s="217">
        <f t="shared" si="102"/>
        <v>104123.60133434685</v>
      </c>
      <c r="O140" s="433">
        <f t="shared" ref="O140:O142" si="103">M140</f>
        <v>0</v>
      </c>
      <c r="P140" s="217">
        <f t="shared" ref="P140:P142" si="104">N140</f>
        <v>104123.60133434685</v>
      </c>
      <c r="Q140" s="200"/>
      <c r="R140" s="310" t="s">
        <v>291</v>
      </c>
      <c r="S140" s="319"/>
      <c r="T140" s="310"/>
      <c r="U140" s="4"/>
      <c r="V140" s="4"/>
      <c r="W140" s="4"/>
      <c r="Z140" s="9"/>
      <c r="AA140" s="4"/>
      <c r="AB140" s="4"/>
    </row>
    <row r="141" spans="1:29" ht="15.75" x14ac:dyDescent="0.25">
      <c r="B141" t="s">
        <v>40</v>
      </c>
      <c r="C141" s="1" t="s">
        <v>133</v>
      </c>
      <c r="D141" s="13">
        <v>5390</v>
      </c>
      <c r="E141" s="91" t="s">
        <v>1</v>
      </c>
      <c r="F141" s="4" t="s">
        <v>155</v>
      </c>
      <c r="G141" s="287">
        <v>2023</v>
      </c>
      <c r="H141" s="114"/>
      <c r="I141" s="37"/>
      <c r="J141" s="149">
        <f t="shared" ref="J141:J143" si="105">K141</f>
        <v>467688.50932677463</v>
      </c>
      <c r="K141" s="255">
        <f>[1]RESUMO!$J$22</f>
        <v>467688.50932677463</v>
      </c>
      <c r="L141" s="4"/>
      <c r="M141" s="217">
        <f t="shared" si="101"/>
        <v>0</v>
      </c>
      <c r="N141" s="217">
        <f t="shared" si="102"/>
        <v>467688.50932677463</v>
      </c>
      <c r="O141" s="433">
        <f t="shared" si="103"/>
        <v>0</v>
      </c>
      <c r="P141" s="217">
        <f t="shared" si="104"/>
        <v>467688.50932677463</v>
      </c>
      <c r="Q141" s="200"/>
      <c r="S141" s="30"/>
      <c r="U141" s="4"/>
      <c r="V141" s="4"/>
      <c r="W141" s="4"/>
      <c r="Z141" s="9"/>
      <c r="AA141" s="4"/>
      <c r="AB141" s="4"/>
    </row>
    <row r="142" spans="1:29" ht="15.75" x14ac:dyDescent="0.25">
      <c r="B142" t="s">
        <v>53</v>
      </c>
      <c r="C142" s="1" t="s">
        <v>133</v>
      </c>
      <c r="D142" s="11">
        <v>7371</v>
      </c>
      <c r="E142" s="40" t="s">
        <v>1</v>
      </c>
      <c r="F142" s="4" t="s">
        <v>155</v>
      </c>
      <c r="G142" s="287">
        <v>2023</v>
      </c>
      <c r="H142" s="114"/>
      <c r="I142" s="37"/>
      <c r="J142" s="149">
        <f t="shared" si="105"/>
        <v>639579.2211962255</v>
      </c>
      <c r="K142" s="255">
        <f>[1]RESUMO!$L$22</f>
        <v>639579.2211962255</v>
      </c>
      <c r="L142" s="4"/>
      <c r="M142" s="217">
        <f t="shared" si="101"/>
        <v>0</v>
      </c>
      <c r="N142" s="217">
        <f t="shared" si="102"/>
        <v>639579.2211962255</v>
      </c>
      <c r="O142" s="433">
        <f t="shared" si="103"/>
        <v>0</v>
      </c>
      <c r="P142" s="217">
        <f t="shared" si="104"/>
        <v>639579.2211962255</v>
      </c>
      <c r="Q142" s="200"/>
      <c r="S142" s="30"/>
      <c r="T142">
        <v>1</v>
      </c>
      <c r="U142" s="4"/>
      <c r="V142" s="4"/>
      <c r="W142" s="4"/>
      <c r="Z142" s="9"/>
      <c r="AA142" s="4"/>
      <c r="AB142" s="4"/>
    </row>
    <row r="143" spans="1:29" ht="15.75" x14ac:dyDescent="0.25">
      <c r="B143" t="s">
        <v>34</v>
      </c>
      <c r="C143" s="1" t="s">
        <v>133</v>
      </c>
      <c r="D143" s="11">
        <v>11650</v>
      </c>
      <c r="E143" s="40" t="s">
        <v>1</v>
      </c>
      <c r="F143" s="4" t="s">
        <v>155</v>
      </c>
      <c r="G143" s="287">
        <v>2023</v>
      </c>
      <c r="H143" s="114"/>
      <c r="I143" s="37"/>
      <c r="J143" s="149">
        <f t="shared" si="105"/>
        <v>1010866.6296209507</v>
      </c>
      <c r="K143" s="255">
        <f>[1]RESUMO!$K$22</f>
        <v>1010866.6296209507</v>
      </c>
      <c r="L143" s="4"/>
      <c r="M143" s="217">
        <f t="shared" si="101"/>
        <v>0</v>
      </c>
      <c r="N143" s="217">
        <f t="shared" si="102"/>
        <v>1010866.6296209507</v>
      </c>
      <c r="O143" s="433">
        <f t="shared" ref="O143:O144" si="106">M143</f>
        <v>0</v>
      </c>
      <c r="P143" s="217">
        <f t="shared" ref="P143:P144" si="107">N143</f>
        <v>1010866.6296209507</v>
      </c>
      <c r="Q143" s="200"/>
      <c r="S143" s="30"/>
      <c r="U143" s="4"/>
      <c r="V143" s="4"/>
      <c r="W143" s="4"/>
      <c r="Z143" s="9"/>
      <c r="AA143" s="4"/>
      <c r="AB143" s="4"/>
    </row>
    <row r="144" spans="1:29" ht="15.75" x14ac:dyDescent="0.25">
      <c r="B144" s="80" t="s">
        <v>136</v>
      </c>
      <c r="C144" s="53" t="s">
        <v>133</v>
      </c>
      <c r="D144" s="68"/>
      <c r="E144" s="66"/>
      <c r="F144" s="79" t="s">
        <v>155</v>
      </c>
      <c r="G144" s="53">
        <v>2023</v>
      </c>
      <c r="H144" s="116"/>
      <c r="I144" s="79"/>
      <c r="J144" s="128">
        <f>K144</f>
        <v>1493002.4328000001</v>
      </c>
      <c r="K144" s="273">
        <f>[1]RESUMO!$G$97</f>
        <v>1493002.4328000001</v>
      </c>
      <c r="L144" s="206" t="s">
        <v>159</v>
      </c>
      <c r="M144" s="221">
        <f t="shared" si="101"/>
        <v>0</v>
      </c>
      <c r="N144" s="221">
        <f t="shared" si="102"/>
        <v>1493002.4328000001</v>
      </c>
      <c r="O144" s="434">
        <f t="shared" si="106"/>
        <v>0</v>
      </c>
      <c r="P144" s="221">
        <f t="shared" si="107"/>
        <v>1493002.4328000001</v>
      </c>
      <c r="Q144" s="200"/>
      <c r="S144" s="30"/>
    </row>
    <row r="145" spans="1:38" x14ac:dyDescent="0.25">
      <c r="B145" s="2"/>
      <c r="C145" s="73"/>
      <c r="D145" s="73"/>
      <c r="E145" s="73"/>
      <c r="F145" s="2"/>
      <c r="G145" s="73"/>
      <c r="H145" s="133"/>
      <c r="I145" s="134"/>
      <c r="J145" s="134"/>
      <c r="K145" s="268"/>
      <c r="M145" s="212"/>
      <c r="N145" s="212"/>
      <c r="O145" s="18"/>
      <c r="P145" s="212"/>
      <c r="S145" s="30"/>
    </row>
    <row r="146" spans="1:38" x14ac:dyDescent="0.25">
      <c r="A146" s="137">
        <v>20</v>
      </c>
      <c r="B146" s="85" t="s">
        <v>41</v>
      </c>
      <c r="D146" s="236" t="s">
        <v>94</v>
      </c>
      <c r="E146" s="97">
        <f>SUM(D148:D151)/D170</f>
        <v>0.23363332395862629</v>
      </c>
      <c r="H146" s="156"/>
      <c r="I146" s="37"/>
      <c r="J146" s="157">
        <f>SUM(J147:J152)</f>
        <v>5132938.6338175768</v>
      </c>
      <c r="K146" s="263"/>
      <c r="L146" s="45"/>
      <c r="M146" s="220">
        <f>SUM(M147:M152)</f>
        <v>4785014.423597577</v>
      </c>
      <c r="N146" s="220">
        <f>SUM(N147:N152)</f>
        <v>347924.21022000001</v>
      </c>
      <c r="O146" s="422">
        <f>SUM(O147:O152)</f>
        <v>4785014.423597577</v>
      </c>
      <c r="P146" s="220">
        <f>SUM(P147:P152)</f>
        <v>347924.21022000001</v>
      </c>
      <c r="Q146" s="297"/>
      <c r="R146" s="45" t="s">
        <v>135</v>
      </c>
      <c r="S146" s="140">
        <v>1094101.29</v>
      </c>
      <c r="T146" s="45"/>
      <c r="U146" s="45"/>
      <c r="V146" s="45"/>
      <c r="W146" s="45"/>
      <c r="X146" s="45"/>
      <c r="Y146" s="45"/>
      <c r="Z146" s="46"/>
      <c r="AA146" s="45"/>
      <c r="AB146" s="45"/>
    </row>
    <row r="147" spans="1:38" ht="15.75" x14ac:dyDescent="0.25">
      <c r="B147" s="57" t="s">
        <v>93</v>
      </c>
      <c r="C147" s="1" t="s">
        <v>133</v>
      </c>
      <c r="D147" s="237">
        <f>(J171/E169)/91400</f>
        <v>65.055807974843646</v>
      </c>
      <c r="E147" s="238" t="s">
        <v>210</v>
      </c>
      <c r="F147" s="4" t="s">
        <v>165</v>
      </c>
      <c r="G147" s="287">
        <v>2010</v>
      </c>
      <c r="H147" s="114" t="s">
        <v>109</v>
      </c>
      <c r="I147" s="47">
        <v>2.4594548096904609</v>
      </c>
      <c r="J147" s="36">
        <f>(D147*SUM(D148:D151)*I147)-SUM(J148:J151)</f>
        <v>602835.18048715545</v>
      </c>
      <c r="K147" s="254"/>
      <c r="L147" s="4"/>
      <c r="M147" s="217">
        <f t="shared" ref="M147:M152" si="108">J147-K147</f>
        <v>602835.18048715545</v>
      </c>
      <c r="N147" s="217">
        <f t="shared" ref="N147:N152" si="109">K147</f>
        <v>0</v>
      </c>
      <c r="O147" s="433">
        <f>M147</f>
        <v>602835.18048715545</v>
      </c>
      <c r="P147" s="217">
        <f>N147</f>
        <v>0</v>
      </c>
      <c r="Q147" s="200"/>
      <c r="R147" s="4"/>
      <c r="S147" s="4">
        <f>J146+J169</f>
        <v>26045950.691573046</v>
      </c>
      <c r="T147" s="4"/>
      <c r="U147" s="4"/>
      <c r="V147" s="4"/>
      <c r="W147" s="4"/>
      <c r="X147" s="4"/>
      <c r="Y147" s="4"/>
      <c r="Z147" s="9"/>
      <c r="AA147" s="4"/>
      <c r="AB147" s="4"/>
    </row>
    <row r="148" spans="1:38" ht="15.75" x14ac:dyDescent="0.25">
      <c r="B148" s="310" t="s">
        <v>39</v>
      </c>
      <c r="C148" s="12" t="s">
        <v>133</v>
      </c>
      <c r="D148" s="328">
        <v>5495</v>
      </c>
      <c r="E148" s="329">
        <f>SUM(L172:L174)/SUM(R170:AC170)</f>
        <v>72.133073889775929</v>
      </c>
      <c r="F148" s="93" t="s">
        <v>91</v>
      </c>
      <c r="G148" s="321">
        <v>2012</v>
      </c>
      <c r="H148" s="322" t="s">
        <v>110</v>
      </c>
      <c r="I148" s="330">
        <v>1.9386967111712305</v>
      </c>
      <c r="J148" s="232">
        <f>D148*E148*I148</f>
        <v>768443.62137670582</v>
      </c>
      <c r="K148" s="254"/>
      <c r="L148" s="4"/>
      <c r="M148" s="217">
        <f t="shared" si="108"/>
        <v>768443.62137670582</v>
      </c>
      <c r="N148" s="217">
        <f t="shared" si="109"/>
        <v>0</v>
      </c>
      <c r="O148" s="433">
        <f t="shared" ref="O148:O152" si="110">M148</f>
        <v>768443.62137670582</v>
      </c>
      <c r="P148" s="217">
        <f t="shared" ref="P148:P152" si="111">N148</f>
        <v>0</v>
      </c>
      <c r="Q148" s="200"/>
      <c r="R148" s="4"/>
      <c r="S148" s="44">
        <f>J146/S147</f>
        <v>0.19707242383278784</v>
      </c>
      <c r="T148" s="4" t="s">
        <v>140</v>
      </c>
      <c r="U148" s="106">
        <f>S146*S148</f>
        <v>215617.19313887993</v>
      </c>
      <c r="W148" s="310" t="s">
        <v>291</v>
      </c>
      <c r="X148" s="4"/>
      <c r="Y148" s="4"/>
      <c r="Z148" s="4"/>
    </row>
    <row r="149" spans="1:38" ht="15.75" x14ac:dyDescent="0.25">
      <c r="B149" t="s">
        <v>40</v>
      </c>
      <c r="C149" s="1" t="s">
        <v>133</v>
      </c>
      <c r="D149" s="13">
        <v>5390</v>
      </c>
      <c r="E149" s="239">
        <f>E148</f>
        <v>72.133073889775929</v>
      </c>
      <c r="F149" s="4" t="s">
        <v>91</v>
      </c>
      <c r="G149" s="287">
        <v>2012</v>
      </c>
      <c r="H149" s="114" t="s">
        <v>110</v>
      </c>
      <c r="I149" s="49">
        <v>1.9386967111712305</v>
      </c>
      <c r="J149" s="36">
        <f>D149*E149*I149</f>
        <v>753759.98529944406</v>
      </c>
      <c r="K149" s="254"/>
      <c r="L149" s="4"/>
      <c r="M149" s="217">
        <f t="shared" si="108"/>
        <v>753759.98529944406</v>
      </c>
      <c r="N149" s="217">
        <f t="shared" si="109"/>
        <v>0</v>
      </c>
      <c r="O149" s="433">
        <f t="shared" si="110"/>
        <v>753759.98529944406</v>
      </c>
      <c r="P149" s="217">
        <f t="shared" si="111"/>
        <v>0</v>
      </c>
      <c r="Q149" s="200"/>
      <c r="R149" s="4"/>
      <c r="S149" s="44">
        <f>J169/S147</f>
        <v>0.80292757616721222</v>
      </c>
      <c r="T149" s="4" t="s">
        <v>141</v>
      </c>
      <c r="U149" s="106">
        <f>S146*S149</f>
        <v>878484.0968611202</v>
      </c>
      <c r="W149" s="9"/>
      <c r="X149" s="4"/>
      <c r="Y149" s="4"/>
      <c r="Z149" s="4"/>
    </row>
    <row r="150" spans="1:38" ht="15.75" x14ac:dyDescent="0.25">
      <c r="B150" t="s">
        <v>53</v>
      </c>
      <c r="C150" s="1" t="s">
        <v>133</v>
      </c>
      <c r="D150" s="11">
        <v>7371</v>
      </c>
      <c r="E150" s="239">
        <f t="shared" ref="E150:E151" si="112">E149</f>
        <v>72.133073889775929</v>
      </c>
      <c r="F150" s="4" t="s">
        <v>91</v>
      </c>
      <c r="G150" s="287">
        <v>2012</v>
      </c>
      <c r="H150" s="114" t="s">
        <v>110</v>
      </c>
      <c r="I150" s="49">
        <v>1.9386967111712305</v>
      </c>
      <c r="J150" s="36">
        <f>D150*E150*I150</f>
        <v>1030791.2526237851</v>
      </c>
      <c r="K150" s="254"/>
      <c r="L150" s="4"/>
      <c r="M150" s="217">
        <f t="shared" si="108"/>
        <v>1030791.2526237851</v>
      </c>
      <c r="N150" s="217">
        <f t="shared" si="109"/>
        <v>0</v>
      </c>
      <c r="O150" s="433">
        <f t="shared" si="110"/>
        <v>1030791.2526237851</v>
      </c>
      <c r="P150" s="217">
        <f t="shared" si="111"/>
        <v>0</v>
      </c>
      <c r="Q150" s="200"/>
      <c r="R150" s="304"/>
      <c r="S150" s="4"/>
      <c r="T150" s="4"/>
      <c r="W150" s="9"/>
      <c r="X150" s="4"/>
      <c r="Y150" s="4"/>
      <c r="Z150" s="4"/>
    </row>
    <row r="151" spans="1:38" ht="15.75" x14ac:dyDescent="0.25">
      <c r="B151" t="s">
        <v>34</v>
      </c>
      <c r="C151" s="1" t="s">
        <v>133</v>
      </c>
      <c r="D151" s="11">
        <v>11650</v>
      </c>
      <c r="E151" s="239">
        <f t="shared" si="112"/>
        <v>72.133073889775929</v>
      </c>
      <c r="F151" s="4" t="s">
        <v>91</v>
      </c>
      <c r="G151" s="287">
        <v>2012</v>
      </c>
      <c r="H151" s="114" t="s">
        <v>110</v>
      </c>
      <c r="I151" s="49">
        <v>1.9386967111712305</v>
      </c>
      <c r="J151" s="36">
        <f>D151*E151*I151</f>
        <v>1629184.3838104866</v>
      </c>
      <c r="K151" s="254"/>
      <c r="L151" s="4"/>
      <c r="M151" s="217">
        <f t="shared" si="108"/>
        <v>1629184.3838104866</v>
      </c>
      <c r="N151" s="217">
        <f t="shared" si="109"/>
        <v>0</v>
      </c>
      <c r="O151" s="433">
        <f t="shared" si="110"/>
        <v>1629184.3838104866</v>
      </c>
      <c r="P151" s="217">
        <f t="shared" si="111"/>
        <v>0</v>
      </c>
      <c r="Q151" s="200"/>
      <c r="R151" s="4"/>
      <c r="S151" s="4"/>
      <c r="T151" s="4"/>
      <c r="W151" s="9"/>
      <c r="X151" s="4"/>
      <c r="Y151" s="4"/>
      <c r="Z151" s="4"/>
    </row>
    <row r="152" spans="1:38" ht="15.75" x14ac:dyDescent="0.25">
      <c r="B152" s="80" t="s">
        <v>136</v>
      </c>
      <c r="C152" s="53" t="str">
        <f>C151</f>
        <v>gl.</v>
      </c>
      <c r="D152" s="68"/>
      <c r="E152" s="66"/>
      <c r="F152" s="79" t="s">
        <v>155</v>
      </c>
      <c r="G152" s="53">
        <v>2023</v>
      </c>
      <c r="H152" s="116"/>
      <c r="I152" s="79"/>
      <c r="J152" s="128">
        <f>K152</f>
        <v>347924.21022000001</v>
      </c>
      <c r="K152" s="273">
        <f>[1]RESUMO!$G$98*0.318</f>
        <v>347924.21022000001</v>
      </c>
      <c r="L152" s="6"/>
      <c r="M152" s="221">
        <f t="shared" si="108"/>
        <v>0</v>
      </c>
      <c r="N152" s="221">
        <f t="shared" si="109"/>
        <v>347924.21022000001</v>
      </c>
      <c r="O152" s="434">
        <f t="shared" si="110"/>
        <v>0</v>
      </c>
      <c r="P152" s="221">
        <f t="shared" si="111"/>
        <v>347924.21022000001</v>
      </c>
      <c r="Q152" s="200"/>
      <c r="S152" s="30"/>
    </row>
    <row r="153" spans="1:38" x14ac:dyDescent="0.25">
      <c r="G153" s="1"/>
      <c r="H153" s="108"/>
      <c r="K153" s="262"/>
      <c r="M153" s="212"/>
      <c r="N153" s="212"/>
      <c r="O153" s="18"/>
      <c r="P153" s="212"/>
      <c r="AE153" s="26" t="s">
        <v>49</v>
      </c>
      <c r="AF153" s="27"/>
      <c r="AG153" s="27"/>
      <c r="AH153" s="28"/>
      <c r="AI153" s="26" t="s">
        <v>51</v>
      </c>
      <c r="AJ153" s="27"/>
      <c r="AK153" s="27"/>
      <c r="AL153" s="28"/>
    </row>
    <row r="154" spans="1:38" x14ac:dyDescent="0.25">
      <c r="A154" s="137">
        <v>21</v>
      </c>
      <c r="B154" s="85" t="s">
        <v>130</v>
      </c>
      <c r="H154" s="243" t="s">
        <v>212</v>
      </c>
      <c r="I154" s="244">
        <f>Z5</f>
        <v>676.1</v>
      </c>
      <c r="J154" s="157">
        <f>SUM(J156:J161)</f>
        <v>150971346.5532563</v>
      </c>
      <c r="K154" s="263"/>
      <c r="L154" s="45"/>
      <c r="M154" s="220">
        <f>SUM(M155:M161)</f>
        <v>0</v>
      </c>
      <c r="N154" s="220">
        <f>SUM(N155:N161)</f>
        <v>150971346.5532563</v>
      </c>
      <c r="O154" s="422">
        <f>SUM(O155:O161)</f>
        <v>0</v>
      </c>
      <c r="P154" s="220">
        <f>SUM(P155:P161)</f>
        <v>150971346.5532563</v>
      </c>
      <c r="Q154" s="297"/>
      <c r="R154" s="458" t="s">
        <v>3</v>
      </c>
      <c r="S154" s="14" t="s">
        <v>4</v>
      </c>
      <c r="T154" s="15" t="s">
        <v>5</v>
      </c>
      <c r="U154" s="14" t="s">
        <v>6</v>
      </c>
      <c r="V154" s="15" t="s">
        <v>7</v>
      </c>
      <c r="W154" s="15" t="s">
        <v>8</v>
      </c>
      <c r="X154" s="14" t="s">
        <v>9</v>
      </c>
      <c r="Y154" s="14" t="s">
        <v>10</v>
      </c>
      <c r="Z154" s="15" t="s">
        <v>11</v>
      </c>
      <c r="AA154" s="14" t="s">
        <v>12</v>
      </c>
      <c r="AB154" s="14" t="s">
        <v>13</v>
      </c>
      <c r="AC154" s="16" t="s">
        <v>14</v>
      </c>
      <c r="AE154" s="17" t="s">
        <v>47</v>
      </c>
      <c r="AF154" s="25" t="s">
        <v>33</v>
      </c>
      <c r="AG154" s="25" t="s">
        <v>48</v>
      </c>
      <c r="AH154" s="25" t="s">
        <v>50</v>
      </c>
      <c r="AI154" s="17" t="s">
        <v>47</v>
      </c>
      <c r="AJ154" s="25" t="s">
        <v>33</v>
      </c>
      <c r="AK154" s="25" t="s">
        <v>48</v>
      </c>
      <c r="AL154" s="25" t="s">
        <v>50</v>
      </c>
    </row>
    <row r="155" spans="1:38" ht="15.75" x14ac:dyDescent="0.25">
      <c r="B155" t="s">
        <v>28</v>
      </c>
      <c r="C155" s="1" t="s">
        <v>1</v>
      </c>
      <c r="F155" s="4"/>
      <c r="I155" s="109"/>
      <c r="J155" s="83">
        <v>0</v>
      </c>
      <c r="K155" s="254"/>
      <c r="L155" s="4"/>
      <c r="M155" s="217">
        <f t="shared" ref="M155:M160" si="113">J155-K155</f>
        <v>0</v>
      </c>
      <c r="N155" s="217">
        <f t="shared" ref="N155:N160" si="114">K155</f>
        <v>0</v>
      </c>
      <c r="O155" s="433">
        <f>M155</f>
        <v>0</v>
      </c>
      <c r="P155" s="217">
        <f>N155</f>
        <v>0</v>
      </c>
      <c r="Q155" s="200"/>
      <c r="R155" s="4">
        <v>5288</v>
      </c>
      <c r="S155" s="4">
        <v>6696</v>
      </c>
      <c r="T155" s="4">
        <v>15917</v>
      </c>
      <c r="U155" s="4">
        <v>4614</v>
      </c>
      <c r="V155" s="4">
        <v>7873</v>
      </c>
      <c r="W155" s="4">
        <v>20556</v>
      </c>
      <c r="X155" s="4">
        <v>4432</v>
      </c>
      <c r="Y155" s="4">
        <v>6114</v>
      </c>
      <c r="Z155" s="9">
        <v>12838</v>
      </c>
      <c r="AA155" s="4">
        <v>9248</v>
      </c>
      <c r="AB155" s="4">
        <v>3334</v>
      </c>
      <c r="AC155" s="5">
        <v>14916</v>
      </c>
      <c r="AE155" s="3"/>
      <c r="AH155" s="18"/>
      <c r="AI155" s="3"/>
      <c r="AL155" s="18"/>
    </row>
    <row r="156" spans="1:38" ht="15.75" x14ac:dyDescent="0.25">
      <c r="B156" t="s">
        <v>37</v>
      </c>
      <c r="C156" s="1" t="s">
        <v>133</v>
      </c>
      <c r="F156" s="4" t="s">
        <v>155</v>
      </c>
      <c r="G156" s="287">
        <v>2023</v>
      </c>
      <c r="H156" s="245" t="s">
        <v>194</v>
      </c>
      <c r="I156" s="232">
        <f>Z156/$I$154</f>
        <v>135.03955036237244</v>
      </c>
      <c r="J156" s="150">
        <f>K156</f>
        <v>2870935.8885792601</v>
      </c>
      <c r="K156" s="254">
        <f>[1]RESUMO!$G$47</f>
        <v>2870935.8885792601</v>
      </c>
      <c r="L156" s="4"/>
      <c r="M156" s="217">
        <f t="shared" si="113"/>
        <v>0</v>
      </c>
      <c r="N156" s="217">
        <f t="shared" si="114"/>
        <v>2870935.8885792601</v>
      </c>
      <c r="O156" s="433">
        <f t="shared" ref="O156:O160" si="115">M156</f>
        <v>0</v>
      </c>
      <c r="P156" s="217">
        <f t="shared" ref="P156:P160" si="116">N156</f>
        <v>2870935.8885792601</v>
      </c>
      <c r="Q156" s="200"/>
      <c r="R156" s="4">
        <v>56545.57</v>
      </c>
      <c r="S156" s="4">
        <v>88245.87</v>
      </c>
      <c r="T156" s="4">
        <v>152992.42999999996</v>
      </c>
      <c r="U156" s="4">
        <v>53575.78</v>
      </c>
      <c r="V156" s="4">
        <v>65288.268000000004</v>
      </c>
      <c r="W156" s="4">
        <v>211787.42959999997</v>
      </c>
      <c r="X156" s="4">
        <v>45040.14</v>
      </c>
      <c r="Y156" s="4">
        <v>88255.000000000015</v>
      </c>
      <c r="Z156" s="9">
        <v>91300.24</v>
      </c>
      <c r="AA156" s="4">
        <v>133491.09</v>
      </c>
      <c r="AB156" s="4">
        <v>44767.38</v>
      </c>
      <c r="AC156" s="5">
        <v>238712.99</v>
      </c>
      <c r="AE156" s="21" t="s">
        <v>11</v>
      </c>
      <c r="AF156" s="19">
        <f>Z5</f>
        <v>676.1</v>
      </c>
      <c r="AG156" s="4">
        <f>Z156</f>
        <v>91300.24</v>
      </c>
      <c r="AH156" s="20">
        <f t="shared" ref="AH156:AH160" si="117">+AG156/$AF$156</f>
        <v>135.03955036237244</v>
      </c>
      <c r="AI156" s="3" t="s">
        <v>52</v>
      </c>
      <c r="AJ156" s="19">
        <f>SUM(R8:Y8)+SUM(AA8:AC8)</f>
        <v>5923.73</v>
      </c>
      <c r="AK156" s="4">
        <f>SUM(R156:Y156)+SUM(AA156:AC156)</f>
        <v>1178701.9476000001</v>
      </c>
      <c r="AL156" s="20">
        <f>AK156/$AJ$156</f>
        <v>198.97968806815979</v>
      </c>
    </row>
    <row r="157" spans="1:38" ht="15.75" x14ac:dyDescent="0.25">
      <c r="B157" t="s">
        <v>29</v>
      </c>
      <c r="C157" s="1" t="s">
        <v>133</v>
      </c>
      <c r="E157" s="10"/>
      <c r="F157" s="4" t="s">
        <v>155</v>
      </c>
      <c r="G157" s="287">
        <v>2023</v>
      </c>
      <c r="I157" s="232">
        <f>Z157/$I$154</f>
        <v>1128.6472711137405</v>
      </c>
      <c r="J157" s="150">
        <f t="shared" ref="J157:J160" si="118">K157</f>
        <v>136287711.12090904</v>
      </c>
      <c r="K157" s="254">
        <f>[1]RESUMO!$G$50</f>
        <v>136287711.12090904</v>
      </c>
      <c r="L157" s="4"/>
      <c r="M157" s="217">
        <f t="shared" si="113"/>
        <v>0</v>
      </c>
      <c r="N157" s="217">
        <f t="shared" si="114"/>
        <v>136287711.12090904</v>
      </c>
      <c r="O157" s="433">
        <f t="shared" si="115"/>
        <v>0</v>
      </c>
      <c r="P157" s="217">
        <f t="shared" si="116"/>
        <v>136287711.12090904</v>
      </c>
      <c r="Q157" s="200"/>
      <c r="R157" s="4"/>
      <c r="S157" s="375">
        <v>27888714.130000006</v>
      </c>
      <c r="T157" s="376"/>
      <c r="U157" s="376"/>
      <c r="V157" s="376"/>
      <c r="W157" s="377"/>
      <c r="X157" s="4"/>
      <c r="Y157" s="4"/>
      <c r="Z157" s="9">
        <v>763078.42</v>
      </c>
      <c r="AA157" s="375">
        <v>25828947.24000001</v>
      </c>
      <c r="AB157" s="376"/>
      <c r="AC157" s="377"/>
      <c r="AE157" s="3"/>
      <c r="AF157" s="19"/>
      <c r="AG157" s="4">
        <f t="shared" ref="AG157:AG160" si="119">Z157</f>
        <v>763078.42</v>
      </c>
      <c r="AH157" s="20">
        <f t="shared" si="117"/>
        <v>1128.6472711137405</v>
      </c>
      <c r="AI157" s="3"/>
      <c r="AJ157" s="19">
        <f>SUM(S8:W8)+SUM(AA8:AC8)</f>
        <v>4239.57</v>
      </c>
      <c r="AK157" s="4">
        <f>S157+AA157</f>
        <v>53717661.37000002</v>
      </c>
      <c r="AL157" s="20">
        <f>AK157/$AJ$156</f>
        <v>9068.215696866675</v>
      </c>
    </row>
    <row r="158" spans="1:38" ht="15" customHeight="1" x14ac:dyDescent="0.25">
      <c r="B158" t="s">
        <v>30</v>
      </c>
      <c r="C158" s="1" t="s">
        <v>133</v>
      </c>
      <c r="E158" s="138"/>
      <c r="F158" s="4" t="s">
        <v>155</v>
      </c>
      <c r="G158" s="287">
        <v>2023</v>
      </c>
      <c r="H158" s="114"/>
      <c r="I158" s="232">
        <f>Z158/$I$154</f>
        <v>531.96824964994073</v>
      </c>
      <c r="J158" s="150">
        <f t="shared" si="118"/>
        <v>9654659.1651725136</v>
      </c>
      <c r="K158" s="254">
        <f>'[1]REDE DISTRIBUIÇÃO'!$I$41</f>
        <v>9654659.1651725136</v>
      </c>
      <c r="L158" s="4"/>
      <c r="M158" s="217">
        <f t="shared" si="113"/>
        <v>0</v>
      </c>
      <c r="N158" s="217">
        <f t="shared" si="114"/>
        <v>9654659.1651725136</v>
      </c>
      <c r="O158" s="433">
        <f t="shared" si="115"/>
        <v>0</v>
      </c>
      <c r="P158" s="217">
        <f t="shared" si="116"/>
        <v>9654659.1651725136</v>
      </c>
      <c r="Q158" s="200"/>
      <c r="R158" s="4">
        <v>179820.44554093754</v>
      </c>
      <c r="S158" s="4">
        <v>254923.38867502499</v>
      </c>
      <c r="T158" s="4">
        <v>458659.74508649996</v>
      </c>
      <c r="U158" s="4">
        <v>159104.30979922501</v>
      </c>
      <c r="V158" s="4">
        <v>245087.43118350004</v>
      </c>
      <c r="W158" s="4">
        <v>690158.1693059376</v>
      </c>
      <c r="X158" s="4">
        <v>139774.56022347501</v>
      </c>
      <c r="Y158" s="4">
        <v>241982.67970313749</v>
      </c>
      <c r="Z158" s="9">
        <v>359663.73358832498</v>
      </c>
      <c r="AA158" s="4">
        <v>362559.69991063746</v>
      </c>
      <c r="AB158" s="4">
        <v>130684.578771575</v>
      </c>
      <c r="AC158" s="5">
        <v>632144.82405016245</v>
      </c>
      <c r="AE158" s="3"/>
      <c r="AG158" s="4">
        <f t="shared" si="119"/>
        <v>359663.73358832498</v>
      </c>
      <c r="AH158" s="20">
        <f t="shared" si="117"/>
        <v>531.96824964994073</v>
      </c>
      <c r="AI158" s="3"/>
      <c r="AJ158" s="19">
        <f>AJ156</f>
        <v>5923.73</v>
      </c>
      <c r="AK158" s="4">
        <f>SUM(R158:Y158)+SUM(AA158:AC158)</f>
        <v>3494899.8322501122</v>
      </c>
      <c r="AL158" s="20">
        <f>AK158/$AJ$156</f>
        <v>589.9829722573636</v>
      </c>
    </row>
    <row r="159" spans="1:38" ht="15" customHeight="1" x14ac:dyDescent="0.25">
      <c r="B159" t="s">
        <v>31</v>
      </c>
      <c r="C159" s="1" t="s">
        <v>133</v>
      </c>
      <c r="E159" s="138"/>
      <c r="F159" s="4" t="s">
        <v>155</v>
      </c>
      <c r="G159" s="287">
        <v>2023</v>
      </c>
      <c r="H159" s="114"/>
      <c r="I159" s="232">
        <f>Z159/$I$154</f>
        <v>109.6196481659518</v>
      </c>
      <c r="J159" s="150">
        <f t="shared" si="118"/>
        <v>1247135.6114806861</v>
      </c>
      <c r="K159" s="254">
        <f>'[1]REDE DISTRIBUIÇÃO'!$I$42</f>
        <v>1247135.6114806861</v>
      </c>
      <c r="L159" s="4"/>
      <c r="M159" s="217">
        <f t="shared" si="113"/>
        <v>0</v>
      </c>
      <c r="N159" s="217">
        <f t="shared" si="114"/>
        <v>1247135.6114806861</v>
      </c>
      <c r="O159" s="433">
        <f t="shared" si="115"/>
        <v>0</v>
      </c>
      <c r="P159" s="217">
        <f t="shared" si="116"/>
        <v>1247135.6114806861</v>
      </c>
      <c r="Q159" s="200"/>
      <c r="R159" s="4">
        <v>74113.844125000018</v>
      </c>
      <c r="S159" s="4">
        <v>29645.537650000006</v>
      </c>
      <c r="T159" s="4">
        <v>35574.645180000007</v>
      </c>
      <c r="U159" s="4">
        <v>29645.537650000006</v>
      </c>
      <c r="V159" s="4">
        <v>41503.752710000008</v>
      </c>
      <c r="W159" s="4">
        <v>65220.182829999998</v>
      </c>
      <c r="X159" s="4">
        <v>59291.075300000011</v>
      </c>
      <c r="Y159" s="4">
        <v>41503.752710000008</v>
      </c>
      <c r="Z159" s="9">
        <v>74113.844125000018</v>
      </c>
      <c r="AA159" s="4">
        <v>44468.306474999998</v>
      </c>
      <c r="AB159" s="4">
        <v>29645.537650000006</v>
      </c>
      <c r="AC159" s="5">
        <v>88936.612949999995</v>
      </c>
      <c r="AE159" s="3"/>
      <c r="AG159" s="4">
        <f t="shared" si="119"/>
        <v>74113.844125000018</v>
      </c>
      <c r="AH159" s="20">
        <f t="shared" si="117"/>
        <v>109.6196481659518</v>
      </c>
      <c r="AI159" s="3"/>
      <c r="AK159" s="4">
        <f>SUM(R159:Y159)+SUM(AA159:AC159)</f>
        <v>539548.78523000004</v>
      </c>
      <c r="AL159" s="20">
        <f>AK159/$AJ$158</f>
        <v>91.082609306973822</v>
      </c>
    </row>
    <row r="160" spans="1:38" ht="15" customHeight="1" x14ac:dyDescent="0.25">
      <c r="B160" t="s">
        <v>26</v>
      </c>
      <c r="C160" s="1" t="s">
        <v>133</v>
      </c>
      <c r="E160" s="138"/>
      <c r="F160" s="4" t="s">
        <v>155</v>
      </c>
      <c r="G160" s="287">
        <v>2023</v>
      </c>
      <c r="H160" s="114"/>
      <c r="I160" s="232">
        <f>Z160/$I$154</f>
        <v>62.836867548254681</v>
      </c>
      <c r="J160" s="150">
        <f t="shared" si="118"/>
        <v>910904.7671148089</v>
      </c>
      <c r="K160" s="254">
        <f>'[1]REDE DISTRIBUIÇÃO'!$I$43</f>
        <v>910904.7671148089</v>
      </c>
      <c r="L160" s="4"/>
      <c r="M160" s="217">
        <f t="shared" si="113"/>
        <v>0</v>
      </c>
      <c r="N160" s="217">
        <f t="shared" si="114"/>
        <v>910904.7671148089</v>
      </c>
      <c r="O160" s="433">
        <f t="shared" si="115"/>
        <v>0</v>
      </c>
      <c r="P160" s="217">
        <f t="shared" si="116"/>
        <v>910904.7671148089</v>
      </c>
      <c r="Q160" s="200"/>
      <c r="R160" s="4">
        <v>35224.685344375001</v>
      </c>
      <c r="S160" s="4">
        <v>10965.355600000003</v>
      </c>
      <c r="T160" s="4">
        <v>19516.883859999998</v>
      </c>
      <c r="U160" s="4">
        <v>5535.2344199999989</v>
      </c>
      <c r="V160" s="4">
        <v>13415.602519999999</v>
      </c>
      <c r="W160" s="4">
        <v>33819.383719999998</v>
      </c>
      <c r="X160" s="4">
        <v>30472.128524375003</v>
      </c>
      <c r="Y160" s="4">
        <v>59424.175845000005</v>
      </c>
      <c r="Z160" s="9">
        <v>42484.006149374989</v>
      </c>
      <c r="AA160" s="4">
        <v>47489.168633124995</v>
      </c>
      <c r="AB160" s="4">
        <v>17824.594023124999</v>
      </c>
      <c r="AC160" s="5">
        <v>80039.155553124991</v>
      </c>
      <c r="AE160" s="3"/>
      <c r="AG160" s="4">
        <f t="shared" si="119"/>
        <v>42484.006149374989</v>
      </c>
      <c r="AH160" s="20">
        <f t="shared" si="117"/>
        <v>62.836867548254681</v>
      </c>
      <c r="AI160" s="3"/>
      <c r="AK160" s="4">
        <f>SUM(R160:Y160)+SUM(AA160:AC160)</f>
        <v>353726.36804312502</v>
      </c>
      <c r="AL160" s="20">
        <f>AK160/$AJ$158</f>
        <v>59.713452173398359</v>
      </c>
    </row>
    <row r="161" spans="1:38" ht="15.75" x14ac:dyDescent="0.25">
      <c r="B161" s="80" t="s">
        <v>136</v>
      </c>
      <c r="C161" s="53" t="str">
        <f>C160</f>
        <v>gl.</v>
      </c>
      <c r="D161" s="68"/>
      <c r="E161" s="66"/>
      <c r="F161" s="79" t="s">
        <v>155</v>
      </c>
      <c r="G161" s="53">
        <v>2023</v>
      </c>
      <c r="H161" s="116"/>
      <c r="I161" s="79"/>
      <c r="J161" s="128">
        <f>SUM(J158:J160)*D161</f>
        <v>0</v>
      </c>
      <c r="K161" s="273">
        <f>J161</f>
        <v>0</v>
      </c>
      <c r="L161" s="6"/>
      <c r="M161" s="221">
        <f t="shared" ref="M161" si="120">J161-K161</f>
        <v>0</v>
      </c>
      <c r="N161" s="221">
        <f t="shared" ref="N161" si="121">K161</f>
        <v>0</v>
      </c>
      <c r="O161" s="434">
        <f t="shared" ref="O161" si="122">M161</f>
        <v>0</v>
      </c>
      <c r="P161" s="221">
        <f t="shared" ref="P161" si="123">N161</f>
        <v>0</v>
      </c>
      <c r="Q161" s="200"/>
      <c r="S161" s="31"/>
    </row>
    <row r="162" spans="1:38" x14ac:dyDescent="0.25">
      <c r="G162" s="1"/>
      <c r="H162" s="108"/>
      <c r="K162" s="262"/>
      <c r="M162" s="212"/>
      <c r="N162" s="212"/>
      <c r="O162" s="18"/>
      <c r="P162" s="212"/>
    </row>
    <row r="163" spans="1:38" x14ac:dyDescent="0.25">
      <c r="A163" s="137">
        <v>22</v>
      </c>
      <c r="B163" s="85" t="s">
        <v>27</v>
      </c>
      <c r="H163" s="156"/>
      <c r="I163" s="37"/>
      <c r="J163" s="157">
        <f>SUM(J165:J166)</f>
        <v>19356594.906600274</v>
      </c>
      <c r="K163" s="263"/>
      <c r="L163" s="45"/>
      <c r="M163" s="220">
        <f>SUM(M164:M167)</f>
        <v>8303093.697949348</v>
      </c>
      <c r="N163" s="220">
        <f>SUM(N164:N167)</f>
        <v>11053501.208650926</v>
      </c>
      <c r="O163" s="422">
        <f>SUM(O164:O167)</f>
        <v>8303093.697949348</v>
      </c>
      <c r="P163" s="220">
        <f>SUM(P164:P167)</f>
        <v>11053501.208650926</v>
      </c>
      <c r="Q163" s="297"/>
      <c r="R163" s="45"/>
      <c r="S163" s="45"/>
      <c r="T163" s="45"/>
      <c r="U163" s="45"/>
      <c r="V163" s="45"/>
      <c r="W163" s="45"/>
      <c r="X163" s="45"/>
      <c r="Y163" s="45"/>
      <c r="Z163" s="46"/>
      <c r="AA163" s="45"/>
      <c r="AB163" s="45"/>
      <c r="AC163" s="78"/>
      <c r="AE163" s="3"/>
      <c r="AH163" s="18"/>
      <c r="AI163" s="3"/>
      <c r="AL163" s="18"/>
    </row>
    <row r="164" spans="1:38" ht="15.75" x14ac:dyDescent="0.25">
      <c r="B164" t="s">
        <v>92</v>
      </c>
      <c r="C164" s="1" t="s">
        <v>1</v>
      </c>
      <c r="D164" s="4"/>
      <c r="E164" s="4"/>
      <c r="F164" s="4"/>
      <c r="H164" s="114"/>
      <c r="I164" s="37"/>
      <c r="J164" s="37"/>
      <c r="K164" s="254"/>
      <c r="L164" s="4"/>
      <c r="M164" s="217">
        <f t="shared" ref="M164:M167" si="124">J164-K164</f>
        <v>0</v>
      </c>
      <c r="N164" s="217">
        <f t="shared" ref="N164:N167" si="125">K164</f>
        <v>0</v>
      </c>
      <c r="O164" s="433">
        <f>M164</f>
        <v>0</v>
      </c>
      <c r="P164" s="217">
        <f>N164</f>
        <v>0</v>
      </c>
      <c r="Q164" s="200"/>
      <c r="R164" s="4">
        <v>1888</v>
      </c>
      <c r="S164" s="4">
        <v>6700</v>
      </c>
      <c r="T164" s="4">
        <v>16080</v>
      </c>
      <c r="U164" s="4">
        <v>4600</v>
      </c>
      <c r="V164" s="4">
        <v>7980</v>
      </c>
      <c r="W164" s="4">
        <v>20700</v>
      </c>
      <c r="Z164" s="9">
        <v>2038</v>
      </c>
      <c r="AA164" s="4">
        <v>9258</v>
      </c>
      <c r="AB164" s="4">
        <v>3345</v>
      </c>
      <c r="AC164" s="5">
        <v>11028</v>
      </c>
      <c r="AE164" s="3"/>
      <c r="AG164" s="4"/>
      <c r="AH164" s="20"/>
      <c r="AI164" s="3"/>
      <c r="AK164" s="4"/>
      <c r="AL164" s="20"/>
    </row>
    <row r="165" spans="1:38" ht="15.75" x14ac:dyDescent="0.25">
      <c r="B165" t="s">
        <v>153</v>
      </c>
      <c r="C165" s="1" t="s">
        <v>133</v>
      </c>
      <c r="D165" s="35">
        <v>710.72</v>
      </c>
      <c r="E165" s="48" t="s">
        <v>50</v>
      </c>
      <c r="F165" s="4" t="s">
        <v>165</v>
      </c>
      <c r="G165" s="287">
        <v>2010</v>
      </c>
      <c r="H165" s="114" t="s">
        <v>109</v>
      </c>
      <c r="I165" s="47">
        <v>2.4594548096904609</v>
      </c>
      <c r="J165" s="36">
        <f>(D165*SUM(R5:AC5)*I165)-J166</f>
        <v>8303093.697949348</v>
      </c>
      <c r="K165" s="266"/>
      <c r="L165" s="4"/>
      <c r="M165" s="217">
        <f t="shared" si="124"/>
        <v>8303093.697949348</v>
      </c>
      <c r="N165" s="217">
        <f t="shared" si="125"/>
        <v>0</v>
      </c>
      <c r="O165" s="433">
        <f t="shared" ref="O165:O167" si="126">M165</f>
        <v>8303093.697949348</v>
      </c>
      <c r="P165" s="217">
        <f t="shared" ref="P165:P167" si="127">N165</f>
        <v>0</v>
      </c>
      <c r="Q165" s="200"/>
      <c r="R165" s="4"/>
      <c r="S165" s="4"/>
      <c r="T165" s="4"/>
      <c r="U165" s="4"/>
      <c r="V165" s="4"/>
      <c r="W165" s="4"/>
      <c r="Z165" s="9"/>
      <c r="AA165" s="4"/>
      <c r="AB165" s="4"/>
      <c r="AC165" s="5"/>
      <c r="AE165" s="3"/>
      <c r="AG165" s="4"/>
      <c r="AH165" s="20"/>
      <c r="AI165" s="3"/>
      <c r="AK165" s="4"/>
      <c r="AL165" s="20"/>
    </row>
    <row r="166" spans="1:38" ht="15.75" x14ac:dyDescent="0.25">
      <c r="B166" t="s">
        <v>147</v>
      </c>
      <c r="C166" s="1" t="s">
        <v>2</v>
      </c>
      <c r="D166" s="4"/>
      <c r="E166" s="4"/>
      <c r="F166" s="4" t="s">
        <v>155</v>
      </c>
      <c r="G166" s="287">
        <v>2023</v>
      </c>
      <c r="H166" s="114"/>
      <c r="I166" s="37"/>
      <c r="J166" s="163">
        <f>K166</f>
        <v>11053501.208650926</v>
      </c>
      <c r="K166" s="254">
        <f>[1]RESUMO!$M$22</f>
        <v>11053501.208650926</v>
      </c>
      <c r="L166" s="35"/>
      <c r="M166" s="217">
        <f t="shared" si="124"/>
        <v>0</v>
      </c>
      <c r="N166" s="217">
        <f t="shared" si="125"/>
        <v>11053501.208650926</v>
      </c>
      <c r="O166" s="433">
        <f t="shared" si="126"/>
        <v>0</v>
      </c>
      <c r="P166" s="217">
        <f t="shared" si="127"/>
        <v>11053501.208650926</v>
      </c>
      <c r="Q166" s="200"/>
      <c r="R166" s="4">
        <v>114013.95999999999</v>
      </c>
      <c r="S166" s="4">
        <v>404604.625</v>
      </c>
      <c r="T166" s="4">
        <v>971051.10000000021</v>
      </c>
      <c r="U166" s="4">
        <v>277788.25</v>
      </c>
      <c r="V166" s="4">
        <v>481902.22499999992</v>
      </c>
      <c r="W166" s="4">
        <v>1250047.1249999998</v>
      </c>
      <c r="Z166" s="9">
        <v>123072.27249999998</v>
      </c>
      <c r="AA166" s="4">
        <v>559079.04749999999</v>
      </c>
      <c r="AB166" s="4">
        <v>202000.36875000002</v>
      </c>
      <c r="AC166" s="5">
        <v>665967.13500000001</v>
      </c>
      <c r="AE166" s="3" t="s">
        <v>11</v>
      </c>
      <c r="AF166" s="19">
        <f>AF156</f>
        <v>676.1</v>
      </c>
      <c r="AG166" s="4">
        <f>Z166</f>
        <v>123072.27249999998</v>
      </c>
      <c r="AH166" s="20">
        <f>+AG166/$AF$166</f>
        <v>182.03264679781094</v>
      </c>
      <c r="AI166" s="3" t="s">
        <v>52</v>
      </c>
      <c r="AJ166" s="19">
        <f>SUM(R5:W5)+SUM(AA5:AC5)</f>
        <v>8480.9699999999993</v>
      </c>
      <c r="AK166" s="4">
        <f>SUM(R166:W166)+SUM(AA166:AC166)</f>
        <v>4926453.8362499997</v>
      </c>
      <c r="AL166" s="20">
        <f>AK166/$AJ$166</f>
        <v>580.88329946338683</v>
      </c>
    </row>
    <row r="167" spans="1:38" ht="15.75" x14ac:dyDescent="0.25">
      <c r="B167" s="80" t="s">
        <v>136</v>
      </c>
      <c r="C167" s="53" t="str">
        <f>C166</f>
        <v>R$</v>
      </c>
      <c r="D167" s="68"/>
      <c r="E167" s="66"/>
      <c r="F167" s="79" t="s">
        <v>155</v>
      </c>
      <c r="G167" s="53">
        <v>2023</v>
      </c>
      <c r="H167" s="116"/>
      <c r="I167" s="79"/>
      <c r="J167" s="128">
        <f>K167</f>
        <v>0</v>
      </c>
      <c r="K167" s="273">
        <f>T138*R167</f>
        <v>0</v>
      </c>
      <c r="L167" s="6"/>
      <c r="M167" s="221">
        <f t="shared" si="124"/>
        <v>0</v>
      </c>
      <c r="N167" s="221">
        <f t="shared" si="125"/>
        <v>0</v>
      </c>
      <c r="O167" s="434">
        <f t="shared" si="126"/>
        <v>0</v>
      </c>
      <c r="P167" s="221">
        <f t="shared" si="127"/>
        <v>0</v>
      </c>
      <c r="Q167" s="200"/>
      <c r="R167" s="142">
        <f>R144</f>
        <v>0</v>
      </c>
      <c r="S167" s="31"/>
    </row>
    <row r="168" spans="1:38" x14ac:dyDescent="0.25">
      <c r="B168" s="2"/>
      <c r="C168" s="73"/>
      <c r="D168" s="73"/>
      <c r="E168" s="73"/>
      <c r="F168" s="2"/>
      <c r="G168" s="73"/>
      <c r="H168" s="133"/>
      <c r="I168" s="134"/>
      <c r="J168" s="134"/>
      <c r="K168" s="254"/>
      <c r="M168" s="212"/>
      <c r="N168" s="212"/>
      <c r="O168" s="18"/>
      <c r="P168" s="212"/>
    </row>
    <row r="169" spans="1:38" x14ac:dyDescent="0.25">
      <c r="A169" s="137">
        <v>23</v>
      </c>
      <c r="B169" s="85" t="s">
        <v>16</v>
      </c>
      <c r="E169" s="84">
        <f>1-E146</f>
        <v>0.76636667604137365</v>
      </c>
      <c r="H169" s="156"/>
      <c r="I169" s="37"/>
      <c r="J169" s="157">
        <f>SUM(J171:J175)</f>
        <v>20913012.05775547</v>
      </c>
      <c r="K169" s="254"/>
      <c r="L169" s="4"/>
      <c r="M169" s="220">
        <f>SUM(M170:M175)</f>
        <v>4556893.5429788269</v>
      </c>
      <c r="N169" s="220">
        <f>SUM(N170:N175)</f>
        <v>16356118.51477664</v>
      </c>
      <c r="O169" s="422">
        <f>SUM(O170:O175)</f>
        <v>4556893.5429788269</v>
      </c>
      <c r="P169" s="220">
        <f>SUM(P170:P175)</f>
        <v>16356118.51477664</v>
      </c>
      <c r="Q169" s="297"/>
      <c r="R169" s="45"/>
      <c r="S169" s="45"/>
      <c r="T169" s="45"/>
      <c r="U169" s="45"/>
      <c r="V169" s="45"/>
      <c r="W169" s="45"/>
      <c r="X169" s="45"/>
      <c r="Y169" s="45"/>
      <c r="Z169" s="46"/>
      <c r="AA169" s="45"/>
      <c r="AB169" s="45"/>
      <c r="AC169" s="78"/>
      <c r="AE169" s="3"/>
      <c r="AH169" s="18"/>
      <c r="AI169" s="3"/>
      <c r="AL169" s="18"/>
    </row>
    <row r="170" spans="1:38" ht="15.75" x14ac:dyDescent="0.25">
      <c r="B170" t="s">
        <v>20</v>
      </c>
      <c r="C170" s="1" t="s">
        <v>1</v>
      </c>
      <c r="D170" s="92">
        <f>SUM(R170:AC170)</f>
        <v>128004</v>
      </c>
      <c r="E170" s="93" t="s">
        <v>120</v>
      </c>
      <c r="H170" s="114"/>
      <c r="I170" s="37"/>
      <c r="J170" s="37"/>
      <c r="K170" s="254"/>
      <c r="L170" s="4"/>
      <c r="M170" s="217">
        <f t="shared" ref="M170:M175" si="128">J170-K170</f>
        <v>0</v>
      </c>
      <c r="N170" s="217">
        <f t="shared" ref="N170:N175" si="129">K170</f>
        <v>0</v>
      </c>
      <c r="O170" s="433">
        <f>M170</f>
        <v>0</v>
      </c>
      <c r="P170" s="217">
        <f>N170</f>
        <v>0</v>
      </c>
      <c r="Q170" s="200"/>
      <c r="R170" s="4">
        <v>2904</v>
      </c>
      <c r="S170" s="94">
        <v>12200</v>
      </c>
      <c r="T170" s="94">
        <v>13044</v>
      </c>
      <c r="U170" s="94">
        <v>7000</v>
      </c>
      <c r="V170" s="94">
        <v>8570</v>
      </c>
      <c r="W170" s="94">
        <v>10827</v>
      </c>
      <c r="X170" s="94">
        <v>16673</v>
      </c>
      <c r="Y170" s="94">
        <v>8162</v>
      </c>
      <c r="Z170" s="95">
        <v>4805</v>
      </c>
      <c r="AA170" s="94">
        <v>16939</v>
      </c>
      <c r="AB170" s="94">
        <v>10990</v>
      </c>
      <c r="AC170" s="96">
        <v>15890</v>
      </c>
      <c r="AE170" s="3"/>
      <c r="AL170" s="18"/>
    </row>
    <row r="171" spans="1:38" ht="15.75" x14ac:dyDescent="0.25">
      <c r="B171" t="s">
        <v>154</v>
      </c>
      <c r="C171" s="1" t="s">
        <v>133</v>
      </c>
      <c r="D171" s="35">
        <v>817.59436289928783</v>
      </c>
      <c r="E171" s="48" t="s">
        <v>50</v>
      </c>
      <c r="F171" s="4" t="s">
        <v>165</v>
      </c>
      <c r="G171" s="287">
        <v>2010</v>
      </c>
      <c r="H171" s="114" t="s">
        <v>109</v>
      </c>
      <c r="I171" s="47">
        <v>2.4594548096904609</v>
      </c>
      <c r="J171" s="36">
        <f>(D171*SUM(R5:AC5)*E169*I171)-J172</f>
        <v>4556893.5429788269</v>
      </c>
      <c r="K171" s="266"/>
      <c r="L171" s="4"/>
      <c r="M171" s="217">
        <f t="shared" si="128"/>
        <v>4556893.5429788269</v>
      </c>
      <c r="N171" s="217">
        <f t="shared" si="129"/>
        <v>0</v>
      </c>
      <c r="O171" s="433">
        <f t="shared" ref="O171:O173" si="130">M171</f>
        <v>4556893.5429788269</v>
      </c>
      <c r="P171" s="217">
        <f t="shared" ref="P171:P173" si="131">N171</f>
        <v>0</v>
      </c>
      <c r="Q171" s="200"/>
      <c r="R171" s="4"/>
      <c r="S171" s="4"/>
      <c r="T171" s="4"/>
      <c r="U171" s="4"/>
      <c r="V171" s="4"/>
      <c r="W171" s="4"/>
      <c r="X171" s="4"/>
      <c r="Y171" s="4"/>
      <c r="Z171" s="9"/>
      <c r="AA171" s="4"/>
      <c r="AB171" s="4"/>
      <c r="AC171" s="5"/>
      <c r="AE171" s="3"/>
      <c r="AL171" s="18"/>
    </row>
    <row r="172" spans="1:38" ht="15.75" x14ac:dyDescent="0.25">
      <c r="B172" t="s">
        <v>17</v>
      </c>
      <c r="C172" s="1" t="s">
        <v>133</v>
      </c>
      <c r="D172" s="230">
        <f>L172/$D$5</f>
        <v>676.90743461291493</v>
      </c>
      <c r="E172" s="231" t="s">
        <v>50</v>
      </c>
      <c r="F172" s="4" t="s">
        <v>155</v>
      </c>
      <c r="G172" s="287">
        <v>2023</v>
      </c>
      <c r="H172" s="114"/>
      <c r="I172" s="49"/>
      <c r="J172" s="151">
        <f>K172</f>
        <v>12508052.714237683</v>
      </c>
      <c r="K172" s="254">
        <f>[1]DRENAGEM!$I$44</f>
        <v>12508052.714237683</v>
      </c>
      <c r="L172" s="93">
        <f>SUM(R172:AC172)</f>
        <v>7495849.5514499983</v>
      </c>
      <c r="M172" s="217">
        <f t="shared" si="128"/>
        <v>0</v>
      </c>
      <c r="N172" s="217">
        <f t="shared" si="129"/>
        <v>12508052.714237683</v>
      </c>
      <c r="O172" s="433">
        <f t="shared" si="130"/>
        <v>0</v>
      </c>
      <c r="P172" s="217">
        <f t="shared" si="131"/>
        <v>12508052.714237683</v>
      </c>
      <c r="Q172" s="200"/>
      <c r="R172" s="4">
        <v>168533.05919999999</v>
      </c>
      <c r="S172" s="4">
        <v>708024.55999999994</v>
      </c>
      <c r="T172" s="4">
        <v>757005.93119999988</v>
      </c>
      <c r="U172" s="4">
        <v>406243.6</v>
      </c>
      <c r="V172" s="4">
        <v>497358.23599999998</v>
      </c>
      <c r="W172" s="4">
        <v>628342.77960000001</v>
      </c>
      <c r="X172" s="4">
        <v>1034777.2326499999</v>
      </c>
      <c r="Y172" s="4">
        <v>473680.03759999992</v>
      </c>
      <c r="Z172" s="9">
        <v>278857.21399999998</v>
      </c>
      <c r="AA172" s="4">
        <v>983051.47719999996</v>
      </c>
      <c r="AB172" s="4">
        <v>637802.45200000005</v>
      </c>
      <c r="AC172" s="5">
        <v>922172.97199999995</v>
      </c>
      <c r="AE172" s="21" t="s">
        <v>11</v>
      </c>
      <c r="AF172" s="19">
        <f>Z5</f>
        <v>676.1</v>
      </c>
      <c r="AG172" s="4">
        <f>Z172</f>
        <v>278857.21399999998</v>
      </c>
      <c r="AH172" s="22">
        <f>AG172/$AF$172</f>
        <v>412.44965833456587</v>
      </c>
      <c r="AI172" t="s">
        <v>52</v>
      </c>
      <c r="AJ172" s="19">
        <f>SUM(R5:Y5)+SUM(AA5:AC5)</f>
        <v>10397.57</v>
      </c>
      <c r="AK172" s="4">
        <f>SUM(R172:Y172)+SUM(AA172:AC172)</f>
        <v>7216992.3374499995</v>
      </c>
      <c r="AL172" s="20">
        <f>AK172/$AJ$172</f>
        <v>694.10375091968604</v>
      </c>
    </row>
    <row r="173" spans="1:38" ht="15.75" x14ac:dyDescent="0.25">
      <c r="B173" t="s">
        <v>18</v>
      </c>
      <c r="C173" s="1" t="s">
        <v>133</v>
      </c>
      <c r="D173" s="230">
        <f t="shared" ref="D173:D174" si="132">L173/$D$5</f>
        <v>86.75128288425428</v>
      </c>
      <c r="E173" s="231" t="s">
        <v>50</v>
      </c>
      <c r="F173" s="4" t="s">
        <v>155</v>
      </c>
      <c r="G173" s="287">
        <v>2023</v>
      </c>
      <c r="H173" s="114"/>
      <c r="I173" s="49"/>
      <c r="J173" s="146">
        <f t="shared" ref="J173:J174" si="133">K173</f>
        <v>1743243.8829049582</v>
      </c>
      <c r="K173" s="254">
        <f>[1]DRENAGEM!$I$45</f>
        <v>1743243.8829049582</v>
      </c>
      <c r="L173" s="93">
        <f>SUM(R173:AC173)</f>
        <v>960655.0787368801</v>
      </c>
      <c r="M173" s="217">
        <f t="shared" si="128"/>
        <v>0</v>
      </c>
      <c r="N173" s="217">
        <f t="shared" si="129"/>
        <v>1743243.8829049582</v>
      </c>
      <c r="O173" s="433">
        <f t="shared" si="130"/>
        <v>0</v>
      </c>
      <c r="P173" s="217">
        <f t="shared" si="131"/>
        <v>1743243.8829049582</v>
      </c>
      <c r="Q173" s="200"/>
      <c r="R173" s="4">
        <v>78395.545346480008</v>
      </c>
      <c r="S173" s="4">
        <v>92828.416491920012</v>
      </c>
      <c r="T173" s="4">
        <v>92419.437153520004</v>
      </c>
      <c r="U173" s="4">
        <v>96643.584020000009</v>
      </c>
      <c r="V173" s="4">
        <v>96661.873482399998</v>
      </c>
      <c r="W173" s="4">
        <v>39238.257683839998</v>
      </c>
      <c r="X173" s="4">
        <v>96794.672814079997</v>
      </c>
      <c r="Y173" s="4">
        <v>33138.032466880002</v>
      </c>
      <c r="Z173" s="9">
        <v>80817.429106559983</v>
      </c>
      <c r="AA173" s="4">
        <v>84936.25737503999</v>
      </c>
      <c r="AB173" s="4">
        <v>74084.62070592001</v>
      </c>
      <c r="AC173" s="5">
        <v>94696.952090239982</v>
      </c>
      <c r="AE173" s="3"/>
      <c r="AG173" s="4">
        <f t="shared" ref="AG173:AG174" si="134">Z173</f>
        <v>80817.429106559983</v>
      </c>
      <c r="AH173" s="22">
        <f>AG173/$AF$172</f>
        <v>119.53472726898384</v>
      </c>
      <c r="AK173" s="4">
        <f>SUM(R173:Y173)+SUM(AA173:AC173)</f>
        <v>879837.64963032014</v>
      </c>
      <c r="AL173" s="20">
        <f>AK173/$AJ$172</f>
        <v>84.619545685224551</v>
      </c>
    </row>
    <row r="174" spans="1:38" ht="15.75" x14ac:dyDescent="0.25">
      <c r="B174" t="s">
        <v>19</v>
      </c>
      <c r="C174" s="1" t="s">
        <v>133</v>
      </c>
      <c r="D174" s="230">
        <f t="shared" si="132"/>
        <v>70.149946675311796</v>
      </c>
      <c r="E174" s="231" t="s">
        <v>50</v>
      </c>
      <c r="F174" s="4" t="s">
        <v>155</v>
      </c>
      <c r="G174" s="287">
        <v>2023</v>
      </c>
      <c r="H174" s="114"/>
      <c r="I174" s="49"/>
      <c r="J174" s="146">
        <f t="shared" si="133"/>
        <v>1358644.8378540003</v>
      </c>
      <c r="K174" s="254">
        <f>[1]DRENAGEM!$I$46</f>
        <v>1358644.8378540003</v>
      </c>
      <c r="L174" s="93">
        <f>SUM(R174:AC174)</f>
        <v>776817.36</v>
      </c>
      <c r="M174" s="217">
        <f t="shared" si="128"/>
        <v>0</v>
      </c>
      <c r="N174" s="217">
        <f t="shared" si="129"/>
        <v>1358644.8378540003</v>
      </c>
      <c r="O174" s="433">
        <f t="shared" ref="O174:O175" si="135">M174</f>
        <v>0</v>
      </c>
      <c r="P174" s="217">
        <f t="shared" ref="P174:P175" si="136">N174</f>
        <v>1358644.8378540003</v>
      </c>
      <c r="Q174" s="200"/>
      <c r="R174" s="4">
        <v>65035.871999999996</v>
      </c>
      <c r="S174" s="4">
        <v>36131.040000000001</v>
      </c>
      <c r="T174" s="4">
        <v>36131.040000000001</v>
      </c>
      <c r="U174" s="4">
        <v>25291.728000000003</v>
      </c>
      <c r="V174" s="4">
        <v>21678.624000000003</v>
      </c>
      <c r="W174" s="4">
        <v>54196.560000000005</v>
      </c>
      <c r="X174" s="4">
        <v>86714.496000000014</v>
      </c>
      <c r="Y174" s="4">
        <v>18065.52</v>
      </c>
      <c r="Z174" s="9">
        <v>361310.39999999997</v>
      </c>
      <c r="AA174" s="4">
        <v>21678.624000000003</v>
      </c>
      <c r="AB174" s="4">
        <v>36131.040000000001</v>
      </c>
      <c r="AC174" s="5">
        <v>14452.415999999999</v>
      </c>
      <c r="AE174" s="3"/>
      <c r="AG174" s="4">
        <f t="shared" si="134"/>
        <v>361310.39999999997</v>
      </c>
      <c r="AH174" s="22">
        <f>AG174/$AF$172</f>
        <v>534.40378642212681</v>
      </c>
      <c r="AK174" s="4">
        <f>SUM(R174:Y174)+SUM(AA174:AC174)</f>
        <v>415506.96</v>
      </c>
      <c r="AL174" s="20">
        <f>AK174/$AJ$172</f>
        <v>39.961929566235192</v>
      </c>
    </row>
    <row r="175" spans="1:38" ht="15.75" x14ac:dyDescent="0.25">
      <c r="B175" s="80" t="s">
        <v>136</v>
      </c>
      <c r="C175" s="53" t="str">
        <f>C174</f>
        <v>gl.</v>
      </c>
      <c r="D175" s="68"/>
      <c r="E175" s="66"/>
      <c r="F175" s="79" t="s">
        <v>155</v>
      </c>
      <c r="G175" s="53">
        <v>2023</v>
      </c>
      <c r="H175" s="116"/>
      <c r="I175" s="79"/>
      <c r="J175" s="128">
        <f>K175</f>
        <v>746177.07978000003</v>
      </c>
      <c r="K175" s="273">
        <f>[1]RESUMO!$G$98*0.682</f>
        <v>746177.07978000003</v>
      </c>
      <c r="L175" s="6"/>
      <c r="M175" s="221">
        <f t="shared" si="128"/>
        <v>0</v>
      </c>
      <c r="N175" s="221">
        <f t="shared" si="129"/>
        <v>746177.07978000003</v>
      </c>
      <c r="O175" s="434">
        <f t="shared" si="135"/>
        <v>0</v>
      </c>
      <c r="P175" s="221">
        <f t="shared" si="136"/>
        <v>746177.07978000003</v>
      </c>
      <c r="Q175" s="200"/>
      <c r="R175" s="6"/>
      <c r="S175" s="31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</row>
    <row r="176" spans="1:38" x14ac:dyDescent="0.25">
      <c r="B176" s="2"/>
      <c r="C176" s="73"/>
      <c r="D176" s="73"/>
      <c r="E176" s="73"/>
      <c r="F176" s="2"/>
      <c r="G176" s="73"/>
      <c r="H176" s="133"/>
      <c r="I176" s="134"/>
      <c r="J176" s="134"/>
      <c r="K176" s="262"/>
      <c r="M176" s="212"/>
      <c r="N176" s="212"/>
      <c r="O176" s="18"/>
      <c r="P176" s="212"/>
    </row>
    <row r="177" spans="1:43" x14ac:dyDescent="0.25">
      <c r="A177" s="137">
        <v>24</v>
      </c>
      <c r="B177" s="85" t="s">
        <v>279</v>
      </c>
      <c r="H177" s="156"/>
      <c r="I177" s="37"/>
      <c r="J177" s="157">
        <f>SUM(J178:J180)</f>
        <v>63501859.323363088</v>
      </c>
      <c r="K177" s="263"/>
      <c r="L177" s="37"/>
      <c r="M177" s="220">
        <f>SUM(M178:M180)</f>
        <v>0</v>
      </c>
      <c r="N177" s="220">
        <f>SUM(N178:N180)</f>
        <v>63501859.323363088</v>
      </c>
      <c r="O177" s="422">
        <f>SUM(O178:O180)</f>
        <v>0</v>
      </c>
      <c r="P177" s="220">
        <f>SUM(P178:P180)</f>
        <v>63501859.323363088</v>
      </c>
      <c r="Q177" s="297"/>
      <c r="R177" s="45"/>
      <c r="S177" s="45"/>
      <c r="T177" s="45"/>
      <c r="U177" s="45"/>
      <c r="V177" s="45"/>
      <c r="W177" s="45"/>
      <c r="X177" s="45"/>
      <c r="Y177" s="45"/>
      <c r="Z177" s="46"/>
      <c r="AA177" s="45"/>
      <c r="AB177" s="45"/>
      <c r="AC177" s="78"/>
      <c r="AE177" s="3"/>
      <c r="AH177" s="18"/>
      <c r="AI177" s="3"/>
      <c r="AL177" s="18"/>
    </row>
    <row r="178" spans="1:43" ht="15" customHeight="1" x14ac:dyDescent="0.25">
      <c r="B178" s="57" t="s">
        <v>102</v>
      </c>
      <c r="C178" s="1" t="s">
        <v>133</v>
      </c>
      <c r="D178" s="143">
        <v>0.75</v>
      </c>
      <c r="F178" s="4" t="s">
        <v>155</v>
      </c>
      <c r="G178" s="287">
        <v>2023</v>
      </c>
      <c r="H178" s="114"/>
      <c r="I178" s="49">
        <v>2.501576</v>
      </c>
      <c r="J178" s="184">
        <f>$S$178*D178</f>
        <v>41414256.080454186</v>
      </c>
      <c r="K178" s="263"/>
      <c r="L178" s="37"/>
      <c r="M178" s="217"/>
      <c r="N178" s="217">
        <f>J178</f>
        <v>41414256.080454186</v>
      </c>
      <c r="O178" s="433">
        <f>M178</f>
        <v>0</v>
      </c>
      <c r="P178" s="217">
        <f>N178</f>
        <v>41414256.080454186</v>
      </c>
      <c r="Q178" s="200"/>
      <c r="R178" s="459"/>
      <c r="S178" s="295">
        <f>SUM(T178:Z178)*S179</f>
        <v>55219008.107272252</v>
      </c>
      <c r="T178" s="4">
        <v>5424499.2300000014</v>
      </c>
      <c r="U178" s="4"/>
      <c r="V178" s="4">
        <v>3297244.6300000008</v>
      </c>
      <c r="W178" s="4">
        <v>9679008.4300000016</v>
      </c>
      <c r="X178" s="4"/>
      <c r="Y178" s="4"/>
      <c r="Z178" s="9">
        <v>3672935.6999999997</v>
      </c>
      <c r="AA178" s="4"/>
      <c r="AB178" s="4"/>
      <c r="AC178" s="5"/>
      <c r="AE178" s="3"/>
      <c r="AG178" s="4">
        <f>Z178</f>
        <v>3672935.6999999997</v>
      </c>
      <c r="AH178" s="20">
        <f>+AG178/$AF$156</f>
        <v>5432.5332051471669</v>
      </c>
      <c r="AI178" s="3" t="s">
        <v>74</v>
      </c>
      <c r="AJ178" s="62">
        <f>AH178</f>
        <v>5432.5332051471669</v>
      </c>
      <c r="AL178" s="18"/>
    </row>
    <row r="179" spans="1:43" ht="15" customHeight="1" x14ac:dyDescent="0.25">
      <c r="B179" s="57" t="s">
        <v>103</v>
      </c>
      <c r="C179" s="1" t="s">
        <v>133</v>
      </c>
      <c r="D179" s="143">
        <v>0.25</v>
      </c>
      <c r="F179" s="4" t="s">
        <v>160</v>
      </c>
      <c r="G179" s="10"/>
      <c r="H179" s="4"/>
      <c r="I179" s="4"/>
      <c r="J179" s="184">
        <f>$S$178*D179</f>
        <v>13804752.026818063</v>
      </c>
      <c r="K179" s="263"/>
      <c r="L179" s="37"/>
      <c r="M179" s="217"/>
      <c r="N179" s="217">
        <f t="shared" ref="N179:N180" si="137">J179</f>
        <v>13804752.026818063</v>
      </c>
      <c r="O179" s="433">
        <f t="shared" ref="O179:O180" si="138">M179</f>
        <v>0</v>
      </c>
      <c r="P179" s="217">
        <f t="shared" ref="P179:P180" si="139">N179</f>
        <v>13804752.026818063</v>
      </c>
      <c r="Q179" s="200"/>
      <c r="R179" s="4" t="s">
        <v>183</v>
      </c>
      <c r="S179" s="186">
        <v>2.501576</v>
      </c>
      <c r="T179" s="4"/>
      <c r="U179" s="4"/>
      <c r="V179" s="4"/>
      <c r="W179" s="4"/>
      <c r="X179" s="4"/>
      <c r="Y179" s="4"/>
      <c r="Z179" s="9"/>
      <c r="AA179" s="4"/>
      <c r="AB179" s="4"/>
      <c r="AC179" s="5"/>
      <c r="AE179" s="3"/>
      <c r="AG179" s="4"/>
      <c r="AH179" s="20"/>
      <c r="AJ179" s="62"/>
      <c r="AL179" s="18"/>
    </row>
    <row r="180" spans="1:43" ht="15" customHeight="1" x14ac:dyDescent="0.25">
      <c r="B180" s="64" t="s">
        <v>104</v>
      </c>
      <c r="C180" s="1" t="s">
        <v>133</v>
      </c>
      <c r="D180" s="65">
        <v>0.15</v>
      </c>
      <c r="E180" s="7"/>
      <c r="F180" s="8" t="s">
        <v>161</v>
      </c>
      <c r="G180" s="290"/>
      <c r="H180" s="117"/>
      <c r="I180" s="117"/>
      <c r="J180" s="184">
        <f>SUM(J178:J179)*D180</f>
        <v>8282851.2160908375</v>
      </c>
      <c r="K180" s="270"/>
      <c r="L180" s="207"/>
      <c r="M180" s="221"/>
      <c r="N180" s="221">
        <f t="shared" si="137"/>
        <v>8282851.2160908375</v>
      </c>
      <c r="O180" s="434">
        <f t="shared" si="138"/>
        <v>0</v>
      </c>
      <c r="P180" s="221">
        <f t="shared" si="139"/>
        <v>8282851.2160908375</v>
      </c>
      <c r="Q180" s="200"/>
      <c r="R180" s="4"/>
      <c r="S180" s="4"/>
      <c r="T180" s="4"/>
      <c r="U180" s="4"/>
      <c r="V180" s="4"/>
      <c r="W180" s="4"/>
      <c r="X180" s="4"/>
      <c r="Y180" s="4"/>
      <c r="Z180" s="9"/>
      <c r="AA180" s="4"/>
      <c r="AB180" s="4"/>
      <c r="AC180" s="5"/>
      <c r="AE180" s="3"/>
      <c r="AG180" s="4"/>
      <c r="AH180" s="20"/>
      <c r="AJ180" s="62"/>
      <c r="AL180" s="18"/>
    </row>
    <row r="181" spans="1:43" x14ac:dyDescent="0.25">
      <c r="B181" s="2"/>
      <c r="C181" s="73"/>
      <c r="D181" s="73"/>
      <c r="E181" s="73"/>
      <c r="F181" s="2"/>
      <c r="G181" s="73"/>
      <c r="H181" s="133"/>
      <c r="I181" s="134"/>
      <c r="J181" s="134"/>
      <c r="K181" s="268"/>
      <c r="L181" s="2"/>
      <c r="M181" s="212"/>
      <c r="N181" s="212"/>
      <c r="O181" s="18"/>
      <c r="P181" s="212"/>
    </row>
    <row r="182" spans="1:43" ht="15" customHeight="1" x14ac:dyDescent="0.25">
      <c r="A182" s="137">
        <v>25</v>
      </c>
      <c r="B182" s="85" t="s">
        <v>276</v>
      </c>
      <c r="H182" s="156"/>
      <c r="I182" s="37"/>
      <c r="J182" s="157">
        <f>SUM(J183:J185)</f>
        <v>166564125.34957987</v>
      </c>
      <c r="K182" s="254"/>
      <c r="L182" s="37"/>
      <c r="M182" s="220">
        <f>SUM(M183:M185)</f>
        <v>0</v>
      </c>
      <c r="N182" s="220">
        <f>SUM(N183:N185)</f>
        <v>166564125.34957987</v>
      </c>
      <c r="O182" s="422">
        <f>SUM(O183:O185)</f>
        <v>0</v>
      </c>
      <c r="P182" s="220">
        <f>SUM(P183:P185)</f>
        <v>166564125.34957987</v>
      </c>
      <c r="Q182" s="297"/>
      <c r="R182" s="460" t="s">
        <v>143</v>
      </c>
      <c r="S182" s="172">
        <f>T6+V6+W6+Z6</f>
        <v>2825.8999999999996</v>
      </c>
      <c r="T182" s="296">
        <f>S178/S182</f>
        <v>19540.326305698101</v>
      </c>
      <c r="U182" s="296" t="s">
        <v>50</v>
      </c>
      <c r="V182" s="4"/>
      <c r="W182" s="4"/>
      <c r="X182" s="4"/>
      <c r="Y182" s="4"/>
      <c r="Z182" s="9"/>
      <c r="AA182" s="4"/>
      <c r="AB182" s="4"/>
      <c r="AC182" s="5"/>
      <c r="AE182" s="3"/>
      <c r="AG182" s="4"/>
      <c r="AH182" s="20"/>
      <c r="AJ182" s="62"/>
      <c r="AL182" s="18"/>
    </row>
    <row r="183" spans="1:43" ht="15" customHeight="1" x14ac:dyDescent="0.25">
      <c r="B183" s="57" t="s">
        <v>102</v>
      </c>
      <c r="C183" s="1" t="s">
        <v>133</v>
      </c>
      <c r="D183" s="63">
        <v>0.75</v>
      </c>
      <c r="F183" s="4" t="s">
        <v>91</v>
      </c>
      <c r="G183" s="287">
        <v>2012</v>
      </c>
      <c r="H183" s="114" t="s">
        <v>109</v>
      </c>
      <c r="I183" s="37">
        <v>2.17</v>
      </c>
      <c r="J183" s="181">
        <f>$S$184*D183</f>
        <v>108628777.40189993</v>
      </c>
      <c r="K183" s="254"/>
      <c r="L183" s="37"/>
      <c r="M183" s="217"/>
      <c r="N183" s="217">
        <f>J183</f>
        <v>108628777.40189993</v>
      </c>
      <c r="O183" s="433">
        <f>M183</f>
        <v>0</v>
      </c>
      <c r="P183" s="217">
        <f>N183</f>
        <v>108628777.40189993</v>
      </c>
      <c r="Q183" s="200"/>
      <c r="R183" s="461" t="s">
        <v>144</v>
      </c>
      <c r="S183" s="173">
        <f>R6+S6+U6+X6+Y6+AA6+AB6+AC6</f>
        <v>7412.2799999999988</v>
      </c>
      <c r="T183" s="4">
        <f>S184/S183</f>
        <v>19540.326305698101</v>
      </c>
      <c r="U183" s="4" t="s">
        <v>50</v>
      </c>
      <c r="V183" s="4"/>
      <c r="W183" s="4"/>
      <c r="X183" s="4"/>
      <c r="Y183" s="4"/>
      <c r="Z183" s="9"/>
      <c r="AA183" s="4"/>
      <c r="AB183" s="4"/>
      <c r="AC183" s="5"/>
      <c r="AE183" s="3"/>
      <c r="AG183" s="4"/>
      <c r="AH183" s="20"/>
      <c r="AJ183" s="19">
        <f>(R8+S8+U8+X8+Y8+AA8+AB8+AC8)</f>
        <v>4607.2799999999988</v>
      </c>
      <c r="AK183" s="8">
        <f>AJ183*AJ178</f>
        <v>25029201.585410431</v>
      </c>
      <c r="AL183" s="39">
        <f>AK183/AJ183</f>
        <v>5432.5332051471669</v>
      </c>
    </row>
    <row r="184" spans="1:43" ht="15" customHeight="1" x14ac:dyDescent="0.25">
      <c r="B184" s="57" t="s">
        <v>103</v>
      </c>
      <c r="C184" s="1" t="s">
        <v>133</v>
      </c>
      <c r="D184" s="63">
        <v>0.25</v>
      </c>
      <c r="F184" s="4" t="s">
        <v>160</v>
      </c>
      <c r="G184" s="10"/>
      <c r="H184" s="4"/>
      <c r="I184" s="4"/>
      <c r="J184" s="181">
        <f>$S$184*D184</f>
        <v>36209592.467299975</v>
      </c>
      <c r="K184" s="254"/>
      <c r="L184" s="37"/>
      <c r="M184" s="217"/>
      <c r="N184" s="217">
        <f t="shared" ref="N184:N185" si="140">J184</f>
        <v>36209592.467299975</v>
      </c>
      <c r="O184" s="433">
        <f t="shared" ref="O184:O185" si="141">M184</f>
        <v>0</v>
      </c>
      <c r="P184" s="217">
        <f t="shared" ref="P184:P185" si="142">N184</f>
        <v>36209592.467299975</v>
      </c>
      <c r="Q184" s="200"/>
      <c r="R184" s="462" t="s">
        <v>142</v>
      </c>
      <c r="S184" s="174">
        <f>S178/S182*S183</f>
        <v>144838369.8691999</v>
      </c>
      <c r="U184" s="4"/>
      <c r="V184" s="4"/>
      <c r="W184" s="4"/>
      <c r="X184" s="4"/>
      <c r="Y184" s="4"/>
      <c r="Z184" s="9"/>
      <c r="AA184" s="4"/>
      <c r="AB184" s="4"/>
      <c r="AC184" s="87"/>
      <c r="AD184" s="6"/>
      <c r="AE184" s="74"/>
      <c r="AF184" s="6"/>
      <c r="AG184" s="8"/>
      <c r="AH184" s="88"/>
      <c r="AI184" s="6"/>
      <c r="AJ184" s="89"/>
      <c r="AK184" s="8"/>
      <c r="AL184" s="39"/>
    </row>
    <row r="185" spans="1:43" ht="15" customHeight="1" x14ac:dyDescent="0.25">
      <c r="B185" s="64" t="s">
        <v>104</v>
      </c>
      <c r="C185" s="1" t="s">
        <v>133</v>
      </c>
      <c r="D185" s="65">
        <v>0.15</v>
      </c>
      <c r="E185" s="7"/>
      <c r="F185" s="8" t="s">
        <v>161</v>
      </c>
      <c r="G185" s="291"/>
      <c r="H185" s="8"/>
      <c r="I185" s="8"/>
      <c r="J185" s="181">
        <f>SUM(J183:J184)*D185</f>
        <v>21725755.480379984</v>
      </c>
      <c r="K185" s="270"/>
      <c r="L185" s="207"/>
      <c r="M185" s="221"/>
      <c r="N185" s="221">
        <f t="shared" si="140"/>
        <v>21725755.480379984</v>
      </c>
      <c r="O185" s="434">
        <f t="shared" si="141"/>
        <v>0</v>
      </c>
      <c r="P185" s="221">
        <f t="shared" si="142"/>
        <v>21725755.480379984</v>
      </c>
      <c r="Q185" s="200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3" x14ac:dyDescent="0.25">
      <c r="B186" s="2"/>
      <c r="C186" s="73"/>
      <c r="D186" s="73"/>
      <c r="E186" s="73"/>
      <c r="F186" s="2"/>
      <c r="G186" s="73"/>
      <c r="H186" s="133"/>
      <c r="I186" s="134"/>
      <c r="J186" s="134"/>
      <c r="K186" s="268"/>
      <c r="L186" s="2"/>
      <c r="M186" s="212"/>
      <c r="N186" s="212"/>
      <c r="O186" s="18"/>
      <c r="P186" s="212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3" x14ac:dyDescent="0.25">
      <c r="A187" s="137">
        <v>26</v>
      </c>
      <c r="B187" s="85" t="s">
        <v>118</v>
      </c>
      <c r="H187" s="156"/>
      <c r="I187" s="37"/>
      <c r="J187" s="157">
        <f>SUM(J188:J191)</f>
        <v>94479167.08046177</v>
      </c>
      <c r="K187" s="254"/>
      <c r="L187" s="45"/>
      <c r="M187" s="220">
        <f>SUM(M188:M192)</f>
        <v>0</v>
      </c>
      <c r="N187" s="220">
        <f>SUM(N188:N192)</f>
        <v>94479167.08046177</v>
      </c>
      <c r="O187" s="422">
        <f>SUM(O188:O192)</f>
        <v>0</v>
      </c>
      <c r="P187" s="220">
        <f>SUM(P188:P192)</f>
        <v>94479167.08046177</v>
      </c>
      <c r="Q187" s="297"/>
      <c r="S187" s="30"/>
    </row>
    <row r="188" spans="1:43" ht="15" customHeight="1" x14ac:dyDescent="0.25">
      <c r="B188" s="81" t="s">
        <v>119</v>
      </c>
      <c r="C188" s="1" t="s">
        <v>133</v>
      </c>
      <c r="D188" s="82"/>
      <c r="E188" s="82"/>
      <c r="F188" s="4" t="s">
        <v>155</v>
      </c>
      <c r="G188" s="292">
        <v>2023</v>
      </c>
      <c r="H188" s="152"/>
      <c r="I188" s="49"/>
      <c r="J188" s="185">
        <f>K188</f>
        <v>22489196.759040002</v>
      </c>
      <c r="K188" s="271">
        <f>[1]RESUMO!$G$74+[1]RESUMO!$G$73</f>
        <v>22489196.759040002</v>
      </c>
      <c r="L188" s="201"/>
      <c r="M188" s="214">
        <f>J188-K188</f>
        <v>0</v>
      </c>
      <c r="N188" s="214">
        <f>K188</f>
        <v>22489196.759040002</v>
      </c>
      <c r="O188" s="435">
        <f>M188</f>
        <v>0</v>
      </c>
      <c r="P188" s="214">
        <f>N188</f>
        <v>22489196.759040002</v>
      </c>
      <c r="Q188" s="200"/>
    </row>
    <row r="189" spans="1:43" ht="31.5" customHeight="1" x14ac:dyDescent="0.25">
      <c r="B189" s="81" t="s">
        <v>117</v>
      </c>
      <c r="C189" s="1" t="s">
        <v>133</v>
      </c>
      <c r="D189" s="82"/>
      <c r="E189" s="82"/>
      <c r="F189" s="4" t="s">
        <v>155</v>
      </c>
      <c r="G189" s="292">
        <v>2023</v>
      </c>
      <c r="H189" s="152"/>
      <c r="I189" s="105"/>
      <c r="J189" s="185">
        <f t="shared" ref="J189:J190" si="143">K189</f>
        <v>49429072.634920001</v>
      </c>
      <c r="K189" s="271">
        <f>[1]RESUMO!$G$71+[1]RESUMO!$G$72</f>
        <v>49429072.634920001</v>
      </c>
      <c r="L189" s="201"/>
      <c r="M189" s="214">
        <f t="shared" ref="M189:M192" si="144">J189-K189</f>
        <v>0</v>
      </c>
      <c r="N189" s="214">
        <f t="shared" ref="N189:N192" si="145">K189</f>
        <v>49429072.634920001</v>
      </c>
      <c r="O189" s="435">
        <f t="shared" ref="O189:O190" si="146">M189</f>
        <v>0</v>
      </c>
      <c r="P189" s="214">
        <f t="shared" ref="P189:P190" si="147">N189</f>
        <v>49429072.634920001</v>
      </c>
      <c r="Q189" s="200"/>
    </row>
    <row r="190" spans="1:43" ht="15" customHeight="1" x14ac:dyDescent="0.25">
      <c r="B190" s="81" t="s">
        <v>122</v>
      </c>
      <c r="C190" s="1" t="s">
        <v>133</v>
      </c>
      <c r="D190" s="82"/>
      <c r="E190" s="82"/>
      <c r="F190" s="4" t="s">
        <v>155</v>
      </c>
      <c r="G190" s="292">
        <v>2023</v>
      </c>
      <c r="H190" s="152"/>
      <c r="I190" s="49"/>
      <c r="J190" s="185">
        <f t="shared" si="143"/>
        <v>17742898.578724001</v>
      </c>
      <c r="K190" s="271">
        <f>[1]RESUMO!$G$75+[1]RESUMO!$G$76</f>
        <v>17742898.578724001</v>
      </c>
      <c r="L190" s="201"/>
      <c r="M190" s="214">
        <f t="shared" si="144"/>
        <v>0</v>
      </c>
      <c r="N190" s="214">
        <f t="shared" si="145"/>
        <v>17742898.578724001</v>
      </c>
      <c r="O190" s="435">
        <f t="shared" si="146"/>
        <v>0</v>
      </c>
      <c r="P190" s="214">
        <f t="shared" si="147"/>
        <v>17742898.578724001</v>
      </c>
      <c r="Q190" s="200"/>
    </row>
    <row r="191" spans="1:43" ht="74.25" customHeight="1" x14ac:dyDescent="0.25">
      <c r="B191" s="81" t="s">
        <v>184</v>
      </c>
      <c r="C191" s="1" t="s">
        <v>133</v>
      </c>
      <c r="D191" s="82"/>
      <c r="E191" s="82"/>
      <c r="F191" s="260" t="s">
        <v>155</v>
      </c>
      <c r="G191" s="292">
        <v>2023</v>
      </c>
      <c r="H191" s="152"/>
      <c r="I191" s="105"/>
      <c r="J191" s="185">
        <f>K191</f>
        <v>4817999.1077777781</v>
      </c>
      <c r="K191" s="271">
        <f>[1]RESUMO!$G$68+[1]RESUMO!$G$69</f>
        <v>4817999.1077777781</v>
      </c>
      <c r="L191" s="201"/>
      <c r="M191" s="214">
        <f t="shared" si="144"/>
        <v>0</v>
      </c>
      <c r="N191" s="214">
        <f t="shared" si="145"/>
        <v>4817999.1077777781</v>
      </c>
      <c r="O191" s="435">
        <f t="shared" ref="O191:O192" si="148">M191</f>
        <v>0</v>
      </c>
      <c r="P191" s="214">
        <f t="shared" ref="P191:P192" si="149">N191</f>
        <v>4817999.1077777781</v>
      </c>
      <c r="Q191" s="200"/>
    </row>
    <row r="192" spans="1:43" ht="14.25" customHeight="1" x14ac:dyDescent="0.25">
      <c r="B192" s="80" t="s">
        <v>136</v>
      </c>
      <c r="C192" s="53" t="str">
        <f>C191</f>
        <v>gl.</v>
      </c>
      <c r="D192" s="68"/>
      <c r="E192" s="66"/>
      <c r="F192" s="79"/>
      <c r="G192" s="53"/>
      <c r="H192" s="116"/>
      <c r="I192" s="79"/>
      <c r="J192" s="67">
        <v>0</v>
      </c>
      <c r="K192" s="273">
        <f>J192</f>
        <v>0</v>
      </c>
      <c r="L192" s="6"/>
      <c r="M192" s="225">
        <f t="shared" si="144"/>
        <v>0</v>
      </c>
      <c r="N192" s="225">
        <f t="shared" si="145"/>
        <v>0</v>
      </c>
      <c r="O192" s="436">
        <f t="shared" si="148"/>
        <v>0</v>
      </c>
      <c r="P192" s="225">
        <f t="shared" si="149"/>
        <v>0</v>
      </c>
      <c r="Q192" s="200"/>
      <c r="S192" s="30"/>
    </row>
    <row r="193" spans="1:19" ht="14.25" customHeight="1" x14ac:dyDescent="0.25">
      <c r="B193" s="57"/>
      <c r="D193" s="135"/>
      <c r="E193" s="40"/>
      <c r="G193" s="1"/>
      <c r="H193" s="115"/>
      <c r="I193"/>
      <c r="J193" s="136"/>
      <c r="K193" s="265"/>
      <c r="M193" s="212"/>
      <c r="N193" s="212"/>
      <c r="O193" s="18"/>
      <c r="P193" s="212"/>
      <c r="S193" s="30"/>
    </row>
    <row r="194" spans="1:19" x14ac:dyDescent="0.25">
      <c r="A194" s="137">
        <v>27</v>
      </c>
      <c r="B194" s="85" t="s">
        <v>125</v>
      </c>
      <c r="H194" s="156"/>
      <c r="I194" s="37"/>
      <c r="J194" s="157">
        <f>SUM(J195:J198)</f>
        <v>169486079.02497804</v>
      </c>
      <c r="K194" s="262"/>
      <c r="L194" s="30"/>
      <c r="M194" s="220">
        <f>SUM(M195:M198)</f>
        <v>14032000.9405</v>
      </c>
      <c r="N194" s="220">
        <f>SUM(N195:N198)</f>
        <v>155454078.08447805</v>
      </c>
      <c r="O194" s="425">
        <f>SUM(O195:O198)</f>
        <v>0</v>
      </c>
      <c r="P194" s="300">
        <f>SUM(P195:P198)</f>
        <v>169486079.02497804</v>
      </c>
      <c r="Q194" s="297"/>
    </row>
    <row r="195" spans="1:19" ht="15.75" x14ac:dyDescent="0.25">
      <c r="B195" t="s">
        <v>126</v>
      </c>
      <c r="C195" s="1" t="s">
        <v>133</v>
      </c>
      <c r="D195" s="11">
        <f>SUM(R6:AC6)</f>
        <v>10238.18</v>
      </c>
      <c r="F195" t="s">
        <v>155</v>
      </c>
      <c r="G195" s="287">
        <v>2023</v>
      </c>
      <c r="H195" s="114"/>
      <c r="I195" s="37"/>
      <c r="J195" s="58">
        <f>K195</f>
        <v>62856829.399999999</v>
      </c>
      <c r="K195" s="254">
        <f>'[1]RESUMO GERAL'!$C$13</f>
        <v>62856829.399999999</v>
      </c>
      <c r="L195" s="30"/>
      <c r="M195" s="214">
        <f>J195-K195</f>
        <v>0</v>
      </c>
      <c r="N195" s="214">
        <f>K195</f>
        <v>62856829.399999999</v>
      </c>
      <c r="O195" s="418">
        <f>M195</f>
        <v>0</v>
      </c>
      <c r="P195" s="301">
        <f>N195</f>
        <v>62856829.399999999</v>
      </c>
      <c r="Q195" s="200"/>
    </row>
    <row r="196" spans="1:19" ht="15.75" x14ac:dyDescent="0.25">
      <c r="B196" t="s">
        <v>148</v>
      </c>
      <c r="C196" s="1" t="s">
        <v>133</v>
      </c>
      <c r="D196" s="11"/>
      <c r="E196" s="103"/>
      <c r="F196" t="s">
        <v>162</v>
      </c>
      <c r="G196" s="287">
        <v>2023</v>
      </c>
      <c r="H196" s="114"/>
      <c r="I196" s="37"/>
      <c r="J196" s="58">
        <f>K196</f>
        <v>81403318.684478059</v>
      </c>
      <c r="K196" s="267">
        <f>'[1]RESUMO GERAL'!$C$14</f>
        <v>81403318.684478059</v>
      </c>
      <c r="L196" s="30"/>
      <c r="M196" s="214">
        <f t="shared" ref="M196:M197" si="150">J196-K196</f>
        <v>0</v>
      </c>
      <c r="N196" s="214">
        <f t="shared" ref="N196:N197" si="151">K196</f>
        <v>81403318.684478059</v>
      </c>
      <c r="O196" s="418">
        <f t="shared" ref="O196:O197" si="152">M196</f>
        <v>0</v>
      </c>
      <c r="P196" s="301">
        <f t="shared" ref="P196:P197" si="153">N196</f>
        <v>81403318.684478059</v>
      </c>
      <c r="Q196" s="200"/>
    </row>
    <row r="197" spans="1:19" ht="15.75" x14ac:dyDescent="0.25">
      <c r="B197" t="s">
        <v>106</v>
      </c>
      <c r="C197" s="1" t="s">
        <v>133</v>
      </c>
      <c r="D197" s="240">
        <v>2.5000000000000001E-2</v>
      </c>
      <c r="E197" s="40" t="s">
        <v>145</v>
      </c>
      <c r="F197" t="s">
        <v>163</v>
      </c>
      <c r="G197" s="287">
        <v>2023</v>
      </c>
      <c r="H197" s="114"/>
      <c r="I197" s="69" t="s">
        <v>80</v>
      </c>
      <c r="J197" s="58">
        <f>K197</f>
        <v>11193930</v>
      </c>
      <c r="K197" s="254">
        <f>'[1]RESUMO GERAL'!$C$15</f>
        <v>11193930</v>
      </c>
      <c r="L197" s="30"/>
      <c r="M197" s="214">
        <f t="shared" si="150"/>
        <v>0</v>
      </c>
      <c r="N197" s="214">
        <f t="shared" si="151"/>
        <v>11193930</v>
      </c>
      <c r="O197" s="418">
        <f t="shared" si="152"/>
        <v>0</v>
      </c>
      <c r="P197" s="301">
        <f t="shared" si="153"/>
        <v>11193930</v>
      </c>
      <c r="Q197" s="200"/>
    </row>
    <row r="198" spans="1:19" ht="15.75" x14ac:dyDescent="0.25">
      <c r="B198" s="6" t="s">
        <v>146</v>
      </c>
      <c r="C198" s="7" t="s">
        <v>133</v>
      </c>
      <c r="D198" s="247">
        <f>D5</f>
        <v>11073.67</v>
      </c>
      <c r="E198" s="248">
        <v>1267.1500000000001</v>
      </c>
      <c r="F198" s="6" t="s">
        <v>164</v>
      </c>
      <c r="G198" s="290">
        <v>2023</v>
      </c>
      <c r="H198" s="117"/>
      <c r="I198" s="104" t="s">
        <v>80</v>
      </c>
      <c r="J198" s="226">
        <f>D198*E198</f>
        <v>14032000.9405</v>
      </c>
      <c r="K198" s="272"/>
      <c r="L198" s="31"/>
      <c r="M198" s="438">
        <f t="shared" ref="M198" si="154">J198-K198</f>
        <v>14032000.9405</v>
      </c>
      <c r="N198" s="225">
        <f t="shared" ref="N198" si="155">K198</f>
        <v>0</v>
      </c>
      <c r="O198" s="437">
        <v>0</v>
      </c>
      <c r="P198" s="302">
        <f>M198</f>
        <v>14032000.9405</v>
      </c>
      <c r="Q198" s="200"/>
    </row>
    <row r="199" spans="1:19" ht="14.25" customHeight="1" x14ac:dyDescent="0.25">
      <c r="B199" s="57"/>
      <c r="D199" s="135"/>
      <c r="E199" s="40"/>
      <c r="G199" s="1"/>
      <c r="H199" s="115"/>
      <c r="I199"/>
      <c r="J199" s="136"/>
      <c r="K199" s="265"/>
      <c r="M199" s="212"/>
      <c r="N199" s="212"/>
      <c r="O199" s="18"/>
      <c r="P199" s="212"/>
      <c r="S199" s="30"/>
    </row>
    <row r="200" spans="1:19" ht="14.25" customHeight="1" x14ac:dyDescent="0.25">
      <c r="A200" s="137">
        <v>28</v>
      </c>
      <c r="B200" s="85" t="s">
        <v>149</v>
      </c>
      <c r="H200" s="156"/>
      <c r="I200" s="37"/>
      <c r="J200" s="157">
        <f>SUM(J201:J203)</f>
        <v>20424028.309894893</v>
      </c>
      <c r="K200" s="265"/>
      <c r="M200" s="220">
        <f>SUM(M201:M204)</f>
        <v>0</v>
      </c>
      <c r="N200" s="220">
        <f>SUM(N201:N204)</f>
        <v>20424028.309894893</v>
      </c>
      <c r="O200" s="422">
        <f>SUM(O201:O204)</f>
        <v>0</v>
      </c>
      <c r="P200" s="220">
        <f>SUM(P201:P204)</f>
        <v>20424028.309894893</v>
      </c>
      <c r="Q200" s="297"/>
      <c r="S200" s="30"/>
    </row>
    <row r="201" spans="1:19" ht="14.25" customHeight="1" x14ac:dyDescent="0.25">
      <c r="B201" s="57" t="s">
        <v>150</v>
      </c>
      <c r="D201" s="135"/>
      <c r="E201" s="40"/>
      <c r="F201" s="4" t="s">
        <v>155</v>
      </c>
      <c r="G201" s="287">
        <v>2023</v>
      </c>
      <c r="H201" s="115"/>
      <c r="I201"/>
      <c r="J201" s="4">
        <f>K201</f>
        <v>2278479.2769959993</v>
      </c>
      <c r="K201" s="265">
        <f>[1]RESUMO!$G$14</f>
        <v>2278479.2769959993</v>
      </c>
      <c r="M201" s="214">
        <f>J201-K201</f>
        <v>0</v>
      </c>
      <c r="N201" s="214">
        <f>K201</f>
        <v>2278479.2769959993</v>
      </c>
      <c r="O201" s="435">
        <f>M201</f>
        <v>0</v>
      </c>
      <c r="P201" s="214">
        <f>N201</f>
        <v>2278479.2769959993</v>
      </c>
      <c r="Q201" s="200"/>
      <c r="S201" s="30"/>
    </row>
    <row r="202" spans="1:19" ht="14.25" customHeight="1" x14ac:dyDescent="0.25">
      <c r="B202" s="57" t="s">
        <v>151</v>
      </c>
      <c r="D202" s="135"/>
      <c r="E202" s="40"/>
      <c r="F202" s="4" t="s">
        <v>155</v>
      </c>
      <c r="G202" s="287">
        <v>2023</v>
      </c>
      <c r="H202" s="115"/>
      <c r="I202"/>
      <c r="J202" s="4">
        <f t="shared" ref="J202:J203" si="156">K202</f>
        <v>17780541.249975875</v>
      </c>
      <c r="K202" s="265">
        <f>[1]RESUMO!$G$15</f>
        <v>17780541.249975875</v>
      </c>
      <c r="L202" s="144" t="s">
        <v>174</v>
      </c>
      <c r="M202" s="214">
        <f t="shared" ref="M202:M203" si="157">J202-K202</f>
        <v>0</v>
      </c>
      <c r="N202" s="214">
        <f t="shared" ref="N202:N203" si="158">K202</f>
        <v>17780541.249975875</v>
      </c>
      <c r="O202" s="435">
        <f t="shared" ref="O202:O203" si="159">M202</f>
        <v>0</v>
      </c>
      <c r="P202" s="214">
        <f t="shared" ref="P202:P203" si="160">N202</f>
        <v>17780541.249975875</v>
      </c>
      <c r="Q202" s="200"/>
      <c r="S202" s="30"/>
    </row>
    <row r="203" spans="1:19" ht="14.25" customHeight="1" x14ac:dyDescent="0.25">
      <c r="B203" s="64" t="s">
        <v>152</v>
      </c>
      <c r="C203" s="7"/>
      <c r="D203" s="153"/>
      <c r="E203" s="154"/>
      <c r="F203" s="8" t="s">
        <v>155</v>
      </c>
      <c r="G203" s="290">
        <v>2023</v>
      </c>
      <c r="H203" s="155"/>
      <c r="I203" s="6"/>
      <c r="J203" s="8">
        <f t="shared" si="156"/>
        <v>365007.78292302007</v>
      </c>
      <c r="K203" s="256">
        <f>[1]RESUMO!$G$16</f>
        <v>365007.78292302007</v>
      </c>
      <c r="L203" s="228"/>
      <c r="M203" s="225">
        <f t="shared" si="157"/>
        <v>0</v>
      </c>
      <c r="N203" s="225">
        <f t="shared" si="158"/>
        <v>365007.78292302007</v>
      </c>
      <c r="O203" s="436">
        <f t="shared" si="159"/>
        <v>0</v>
      </c>
      <c r="P203" s="225">
        <f t="shared" si="160"/>
        <v>365007.78292302007</v>
      </c>
      <c r="Q203" s="200"/>
      <c r="S203" s="30"/>
    </row>
    <row r="204" spans="1:19" ht="14.25" customHeight="1" x14ac:dyDescent="0.25">
      <c r="B204" s="57"/>
      <c r="D204" s="135"/>
      <c r="E204" s="40"/>
      <c r="G204" s="1"/>
      <c r="H204" s="115"/>
      <c r="I204"/>
      <c r="J204" s="136"/>
      <c r="K204" s="412"/>
      <c r="L204" s="439"/>
      <c r="S204" s="30"/>
    </row>
    <row r="205" spans="1:19" x14ac:dyDescent="0.25">
      <c r="F205" s="440" t="s">
        <v>57</v>
      </c>
      <c r="G205" s="441"/>
      <c r="H205" s="442"/>
      <c r="I205" s="443"/>
      <c r="J205" s="444">
        <f>J154+J177+J182+J163+J138+J169+J146+J127+J132+J57+J84+J90+J97+J104+J111+J187+J10+J49+J41+J33+J25+J17+J70+J77+J63+J118+J194+J200</f>
        <v>1201344631.2160113</v>
      </c>
      <c r="K205" s="445">
        <f>SUM(K10:K203)</f>
        <v>623635304.61363411</v>
      </c>
      <c r="L205" s="452"/>
      <c r="M205" s="444">
        <f>M154+M177+M182+M163+M138+M169+M146+M127+M132+M57+M84+M90+M97+M104+M111+M187+M10+M49+M41+M33+M25+M17+M70+M77+M63+M118+M194+M200</f>
        <v>345655111.97788733</v>
      </c>
      <c r="N205" s="444">
        <f>N154+N177+N182+N163+N138+N169+N146+N127+N132+N57+N84+N90+N97+N104+N111+N187+N10+N49+N41+N33+N25+N17+N70+N77+N63+N118+N194+N200</f>
        <v>853701289.28657675</v>
      </c>
      <c r="O205" s="444">
        <f>O154+O177+O182+O163+O138+O169+O146+O127+O132+O57+O84+O90+O97+O104+O111+O187+O10+O49+O41+O33+O25+O17+O70+O77+O63+O118+O194+O200</f>
        <v>286436925.65198714</v>
      </c>
      <c r="P205" s="446">
        <f>P154+P177+P182+P163+P138+P169+P146+P127+P132+P57+P84+P90+P97+P104+P111+P187+P10+P49+P41+P33+P25+P17+P70+P77+P63+P118+P194+P200</f>
        <v>867733290.22707677</v>
      </c>
      <c r="R205" t="s">
        <v>123</v>
      </c>
    </row>
    <row r="206" spans="1:19" x14ac:dyDescent="0.25">
      <c r="B206" s="1"/>
      <c r="F206" s="447"/>
      <c r="G206" s="293"/>
      <c r="H206" s="110"/>
      <c r="I206" s="59" t="s">
        <v>50</v>
      </c>
      <c r="J206" s="60">
        <f>J205/D6</f>
        <v>117339.66693455393</v>
      </c>
      <c r="K206" s="448">
        <f>K205/D6</f>
        <v>60912.711498883014</v>
      </c>
      <c r="L206" s="449"/>
      <c r="M206" s="450">
        <f>M205/10594.8</f>
        <v>32624.977534062687</v>
      </c>
      <c r="N206" s="450">
        <f>N205/10594.8</f>
        <v>80577.386008851216</v>
      </c>
      <c r="O206" s="450"/>
      <c r="P206" s="451"/>
      <c r="R206" t="s">
        <v>124</v>
      </c>
    </row>
    <row r="207" spans="1:19" ht="15.75" x14ac:dyDescent="0.25">
      <c r="B207" s="1"/>
      <c r="E207" s="102"/>
      <c r="F207" s="194" t="s">
        <v>190</v>
      </c>
      <c r="G207" s="294"/>
      <c r="H207" s="195"/>
      <c r="I207" s="196"/>
      <c r="J207" s="197">
        <f>J205-K205</f>
        <v>577709326.60237718</v>
      </c>
      <c r="K207" s="198"/>
      <c r="L207" s="199"/>
      <c r="M207" s="199"/>
      <c r="N207" s="229"/>
      <c r="O207" s="305">
        <f>O25+O33+O41+O49+O57+O70+O77+O97+O104+O111+O118+O127+O132+O138+O146+O154+O163+O169+O177+O182+O187+O200</f>
        <v>230354342.24643612</v>
      </c>
      <c r="P207" s="304" t="s">
        <v>287</v>
      </c>
      <c r="Q207" s="304"/>
      <c r="R207" s="303"/>
    </row>
    <row r="208" spans="1:19" x14ac:dyDescent="0.25">
      <c r="B208" s="1"/>
      <c r="F208" s="1"/>
      <c r="G208" s="1"/>
      <c r="H208" s="108"/>
      <c r="I208" s="12" t="s">
        <v>189</v>
      </c>
      <c r="J208" s="283">
        <f>D6</f>
        <v>10238.18</v>
      </c>
      <c r="K208" s="261">
        <f>K161+K167+K144+K175+K152+K130+K136+K61+K88+K95+K102+K109+K116+K192+K55+K47+K39+K31+K23+K75+K82+K68+K125</f>
        <v>10194955.330800002</v>
      </c>
      <c r="L208" s="71" t="s">
        <v>111</v>
      </c>
      <c r="M208" s="71"/>
      <c r="N208" s="71"/>
      <c r="O208" s="71"/>
      <c r="P208" s="71"/>
      <c r="Q208" s="71"/>
    </row>
    <row r="209" spans="1:15" x14ac:dyDescent="0.25">
      <c r="O209" s="106"/>
    </row>
    <row r="210" spans="1:15" x14ac:dyDescent="0.25">
      <c r="J210" s="37">
        <f>J205-J200</f>
        <v>1180920602.9061165</v>
      </c>
      <c r="K210" s="29">
        <f>K205-K178</f>
        <v>623635304.61363411</v>
      </c>
      <c r="O210" s="106"/>
    </row>
    <row r="211" spans="1:15" x14ac:dyDescent="0.25">
      <c r="K211" s="29">
        <f>K210-SUM(K195:K198)</f>
        <v>468181226.52915609</v>
      </c>
      <c r="O211" s="136"/>
    </row>
    <row r="212" spans="1:15" x14ac:dyDescent="0.25">
      <c r="K212" s="177"/>
      <c r="O212" s="136"/>
    </row>
    <row r="213" spans="1:15" x14ac:dyDescent="0.25">
      <c r="K213" s="29"/>
    </row>
    <row r="214" spans="1:15" x14ac:dyDescent="0.25">
      <c r="H214" s="190" t="s">
        <v>188</v>
      </c>
      <c r="I214" s="191">
        <f>J214/J205</f>
        <v>8.7529408108888485E-2</v>
      </c>
      <c r="J214" s="192">
        <f>[2]Orçam!$K$205-J205</f>
        <v>105152984.50512838</v>
      </c>
    </row>
    <row r="215" spans="1:15" x14ac:dyDescent="0.25">
      <c r="J215" s="189">
        <f>J205/10595</f>
        <v>113387.88402227573</v>
      </c>
    </row>
    <row r="217" spans="1:15" x14ac:dyDescent="0.25">
      <c r="K217" s="29">
        <f>'[1]RESUMO GERAL'!$C$17</f>
        <v>623635304.61363399</v>
      </c>
    </row>
    <row r="218" spans="1:15" x14ac:dyDescent="0.25">
      <c r="A218"/>
      <c r="C218"/>
      <c r="D218"/>
      <c r="E218"/>
      <c r="G218" s="1"/>
      <c r="H218"/>
      <c r="I218"/>
      <c r="J218"/>
      <c r="K218" s="4">
        <f>K217-K205</f>
        <v>0</v>
      </c>
    </row>
    <row r="219" spans="1:15" x14ac:dyDescent="0.25">
      <c r="A219"/>
      <c r="C219"/>
      <c r="D219"/>
      <c r="E219"/>
      <c r="G219" s="1"/>
      <c r="H219"/>
      <c r="I219"/>
      <c r="J219"/>
      <c r="K219"/>
    </row>
    <row r="220" spans="1:15" x14ac:dyDescent="0.25">
      <c r="A220"/>
      <c r="C220"/>
      <c r="D220"/>
      <c r="E220"/>
      <c r="G220" s="1"/>
      <c r="H220"/>
      <c r="I220"/>
      <c r="J220"/>
      <c r="K220"/>
    </row>
    <row r="221" spans="1:15" x14ac:dyDescent="0.25">
      <c r="A221"/>
      <c r="C221"/>
      <c r="D221"/>
      <c r="E221"/>
      <c r="G221" s="1"/>
      <c r="H221"/>
      <c r="I221"/>
      <c r="J221"/>
      <c r="K221"/>
    </row>
    <row r="222" spans="1:15" x14ac:dyDescent="0.25">
      <c r="A222"/>
      <c r="C222"/>
      <c r="D222"/>
      <c r="E222"/>
      <c r="G222" s="1"/>
      <c r="H222"/>
      <c r="I222"/>
      <c r="J222"/>
      <c r="K222"/>
    </row>
    <row r="223" spans="1:15" x14ac:dyDescent="0.25">
      <c r="A223"/>
      <c r="C223"/>
      <c r="D223"/>
      <c r="E223"/>
      <c r="G223" s="1"/>
      <c r="H223"/>
      <c r="I223"/>
      <c r="J223"/>
      <c r="K223"/>
    </row>
    <row r="224" spans="1:15" x14ac:dyDescent="0.25">
      <c r="A224"/>
      <c r="C224"/>
      <c r="D224"/>
      <c r="E224"/>
      <c r="G224" s="1"/>
      <c r="H224"/>
      <c r="I224"/>
      <c r="J224"/>
      <c r="K224"/>
    </row>
    <row r="225" spans="7:7" customFormat="1" x14ac:dyDescent="0.25">
      <c r="G225" s="1"/>
    </row>
    <row r="226" spans="7:7" customFormat="1" x14ac:dyDescent="0.25">
      <c r="G226" s="1"/>
    </row>
    <row r="227" spans="7:7" customFormat="1" x14ac:dyDescent="0.25">
      <c r="G227" s="1"/>
    </row>
    <row r="228" spans="7:7" customFormat="1" x14ac:dyDescent="0.25">
      <c r="G228" s="1"/>
    </row>
    <row r="229" spans="7:7" customFormat="1" x14ac:dyDescent="0.25">
      <c r="G229" s="1"/>
    </row>
    <row r="230" spans="7:7" customFormat="1" x14ac:dyDescent="0.25">
      <c r="G230" s="1"/>
    </row>
    <row r="231" spans="7:7" customFormat="1" x14ac:dyDescent="0.25">
      <c r="G231" s="1"/>
    </row>
    <row r="232" spans="7:7" customFormat="1" x14ac:dyDescent="0.25">
      <c r="G232" s="1"/>
    </row>
    <row r="233" spans="7:7" customFormat="1" x14ac:dyDescent="0.25">
      <c r="G233" s="1"/>
    </row>
    <row r="234" spans="7:7" customFormat="1" x14ac:dyDescent="0.25">
      <c r="G234" s="1"/>
    </row>
    <row r="235" spans="7:7" customFormat="1" x14ac:dyDescent="0.25">
      <c r="G235" s="1"/>
    </row>
    <row r="236" spans="7:7" customFormat="1" x14ac:dyDescent="0.25">
      <c r="G236" s="1"/>
    </row>
    <row r="237" spans="7:7" customFormat="1" x14ac:dyDescent="0.25">
      <c r="G237" s="1"/>
    </row>
    <row r="238" spans="7:7" customFormat="1" x14ac:dyDescent="0.25">
      <c r="G238" s="1"/>
    </row>
    <row r="239" spans="7:7" customFormat="1" x14ac:dyDescent="0.25">
      <c r="G239" s="1"/>
    </row>
    <row r="240" spans="7:7" customFormat="1" x14ac:dyDescent="0.25">
      <c r="G240" s="1"/>
    </row>
    <row r="241" spans="7:7" customFormat="1" x14ac:dyDescent="0.25">
      <c r="G241" s="1"/>
    </row>
    <row r="242" spans="7:7" customFormat="1" x14ac:dyDescent="0.25">
      <c r="G242" s="1"/>
    </row>
    <row r="243" spans="7:7" customFormat="1" x14ac:dyDescent="0.25">
      <c r="G243" s="1"/>
    </row>
    <row r="244" spans="7:7" customFormat="1" x14ac:dyDescent="0.25">
      <c r="G244" s="1"/>
    </row>
    <row r="245" spans="7:7" customFormat="1" x14ac:dyDescent="0.25">
      <c r="G245" s="1"/>
    </row>
    <row r="246" spans="7:7" customFormat="1" x14ac:dyDescent="0.25">
      <c r="G246" s="1"/>
    </row>
    <row r="247" spans="7:7" customFormat="1" x14ac:dyDescent="0.25">
      <c r="G247" s="1"/>
    </row>
    <row r="248" spans="7:7" customFormat="1" x14ac:dyDescent="0.25">
      <c r="G248" s="1"/>
    </row>
    <row r="249" spans="7:7" customFormat="1" x14ac:dyDescent="0.25">
      <c r="G249" s="1"/>
    </row>
    <row r="250" spans="7:7" customFormat="1" x14ac:dyDescent="0.25">
      <c r="G250" s="1"/>
    </row>
    <row r="251" spans="7:7" customFormat="1" x14ac:dyDescent="0.25">
      <c r="G251" s="1"/>
    </row>
    <row r="252" spans="7:7" customFormat="1" x14ac:dyDescent="0.25">
      <c r="G252" s="1"/>
    </row>
    <row r="253" spans="7:7" customFormat="1" x14ac:dyDescent="0.25">
      <c r="G253" s="1"/>
    </row>
    <row r="254" spans="7:7" customFormat="1" x14ac:dyDescent="0.25">
      <c r="G254" s="1"/>
    </row>
    <row r="255" spans="7:7" customFormat="1" x14ac:dyDescent="0.25">
      <c r="G255" s="1"/>
    </row>
    <row r="256" spans="7:7" customFormat="1" x14ac:dyDescent="0.25">
      <c r="G256" s="1"/>
    </row>
    <row r="257" spans="7:7" customFormat="1" x14ac:dyDescent="0.25">
      <c r="G257" s="1"/>
    </row>
    <row r="258" spans="7:7" customFormat="1" x14ac:dyDescent="0.25">
      <c r="G258" s="1"/>
    </row>
    <row r="259" spans="7:7" customFormat="1" x14ac:dyDescent="0.25">
      <c r="G259" s="1"/>
    </row>
    <row r="260" spans="7:7" customFormat="1" x14ac:dyDescent="0.25">
      <c r="G260" s="1"/>
    </row>
    <row r="261" spans="7:7" customFormat="1" x14ac:dyDescent="0.25">
      <c r="G261" s="1"/>
    </row>
    <row r="262" spans="7:7" customFormat="1" x14ac:dyDescent="0.25">
      <c r="G262" s="1"/>
    </row>
    <row r="263" spans="7:7" customFormat="1" x14ac:dyDescent="0.25">
      <c r="G263" s="1"/>
    </row>
    <row r="264" spans="7:7" customFormat="1" x14ac:dyDescent="0.25">
      <c r="G264" s="1"/>
    </row>
    <row r="265" spans="7:7" customFormat="1" x14ac:dyDescent="0.25">
      <c r="G265" s="1"/>
    </row>
    <row r="266" spans="7:7" customFormat="1" x14ac:dyDescent="0.25">
      <c r="G266" s="1"/>
    </row>
    <row r="267" spans="7:7" customFormat="1" x14ac:dyDescent="0.25">
      <c r="G267" s="1"/>
    </row>
    <row r="268" spans="7:7" customFormat="1" x14ac:dyDescent="0.25">
      <c r="G268" s="1"/>
    </row>
    <row r="269" spans="7:7" customFormat="1" x14ac:dyDescent="0.25">
      <c r="G269" s="1"/>
    </row>
    <row r="270" spans="7:7" customFormat="1" x14ac:dyDescent="0.25">
      <c r="G270" s="1"/>
    </row>
    <row r="271" spans="7:7" customFormat="1" x14ac:dyDescent="0.25">
      <c r="G271" s="1"/>
    </row>
    <row r="272" spans="7:7" customFormat="1" x14ac:dyDescent="0.25">
      <c r="G272" s="1"/>
    </row>
    <row r="273" spans="7:7" customFormat="1" x14ac:dyDescent="0.25">
      <c r="G273" s="1"/>
    </row>
    <row r="274" spans="7:7" customFormat="1" x14ac:dyDescent="0.25">
      <c r="G274" s="1"/>
    </row>
    <row r="275" spans="7:7" customFormat="1" x14ac:dyDescent="0.25">
      <c r="G275" s="1"/>
    </row>
    <row r="276" spans="7:7" customFormat="1" x14ac:dyDescent="0.25">
      <c r="G276" s="1"/>
    </row>
    <row r="277" spans="7:7" customFormat="1" x14ac:dyDescent="0.25">
      <c r="G277" s="1"/>
    </row>
    <row r="278" spans="7:7" customFormat="1" x14ac:dyDescent="0.25">
      <c r="G278" s="1"/>
    </row>
    <row r="279" spans="7:7" customFormat="1" x14ac:dyDescent="0.25">
      <c r="G279" s="1"/>
    </row>
    <row r="280" spans="7:7" customFormat="1" x14ac:dyDescent="0.25">
      <c r="G280" s="1"/>
    </row>
    <row r="281" spans="7:7" customFormat="1" x14ac:dyDescent="0.25">
      <c r="G281" s="1"/>
    </row>
    <row r="282" spans="7:7" customFormat="1" x14ac:dyDescent="0.25">
      <c r="G282" s="1"/>
    </row>
    <row r="283" spans="7:7" customFormat="1" x14ac:dyDescent="0.25">
      <c r="G283" s="1"/>
    </row>
    <row r="284" spans="7:7" customFormat="1" x14ac:dyDescent="0.25">
      <c r="G284" s="1"/>
    </row>
    <row r="285" spans="7:7" customFormat="1" x14ac:dyDescent="0.25">
      <c r="G285" s="1"/>
    </row>
    <row r="286" spans="7:7" customFormat="1" x14ac:dyDescent="0.25">
      <c r="G286" s="1"/>
    </row>
    <row r="287" spans="7:7" customFormat="1" x14ac:dyDescent="0.25">
      <c r="G287" s="1"/>
    </row>
    <row r="288" spans="7:7" customFormat="1" x14ac:dyDescent="0.25">
      <c r="G288" s="1"/>
    </row>
    <row r="289" spans="7:7" customFormat="1" x14ac:dyDescent="0.25">
      <c r="G289" s="1"/>
    </row>
    <row r="290" spans="7:7" customFormat="1" x14ac:dyDescent="0.25">
      <c r="G290" s="1"/>
    </row>
    <row r="291" spans="7:7" customFormat="1" x14ac:dyDescent="0.25">
      <c r="G291" s="1"/>
    </row>
    <row r="292" spans="7:7" customFormat="1" x14ac:dyDescent="0.25">
      <c r="G292" s="1"/>
    </row>
    <row r="293" spans="7:7" customFormat="1" x14ac:dyDescent="0.25">
      <c r="G293" s="1"/>
    </row>
    <row r="294" spans="7:7" customFormat="1" x14ac:dyDescent="0.25">
      <c r="G294" s="1"/>
    </row>
    <row r="295" spans="7:7" customFormat="1" x14ac:dyDescent="0.25">
      <c r="G295" s="1"/>
    </row>
    <row r="296" spans="7:7" customFormat="1" x14ac:dyDescent="0.25">
      <c r="G296" s="1"/>
    </row>
    <row r="297" spans="7:7" customFormat="1" x14ac:dyDescent="0.25">
      <c r="G297" s="1"/>
    </row>
    <row r="298" spans="7:7" customFormat="1" x14ac:dyDescent="0.25">
      <c r="G298" s="1"/>
    </row>
    <row r="299" spans="7:7" customFormat="1" x14ac:dyDescent="0.25">
      <c r="G299" s="1"/>
    </row>
    <row r="300" spans="7:7" customFormat="1" x14ac:dyDescent="0.25">
      <c r="G300" s="1"/>
    </row>
    <row r="301" spans="7:7" customFormat="1" x14ac:dyDescent="0.25">
      <c r="G301" s="1"/>
    </row>
    <row r="302" spans="7:7" customFormat="1" x14ac:dyDescent="0.25">
      <c r="G302" s="1"/>
    </row>
    <row r="303" spans="7:7" customFormat="1" x14ac:dyDescent="0.25">
      <c r="G303" s="1"/>
    </row>
    <row r="304" spans="7:7" customFormat="1" x14ac:dyDescent="0.25">
      <c r="G304" s="1"/>
    </row>
    <row r="305" spans="7:7" customFormat="1" x14ac:dyDescent="0.25">
      <c r="G305" s="1"/>
    </row>
    <row r="306" spans="7:7" customFormat="1" x14ac:dyDescent="0.25">
      <c r="G306" s="1"/>
    </row>
    <row r="307" spans="7:7" customFormat="1" x14ac:dyDescent="0.25">
      <c r="G307" s="1"/>
    </row>
    <row r="308" spans="7:7" customFormat="1" x14ac:dyDescent="0.25">
      <c r="G308" s="1"/>
    </row>
    <row r="309" spans="7:7" customFormat="1" x14ac:dyDescent="0.25">
      <c r="G309" s="1"/>
    </row>
    <row r="310" spans="7:7" customFormat="1" x14ac:dyDescent="0.25">
      <c r="G310" s="1"/>
    </row>
    <row r="311" spans="7:7" customFormat="1" x14ac:dyDescent="0.25">
      <c r="G311" s="1"/>
    </row>
    <row r="312" spans="7:7" customFormat="1" x14ac:dyDescent="0.25">
      <c r="G312" s="1"/>
    </row>
    <row r="313" spans="7:7" customFormat="1" x14ac:dyDescent="0.25">
      <c r="G313" s="1"/>
    </row>
    <row r="314" spans="7:7" customFormat="1" x14ac:dyDescent="0.25">
      <c r="G314" s="1"/>
    </row>
    <row r="315" spans="7:7" customFormat="1" x14ac:dyDescent="0.25">
      <c r="G315" s="1"/>
    </row>
    <row r="316" spans="7:7" customFormat="1" x14ac:dyDescent="0.25">
      <c r="G316" s="1"/>
    </row>
    <row r="317" spans="7:7" customFormat="1" x14ac:dyDescent="0.25">
      <c r="G317" s="1"/>
    </row>
    <row r="318" spans="7:7" customFormat="1" x14ac:dyDescent="0.25">
      <c r="G318" s="1"/>
    </row>
    <row r="319" spans="7:7" customFormat="1" x14ac:dyDescent="0.25">
      <c r="G319" s="1"/>
    </row>
    <row r="320" spans="7:7" customFormat="1" x14ac:dyDescent="0.25">
      <c r="G320" s="1"/>
    </row>
    <row r="321" spans="7:7" customFormat="1" x14ac:dyDescent="0.25">
      <c r="G321" s="1"/>
    </row>
    <row r="322" spans="7:7" customFormat="1" x14ac:dyDescent="0.25">
      <c r="G322" s="1"/>
    </row>
    <row r="323" spans="7:7" customFormat="1" x14ac:dyDescent="0.25">
      <c r="G323" s="1"/>
    </row>
    <row r="324" spans="7:7" customFormat="1" x14ac:dyDescent="0.25">
      <c r="G324" s="1"/>
    </row>
    <row r="325" spans="7:7" customFormat="1" x14ac:dyDescent="0.25">
      <c r="G325" s="1"/>
    </row>
    <row r="326" spans="7:7" customFormat="1" x14ac:dyDescent="0.25">
      <c r="G326" s="1"/>
    </row>
    <row r="327" spans="7:7" customFormat="1" x14ac:dyDescent="0.25">
      <c r="G327" s="1"/>
    </row>
    <row r="328" spans="7:7" customFormat="1" x14ac:dyDescent="0.25">
      <c r="G328" s="1"/>
    </row>
    <row r="329" spans="7:7" customFormat="1" x14ac:dyDescent="0.25">
      <c r="G329" s="1"/>
    </row>
    <row r="330" spans="7:7" customFormat="1" x14ac:dyDescent="0.25">
      <c r="G330" s="1"/>
    </row>
    <row r="331" spans="7:7" customFormat="1" x14ac:dyDescent="0.25">
      <c r="G331" s="1"/>
    </row>
    <row r="332" spans="7:7" customFormat="1" x14ac:dyDescent="0.25">
      <c r="G332" s="1"/>
    </row>
    <row r="333" spans="7:7" customFormat="1" x14ac:dyDescent="0.25">
      <c r="G333" s="1"/>
    </row>
    <row r="334" spans="7:7" customFormat="1" x14ac:dyDescent="0.25">
      <c r="G334" s="1"/>
    </row>
    <row r="339" spans="1:20" x14ac:dyDescent="0.25">
      <c r="A339"/>
      <c r="C339"/>
      <c r="D339"/>
      <c r="E339"/>
      <c r="G339" s="1"/>
      <c r="H339"/>
      <c r="I339"/>
      <c r="J339"/>
      <c r="K339"/>
      <c r="T339" t="s">
        <v>55</v>
      </c>
    </row>
  </sheetData>
  <mergeCells count="14">
    <mergeCell ref="A3:A4"/>
    <mergeCell ref="D3:E4"/>
    <mergeCell ref="J3:J4"/>
    <mergeCell ref="G3:G4"/>
    <mergeCell ref="B3:B4"/>
    <mergeCell ref="O1:P2"/>
    <mergeCell ref="AA157:AC157"/>
    <mergeCell ref="K3:K4"/>
    <mergeCell ref="C3:C4"/>
    <mergeCell ref="S157:W157"/>
    <mergeCell ref="F3:F4"/>
    <mergeCell ref="H3:I3"/>
    <mergeCell ref="M3:N3"/>
    <mergeCell ref="O3:P3"/>
  </mergeCells>
  <pageMargins left="0.51181102362204722" right="0.51181102362204722" top="0.78740157480314965" bottom="0.78740157480314965" header="0.31496062992125984" footer="0.31496062992125984"/>
  <pageSetup paperSize="9" scale="25" fitToHeight="3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Valor de Outorga</vt:lpstr>
      <vt:lpstr>Valoração da IE</vt:lpstr>
      <vt:lpstr>Orçam</vt:lpstr>
      <vt:lpstr>'Valoração da IE'!Area_de_impressao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hildo</dc:creator>
  <cp:lastModifiedBy>Bruno Batista Melin</cp:lastModifiedBy>
  <cp:lastPrinted>2023-12-22T15:06:19Z</cp:lastPrinted>
  <dcterms:created xsi:type="dcterms:W3CDTF">2023-08-07T18:24:25Z</dcterms:created>
  <dcterms:modified xsi:type="dcterms:W3CDTF">2024-06-05T15:16:05Z</dcterms:modified>
</cp:coreProperties>
</file>