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drigo.mxavier\Documents\PDG\Grupo 2 - Informações Ambientais\"/>
    </mc:Choice>
  </mc:AlternateContent>
  <xr:revisionPtr revIDLastSave="0" documentId="13_ncr:1_{30E17BF2-5D6B-4955-A2C4-B2AD266B4C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nograma" sheetId="2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" l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E21" i="2"/>
  <c r="X61" i="2" l="1"/>
  <c r="AF61" i="2"/>
  <c r="AM61" i="2"/>
  <c r="AL61" i="2"/>
  <c r="AK61" i="2"/>
  <c r="AJ61" i="2"/>
  <c r="AI61" i="2"/>
  <c r="AH61" i="2"/>
  <c r="AG61" i="2"/>
  <c r="AE61" i="2"/>
  <c r="AD61" i="2"/>
  <c r="AC61" i="2"/>
  <c r="AB61" i="2"/>
  <c r="AA61" i="2"/>
  <c r="Z61" i="2"/>
  <c r="Y61" i="2"/>
  <c r="U61" i="2"/>
  <c r="T61" i="2"/>
  <c r="W61" i="2" l="1"/>
  <c r="V61" i="2"/>
  <c r="P6" i="2" l="1"/>
  <c r="O6" i="2"/>
  <c r="F6" i="2"/>
  <c r="G6" i="2"/>
  <c r="H6" i="2"/>
  <c r="I6" i="2"/>
  <c r="J6" i="2"/>
  <c r="K6" i="2"/>
  <c r="L6" i="2"/>
  <c r="N6" i="2"/>
  <c r="M6" i="2"/>
  <c r="E6" i="2"/>
  <c r="C3" i="2"/>
  <c r="C5" i="2" l="1"/>
  <c r="S61" i="2"/>
  <c r="R61" i="2"/>
  <c r="Q61" i="2"/>
  <c r="P61" i="2"/>
  <c r="O61" i="2" l="1"/>
  <c r="L61" i="2" l="1"/>
  <c r="M61" i="2"/>
  <c r="N61" i="2"/>
  <c r="G15" i="2" l="1"/>
  <c r="H15" i="2"/>
  <c r="I15" i="2"/>
  <c r="J15" i="2"/>
  <c r="F15" i="2"/>
  <c r="J9" i="2" l="1"/>
  <c r="I9" i="2"/>
  <c r="H9" i="2"/>
  <c r="G9" i="2"/>
  <c r="F9" i="2"/>
  <c r="C9" i="2" l="1"/>
  <c r="I17" i="2"/>
  <c r="H16" i="2"/>
  <c r="J17" i="2"/>
  <c r="I16" i="2"/>
  <c r="H17" i="2"/>
  <c r="G16" i="2"/>
  <c r="L17" i="2"/>
  <c r="K16" i="2"/>
  <c r="K17" i="2"/>
  <c r="J16" i="2"/>
  <c r="C4" i="2" l="1"/>
  <c r="C7" i="2"/>
  <c r="Q8" i="2" s="1"/>
  <c r="Q9" i="2" l="1"/>
  <c r="H10" i="2" l="1"/>
  <c r="I10" i="2"/>
  <c r="J10" i="2"/>
  <c r="G10" i="2"/>
  <c r="F10" i="2"/>
  <c r="C6" i="2" l="1"/>
  <c r="C29" i="2" l="1"/>
  <c r="F29" i="2" s="1"/>
  <c r="C28" i="2"/>
  <c r="C27" i="2"/>
  <c r="C33" i="2"/>
  <c r="F33" i="2" s="1"/>
  <c r="K27" i="2" l="1"/>
  <c r="F27" i="2"/>
  <c r="H28" i="2"/>
  <c r="F28" i="2"/>
  <c r="J28" i="2"/>
  <c r="K28" i="2"/>
  <c r="I28" i="2"/>
  <c r="G28" i="2"/>
  <c r="C43" i="2"/>
  <c r="C44" i="2"/>
  <c r="C34" i="2"/>
  <c r="F34" i="2" s="1"/>
  <c r="C50" i="2"/>
  <c r="I50" i="2" s="1"/>
  <c r="C49" i="2"/>
  <c r="G49" i="2" s="1"/>
  <c r="H49" i="2" s="1"/>
  <c r="C51" i="2"/>
  <c r="G51" i="2" s="1"/>
  <c r="H51" i="2" s="1"/>
  <c r="C37" i="2"/>
  <c r="F37" i="2" s="1"/>
  <c r="G44" i="2" l="1"/>
  <c r="F44" i="2"/>
  <c r="G43" i="2"/>
  <c r="F43" i="2"/>
  <c r="C58" i="2"/>
  <c r="G58" i="2" s="1"/>
  <c r="H58" i="2" s="1"/>
  <c r="I58" i="2" s="1"/>
  <c r="J58" i="2" s="1"/>
  <c r="C39" i="2"/>
  <c r="C54" i="2"/>
  <c r="G39" i="2" l="1"/>
  <c r="F39" i="2"/>
  <c r="I54" i="2"/>
  <c r="H54" i="2"/>
  <c r="G54" i="2"/>
  <c r="J54" i="2"/>
  <c r="C53" i="2" l="1"/>
  <c r="G53" i="2" s="1"/>
  <c r="H53" i="2" s="1"/>
  <c r="I53" i="2" s="1"/>
  <c r="J53" i="2" s="1"/>
  <c r="C41" i="2"/>
  <c r="F41" i="2" s="1"/>
  <c r="C40" i="2"/>
  <c r="C52" i="2"/>
  <c r="G52" i="2" s="1"/>
  <c r="H52" i="2" s="1"/>
  <c r="I52" i="2" s="1"/>
  <c r="J52" i="2" s="1"/>
  <c r="F40" i="2" l="1"/>
  <c r="G40" i="2"/>
  <c r="C22" i="2"/>
  <c r="C20" i="2"/>
  <c r="C36" i="2"/>
  <c r="F36" i="2" s="1"/>
  <c r="C48" i="2"/>
  <c r="G48" i="2" s="1"/>
  <c r="H20" i="2" l="1"/>
  <c r="K20" i="2"/>
  <c r="J20" i="2"/>
  <c r="I20" i="2"/>
  <c r="G20" i="2"/>
  <c r="C57" i="2"/>
  <c r="G57" i="2" s="1"/>
  <c r="H57" i="2" s="1"/>
  <c r="I57" i="2" s="1"/>
  <c r="J57" i="2" s="1"/>
  <c r="H23" i="2"/>
  <c r="F23" i="2"/>
  <c r="G23" i="2"/>
  <c r="J23" i="2"/>
  <c r="I23" i="2"/>
  <c r="E22" i="2"/>
  <c r="C47" i="2"/>
  <c r="C38" i="2"/>
  <c r="C31" i="2"/>
  <c r="E61" i="2" l="1"/>
  <c r="C35" i="2"/>
  <c r="F35" i="2" s="1"/>
  <c r="G38" i="2"/>
  <c r="F38" i="2"/>
  <c r="F31" i="2"/>
  <c r="G31" i="2"/>
  <c r="C59" i="2"/>
  <c r="G59" i="2" s="1"/>
  <c r="H59" i="2" s="1"/>
  <c r="I59" i="2" s="1"/>
  <c r="J59" i="2" s="1"/>
  <c r="C45" i="2"/>
  <c r="K61" i="2"/>
  <c r="H47" i="2"/>
  <c r="G47" i="2"/>
  <c r="C32" i="2"/>
  <c r="F32" i="2" s="1"/>
  <c r="G35" i="2" l="1"/>
  <c r="G45" i="2"/>
  <c r="F45" i="2"/>
  <c r="C56" i="2" l="1"/>
  <c r="G56" i="2" s="1"/>
  <c r="H56" i="2" s="1"/>
  <c r="I56" i="2" s="1"/>
  <c r="J56" i="2" s="1"/>
  <c r="C55" i="2" l="1"/>
  <c r="C42" i="2"/>
  <c r="F42" i="2" l="1"/>
  <c r="F61" i="2" s="1"/>
  <c r="G42" i="2"/>
  <c r="G55" i="2"/>
  <c r="I55" i="2"/>
  <c r="I61" i="2" s="1"/>
  <c r="H55" i="2"/>
  <c r="H61" i="2" s="1"/>
  <c r="J55" i="2"/>
  <c r="J61" i="2" s="1"/>
  <c r="G61" i="2" l="1"/>
  <c r="C21" i="2" l="1"/>
  <c r="C61" i="2" s="1"/>
  <c r="T62" i="2" l="1"/>
  <c r="X62" i="2"/>
  <c r="AB62" i="2"/>
  <c r="AG62" i="2"/>
  <c r="AK62" i="2"/>
  <c r="U62" i="2"/>
  <c r="Y62" i="2"/>
  <c r="AD62" i="2"/>
  <c r="AH62" i="2"/>
  <c r="AL62" i="2"/>
  <c r="V62" i="2"/>
  <c r="Z62" i="2"/>
  <c r="AE62" i="2"/>
  <c r="AI62" i="2"/>
  <c r="AM62" i="2"/>
  <c r="W62" i="2"/>
  <c r="AA62" i="2"/>
  <c r="AF62" i="2"/>
  <c r="AJ62" i="2"/>
  <c r="AC62" i="2"/>
  <c r="J62" i="2"/>
  <c r="H62" i="2"/>
  <c r="R62" i="2"/>
  <c r="M62" i="2"/>
  <c r="N62" i="2"/>
  <c r="G62" i="2"/>
  <c r="I62" i="2"/>
  <c r="P62" i="2"/>
  <c r="Q62" i="2"/>
  <c r="O62" i="2"/>
  <c r="S62" i="2"/>
  <c r="K62" i="2"/>
  <c r="E62" i="2"/>
  <c r="F62" i="2"/>
  <c r="L62" i="2"/>
</calcChain>
</file>

<file path=xl/sharedStrings.xml><?xml version="1.0" encoding="utf-8"?>
<sst xmlns="http://schemas.openxmlformats.org/spreadsheetml/2006/main" count="132" uniqueCount="120">
  <si>
    <t>Discriminação</t>
  </si>
  <si>
    <t>Unid.</t>
  </si>
  <si>
    <t>EBP-Norte (8,37 m³/s)</t>
  </si>
  <si>
    <t>Adutora EBP-Norte</t>
  </si>
  <si>
    <t>Casa de Comando - Comportas</t>
  </si>
  <si>
    <t>Infraestr. de Suprim. de Energia Elétrica</t>
  </si>
  <si>
    <t>Custos diversos</t>
  </si>
  <si>
    <t xml:space="preserve">Desmatamento das áreas agrícolas (SAU)  </t>
  </si>
  <si>
    <t>Valor da terra (SAG)</t>
  </si>
  <si>
    <t>Serviços preliminares</t>
  </si>
  <si>
    <t>Mobilização e desmobilização</t>
  </si>
  <si>
    <t>Administração direta</t>
  </si>
  <si>
    <t>Implantação do canteiro de obras</t>
  </si>
  <si>
    <t>Item</t>
  </si>
  <si>
    <t>Ano 1</t>
  </si>
  <si>
    <t>Ano 2</t>
  </si>
  <si>
    <t>Ano 3</t>
  </si>
  <si>
    <t>Ano 4</t>
  </si>
  <si>
    <t>Ano 5</t>
  </si>
  <si>
    <t>Valores (R$)</t>
  </si>
  <si>
    <t>1/2</t>
  </si>
  <si>
    <t>1/5</t>
  </si>
  <si>
    <t>1/1</t>
  </si>
  <si>
    <t>SH-1</t>
  </si>
  <si>
    <t>SH-2</t>
  </si>
  <si>
    <t>SH-3</t>
  </si>
  <si>
    <t>SH-4</t>
  </si>
  <si>
    <t>SH-5</t>
  </si>
  <si>
    <t>SH-6</t>
  </si>
  <si>
    <t>SH-7</t>
  </si>
  <si>
    <t>SH-8</t>
  </si>
  <si>
    <t>SH-9</t>
  </si>
  <si>
    <t>SH-10</t>
  </si>
  <si>
    <t>SH-11</t>
  </si>
  <si>
    <t>SH-12</t>
  </si>
  <si>
    <t>Consultoria (projetos)</t>
  </si>
  <si>
    <t>Consultoria (supervisão de obras)</t>
  </si>
  <si>
    <t>EBP-Sul</t>
  </si>
  <si>
    <t>Reservatório pulmão</t>
  </si>
  <si>
    <t>Canal CP2-Sul</t>
  </si>
  <si>
    <t>EBS-Sul</t>
  </si>
  <si>
    <t>Adutora da EBS-Sul</t>
  </si>
  <si>
    <t>Canal CP3-Sul</t>
  </si>
  <si>
    <t>EBA-9</t>
  </si>
  <si>
    <t>EBAs 10-11-12</t>
  </si>
  <si>
    <t>Adutora EBP-Sul</t>
  </si>
  <si>
    <t>EBAs 1 a 8</t>
  </si>
  <si>
    <t>Totais</t>
  </si>
  <si>
    <t>Comprimentos adutoras das EBAs</t>
  </si>
  <si>
    <t>Adutoras das EBAs / Setores (36,1% de "L")</t>
  </si>
  <si>
    <t xml:space="preserve">Adutoras das EBAs / Setores (63,9% de SAU ) </t>
  </si>
  <si>
    <t>Estradas dos canais e estradas dos setores</t>
  </si>
  <si>
    <t>Total</t>
  </si>
  <si>
    <t xml:space="preserve">Sifões invertidos no CP-3 Norte </t>
  </si>
  <si>
    <t>Canal CP-3 Norte (8,37 m³/s) - (SH-1, 2, 3, 4, 5 e 6)</t>
  </si>
  <si>
    <t>1.145,8 ha</t>
  </si>
  <si>
    <t>3.136,7 ha</t>
  </si>
  <si>
    <t>CP3-Norte</t>
  </si>
  <si>
    <t>Drenos  dos canais e drenos nos setores</t>
  </si>
  <si>
    <t>Canal CS2/CP3 Norte (2,24 m³/s) - (SH-7 e 8)</t>
  </si>
  <si>
    <t>40%+60%</t>
  </si>
  <si>
    <t>Ano 6</t>
  </si>
  <si>
    <t>Ano 7</t>
  </si>
  <si>
    <t>Ano 8</t>
  </si>
  <si>
    <t>1/6</t>
  </si>
  <si>
    <t>9, 10, 11 e 12</t>
  </si>
  <si>
    <t>1, 2 e 3</t>
  </si>
  <si>
    <t>4, 5 e 6</t>
  </si>
  <si>
    <t>Encomenda de equip. mecânicos e elétricos</t>
  </si>
  <si>
    <t>~A(ha)</t>
  </si>
  <si>
    <t>Desembolsos (%) por ano  &gt;&gt;&gt;&gt;&gt;</t>
  </si>
  <si>
    <t>~Nº EBAs</t>
  </si>
  <si>
    <t>Proj./Licenç/Compras + Recuperação / Finalização / Obras  (Setores) &gt;&gt;&gt;&gt;&gt;</t>
  </si>
  <si>
    <t>Desmat+preparo+drenag.+equip. parcelar fixo (hectares) &gt;&gt;&gt;&gt;&gt;&gt;&gt;&gt;&gt;</t>
  </si>
  <si>
    <t>Plantio + equip. aplicação da irrig (hectares) &gt;&gt;&gt;&gt;&gt;&gt;&gt;&gt;&gt;&gt;&gt;&gt;&gt;&gt;&gt;&gt;&gt;</t>
  </si>
  <si>
    <t>Global</t>
  </si>
  <si>
    <t>M. Ambiente (Estudos, Licenças e Exec. PBAs )</t>
  </si>
  <si>
    <t>Ano 9</t>
  </si>
  <si>
    <t>Ano 10</t>
  </si>
  <si>
    <t>Distribuição (%) &gt;&gt;&gt;&gt;</t>
  </si>
  <si>
    <t>1/35</t>
  </si>
  <si>
    <t>Área c/ lotes empresariais (tomada individual)</t>
  </si>
  <si>
    <t>Setores  ocupados por período &gt;&gt;&gt;&gt;</t>
  </si>
  <si>
    <t>Área ocupada por período (ha) &gt;&gt;&gt;&gt;</t>
  </si>
  <si>
    <t>Superfíc. agrícola útil (SAU) dos setores</t>
  </si>
  <si>
    <t>Superfíc. agrícola global (SAG) dos setores  "as built"</t>
  </si>
  <si>
    <t>Superfíc. agrícola (SAU) dos setores c/ EBA</t>
  </si>
  <si>
    <t>Parâmetros</t>
  </si>
  <si>
    <t>Setores &gt;&gt;&gt;</t>
  </si>
  <si>
    <t>Períodos e valores (R$)</t>
  </si>
  <si>
    <t>,</t>
  </si>
  <si>
    <t>Ano 11</t>
  </si>
  <si>
    <t>Ano 12</t>
  </si>
  <si>
    <t>Ano 13</t>
  </si>
  <si>
    <t>Ano 14</t>
  </si>
  <si>
    <t>Ano 15</t>
  </si>
  <si>
    <t>Ano 16</t>
  </si>
  <si>
    <t>Ano 17</t>
  </si>
  <si>
    <t>Ano 18</t>
  </si>
  <si>
    <t>Ano 19</t>
  </si>
  <si>
    <t>Ano 20</t>
  </si>
  <si>
    <t>Ano 21</t>
  </si>
  <si>
    <t>Ano 22</t>
  </si>
  <si>
    <t>Ano 23</t>
  </si>
  <si>
    <t>Ano 24</t>
  </si>
  <si>
    <t>Ano 25</t>
  </si>
  <si>
    <t>Ano 26</t>
  </si>
  <si>
    <t>Ano 27</t>
  </si>
  <si>
    <t>Ano 28</t>
  </si>
  <si>
    <t>Ano 29</t>
  </si>
  <si>
    <t>Ano 30</t>
  </si>
  <si>
    <t>Ano 31</t>
  </si>
  <si>
    <t>Ano 32</t>
  </si>
  <si>
    <t>Ano 33</t>
  </si>
  <si>
    <t>Ano 34</t>
  </si>
  <si>
    <t>Ano 35</t>
  </si>
  <si>
    <t>Tomadas para setores hidráulicos (5)</t>
  </si>
  <si>
    <t>Tomadas individuais para parcelas  (24)</t>
  </si>
  <si>
    <t>Tomadas individ. para parcelass (27 no CP-3 e no CS-2)</t>
  </si>
  <si>
    <t>Tomadas para setores hidrául. (13 no CP-3 e 3 no CS-2)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</si>
</sst>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_-;\-* #,##0.0_-;_-* &quot;-&quot;??_-;_-@_-"/>
    <numFmt numFmtId="165" formatCode="0.0%"/>
    <numFmt numFmtId="166" formatCode="_(* #,##0.00_);_(* \(#,##0.00\);_(* &quot;-&quot;??_);_(@_)"/>
    <numFmt numFmtId="167" formatCode="_-* #,##0_-;\-* #,##0_-;_-* &quot;-&quot;??_-;_-@_-"/>
    <numFmt numFmtId="168" formatCode="_-* #,##0.000_-;\-* #,##0.000_-;_-* &quot;-&quot;?_-;_-@_-"/>
    <numFmt numFmtId="169" formatCode="_-* #,##0.00_-;\-* #,##0.00_-;_-* &quot;-&quot;?_-;_-@_-"/>
    <numFmt numFmtId="170" formatCode="_-* #,##0.0_-;\-* #,##0.0_-;_-* &quot;-&quot;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6" xfId="0" applyBorder="1"/>
    <xf numFmtId="0" fontId="6" fillId="0" borderId="0" xfId="0" applyFont="1"/>
    <xf numFmtId="0" fontId="3" fillId="0" borderId="0" xfId="0" applyFont="1"/>
    <xf numFmtId="43" fontId="0" fillId="0" borderId="0" xfId="1" applyFont="1"/>
    <xf numFmtId="0" fontId="0" fillId="4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43" fontId="0" fillId="0" borderId="0" xfId="0" applyNumberFormat="1"/>
    <xf numFmtId="4" fontId="0" fillId="0" borderId="0" xfId="0" applyNumberFormat="1"/>
    <xf numFmtId="0" fontId="0" fillId="2" borderId="2" xfId="0" applyFill="1" applyBorder="1"/>
    <xf numFmtId="4" fontId="0" fillId="2" borderId="2" xfId="0" applyNumberFormat="1" applyFill="1" applyBorder="1"/>
    <xf numFmtId="164" fontId="0" fillId="0" borderId="0" xfId="1" applyNumberFormat="1" applyFont="1"/>
    <xf numFmtId="167" fontId="0" fillId="0" borderId="0" xfId="1" applyNumberFormat="1" applyFont="1"/>
    <xf numFmtId="9" fontId="0" fillId="0" borderId="0" xfId="0" applyNumberFormat="1" applyAlignment="1">
      <alignment horizontal="center"/>
    </xf>
    <xf numFmtId="0" fontId="2" fillId="4" borderId="0" xfId="0" applyFont="1" applyFill="1"/>
    <xf numFmtId="0" fontId="0" fillId="6" borderId="0" xfId="0" applyFill="1"/>
    <xf numFmtId="0" fontId="4" fillId="0" borderId="0" xfId="0" applyFont="1"/>
    <xf numFmtId="2" fontId="0" fillId="0" borderId="0" xfId="0" applyNumberFormat="1"/>
    <xf numFmtId="43" fontId="0" fillId="0" borderId="0" xfId="1" applyFont="1" applyBorder="1"/>
    <xf numFmtId="43" fontId="0" fillId="3" borderId="0" xfId="1" applyFont="1" applyFill="1"/>
    <xf numFmtId="0" fontId="0" fillId="3" borderId="0" xfId="0" applyFill="1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quotePrefix="1" applyAlignment="1">
      <alignment horizontal="right"/>
    </xf>
    <xf numFmtId="165" fontId="0" fillId="0" borderId="0" xfId="2" applyNumberFormat="1" applyFont="1" applyBorder="1" applyAlignment="1">
      <alignment horizontal="right"/>
    </xf>
    <xf numFmtId="0" fontId="2" fillId="0" borderId="6" xfId="0" applyFont="1" applyBorder="1"/>
    <xf numFmtId="43" fontId="0" fillId="0" borderId="0" xfId="1" applyFont="1" applyFill="1"/>
    <xf numFmtId="43" fontId="0" fillId="0" borderId="6" xfId="1" applyFont="1" applyFill="1" applyBorder="1"/>
    <xf numFmtId="43" fontId="2" fillId="0" borderId="0" xfId="1" applyFont="1" applyFill="1" applyBorder="1"/>
    <xf numFmtId="0" fontId="0" fillId="0" borderId="2" xfId="0" applyBorder="1"/>
    <xf numFmtId="4" fontId="4" fillId="0" borderId="0" xfId="0" applyNumberFormat="1" applyFont="1"/>
    <xf numFmtId="43" fontId="4" fillId="0" borderId="0" xfId="0" applyNumberFormat="1" applyFont="1"/>
    <xf numFmtId="164" fontId="0" fillId="0" borderId="0" xfId="0" applyNumberFormat="1"/>
    <xf numFmtId="0" fontId="0" fillId="7" borderId="0" xfId="0" applyFill="1" applyAlignment="1">
      <alignment horizontal="center"/>
    </xf>
    <xf numFmtId="0" fontId="7" fillId="0" borderId="0" xfId="0" applyFont="1"/>
    <xf numFmtId="164" fontId="0" fillId="10" borderId="0" xfId="1" applyNumberFormat="1" applyFont="1" applyFill="1" applyBorder="1"/>
    <xf numFmtId="43" fontId="0" fillId="9" borderId="0" xfId="1" applyFont="1" applyFill="1" applyBorder="1" applyAlignment="1">
      <alignment horizontal="center"/>
    </xf>
    <xf numFmtId="43" fontId="0" fillId="7" borderId="0" xfId="1" applyFont="1" applyFill="1" applyBorder="1" applyAlignment="1">
      <alignment horizontal="center"/>
    </xf>
    <xf numFmtId="167" fontId="0" fillId="7" borderId="0" xfId="1" applyNumberFormat="1" applyFont="1" applyFill="1" applyBorder="1" applyAlignment="1">
      <alignment horizontal="center"/>
    </xf>
    <xf numFmtId="164" fontId="0" fillId="0" borderId="0" xfId="1" applyNumberFormat="1" applyFont="1" applyBorder="1"/>
    <xf numFmtId="164" fontId="0" fillId="5" borderId="0" xfId="1" applyNumberFormat="1" applyFont="1" applyFill="1" applyBorder="1"/>
    <xf numFmtId="4" fontId="0" fillId="8" borderId="2" xfId="0" applyNumberFormat="1" applyFill="1" applyBorder="1"/>
    <xf numFmtId="0" fontId="0" fillId="2" borderId="2" xfId="0" applyFill="1" applyBorder="1" applyAlignment="1">
      <alignment horizontal="center"/>
    </xf>
    <xf numFmtId="168" fontId="2" fillId="0" borderId="0" xfId="0" applyNumberFormat="1" applyFont="1"/>
    <xf numFmtId="165" fontId="2" fillId="0" borderId="0" xfId="2" applyNumberFormat="1" applyFont="1"/>
    <xf numFmtId="169" fontId="2" fillId="0" borderId="0" xfId="0" applyNumberFormat="1" applyFont="1"/>
    <xf numFmtId="167" fontId="0" fillId="4" borderId="0" xfId="1" applyNumberFormat="1" applyFont="1" applyFill="1"/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9" fontId="0" fillId="0" borderId="0" xfId="2" applyFont="1" applyAlignment="1">
      <alignment horizontal="center"/>
    </xf>
    <xf numFmtId="167" fontId="0" fillId="11" borderId="0" xfId="1" applyNumberFormat="1" applyFont="1" applyFill="1" applyBorder="1" applyAlignment="1">
      <alignment horizontal="right"/>
    </xf>
    <xf numFmtId="165" fontId="0" fillId="0" borderId="2" xfId="2" applyNumberFormat="1" applyFont="1" applyBorder="1"/>
    <xf numFmtId="0" fontId="4" fillId="4" borderId="0" xfId="0" applyFont="1" applyFill="1"/>
    <xf numFmtId="0" fontId="0" fillId="3" borderId="5" xfId="0" applyFill="1" applyBorder="1"/>
    <xf numFmtId="0" fontId="2" fillId="0" borderId="8" xfId="0" applyFont="1" applyBorder="1"/>
    <xf numFmtId="170" fontId="0" fillId="0" borderId="0" xfId="0" applyNumberFormat="1"/>
    <xf numFmtId="164" fontId="0" fillId="0" borderId="0" xfId="1" applyNumberFormat="1" applyFont="1" applyFill="1"/>
    <xf numFmtId="164" fontId="0" fillId="0" borderId="0" xfId="1" applyNumberFormat="1" applyFont="1" applyAlignment="1">
      <alignment horizontal="right" vertical="center"/>
    </xf>
    <xf numFmtId="164" fontId="0" fillId="4" borderId="0" xfId="1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3" fontId="2" fillId="0" borderId="6" xfId="1" applyFont="1" applyFill="1" applyBorder="1"/>
    <xf numFmtId="43" fontId="4" fillId="0" borderId="0" xfId="1" applyFont="1" applyFill="1"/>
    <xf numFmtId="43" fontId="4" fillId="0" borderId="0" xfId="1" quotePrefix="1" applyFont="1" applyFill="1"/>
    <xf numFmtId="4" fontId="4" fillId="0" borderId="0" xfId="1" quotePrefix="1" applyNumberFormat="1" applyFont="1" applyFill="1"/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0" fillId="0" borderId="6" xfId="0" quotePrefix="1" applyBorder="1" applyAlignment="1">
      <alignment horizontal="right"/>
    </xf>
    <xf numFmtId="167" fontId="0" fillId="0" borderId="6" xfId="0" applyNumberFormat="1" applyBorder="1"/>
    <xf numFmtId="165" fontId="0" fillId="0" borderId="6" xfId="2" applyNumberFormat="1" applyFont="1" applyBorder="1" applyAlignment="1">
      <alignment horizontal="right"/>
    </xf>
    <xf numFmtId="0" fontId="0" fillId="2" borderId="4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5">
    <cellStyle name="Normal" xfId="0" builtinId="0"/>
    <cellStyle name="Normal 2 2" xfId="4" xr:uid="{00000000-0005-0000-0000-000001000000}"/>
    <cellStyle name="Porcentagem" xfId="2" builtinId="5"/>
    <cellStyle name="Separador de milhares 10" xfId="3" xr:uid="{00000000-0005-0000-0000-000003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altopr-my.sharepoint.com/TRABALHO/#Proj Plat&#244;s Guadal - PDG/Modelagem Econ&#244;m-Financ - Grupo 4/Modelagem-Eco-Fin-PDG/Or&#231;am_Guadalupe_To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lanaltopr-my.sharepoint.com/personal/bruno_melin_presidencia_gov_br/Documents/Documentos/PDG%20Revis&#227;o-03/Grupo%202%20-%20Engenharia/ORCAMENTO_AMBIENTAL_GUADALUPE_REV_09nov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"/>
      <sheetName val="Orçam Resumo"/>
      <sheetName val="Resum"/>
      <sheetName val="Plan3"/>
    </sheetNames>
    <sheetDataSet>
      <sheetData sheetId="0"/>
      <sheetData sheetId="1">
        <row r="11">
          <cell r="E11">
            <v>22933043.908376731</v>
          </cell>
        </row>
        <row r="19">
          <cell r="E19">
            <v>49743839.70755858</v>
          </cell>
        </row>
        <row r="27">
          <cell r="E27">
            <v>18192946.705332074</v>
          </cell>
        </row>
        <row r="35">
          <cell r="E35">
            <v>4504293.0262889201</v>
          </cell>
        </row>
        <row r="43">
          <cell r="E43">
            <v>42121515.236816138</v>
          </cell>
        </row>
        <row r="51">
          <cell r="E51">
            <v>6631709.0430668881</v>
          </cell>
        </row>
        <row r="57">
          <cell r="E57">
            <v>92419.99126355999</v>
          </cell>
        </row>
        <row r="64">
          <cell r="E64">
            <v>87185.730436919999</v>
          </cell>
        </row>
        <row r="71">
          <cell r="E71">
            <v>384075.0091812</v>
          </cell>
        </row>
        <row r="78">
          <cell r="E78">
            <v>395351.96519999998</v>
          </cell>
        </row>
        <row r="84">
          <cell r="E84">
            <v>1465040.557719219</v>
          </cell>
        </row>
        <row r="91">
          <cell r="E91">
            <v>2643931.0694541973</v>
          </cell>
        </row>
        <row r="98">
          <cell r="E98">
            <v>3346153.4368911227</v>
          </cell>
        </row>
        <row r="105">
          <cell r="E105">
            <v>17088835.403303232</v>
          </cell>
        </row>
        <row r="112">
          <cell r="E112">
            <v>230355.0852</v>
          </cell>
        </row>
        <row r="121">
          <cell r="E121">
            <v>156968.66863231201</v>
          </cell>
        </row>
        <row r="126">
          <cell r="E126">
            <v>816215.71289604646</v>
          </cell>
        </row>
        <row r="132">
          <cell r="E132">
            <v>3715260.3942782977</v>
          </cell>
        </row>
        <row r="146">
          <cell r="E146">
            <v>347924.21022000001</v>
          </cell>
        </row>
        <row r="148">
          <cell r="E148">
            <v>150971346.5532563</v>
          </cell>
        </row>
        <row r="156">
          <cell r="E156">
            <v>11053501.208650926</v>
          </cell>
        </row>
        <row r="161">
          <cell r="E161">
            <v>16356118.51477664</v>
          </cell>
        </row>
        <row r="178">
          <cell r="E178">
            <v>94479167.08046177</v>
          </cell>
        </row>
        <row r="186">
          <cell r="E186">
            <v>62856829.399999999</v>
          </cell>
        </row>
        <row r="187">
          <cell r="E187">
            <v>81403318.684478059</v>
          </cell>
        </row>
        <row r="188">
          <cell r="E188">
            <v>11193930</v>
          </cell>
        </row>
        <row r="192">
          <cell r="E192">
            <v>2278479.2769959993</v>
          </cell>
        </row>
        <row r="193">
          <cell r="E193">
            <v>17780541.249975875</v>
          </cell>
        </row>
        <row r="194">
          <cell r="E194">
            <v>365007.78292302007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c_Ambiental 1a Etapa"/>
      <sheetName val="Orc_Ambiental 2a Etapa"/>
    </sheetNames>
    <sheetDataSet>
      <sheetData sheetId="0" refreshError="1"/>
      <sheetData sheetId="1">
        <row r="40">
          <cell r="D40">
            <v>3157543.3200000003</v>
          </cell>
          <cell r="E40">
            <v>5053987.2499999991</v>
          </cell>
          <cell r="F40">
            <v>9577442.0499999989</v>
          </cell>
          <cell r="G40">
            <v>9728626.8599999994</v>
          </cell>
          <cell r="H40">
            <v>9991268.2200000025</v>
          </cell>
          <cell r="I40">
            <v>8574424.9900000002</v>
          </cell>
          <cell r="J40">
            <v>7875711.669999999</v>
          </cell>
          <cell r="K40">
            <v>2938591.7</v>
          </cell>
          <cell r="L40">
            <v>2686858.94</v>
          </cell>
          <cell r="M40">
            <v>2424217.58</v>
          </cell>
          <cell r="N40">
            <v>1713066.76</v>
          </cell>
          <cell r="O40">
            <v>1713066.76</v>
          </cell>
          <cell r="P40">
            <v>888409.38</v>
          </cell>
          <cell r="Q40">
            <v>625768.02</v>
          </cell>
          <cell r="R40">
            <v>625768.02</v>
          </cell>
          <cell r="S40">
            <v>625768.02</v>
          </cell>
          <cell r="T40">
            <v>888409.38</v>
          </cell>
          <cell r="U40">
            <v>625768.02</v>
          </cell>
          <cell r="V40">
            <v>625768.02</v>
          </cell>
          <cell r="W40">
            <v>625768.02</v>
          </cell>
          <cell r="X40">
            <v>888409.38</v>
          </cell>
          <cell r="Y40">
            <v>625768.02</v>
          </cell>
          <cell r="Z40">
            <v>625768.02</v>
          </cell>
          <cell r="AA40">
            <v>625768.02</v>
          </cell>
          <cell r="AB40">
            <v>888409.37677073176</v>
          </cell>
          <cell r="AC40">
            <v>625768.01677073177</v>
          </cell>
          <cell r="AD40">
            <v>625768.01677073177</v>
          </cell>
          <cell r="AE40">
            <v>625768.01677073177</v>
          </cell>
          <cell r="AF40">
            <v>888409.37677073176</v>
          </cell>
          <cell r="AG40">
            <v>625768.01677073177</v>
          </cell>
          <cell r="AH40">
            <v>625768.01677073177</v>
          </cell>
          <cell r="AI40">
            <v>625768.01677073177</v>
          </cell>
          <cell r="AJ40">
            <v>888409.37677073176</v>
          </cell>
          <cell r="AK40">
            <v>625768.01677073177</v>
          </cell>
          <cell r="AL40">
            <v>625768.01677073177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view="pageBreakPreview" topLeftCell="N1" zoomScale="60" zoomScaleNormal="85" workbookViewId="0">
      <selection activeCell="AA18" sqref="AA18"/>
    </sheetView>
  </sheetViews>
  <sheetFormatPr defaultRowHeight="15" x14ac:dyDescent="0.25"/>
  <cols>
    <col min="1" max="1" width="0" hidden="1" customWidth="1"/>
    <col min="2" max="2" width="67" customWidth="1"/>
    <col min="3" max="3" width="16.140625" customWidth="1"/>
    <col min="4" max="4" width="11.85546875" customWidth="1"/>
    <col min="5" max="5" width="15.140625" bestFit="1" customWidth="1"/>
    <col min="6" max="6" width="15.7109375" customWidth="1"/>
    <col min="7" max="7" width="20.85546875" customWidth="1"/>
    <col min="8" max="8" width="15.7109375" customWidth="1"/>
    <col min="9" max="9" width="16.140625" bestFit="1" customWidth="1"/>
    <col min="10" max="40" width="15.7109375" customWidth="1"/>
    <col min="42" max="42" width="13.7109375" customWidth="1"/>
  </cols>
  <sheetData>
    <row r="1" spans="1:40" x14ac:dyDescent="0.25">
      <c r="C1" s="60"/>
    </row>
    <row r="2" spans="1:40" x14ac:dyDescent="0.25">
      <c r="B2" s="13" t="s">
        <v>87</v>
      </c>
      <c r="C2" s="46" t="s">
        <v>52</v>
      </c>
      <c r="D2" s="46" t="s">
        <v>88</v>
      </c>
      <c r="E2" s="64" t="s">
        <v>23</v>
      </c>
      <c r="F2" s="64" t="s">
        <v>24</v>
      </c>
      <c r="G2" s="64" t="s">
        <v>25</v>
      </c>
      <c r="H2" s="64" t="s">
        <v>26</v>
      </c>
      <c r="I2" s="64" t="s">
        <v>27</v>
      </c>
      <c r="J2" s="64" t="s">
        <v>28</v>
      </c>
      <c r="K2" s="64" t="s">
        <v>29</v>
      </c>
      <c r="L2" s="64" t="s">
        <v>30</v>
      </c>
      <c r="M2" s="65" t="s">
        <v>31</v>
      </c>
      <c r="N2" s="64" t="s">
        <v>32</v>
      </c>
      <c r="O2" s="64" t="s">
        <v>33</v>
      </c>
      <c r="P2" s="64" t="s">
        <v>34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x14ac:dyDescent="0.25">
      <c r="B3" t="s">
        <v>85</v>
      </c>
      <c r="C3" s="15">
        <f>SUM(E3:P3)</f>
        <v>11073.67</v>
      </c>
      <c r="D3" s="59"/>
      <c r="E3" s="61">
        <v>956.2</v>
      </c>
      <c r="F3" s="61">
        <v>875</v>
      </c>
      <c r="G3" s="61">
        <v>1012.18</v>
      </c>
      <c r="H3" s="61">
        <v>665</v>
      </c>
      <c r="I3" s="61">
        <v>576.55999999999995</v>
      </c>
      <c r="J3" s="61">
        <v>1006.43</v>
      </c>
      <c r="K3" s="61">
        <v>1155.2</v>
      </c>
      <c r="L3" s="61">
        <v>761.4</v>
      </c>
      <c r="M3" s="62">
        <v>676.1</v>
      </c>
      <c r="N3" s="61">
        <v>1195.5999999999999</v>
      </c>
      <c r="O3" s="61">
        <v>881</v>
      </c>
      <c r="P3" s="61">
        <v>1313</v>
      </c>
      <c r="Q3" s="4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5">
      <c r="B4" t="s">
        <v>84</v>
      </c>
      <c r="C4" s="15">
        <f>SUM(E4:P4)</f>
        <v>10238.18</v>
      </c>
      <c r="D4" s="59"/>
      <c r="E4" s="61">
        <v>908.39</v>
      </c>
      <c r="F4" s="61">
        <v>831.25</v>
      </c>
      <c r="G4" s="61">
        <v>919.2</v>
      </c>
      <c r="H4" s="61">
        <v>631.75</v>
      </c>
      <c r="I4" s="61">
        <v>508.47</v>
      </c>
      <c r="J4" s="61">
        <v>878.78</v>
      </c>
      <c r="K4" s="61">
        <v>1097.44</v>
      </c>
      <c r="L4" s="61">
        <v>723.33</v>
      </c>
      <c r="M4" s="62">
        <v>519.45000000000005</v>
      </c>
      <c r="N4" s="61">
        <v>1135.82</v>
      </c>
      <c r="O4" s="61">
        <v>836.95</v>
      </c>
      <c r="P4" s="61">
        <v>1247.3499999999999</v>
      </c>
      <c r="Q4" s="47">
        <f>SUM(M4:P4)/C4</f>
        <v>0.3652573015907124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x14ac:dyDescent="0.25">
      <c r="B5" t="s">
        <v>81</v>
      </c>
      <c r="C5" s="15">
        <f>SUM(E5:P5)</f>
        <v>3795</v>
      </c>
      <c r="D5" s="59"/>
      <c r="E5" s="20">
        <v>385</v>
      </c>
      <c r="F5" s="20">
        <v>110</v>
      </c>
      <c r="G5" s="18">
        <v>715</v>
      </c>
      <c r="H5" s="20">
        <v>330</v>
      </c>
      <c r="I5" s="56">
        <v>275</v>
      </c>
      <c r="J5" s="56">
        <v>0</v>
      </c>
      <c r="K5" s="20">
        <v>605</v>
      </c>
      <c r="L5" s="20">
        <v>55</v>
      </c>
      <c r="M5" s="56">
        <v>0</v>
      </c>
      <c r="N5" s="20">
        <v>385</v>
      </c>
      <c r="O5" s="20">
        <v>605</v>
      </c>
      <c r="P5" s="20">
        <v>330</v>
      </c>
    </row>
    <row r="6" spans="1:40" x14ac:dyDescent="0.25">
      <c r="B6" t="s">
        <v>86</v>
      </c>
      <c r="C6" s="15">
        <f>SUM(E6:P6)</f>
        <v>6443.18</v>
      </c>
      <c r="E6" s="63">
        <f>E4-E5</f>
        <v>523.39</v>
      </c>
      <c r="F6" s="63">
        <f t="shared" ref="F6:L6" si="0">F4-F5</f>
        <v>721.25</v>
      </c>
      <c r="G6" s="63">
        <f t="shared" si="0"/>
        <v>204.20000000000005</v>
      </c>
      <c r="H6" s="63">
        <f t="shared" si="0"/>
        <v>301.75</v>
      </c>
      <c r="I6" s="63">
        <f t="shared" si="0"/>
        <v>233.47000000000003</v>
      </c>
      <c r="J6" s="63">
        <f t="shared" si="0"/>
        <v>878.78</v>
      </c>
      <c r="K6" s="63">
        <f t="shared" si="0"/>
        <v>492.44000000000005</v>
      </c>
      <c r="L6" s="63">
        <f t="shared" si="0"/>
        <v>668.33</v>
      </c>
      <c r="M6" s="9">
        <f t="shared" ref="M6:N6" si="1">M4-M5</f>
        <v>519.45000000000005</v>
      </c>
      <c r="N6" s="3">
        <f t="shared" si="1"/>
        <v>750.81999999999994</v>
      </c>
      <c r="O6" s="3">
        <f t="shared" ref="O6" si="2">O4-O5</f>
        <v>231.95000000000005</v>
      </c>
      <c r="P6" s="3">
        <f t="shared" ref="P6" si="3">P4-P5</f>
        <v>917.34999999999991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x14ac:dyDescent="0.25">
      <c r="B7" t="s">
        <v>48</v>
      </c>
      <c r="C7" s="15">
        <f>SUM(E7:P7)</f>
        <v>111826</v>
      </c>
      <c r="E7" s="16">
        <v>5288</v>
      </c>
      <c r="F7" s="16">
        <v>6696</v>
      </c>
      <c r="G7" s="16">
        <v>15917</v>
      </c>
      <c r="H7" s="16">
        <v>4614</v>
      </c>
      <c r="I7" s="16">
        <v>7873</v>
      </c>
      <c r="J7" s="16">
        <v>20556</v>
      </c>
      <c r="K7" s="16">
        <v>4432</v>
      </c>
      <c r="L7" s="16">
        <v>6114</v>
      </c>
      <c r="M7" s="50">
        <v>12838</v>
      </c>
      <c r="N7" s="16">
        <v>9248</v>
      </c>
      <c r="O7" s="16">
        <v>3334</v>
      </c>
      <c r="P7" s="16">
        <v>14916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</row>
    <row r="8" spans="1:40" x14ac:dyDescent="0.25">
      <c r="B8" s="25" t="s">
        <v>82</v>
      </c>
      <c r="F8" s="25" t="s">
        <v>65</v>
      </c>
      <c r="G8" s="25" t="s">
        <v>66</v>
      </c>
      <c r="H8" s="25" t="s">
        <v>67</v>
      </c>
      <c r="I8" s="25">
        <v>7</v>
      </c>
      <c r="J8">
        <v>8</v>
      </c>
      <c r="Q8" s="48">
        <f>SUM(M7:P7)/C7</f>
        <v>0.36070323538354226</v>
      </c>
    </row>
    <row r="9" spans="1:40" x14ac:dyDescent="0.25">
      <c r="B9" s="25" t="s">
        <v>83</v>
      </c>
      <c r="C9" s="15">
        <f>SUM(E9:P9)</f>
        <v>10238.18</v>
      </c>
      <c r="F9" s="54">
        <f>M4+N4+O4+P4</f>
        <v>3739.57</v>
      </c>
      <c r="G9" s="54">
        <f>E4+F4+G4</f>
        <v>2658.84</v>
      </c>
      <c r="H9" s="54">
        <f>H4+I4+J4</f>
        <v>2019</v>
      </c>
      <c r="I9" s="54">
        <f>K4</f>
        <v>1097.44</v>
      </c>
      <c r="J9" s="54">
        <f>L4</f>
        <v>723.33</v>
      </c>
      <c r="K9" t="s">
        <v>90</v>
      </c>
      <c r="Q9" s="49">
        <f>SUM(E4:L4)/C4</f>
        <v>0.63474269840928765</v>
      </c>
    </row>
    <row r="10" spans="1:40" x14ac:dyDescent="0.25">
      <c r="B10" s="73" t="s">
        <v>79</v>
      </c>
      <c r="C10" s="74"/>
      <c r="D10" s="5"/>
      <c r="E10" s="5"/>
      <c r="F10" s="75">
        <f>F9/$C$9</f>
        <v>0.3652573015907124</v>
      </c>
      <c r="G10" s="75">
        <f t="shared" ref="G10:J10" si="4">G9/$C$9</f>
        <v>0.25969850110078158</v>
      </c>
      <c r="H10" s="75">
        <f t="shared" si="4"/>
        <v>0.19720301850524213</v>
      </c>
      <c r="I10" s="75">
        <f t="shared" si="4"/>
        <v>0.10719092651232934</v>
      </c>
      <c r="J10" s="75">
        <f t="shared" si="4"/>
        <v>7.0650252290934523E-2</v>
      </c>
      <c r="K10" s="5"/>
      <c r="L10" s="5"/>
      <c r="M10" s="5"/>
      <c r="N10" s="5"/>
      <c r="O10" s="5"/>
      <c r="P10" s="5"/>
    </row>
    <row r="11" spans="1:40" x14ac:dyDescent="0.25">
      <c r="B11" s="27"/>
      <c r="C11" s="26"/>
      <c r="F11" s="28"/>
      <c r="G11" s="28"/>
      <c r="H11" s="28"/>
      <c r="I11" s="28"/>
      <c r="J11" s="28"/>
    </row>
    <row r="12" spans="1:40" x14ac:dyDescent="0.25">
      <c r="B12" s="27"/>
      <c r="C12" s="26"/>
      <c r="F12" s="28"/>
      <c r="G12" s="28"/>
      <c r="H12" s="28"/>
      <c r="I12" s="28"/>
      <c r="J12" s="28"/>
    </row>
    <row r="13" spans="1:40" x14ac:dyDescent="0.25">
      <c r="A13" s="78" t="s">
        <v>13</v>
      </c>
      <c r="B13" s="76" t="s">
        <v>0</v>
      </c>
      <c r="C13" s="78" t="s">
        <v>19</v>
      </c>
      <c r="D13" s="78" t="s">
        <v>1</v>
      </c>
      <c r="E13" s="81" t="s">
        <v>89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3"/>
    </row>
    <row r="14" spans="1:40" x14ac:dyDescent="0.25">
      <c r="A14" s="79"/>
      <c r="B14" s="77"/>
      <c r="C14" s="79"/>
      <c r="D14" s="79"/>
      <c r="E14" s="10" t="s">
        <v>14</v>
      </c>
      <c r="F14" s="10" t="s">
        <v>15</v>
      </c>
      <c r="G14" s="10" t="s">
        <v>16</v>
      </c>
      <c r="H14" s="10" t="s">
        <v>17</v>
      </c>
      <c r="I14" s="10" t="s">
        <v>18</v>
      </c>
      <c r="J14" s="10" t="s">
        <v>61</v>
      </c>
      <c r="K14" s="10" t="s">
        <v>62</v>
      </c>
      <c r="L14" s="10" t="s">
        <v>63</v>
      </c>
      <c r="M14" s="10" t="s">
        <v>77</v>
      </c>
      <c r="N14" s="10" t="s">
        <v>78</v>
      </c>
      <c r="O14" s="10" t="s">
        <v>91</v>
      </c>
      <c r="P14" s="10" t="s">
        <v>92</v>
      </c>
      <c r="Q14" s="10" t="s">
        <v>93</v>
      </c>
      <c r="R14" s="10" t="s">
        <v>94</v>
      </c>
      <c r="S14" s="10" t="s">
        <v>95</v>
      </c>
      <c r="T14" s="10" t="s">
        <v>96</v>
      </c>
      <c r="U14" s="10" t="s">
        <v>97</v>
      </c>
      <c r="V14" s="10" t="s">
        <v>98</v>
      </c>
      <c r="W14" s="10" t="s">
        <v>99</v>
      </c>
      <c r="X14" s="10" t="s">
        <v>100</v>
      </c>
      <c r="Y14" s="10" t="s">
        <v>101</v>
      </c>
      <c r="Z14" s="10" t="s">
        <v>102</v>
      </c>
      <c r="AA14" s="10" t="s">
        <v>103</v>
      </c>
      <c r="AB14" s="10" t="s">
        <v>104</v>
      </c>
      <c r="AC14" s="10" t="s">
        <v>105</v>
      </c>
      <c r="AD14" s="10" t="s">
        <v>106</v>
      </c>
      <c r="AE14" s="10" t="s">
        <v>107</v>
      </c>
      <c r="AF14" s="10" t="s">
        <v>108</v>
      </c>
      <c r="AG14" s="10" t="s">
        <v>109</v>
      </c>
      <c r="AH14" s="10" t="s">
        <v>110</v>
      </c>
      <c r="AI14" s="10" t="s">
        <v>111</v>
      </c>
      <c r="AJ14" s="10" t="s">
        <v>112</v>
      </c>
      <c r="AK14" s="10" t="s">
        <v>113</v>
      </c>
      <c r="AL14" s="10" t="s">
        <v>114</v>
      </c>
      <c r="AM14" s="10" t="s">
        <v>115</v>
      </c>
    </row>
    <row r="15" spans="1:40" x14ac:dyDescent="0.25">
      <c r="A15" s="19"/>
      <c r="B15" s="38" t="s">
        <v>72</v>
      </c>
      <c r="C15" s="32"/>
      <c r="E15" s="40" t="s">
        <v>75</v>
      </c>
      <c r="F15" s="41" t="str">
        <f>F8</f>
        <v>9, 10, 11 e 12</v>
      </c>
      <c r="G15" s="41" t="str">
        <f t="shared" ref="G15:J15" si="5">G8</f>
        <v>1, 2 e 3</v>
      </c>
      <c r="H15" s="41" t="str">
        <f t="shared" si="5"/>
        <v>4, 5 e 6</v>
      </c>
      <c r="I15" s="42">
        <f t="shared" si="5"/>
        <v>7</v>
      </c>
      <c r="J15" s="42">
        <f t="shared" si="5"/>
        <v>8</v>
      </c>
      <c r="K15" s="37"/>
    </row>
    <row r="16" spans="1:40" x14ac:dyDescent="0.25">
      <c r="A16" s="19"/>
      <c r="B16" s="7" t="s">
        <v>73</v>
      </c>
      <c r="D16" s="2"/>
      <c r="E16" s="22"/>
      <c r="F16" s="22"/>
      <c r="G16" s="39">
        <f>F9</f>
        <v>3739.57</v>
      </c>
      <c r="H16" s="39">
        <f t="shared" ref="H16:K16" si="6">G9</f>
        <v>2658.84</v>
      </c>
      <c r="I16" s="39">
        <f t="shared" si="6"/>
        <v>2019</v>
      </c>
      <c r="J16" s="39">
        <f t="shared" si="6"/>
        <v>1097.44</v>
      </c>
      <c r="K16" s="39">
        <f t="shared" si="6"/>
        <v>723.33</v>
      </c>
      <c r="L16" s="36"/>
    </row>
    <row r="17" spans="1:42" x14ac:dyDescent="0.25">
      <c r="A17" s="19"/>
      <c r="B17" s="7" t="s">
        <v>74</v>
      </c>
      <c r="D17" s="2"/>
      <c r="E17" s="22"/>
      <c r="F17" s="22"/>
      <c r="G17" s="43"/>
      <c r="H17" s="44">
        <f>F9</f>
        <v>3739.57</v>
      </c>
      <c r="I17" s="44">
        <f t="shared" ref="I17:L17" si="7">G9</f>
        <v>2658.84</v>
      </c>
      <c r="J17" s="44">
        <f t="shared" si="7"/>
        <v>2019</v>
      </c>
      <c r="K17" s="44">
        <f t="shared" si="7"/>
        <v>1097.44</v>
      </c>
      <c r="L17" s="44">
        <f t="shared" si="7"/>
        <v>723.33</v>
      </c>
    </row>
    <row r="18" spans="1:42" x14ac:dyDescent="0.25">
      <c r="D18" s="2"/>
      <c r="E18" s="8"/>
      <c r="G18" s="8"/>
      <c r="H18" s="8"/>
      <c r="I18" s="8"/>
      <c r="J18" s="8"/>
      <c r="K18" s="8"/>
    </row>
    <row r="19" spans="1:42" x14ac:dyDescent="0.25">
      <c r="B19" s="6" t="s">
        <v>6</v>
      </c>
      <c r="D19" s="2"/>
      <c r="E19" s="8"/>
    </row>
    <row r="20" spans="1:42" x14ac:dyDescent="0.25">
      <c r="B20" t="s">
        <v>7</v>
      </c>
      <c r="C20" s="30">
        <f>'[1]Orçam Resumo'!$E$186</f>
        <v>62856829.399999999</v>
      </c>
      <c r="D20" s="51" t="s">
        <v>21</v>
      </c>
      <c r="E20" s="8"/>
      <c r="G20" s="8">
        <f>$C$20/$C$9*F9</f>
        <v>22958915.893191759</v>
      </c>
      <c r="H20" s="8">
        <f t="shared" ref="H20:K20" si="8">$C$20/$C$9*G9</f>
        <v>16323824.37912754</v>
      </c>
      <c r="I20" s="8">
        <f t="shared" si="8"/>
        <v>12395556.491349047</v>
      </c>
      <c r="J20" s="8">
        <f t="shared" si="8"/>
        <v>6737681.7810134217</v>
      </c>
      <c r="K20" s="8">
        <f t="shared" si="8"/>
        <v>4440850.8553182306</v>
      </c>
      <c r="AP20" s="8"/>
    </row>
    <row r="21" spans="1:42" x14ac:dyDescent="0.25">
      <c r="B21" t="s">
        <v>76</v>
      </c>
      <c r="C21" s="30">
        <f>'[1]Orçam Resumo'!$E$187</f>
        <v>81403318.684478059</v>
      </c>
      <c r="D21" s="52" t="s">
        <v>80</v>
      </c>
      <c r="E21" s="8">
        <f>'[2]Orc_Ambiental 2a Etapa'!D40</f>
        <v>3157543.3200000003</v>
      </c>
      <c r="F21" s="8">
        <f>'[2]Orc_Ambiental 2a Etapa'!E40</f>
        <v>5053987.2499999991</v>
      </c>
      <c r="G21" s="8">
        <f>'[2]Orc_Ambiental 2a Etapa'!F40</f>
        <v>9577442.0499999989</v>
      </c>
      <c r="H21" s="8">
        <f>'[2]Orc_Ambiental 2a Etapa'!G40</f>
        <v>9728626.8599999994</v>
      </c>
      <c r="I21" s="8">
        <f>'[2]Orc_Ambiental 2a Etapa'!H40</f>
        <v>9991268.2200000025</v>
      </c>
      <c r="J21" s="8">
        <f>'[2]Orc_Ambiental 2a Etapa'!I40</f>
        <v>8574424.9900000002</v>
      </c>
      <c r="K21" s="8">
        <f>'[2]Orc_Ambiental 2a Etapa'!J40</f>
        <v>7875711.669999999</v>
      </c>
      <c r="L21" s="8">
        <f>'[2]Orc_Ambiental 2a Etapa'!K40</f>
        <v>2938591.7</v>
      </c>
      <c r="M21" s="8">
        <f>'[2]Orc_Ambiental 2a Etapa'!L40</f>
        <v>2686858.94</v>
      </c>
      <c r="N21" s="8">
        <f>'[2]Orc_Ambiental 2a Etapa'!M40</f>
        <v>2424217.58</v>
      </c>
      <c r="O21" s="8">
        <f>'[2]Orc_Ambiental 2a Etapa'!N40</f>
        <v>1713066.76</v>
      </c>
      <c r="P21" s="8">
        <f>'[2]Orc_Ambiental 2a Etapa'!O40</f>
        <v>1713066.76</v>
      </c>
      <c r="Q21" s="8">
        <f>'[2]Orc_Ambiental 2a Etapa'!P40</f>
        <v>888409.38</v>
      </c>
      <c r="R21" s="8">
        <f>'[2]Orc_Ambiental 2a Etapa'!Q40</f>
        <v>625768.02</v>
      </c>
      <c r="S21" s="8">
        <f>'[2]Orc_Ambiental 2a Etapa'!R40</f>
        <v>625768.02</v>
      </c>
      <c r="T21" s="8">
        <f>'[2]Orc_Ambiental 2a Etapa'!S40</f>
        <v>625768.02</v>
      </c>
      <c r="U21" s="8">
        <f>'[2]Orc_Ambiental 2a Etapa'!T40</f>
        <v>888409.38</v>
      </c>
      <c r="V21" s="8">
        <f>'[2]Orc_Ambiental 2a Etapa'!U40</f>
        <v>625768.02</v>
      </c>
      <c r="W21" s="8">
        <f>'[2]Orc_Ambiental 2a Etapa'!V40</f>
        <v>625768.02</v>
      </c>
      <c r="X21" s="8">
        <f>'[2]Orc_Ambiental 2a Etapa'!W40</f>
        <v>625768.02</v>
      </c>
      <c r="Y21" s="8">
        <f>'[2]Orc_Ambiental 2a Etapa'!X40</f>
        <v>888409.38</v>
      </c>
      <c r="Z21" s="8">
        <f>'[2]Orc_Ambiental 2a Etapa'!Y40</f>
        <v>625768.02</v>
      </c>
      <c r="AA21" s="8">
        <f>'[2]Orc_Ambiental 2a Etapa'!Z40</f>
        <v>625768.02</v>
      </c>
      <c r="AB21" s="8">
        <f>'[2]Orc_Ambiental 2a Etapa'!AA40</f>
        <v>625768.02</v>
      </c>
      <c r="AC21" s="8">
        <f>'[2]Orc_Ambiental 2a Etapa'!AB40</f>
        <v>888409.37677073176</v>
      </c>
      <c r="AD21" s="8">
        <f>'[2]Orc_Ambiental 2a Etapa'!AC40</f>
        <v>625768.01677073177</v>
      </c>
      <c r="AE21" s="8">
        <f>'[2]Orc_Ambiental 2a Etapa'!AD40</f>
        <v>625768.01677073177</v>
      </c>
      <c r="AF21" s="8">
        <f>'[2]Orc_Ambiental 2a Etapa'!AE40</f>
        <v>625768.01677073177</v>
      </c>
      <c r="AG21" s="8">
        <f>'[2]Orc_Ambiental 2a Etapa'!AF40</f>
        <v>888409.37677073176</v>
      </c>
      <c r="AH21" s="8">
        <f>'[2]Orc_Ambiental 2a Etapa'!AG40</f>
        <v>625768.01677073177</v>
      </c>
      <c r="AI21" s="8">
        <f>'[2]Orc_Ambiental 2a Etapa'!AH40</f>
        <v>625768.01677073177</v>
      </c>
      <c r="AJ21" s="8">
        <f>'[2]Orc_Ambiental 2a Etapa'!AI40</f>
        <v>625768.01677073177</v>
      </c>
      <c r="AK21" s="8">
        <f>'[2]Orc_Ambiental 2a Etapa'!AJ40</f>
        <v>888409.37677073176</v>
      </c>
      <c r="AL21" s="8">
        <f>'[2]Orc_Ambiental 2a Etapa'!AK40</f>
        <v>625768.01677073177</v>
      </c>
      <c r="AM21" s="8">
        <f>'[2]Orc_Ambiental 2a Etapa'!AL40</f>
        <v>625768.01677073177</v>
      </c>
      <c r="AN21" s="8"/>
      <c r="AP21" s="8"/>
    </row>
    <row r="22" spans="1:42" x14ac:dyDescent="0.25">
      <c r="B22" t="s">
        <v>35</v>
      </c>
      <c r="C22" s="80">
        <f>'[1]Orçam Resumo'!$E$188</f>
        <v>11193930</v>
      </c>
      <c r="D22" s="53">
        <v>0.5</v>
      </c>
      <c r="E22" s="8">
        <f>C22*D22</f>
        <v>5596965</v>
      </c>
      <c r="O22" s="11"/>
      <c r="AP22" s="8"/>
    </row>
    <row r="23" spans="1:42" x14ac:dyDescent="0.25">
      <c r="B23" t="s">
        <v>36</v>
      </c>
      <c r="C23" s="80"/>
      <c r="D23" s="17">
        <v>0.5</v>
      </c>
      <c r="E23" s="8"/>
      <c r="F23" s="8">
        <f>$C$22*$D$23/$C$9*F9</f>
        <v>2044332.3329976618</v>
      </c>
      <c r="G23" s="8">
        <f>$C$22*$D$23/$C$9*G9</f>
        <v>1453523.4212135361</v>
      </c>
      <c r="H23" s="8">
        <f>$C$22*$D$23/$C$9*H9</f>
        <v>1103738.3924681926</v>
      </c>
      <c r="I23" s="8">
        <f>$C$22*$D$23/$C$9*I9</f>
        <v>599943.86400707939</v>
      </c>
      <c r="J23" s="8">
        <f>$C$22*$D$23/$C$9*J9</f>
        <v>395426.98931353033</v>
      </c>
      <c r="O23" s="12"/>
      <c r="AP23" s="8"/>
    </row>
    <row r="24" spans="1:42" x14ac:dyDescent="0.25">
      <c r="B24" s="29" t="s">
        <v>8</v>
      </c>
      <c r="C24" s="66"/>
      <c r="D24" s="70"/>
      <c r="E24" s="31"/>
      <c r="F24" s="31"/>
      <c r="G24" s="31"/>
      <c r="H24" s="31"/>
      <c r="I24" s="31"/>
      <c r="J24" s="31"/>
      <c r="K24" s="5"/>
      <c r="L24" s="5"/>
      <c r="M24" s="5"/>
      <c r="N24" s="5"/>
      <c r="AP24" s="8"/>
    </row>
    <row r="25" spans="1:42" x14ac:dyDescent="0.25">
      <c r="D25" s="2"/>
      <c r="E25" s="8"/>
      <c r="F25" s="8"/>
      <c r="G25" s="8"/>
      <c r="H25" s="8"/>
      <c r="I25" s="8"/>
      <c r="J25" s="8"/>
      <c r="AP25" s="8"/>
    </row>
    <row r="26" spans="1:42" x14ac:dyDescent="0.25">
      <c r="A26" s="1"/>
      <c r="B26" s="7" t="s">
        <v>9</v>
      </c>
      <c r="C26" s="7"/>
      <c r="D26" s="2"/>
      <c r="E26" s="8"/>
      <c r="F26" s="8"/>
      <c r="G26" s="8"/>
      <c r="H26" s="8"/>
      <c r="I26" s="8"/>
      <c r="J26" s="8"/>
    </row>
    <row r="27" spans="1:42" x14ac:dyDescent="0.25">
      <c r="B27" t="s">
        <v>10</v>
      </c>
      <c r="C27" s="30">
        <f>'[1]Orçam Resumo'!$E$192</f>
        <v>2278479.2769959993</v>
      </c>
      <c r="D27" s="52" t="s">
        <v>20</v>
      </c>
      <c r="F27" s="8">
        <f>C27/2</f>
        <v>1139239.6384979996</v>
      </c>
      <c r="G27" s="8"/>
      <c r="H27" s="8"/>
      <c r="I27" s="8"/>
      <c r="K27" s="22">
        <f>C27/2</f>
        <v>1139239.6384979996</v>
      </c>
    </row>
    <row r="28" spans="1:42" x14ac:dyDescent="0.25">
      <c r="B28" t="s">
        <v>11</v>
      </c>
      <c r="C28" s="30">
        <f>'[1]Orçam Resumo'!$E$193</f>
        <v>17780541.249975875</v>
      </c>
      <c r="D28" s="51" t="s">
        <v>64</v>
      </c>
      <c r="F28" s="8">
        <f>$C$28/6</f>
        <v>2963423.541662646</v>
      </c>
      <c r="G28" s="8">
        <f t="shared" ref="G28:K28" si="9">$C$28/6</f>
        <v>2963423.541662646</v>
      </c>
      <c r="H28" s="8">
        <f t="shared" si="9"/>
        <v>2963423.541662646</v>
      </c>
      <c r="I28" s="8">
        <f t="shared" si="9"/>
        <v>2963423.541662646</v>
      </c>
      <c r="J28" s="8">
        <f t="shared" si="9"/>
        <v>2963423.541662646</v>
      </c>
      <c r="K28" s="22">
        <f t="shared" si="9"/>
        <v>2963423.541662646</v>
      </c>
    </row>
    <row r="29" spans="1:42" x14ac:dyDescent="0.25">
      <c r="B29" t="s">
        <v>12</v>
      </c>
      <c r="C29" s="30">
        <f>'[1]Orçam Resumo'!$E$194</f>
        <v>365007.78292302007</v>
      </c>
      <c r="D29" s="52" t="s">
        <v>22</v>
      </c>
      <c r="F29" s="8">
        <f>C29</f>
        <v>365007.78292302007</v>
      </c>
      <c r="G29" s="8"/>
      <c r="H29" s="8"/>
      <c r="I29" s="8"/>
      <c r="J29" s="8"/>
    </row>
    <row r="30" spans="1:42" x14ac:dyDescent="0.25">
      <c r="D30" s="2"/>
      <c r="E30" s="8"/>
      <c r="F30" s="8"/>
      <c r="G30" s="8"/>
      <c r="H30" s="8"/>
      <c r="I30" s="8"/>
      <c r="J30" s="8"/>
    </row>
    <row r="31" spans="1:42" x14ac:dyDescent="0.25">
      <c r="B31" t="s">
        <v>37</v>
      </c>
      <c r="C31" s="30">
        <f>'[1]Orçam Resumo'!$E$11</f>
        <v>22933043.908376731</v>
      </c>
      <c r="D31" s="2" t="s">
        <v>60</v>
      </c>
      <c r="E31" s="23"/>
      <c r="F31" s="30">
        <f>C31*0.4</f>
        <v>9173217.5633506924</v>
      </c>
      <c r="G31" s="8">
        <f>C31*0.6</f>
        <v>13759826.345026039</v>
      </c>
      <c r="H31" s="8"/>
      <c r="I31" s="8"/>
      <c r="J31" s="8"/>
    </row>
    <row r="32" spans="1:42" x14ac:dyDescent="0.25">
      <c r="B32" t="s">
        <v>45</v>
      </c>
      <c r="C32" s="30">
        <f>'[1]Orçam Resumo'!$E$57</f>
        <v>92419.99126355999</v>
      </c>
      <c r="D32" s="2"/>
      <c r="E32" s="8"/>
      <c r="F32" s="30">
        <f t="shared" ref="F32:F37" si="10">C32</f>
        <v>92419.99126355999</v>
      </c>
      <c r="G32" s="8"/>
      <c r="H32" s="8"/>
      <c r="I32" s="8"/>
      <c r="J32" s="8"/>
    </row>
    <row r="33" spans="2:10" x14ac:dyDescent="0.25">
      <c r="B33" t="s">
        <v>38</v>
      </c>
      <c r="C33" s="67">
        <f>'[1]Orçam Resumo'!$E$78</f>
        <v>395351.96519999998</v>
      </c>
      <c r="D33" s="71"/>
      <c r="E33" s="8"/>
      <c r="F33" s="30">
        <f t="shared" si="10"/>
        <v>395351.96519999998</v>
      </c>
      <c r="G33" s="8"/>
      <c r="H33" s="8"/>
      <c r="I33" s="8"/>
      <c r="J33" s="8"/>
    </row>
    <row r="34" spans="2:10" x14ac:dyDescent="0.25">
      <c r="B34" t="s">
        <v>39</v>
      </c>
      <c r="C34" s="67">
        <f>'[1]Orçam Resumo'!$E$84</f>
        <v>1465040.557719219</v>
      </c>
      <c r="D34" s="71"/>
      <c r="E34" s="8"/>
      <c r="F34" s="30">
        <f t="shared" si="10"/>
        <v>1465040.557719219</v>
      </c>
      <c r="G34" s="8"/>
      <c r="H34" s="8"/>
      <c r="I34" s="8"/>
      <c r="J34" s="8"/>
    </row>
    <row r="35" spans="2:10" x14ac:dyDescent="0.25">
      <c r="B35" t="s">
        <v>40</v>
      </c>
      <c r="C35" s="67">
        <f>'[1]Orçam Resumo'!$E$27</f>
        <v>18192946.705332074</v>
      </c>
      <c r="D35" s="71" t="s">
        <v>60</v>
      </c>
      <c r="E35" s="23"/>
      <c r="F35" s="30">
        <f>C35*0.4</f>
        <v>7277178.6821328299</v>
      </c>
      <c r="G35" s="8">
        <f>C35*0.6</f>
        <v>10915768.023199243</v>
      </c>
      <c r="H35" s="8"/>
      <c r="I35" s="8"/>
      <c r="J35" s="8"/>
    </row>
    <row r="36" spans="2:10" x14ac:dyDescent="0.25">
      <c r="B36" t="s">
        <v>41</v>
      </c>
      <c r="C36" s="67">
        <f>'[1]Orçam Resumo'!$E$64</f>
        <v>87185.730436919999</v>
      </c>
      <c r="D36" s="71"/>
      <c r="E36" s="8"/>
      <c r="F36" s="30">
        <f t="shared" si="10"/>
        <v>87185.730436919999</v>
      </c>
      <c r="G36" s="8"/>
      <c r="H36" s="8"/>
      <c r="I36" s="8"/>
      <c r="J36" s="8"/>
    </row>
    <row r="37" spans="2:10" x14ac:dyDescent="0.25">
      <c r="B37" t="s">
        <v>42</v>
      </c>
      <c r="C37" s="67">
        <f>'[1]Orçam Resumo'!$E$91</f>
        <v>2643931.0694541973</v>
      </c>
      <c r="D37" s="71"/>
      <c r="E37" s="8"/>
      <c r="F37" s="30">
        <f t="shared" si="10"/>
        <v>2643931.0694541973</v>
      </c>
      <c r="G37" s="8"/>
      <c r="H37" s="8"/>
      <c r="I37" s="8"/>
      <c r="J37" s="8"/>
    </row>
    <row r="38" spans="2:10" x14ac:dyDescent="0.25">
      <c r="B38" t="s">
        <v>43</v>
      </c>
      <c r="C38" s="34">
        <f>'[1]Orçam Resumo'!$E$35</f>
        <v>4504293.0262889201</v>
      </c>
      <c r="D38" s="71" t="s">
        <v>60</v>
      </c>
      <c r="E38" s="23"/>
      <c r="F38" s="30">
        <f>C38*0.4</f>
        <v>1801717.210515568</v>
      </c>
      <c r="G38" s="8">
        <f>C38*0.6</f>
        <v>2702575.815773352</v>
      </c>
    </row>
    <row r="39" spans="2:10" x14ac:dyDescent="0.25">
      <c r="B39" t="s">
        <v>44</v>
      </c>
      <c r="C39" s="68">
        <f>'[1]Orçam Resumo'!$E$43/11*3</f>
        <v>11487685.973677129</v>
      </c>
      <c r="D39" s="71" t="s">
        <v>60</v>
      </c>
      <c r="E39" s="23"/>
      <c r="F39" s="30">
        <f>C39*0.4</f>
        <v>4595074.389470852</v>
      </c>
      <c r="G39" s="8">
        <f>C39*0.6</f>
        <v>6892611.5842062766</v>
      </c>
    </row>
    <row r="40" spans="2:10" x14ac:dyDescent="0.25">
      <c r="B40" t="s">
        <v>117</v>
      </c>
      <c r="C40" s="68">
        <f>'[1]Orçam Resumo'!$E$51/51*24</f>
        <v>3120804.2555608884</v>
      </c>
      <c r="D40" s="71" t="s">
        <v>60</v>
      </c>
      <c r="E40" s="23"/>
      <c r="F40" s="30">
        <f>C40*0.4</f>
        <v>1248321.7022243554</v>
      </c>
      <c r="G40" s="8">
        <f>C40*0.6</f>
        <v>1872482.553336533</v>
      </c>
    </row>
    <row r="41" spans="2:10" x14ac:dyDescent="0.25">
      <c r="B41" t="s">
        <v>116</v>
      </c>
      <c r="C41" s="68">
        <f>'[1]Orçam Resumo'!$E$126/21*5</f>
        <v>194337.07449905868</v>
      </c>
      <c r="D41" s="71"/>
      <c r="E41" s="11"/>
      <c r="F41" s="11">
        <f>C41</f>
        <v>194337.07449905868</v>
      </c>
      <c r="J41" s="11"/>
    </row>
    <row r="42" spans="2:10" x14ac:dyDescent="0.25">
      <c r="B42" t="s">
        <v>49</v>
      </c>
      <c r="C42" s="68">
        <f>0.361*'[1]Orçam Resumo'!$E$148</f>
        <v>54500656.105725527</v>
      </c>
      <c r="D42" s="71" t="s">
        <v>60</v>
      </c>
      <c r="E42" s="23"/>
      <c r="F42" s="30">
        <f>C42*0.4</f>
        <v>21800262.442290213</v>
      </c>
      <c r="G42" s="8">
        <f>C42*0.6</f>
        <v>32700393.663435314</v>
      </c>
      <c r="H42" s="21"/>
      <c r="J42" s="11"/>
    </row>
    <row r="43" spans="2:10" x14ac:dyDescent="0.25">
      <c r="B43" t="s">
        <v>51</v>
      </c>
      <c r="C43" s="35">
        <f>'[1]Orçam Resumo'!$E$156*0.2</f>
        <v>2210700.2417301852</v>
      </c>
      <c r="D43" s="71" t="s">
        <v>60</v>
      </c>
      <c r="E43" s="23"/>
      <c r="F43" s="30">
        <f t="shared" ref="F43:F44" si="11">C43*0.4</f>
        <v>884280.09669207409</v>
      </c>
      <c r="G43" s="8">
        <f t="shared" ref="G43:G44" si="12">C43*0.6</f>
        <v>1326420.1450381111</v>
      </c>
      <c r="J43" s="11"/>
    </row>
    <row r="44" spans="2:10" x14ac:dyDescent="0.25">
      <c r="B44" t="s">
        <v>58</v>
      </c>
      <c r="C44" s="34">
        <f>'[1]Orçam Resumo'!$E$146*0.3+'[1]Orçam Resumo'!$E$161*0.4</f>
        <v>6646824.6689766562</v>
      </c>
      <c r="D44" s="71" t="s">
        <v>60</v>
      </c>
      <c r="E44" s="23"/>
      <c r="F44" s="30">
        <f t="shared" si="11"/>
        <v>2658729.8675906626</v>
      </c>
      <c r="G44" s="8">
        <f t="shared" si="12"/>
        <v>3988094.8013859936</v>
      </c>
    </row>
    <row r="45" spans="2:10" x14ac:dyDescent="0.25">
      <c r="B45" t="s">
        <v>5</v>
      </c>
      <c r="C45" s="34">
        <f>'[1]Orçam Resumo'!$E$178*0.36</f>
        <v>34012500.148966238</v>
      </c>
      <c r="D45" s="71" t="s">
        <v>60</v>
      </c>
      <c r="E45" s="23"/>
      <c r="F45" s="30">
        <f t="shared" ref="F45" si="13">C45*0.4</f>
        <v>13605000.059586495</v>
      </c>
      <c r="G45" s="8">
        <f t="shared" ref="G45" si="14">C45*0.6</f>
        <v>20407500.089379743</v>
      </c>
    </row>
    <row r="46" spans="2:10" x14ac:dyDescent="0.25">
      <c r="C46" s="20"/>
      <c r="D46" s="71"/>
    </row>
    <row r="47" spans="2:10" x14ac:dyDescent="0.25">
      <c r="B47" t="s">
        <v>2</v>
      </c>
      <c r="C47" s="34">
        <f>'[1]Orçam Resumo'!$E$19</f>
        <v>49743839.70755858</v>
      </c>
      <c r="D47" s="71" t="s">
        <v>60</v>
      </c>
      <c r="F47" s="24"/>
      <c r="G47" s="8">
        <f>C47*0.4</f>
        <v>19897535.883023433</v>
      </c>
      <c r="H47" s="8">
        <f>C47*0.6</f>
        <v>29846303.824535146</v>
      </c>
    </row>
    <row r="48" spans="2:10" x14ac:dyDescent="0.25">
      <c r="B48" t="s">
        <v>3</v>
      </c>
      <c r="C48" s="34">
        <f>'[1]Orçam Resumo'!$E$71</f>
        <v>384075.0091812</v>
      </c>
      <c r="D48" s="71"/>
      <c r="G48" s="12">
        <f>C48</f>
        <v>384075.0091812</v>
      </c>
    </row>
    <row r="49" spans="1:39" x14ac:dyDescent="0.25">
      <c r="B49" t="s">
        <v>54</v>
      </c>
      <c r="C49" s="34">
        <f>'[1]Orçam Resumo'!$E$105</f>
        <v>17088835.403303232</v>
      </c>
      <c r="D49" s="71" t="s">
        <v>56</v>
      </c>
      <c r="F49" s="24"/>
      <c r="G49" s="34">
        <f>C49*0.5</f>
        <v>8544417.701651616</v>
      </c>
      <c r="H49" s="34">
        <f>G49</f>
        <v>8544417.701651616</v>
      </c>
      <c r="I49" s="20"/>
      <c r="J49" s="20"/>
    </row>
    <row r="50" spans="1:39" x14ac:dyDescent="0.25">
      <c r="B50" t="s">
        <v>59</v>
      </c>
      <c r="C50" s="34">
        <f>'[1]Orçam Resumo'!$E$98</f>
        <v>3346153.4368911227</v>
      </c>
      <c r="D50" s="71" t="s">
        <v>55</v>
      </c>
      <c r="F50" s="24"/>
      <c r="G50" s="20"/>
      <c r="H50" s="20"/>
      <c r="I50" s="34">
        <f>C50</f>
        <v>3346153.4368911227</v>
      </c>
      <c r="J50" s="20"/>
    </row>
    <row r="51" spans="1:39" x14ac:dyDescent="0.25">
      <c r="B51" t="s">
        <v>53</v>
      </c>
      <c r="C51" s="34">
        <f>'[1]Orçam Resumo'!$E$112</f>
        <v>230355.0852</v>
      </c>
      <c r="D51" s="71"/>
      <c r="G51" s="34">
        <f>C51*0.5</f>
        <v>115177.5426</v>
      </c>
      <c r="H51" s="35">
        <f>G51</f>
        <v>115177.5426</v>
      </c>
      <c r="I51" s="20"/>
      <c r="J51" s="20"/>
    </row>
    <row r="52" spans="1:39" x14ac:dyDescent="0.25">
      <c r="B52" t="s">
        <v>118</v>
      </c>
      <c r="C52" s="68">
        <f>'[1]Orçam Resumo'!$E$51/51*27</f>
        <v>3510904.7875059997</v>
      </c>
      <c r="D52" s="71"/>
      <c r="F52" s="24"/>
      <c r="G52" s="34">
        <f>C52*0.25</f>
        <v>877726.19687649992</v>
      </c>
      <c r="H52" s="35">
        <f>G52</f>
        <v>877726.19687649992</v>
      </c>
      <c r="I52" s="35">
        <f t="shared" ref="I52:J52" si="15">H52</f>
        <v>877726.19687649992</v>
      </c>
      <c r="J52" s="35">
        <f t="shared" si="15"/>
        <v>877726.19687649992</v>
      </c>
    </row>
    <row r="53" spans="1:39" x14ac:dyDescent="0.25">
      <c r="B53" t="s">
        <v>119</v>
      </c>
      <c r="C53" s="68">
        <f>'[1]Orçam Resumo'!$E$126/21*16</f>
        <v>621878.63839698781</v>
      </c>
      <c r="D53" s="71" t="s">
        <v>57</v>
      </c>
      <c r="G53" s="34">
        <f>C53*0.25</f>
        <v>155469.65959924695</v>
      </c>
      <c r="H53" s="35">
        <f t="shared" ref="H53" si="16">G53</f>
        <v>155469.65959924695</v>
      </c>
      <c r="I53" s="35">
        <f t="shared" ref="I53" si="17">H53</f>
        <v>155469.65959924695</v>
      </c>
      <c r="J53" s="35">
        <f t="shared" ref="J53" si="18">I53</f>
        <v>155469.65959924695</v>
      </c>
    </row>
    <row r="54" spans="1:39" x14ac:dyDescent="0.25">
      <c r="B54" t="s">
        <v>46</v>
      </c>
      <c r="C54" s="69">
        <f>'[1]Orçam Resumo'!$E$43/11*8</f>
        <v>30633829.263139009</v>
      </c>
      <c r="D54" s="71" t="s">
        <v>71</v>
      </c>
      <c r="F54" s="24"/>
      <c r="G54" s="34">
        <f>$C$54*(3/8)</f>
        <v>11487685.973677129</v>
      </c>
      <c r="H54" s="34">
        <f>$C$54*(3/8)</f>
        <v>11487685.973677129</v>
      </c>
      <c r="I54" s="34">
        <f>$C$54*(1/8)</f>
        <v>3829228.6578923762</v>
      </c>
      <c r="J54" s="34">
        <f>$C$54*(1/8)</f>
        <v>3829228.6578923762</v>
      </c>
    </row>
    <row r="55" spans="1:39" x14ac:dyDescent="0.25">
      <c r="B55" t="s">
        <v>50</v>
      </c>
      <c r="C55" s="69">
        <f>0.639*'[1]Orçam Resumo'!$E$148</f>
        <v>96470690.447530776</v>
      </c>
      <c r="D55" s="71" t="s">
        <v>69</v>
      </c>
      <c r="F55" s="24"/>
      <c r="G55" s="34">
        <f>G9/SUM($G$9:$J$9)*$C$55</f>
        <v>39469999.059723958</v>
      </c>
      <c r="H55" s="34">
        <f>H9/SUM($G$9:$J$9)*$C$55</f>
        <v>29971689.948091149</v>
      </c>
      <c r="I55" s="34">
        <f>I9/SUM($G$9:$J$9)*$C$55</f>
        <v>16291298.3737658</v>
      </c>
      <c r="J55" s="34">
        <f>J9/SUM($G$9:$J$9)*$C$55</f>
        <v>10737703.065949863</v>
      </c>
    </row>
    <row r="56" spans="1:39" x14ac:dyDescent="0.25">
      <c r="B56" t="s">
        <v>4</v>
      </c>
      <c r="C56" s="34">
        <f>'[1]Orçam Resumo'!$E$121</f>
        <v>156968.66863231201</v>
      </c>
      <c r="D56" s="72">
        <v>0.25</v>
      </c>
      <c r="G56" s="34">
        <f>C56*0.25</f>
        <v>39242.167158078002</v>
      </c>
      <c r="H56" s="35">
        <f>G56</f>
        <v>39242.167158078002</v>
      </c>
      <c r="I56" s="35">
        <f t="shared" ref="I56:J56" si="19">H56</f>
        <v>39242.167158078002</v>
      </c>
      <c r="J56" s="35">
        <f t="shared" si="19"/>
        <v>39242.167158078002</v>
      </c>
    </row>
    <row r="57" spans="1:39" x14ac:dyDescent="0.25">
      <c r="B57" t="s">
        <v>51</v>
      </c>
      <c r="C57" s="34">
        <f>'[1]Orçam Resumo'!$E$132+'[1]Orçam Resumo'!$E$156*0.8</f>
        <v>12558061.361199038</v>
      </c>
      <c r="D57" s="72">
        <v>0.25</v>
      </c>
      <c r="G57" s="34">
        <f>C57*0.25</f>
        <v>3139515.3402997595</v>
      </c>
      <c r="H57" s="35">
        <f t="shared" ref="H57:J57" si="20">G57</f>
        <v>3139515.3402997595</v>
      </c>
      <c r="I57" s="35">
        <f t="shared" si="20"/>
        <v>3139515.3402997595</v>
      </c>
      <c r="J57" s="35">
        <f t="shared" si="20"/>
        <v>3139515.3402997595</v>
      </c>
    </row>
    <row r="58" spans="1:39" x14ac:dyDescent="0.25">
      <c r="B58" t="s">
        <v>58</v>
      </c>
      <c r="C58" s="34">
        <f>'[1]Orçam Resumo'!$E$146*0.7+'[1]Orçam Resumo'!$E$161*0.6</f>
        <v>10057218.056019984</v>
      </c>
      <c r="D58" s="72">
        <v>0.25</v>
      </c>
      <c r="G58" s="34">
        <f>C58*0.25</f>
        <v>2514304.514004996</v>
      </c>
      <c r="H58" s="35">
        <f t="shared" ref="H58:J58" si="21">G58</f>
        <v>2514304.514004996</v>
      </c>
      <c r="I58" s="35">
        <f t="shared" si="21"/>
        <v>2514304.514004996</v>
      </c>
      <c r="J58" s="35">
        <f t="shared" si="21"/>
        <v>2514304.514004996</v>
      </c>
    </row>
    <row r="59" spans="1:39" x14ac:dyDescent="0.25">
      <c r="B59" t="s">
        <v>5</v>
      </c>
      <c r="C59" s="34">
        <f>'[1]Orçam Resumo'!$E$178*0.64</f>
        <v>60466666.931495532</v>
      </c>
      <c r="D59" s="72">
        <v>0.25</v>
      </c>
      <c r="F59" s="24"/>
      <c r="G59" s="34">
        <f>C59*0.25</f>
        <v>15116666.732873883</v>
      </c>
      <c r="H59" s="35">
        <f t="shared" ref="H59" si="22">G59</f>
        <v>15116666.732873883</v>
      </c>
      <c r="I59" s="35">
        <f t="shared" ref="I59" si="23">H59</f>
        <v>15116666.732873883</v>
      </c>
      <c r="J59" s="35">
        <f t="shared" ref="J59" si="24">I59</f>
        <v>15116666.732873883</v>
      </c>
    </row>
    <row r="60" spans="1:39" x14ac:dyDescent="0.25">
      <c r="D60" s="2"/>
    </row>
    <row r="61" spans="1:39" x14ac:dyDescent="0.25">
      <c r="A61" s="13"/>
      <c r="B61" s="13" t="s">
        <v>47</v>
      </c>
      <c r="C61" s="14">
        <f>SUM(C20:C60)</f>
        <v>623635304.61363399</v>
      </c>
      <c r="D61" s="14"/>
      <c r="E61" s="14">
        <f>SUM(E20:E60)</f>
        <v>8754508.3200000003</v>
      </c>
      <c r="F61" s="45">
        <f t="shared" ref="F61:K61" si="25">SUM(F20:F60)</f>
        <v>79488038.948508024</v>
      </c>
      <c r="G61" s="45">
        <f t="shared" si="25"/>
        <v>233260793.70751834</v>
      </c>
      <c r="H61" s="45">
        <f t="shared" si="25"/>
        <v>131927812.77462588</v>
      </c>
      <c r="I61" s="45">
        <f t="shared" si="25"/>
        <v>71259797.196380526</v>
      </c>
      <c r="J61" s="45">
        <f t="shared" si="25"/>
        <v>55080813.636644304</v>
      </c>
      <c r="K61" s="45">
        <f t="shared" si="25"/>
        <v>16419225.705478875</v>
      </c>
      <c r="L61" s="45">
        <f t="shared" ref="L61" si="26">SUM(L20:L60)</f>
        <v>2938591.7</v>
      </c>
      <c r="M61" s="45">
        <f t="shared" ref="M61" si="27">SUM(M20:M60)</f>
        <v>2686858.94</v>
      </c>
      <c r="N61" s="45">
        <f t="shared" ref="N61:S61" si="28">SUM(N20:N60)</f>
        <v>2424217.58</v>
      </c>
      <c r="O61" s="45">
        <f t="shared" si="28"/>
        <v>1713066.76</v>
      </c>
      <c r="P61" s="45">
        <f t="shared" si="28"/>
        <v>1713066.76</v>
      </c>
      <c r="Q61" s="45">
        <f t="shared" si="28"/>
        <v>888409.38</v>
      </c>
      <c r="R61" s="45">
        <f t="shared" si="28"/>
        <v>625768.02</v>
      </c>
      <c r="S61" s="45">
        <f t="shared" si="28"/>
        <v>625768.02</v>
      </c>
      <c r="T61" s="45">
        <f t="shared" ref="T61:AM61" si="29">SUM(T20:T60)</f>
        <v>625768.02</v>
      </c>
      <c r="U61" s="45">
        <f t="shared" si="29"/>
        <v>888409.38</v>
      </c>
      <c r="V61" s="45">
        <f t="shared" si="29"/>
        <v>625768.02</v>
      </c>
      <c r="W61" s="45">
        <f t="shared" si="29"/>
        <v>625768.02</v>
      </c>
      <c r="X61" s="45">
        <f t="shared" si="29"/>
        <v>625768.02</v>
      </c>
      <c r="Y61" s="45">
        <f t="shared" si="29"/>
        <v>888409.38</v>
      </c>
      <c r="Z61" s="45">
        <f t="shared" si="29"/>
        <v>625768.02</v>
      </c>
      <c r="AA61" s="45">
        <f t="shared" si="29"/>
        <v>625768.02</v>
      </c>
      <c r="AB61" s="45">
        <f t="shared" si="29"/>
        <v>625768.02</v>
      </c>
      <c r="AC61" s="45">
        <f t="shared" si="29"/>
        <v>888409.37677073176</v>
      </c>
      <c r="AD61" s="45">
        <f t="shared" si="29"/>
        <v>625768.01677073177</v>
      </c>
      <c r="AE61" s="45">
        <f t="shared" si="29"/>
        <v>625768.01677073177</v>
      </c>
      <c r="AF61" s="45">
        <f t="shared" si="29"/>
        <v>625768.01677073177</v>
      </c>
      <c r="AG61" s="45">
        <f t="shared" si="29"/>
        <v>888409.37677073176</v>
      </c>
      <c r="AH61" s="45">
        <f t="shared" si="29"/>
        <v>625768.01677073177</v>
      </c>
      <c r="AI61" s="45">
        <f t="shared" si="29"/>
        <v>625768.01677073177</v>
      </c>
      <c r="AJ61" s="45">
        <f t="shared" si="29"/>
        <v>625768.01677073177</v>
      </c>
      <c r="AK61" s="45">
        <f t="shared" si="29"/>
        <v>888409.37677073176</v>
      </c>
      <c r="AL61" s="45">
        <f t="shared" si="29"/>
        <v>625768.01677073177</v>
      </c>
      <c r="AM61" s="45">
        <f t="shared" si="29"/>
        <v>625768.01677073177</v>
      </c>
    </row>
    <row r="62" spans="1:39" x14ac:dyDescent="0.25">
      <c r="B62" s="4" t="s">
        <v>70</v>
      </c>
      <c r="C62" s="33"/>
      <c r="D62" s="33"/>
      <c r="E62" s="55">
        <f>E61/$C$61</f>
        <v>1.403786516772612E-2</v>
      </c>
      <c r="F62" s="55">
        <f t="shared" ref="F62:N62" si="30">F61/$C$61</f>
        <v>0.12745917102585128</v>
      </c>
      <c r="G62" s="55">
        <f t="shared" si="30"/>
        <v>0.3740339778422781</v>
      </c>
      <c r="H62" s="55">
        <f t="shared" si="30"/>
        <v>0.21154641470524224</v>
      </c>
      <c r="I62" s="55">
        <f t="shared" si="30"/>
        <v>0.11426517496556535</v>
      </c>
      <c r="J62" s="55">
        <f t="shared" si="30"/>
        <v>8.832215435713503E-2</v>
      </c>
      <c r="K62" s="55">
        <f t="shared" si="30"/>
        <v>2.6328249193094056E-2</v>
      </c>
      <c r="L62" s="55">
        <f t="shared" si="30"/>
        <v>4.7120355089912214E-3</v>
      </c>
      <c r="M62" s="55">
        <f t="shared" si="30"/>
        <v>4.3083817098273679E-3</v>
      </c>
      <c r="N62" s="55">
        <f t="shared" si="30"/>
        <v>3.8872359567614537E-3</v>
      </c>
      <c r="O62" s="55">
        <f t="shared" ref="O62:S62" si="31">O61/$C$61</f>
        <v>2.746904717110765E-3</v>
      </c>
      <c r="P62" s="55">
        <f t="shared" si="31"/>
        <v>2.746904717110765E-3</v>
      </c>
      <c r="Q62" s="55">
        <f t="shared" si="31"/>
        <v>1.4245655648863621E-3</v>
      </c>
      <c r="R62" s="55">
        <f t="shared" si="31"/>
        <v>1.0034198118204474E-3</v>
      </c>
      <c r="S62" s="55">
        <f t="shared" si="31"/>
        <v>1.0034198118204474E-3</v>
      </c>
      <c r="T62" s="55">
        <f t="shared" ref="T62:AM62" si="32">T61/$C$61</f>
        <v>1.0034198118204474E-3</v>
      </c>
      <c r="U62" s="55">
        <f t="shared" si="32"/>
        <v>1.4245655648863621E-3</v>
      </c>
      <c r="V62" s="55">
        <f t="shared" si="32"/>
        <v>1.0034198118204474E-3</v>
      </c>
      <c r="W62" s="55">
        <f t="shared" si="32"/>
        <v>1.0034198118204474E-3</v>
      </c>
      <c r="X62" s="55">
        <f t="shared" si="32"/>
        <v>1.0034198118204474E-3</v>
      </c>
      <c r="Y62" s="55">
        <f t="shared" si="32"/>
        <v>1.4245655648863621E-3</v>
      </c>
      <c r="Z62" s="55">
        <f t="shared" si="32"/>
        <v>1.0034198118204474E-3</v>
      </c>
      <c r="AA62" s="55">
        <f t="shared" si="32"/>
        <v>1.0034198118204474E-3</v>
      </c>
      <c r="AB62" s="55">
        <f t="shared" si="32"/>
        <v>1.0034198118204474E-3</v>
      </c>
      <c r="AC62" s="55">
        <f t="shared" si="32"/>
        <v>1.4245655597082264E-3</v>
      </c>
      <c r="AD62" s="55">
        <f t="shared" si="32"/>
        <v>1.0034198066423117E-3</v>
      </c>
      <c r="AE62" s="55">
        <f t="shared" si="32"/>
        <v>1.0034198066423117E-3</v>
      </c>
      <c r="AF62" s="55">
        <f t="shared" si="32"/>
        <v>1.0034198066423117E-3</v>
      </c>
      <c r="AG62" s="55">
        <f t="shared" si="32"/>
        <v>1.4245655597082264E-3</v>
      </c>
      <c r="AH62" s="55">
        <f t="shared" si="32"/>
        <v>1.0034198066423117E-3</v>
      </c>
      <c r="AI62" s="55">
        <f t="shared" si="32"/>
        <v>1.0034198066423117E-3</v>
      </c>
      <c r="AJ62" s="55">
        <f t="shared" si="32"/>
        <v>1.0034198066423117E-3</v>
      </c>
      <c r="AK62" s="55">
        <f t="shared" si="32"/>
        <v>1.4245655597082264E-3</v>
      </c>
      <c r="AL62" s="55">
        <f t="shared" si="32"/>
        <v>1.0034198066423117E-3</v>
      </c>
      <c r="AM62" s="55">
        <f t="shared" si="32"/>
        <v>1.0034198066423117E-3</v>
      </c>
    </row>
    <row r="64" spans="1:39" x14ac:dyDescent="0.25">
      <c r="C64" s="11"/>
      <c r="F64" s="57"/>
      <c r="G64" s="58" t="s">
        <v>68</v>
      </c>
    </row>
    <row r="65" spans="2:17" x14ac:dyDescent="0.25">
      <c r="B65" s="25"/>
      <c r="C65" s="11"/>
    </row>
    <row r="66" spans="2:17" x14ac:dyDescent="0.25">
      <c r="C66" s="11"/>
    </row>
    <row r="72" spans="2:17" x14ac:dyDescent="0.25"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4" spans="2:17" x14ac:dyDescent="0.25">
      <c r="E74" s="12"/>
    </row>
    <row r="77" spans="2:17" x14ac:dyDescent="0.25">
      <c r="E77" s="12"/>
    </row>
    <row r="78" spans="2:17" x14ac:dyDescent="0.25">
      <c r="E78" s="12"/>
    </row>
    <row r="81" spans="5:5" x14ac:dyDescent="0.25">
      <c r="E81" s="12"/>
    </row>
    <row r="83" spans="5:5" x14ac:dyDescent="0.25">
      <c r="E83" s="12"/>
    </row>
  </sheetData>
  <mergeCells count="6">
    <mergeCell ref="E13:AM13"/>
    <mergeCell ref="B13:B14"/>
    <mergeCell ref="A13:A14"/>
    <mergeCell ref="C13:C14"/>
    <mergeCell ref="C22:C23"/>
    <mergeCell ref="D13:D14"/>
  </mergeCells>
  <pageMargins left="0.511811024" right="0.511811024" top="0.78740157499999996" bottom="0.78740157499999996" header="0.31496062000000002" footer="0.31496062000000002"/>
  <pageSetup paperSize="9" scale="26" orientation="portrait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hildo</dc:creator>
  <cp:lastModifiedBy>Rodrigo Mendes Xavier</cp:lastModifiedBy>
  <cp:lastPrinted>2024-06-06T14:34:55Z</cp:lastPrinted>
  <dcterms:created xsi:type="dcterms:W3CDTF">2023-09-04T18:56:24Z</dcterms:created>
  <dcterms:modified xsi:type="dcterms:W3CDTF">2024-06-06T14:35:30Z</dcterms:modified>
</cp:coreProperties>
</file>