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Limpeza\Pregão nº 02-2021\Pregão 022021 Republicar\Anexo XII - Planilhas\"/>
    </mc:Choice>
  </mc:AlternateContent>
  <xr:revisionPtr revIDLastSave="0" documentId="13_ncr:1_{801A9189-E4F4-413C-B89C-7AAC9918F9CC}" xr6:coauthVersionLast="46" xr6:coauthVersionMax="46" xr10:uidLastSave="{00000000-0000-0000-0000-000000000000}"/>
  <bookViews>
    <workbookView xWindow="-108" yWindow="-108" windowWidth="23256" windowHeight="12576" activeTab="1" xr2:uid="{8EDB4A93-9541-4B75-B818-B93B6ECD8229}"/>
  </bookViews>
  <sheets>
    <sheet name="1#IDENTIFICAÇÃO" sheetId="1" r:id="rId1"/>
    <sheet name="2#CUSTO POR M²" sheetId="4" r:id="rId2"/>
    <sheet name="3#SERV. LIMP. GRA-GO-TO" sheetId="2" r:id="rId3"/>
    <sheet name="4#SERV. LIMP. SPU-GO" sheetId="9" r:id="rId4"/>
    <sheet name="5#SERV.LIMP.PFN-GO" sheetId="10" r:id="rId5"/>
    <sheet name="6#SERV.. LIMP. PSFN-ANA" sheetId="5" r:id="rId6"/>
    <sheet name="7#SERV. LIMP PSFN-RV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F64" i="4"/>
  <c r="F51" i="4"/>
  <c r="F38" i="4"/>
  <c r="F25" i="4"/>
  <c r="F11" i="4"/>
  <c r="J16" i="1" l="1"/>
  <c r="H130" i="2"/>
  <c r="H107" i="2" a="1"/>
  <c r="H107" i="2" s="1"/>
  <c r="H106" i="2"/>
  <c r="I14" i="1"/>
  <c r="F31" i="1"/>
  <c r="I66" i="4"/>
  <c r="I53" i="4"/>
  <c r="H28" i="6"/>
  <c r="H31" i="1"/>
  <c r="G31" i="1"/>
  <c r="E31" i="1"/>
  <c r="D31" i="1"/>
  <c r="G21" i="9"/>
  <c r="G21" i="2"/>
  <c r="K132" i="1"/>
  <c r="F23" i="4"/>
  <c r="O13" i="4"/>
  <c r="O14" i="4"/>
  <c r="O19" i="4"/>
  <c r="O15" i="4"/>
  <c r="O12" i="4"/>
  <c r="F10" i="4"/>
  <c r="F9" i="4"/>
  <c r="F8" i="4"/>
  <c r="F7" i="4"/>
  <c r="H107" i="10" l="1" a="1"/>
  <c r="H107" i="10" s="1"/>
  <c r="M148" i="1"/>
  <c r="H107" i="9" s="1" a="1"/>
  <c r="H107" i="9" s="1"/>
  <c r="O124" i="1"/>
  <c r="O133" i="1"/>
  <c r="O132" i="1"/>
  <c r="O131" i="1"/>
  <c r="O130" i="1"/>
  <c r="O129" i="1"/>
  <c r="O128" i="1"/>
  <c r="O127" i="1"/>
  <c r="O134" i="1" s="1"/>
  <c r="O126" i="1"/>
  <c r="O125" i="1"/>
  <c r="O123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119" i="1" l="1"/>
  <c r="G120" i="10" l="1"/>
  <c r="G121" i="10" s="1"/>
  <c r="G113" i="10"/>
  <c r="G112" i="10"/>
  <c r="H61" i="10"/>
  <c r="H60" i="10"/>
  <c r="G48" i="10"/>
  <c r="G21" i="10"/>
  <c r="G120" i="9"/>
  <c r="G121" i="9" s="1"/>
  <c r="G113" i="9"/>
  <c r="G112" i="9"/>
  <c r="H61" i="9"/>
  <c r="H60" i="9"/>
  <c r="G48" i="9"/>
  <c r="H28" i="9"/>
  <c r="H34" i="9" s="1"/>
  <c r="O136" i="1"/>
  <c r="H106" i="10" s="1"/>
  <c r="S133" i="1"/>
  <c r="S132" i="1"/>
  <c r="S131" i="1"/>
  <c r="S130" i="1"/>
  <c r="S129" i="1"/>
  <c r="S128" i="1"/>
  <c r="S127" i="1"/>
  <c r="S126" i="1"/>
  <c r="S125" i="1"/>
  <c r="S124" i="1"/>
  <c r="S123" i="1"/>
  <c r="Q123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90" i="1"/>
  <c r="S89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88" i="1"/>
  <c r="Q133" i="1"/>
  <c r="Q132" i="1"/>
  <c r="Q131" i="1"/>
  <c r="Q130" i="1"/>
  <c r="Q129" i="1"/>
  <c r="Q128" i="1"/>
  <c r="Q127" i="1"/>
  <c r="Q126" i="1"/>
  <c r="Q125" i="1"/>
  <c r="Q124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M88" i="1"/>
  <c r="M133" i="1"/>
  <c r="M132" i="1"/>
  <c r="M131" i="1"/>
  <c r="M130" i="1"/>
  <c r="M129" i="1"/>
  <c r="M128" i="1"/>
  <c r="M127" i="1"/>
  <c r="M126" i="1"/>
  <c r="M125" i="1"/>
  <c r="M124" i="1"/>
  <c r="M123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K133" i="1"/>
  <c r="K131" i="1"/>
  <c r="K130" i="1"/>
  <c r="K129" i="1"/>
  <c r="K128" i="1"/>
  <c r="K127" i="1"/>
  <c r="K126" i="1"/>
  <c r="K125" i="1"/>
  <c r="K124" i="1"/>
  <c r="K123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M134" i="1" l="1"/>
  <c r="H28" i="10"/>
  <c r="H34" i="10" s="1"/>
  <c r="Q134" i="1"/>
  <c r="S134" i="1"/>
  <c r="Q119" i="1"/>
  <c r="Q136" i="1" s="1"/>
  <c r="H106" i="5" s="1"/>
  <c r="S119" i="1"/>
  <c r="S136" i="1" s="1"/>
  <c r="H106" i="6" s="1"/>
  <c r="M119" i="1"/>
  <c r="M136" i="1" s="1"/>
  <c r="H106" i="9" s="1"/>
  <c r="G122" i="10"/>
  <c r="G122" i="9"/>
  <c r="H125" i="9"/>
  <c r="H58" i="9"/>
  <c r="H72" i="9"/>
  <c r="H73" i="9"/>
  <c r="H40" i="9"/>
  <c r="H74" i="9"/>
  <c r="H41" i="9"/>
  <c r="H75" i="9"/>
  <c r="H76" i="9"/>
  <c r="K134" i="1"/>
  <c r="K119" i="1"/>
  <c r="H76" i="10" l="1"/>
  <c r="H125" i="10"/>
  <c r="H58" i="10"/>
  <c r="H40" i="10"/>
  <c r="H73" i="10"/>
  <c r="H75" i="10"/>
  <c r="H74" i="10"/>
  <c r="H77" i="10" s="1"/>
  <c r="H127" i="10" s="1"/>
  <c r="H41" i="10"/>
  <c r="H42" i="10" s="1"/>
  <c r="H72" i="10"/>
  <c r="K136" i="1"/>
  <c r="H77" i="9"/>
  <c r="H127" i="9" s="1"/>
  <c r="H42" i="9"/>
  <c r="H65" i="10" l="1"/>
  <c r="H46" i="10"/>
  <c r="H52" i="10"/>
  <c r="H48" i="10"/>
  <c r="H49" i="10"/>
  <c r="H50" i="10"/>
  <c r="H47" i="10"/>
  <c r="H51" i="10"/>
  <c r="H53" i="10"/>
  <c r="H65" i="9"/>
  <c r="H53" i="9"/>
  <c r="H51" i="9"/>
  <c r="H52" i="9"/>
  <c r="H48" i="9"/>
  <c r="H46" i="9"/>
  <c r="H50" i="9"/>
  <c r="H47" i="9"/>
  <c r="H49" i="9"/>
  <c r="H54" i="10" l="1"/>
  <c r="H54" i="9"/>
  <c r="H66" i="10" l="1"/>
  <c r="H83" i="10"/>
  <c r="H84" i="10"/>
  <c r="H87" i="10"/>
  <c r="H85" i="10"/>
  <c r="H86" i="10"/>
  <c r="H66" i="9"/>
  <c r="H87" i="9"/>
  <c r="H83" i="9"/>
  <c r="H85" i="9"/>
  <c r="H86" i="9"/>
  <c r="H84" i="9"/>
  <c r="H89" i="10" l="1"/>
  <c r="H98" i="10" s="1"/>
  <c r="H100" i="10" s="1"/>
  <c r="H128" i="10" s="1"/>
  <c r="H89" i="9"/>
  <c r="H98" i="9" s="1"/>
  <c r="H100" i="9" s="1"/>
  <c r="H128" i="9" s="1"/>
  <c r="G21" i="6" l="1"/>
  <c r="G48" i="6" l="1"/>
  <c r="G48" i="5"/>
  <c r="G48" i="2"/>
  <c r="G113" i="2"/>
  <c r="G113" i="5"/>
  <c r="G113" i="6"/>
  <c r="G112" i="6"/>
  <c r="G112" i="5"/>
  <c r="G112" i="2"/>
  <c r="O27" i="4" l="1"/>
  <c r="S27" i="4"/>
  <c r="C11" i="4"/>
  <c r="G120" i="2"/>
  <c r="G120" i="5"/>
  <c r="G120" i="6"/>
  <c r="O33" i="4"/>
  <c r="H34" i="6"/>
  <c r="H40" i="6" s="1"/>
  <c r="H28" i="5"/>
  <c r="H34" i="5" s="1"/>
  <c r="H28" i="2"/>
  <c r="H34" i="2" s="1"/>
  <c r="U27" i="4" l="1"/>
  <c r="C160" i="1" l="1"/>
  <c r="C159" i="1"/>
  <c r="C158" i="1"/>
  <c r="C157" i="1"/>
  <c r="H58" i="6"/>
  <c r="H125" i="6"/>
  <c r="G121" i="6"/>
  <c r="G122" i="6" s="1"/>
  <c r="H76" i="6"/>
  <c r="H75" i="6"/>
  <c r="H74" i="6"/>
  <c r="H73" i="6"/>
  <c r="H72" i="6"/>
  <c r="H61" i="6"/>
  <c r="H60" i="6"/>
  <c r="H41" i="6"/>
  <c r="H42" i="6" s="1"/>
  <c r="H58" i="5"/>
  <c r="H125" i="5"/>
  <c r="G121" i="5"/>
  <c r="G122" i="5" s="1"/>
  <c r="H76" i="5"/>
  <c r="H75" i="5"/>
  <c r="H74" i="5"/>
  <c r="H73" i="5"/>
  <c r="H72" i="5"/>
  <c r="H61" i="5"/>
  <c r="H60" i="5"/>
  <c r="H41" i="5"/>
  <c r="H40" i="5"/>
  <c r="H125" i="2"/>
  <c r="G121" i="2"/>
  <c r="G122" i="2" s="1"/>
  <c r="H42" i="5" l="1"/>
  <c r="H52" i="5" s="1"/>
  <c r="H77" i="6"/>
  <c r="H127" i="6" s="1"/>
  <c r="H77" i="5"/>
  <c r="H127" i="5" s="1"/>
  <c r="H48" i="6"/>
  <c r="H47" i="6"/>
  <c r="H46" i="6"/>
  <c r="H49" i="6"/>
  <c r="H53" i="6"/>
  <c r="H65" i="6"/>
  <c r="H52" i="6"/>
  <c r="H51" i="6"/>
  <c r="H50" i="6"/>
  <c r="H47" i="5"/>
  <c r="H50" i="5"/>
  <c r="H51" i="5"/>
  <c r="H53" i="5"/>
  <c r="H48" i="5"/>
  <c r="H49" i="5"/>
  <c r="H65" i="5"/>
  <c r="H46" i="5"/>
  <c r="H76" i="2"/>
  <c r="H75" i="2"/>
  <c r="H74" i="2"/>
  <c r="H73" i="2"/>
  <c r="H72" i="2"/>
  <c r="H58" i="2"/>
  <c r="H61" i="2"/>
  <c r="H60" i="2"/>
  <c r="H41" i="2"/>
  <c r="H40" i="2"/>
  <c r="J81" i="1"/>
  <c r="J82" i="1" s="1"/>
  <c r="H105" i="9" l="1"/>
  <c r="H105" i="10"/>
  <c r="H77" i="2"/>
  <c r="H127" i="2" s="1"/>
  <c r="H105" i="2"/>
  <c r="H42" i="2"/>
  <c r="H51" i="2" s="1"/>
  <c r="H105" i="6"/>
  <c r="H105" i="5"/>
  <c r="H54" i="6"/>
  <c r="H54" i="5"/>
  <c r="M147" i="1"/>
  <c r="M146" i="1"/>
  <c r="M145" i="1"/>
  <c r="M144" i="1"/>
  <c r="M143" i="1"/>
  <c r="M142" i="1"/>
  <c r="M141" i="1"/>
  <c r="M140" i="1"/>
  <c r="J75" i="1"/>
  <c r="J74" i="1"/>
  <c r="J73" i="1"/>
  <c r="J72" i="1"/>
  <c r="D57" i="1"/>
  <c r="F57" i="1" s="1"/>
  <c r="H107" i="6" l="1" a="1"/>
  <c r="H107" i="6" s="1"/>
  <c r="H107" i="5" a="1"/>
  <c r="H107" i="5" s="1"/>
  <c r="H53" i="2"/>
  <c r="H48" i="2"/>
  <c r="H50" i="2"/>
  <c r="H47" i="2"/>
  <c r="H65" i="2"/>
  <c r="H46" i="2"/>
  <c r="H49" i="2"/>
  <c r="H52" i="2"/>
  <c r="H66" i="6"/>
  <c r="H85" i="6"/>
  <c r="H87" i="6"/>
  <c r="H86" i="6"/>
  <c r="H84" i="6"/>
  <c r="H83" i="6"/>
  <c r="H66" i="5"/>
  <c r="H85" i="5"/>
  <c r="H84" i="5"/>
  <c r="H83" i="5"/>
  <c r="H87" i="5"/>
  <c r="H86" i="5"/>
  <c r="J76" i="1"/>
  <c r="G57" i="1"/>
  <c r="H59" i="5" l="1"/>
  <c r="H59" i="2"/>
  <c r="H59" i="6"/>
  <c r="H59" i="9"/>
  <c r="H62" i="9" s="1"/>
  <c r="H67" i="9" s="1"/>
  <c r="H68" i="9" s="1"/>
  <c r="H126" i="9" s="1"/>
  <c r="H59" i="10"/>
  <c r="H62" i="10" s="1"/>
  <c r="H67" i="10" s="1"/>
  <c r="H68" i="10" s="1"/>
  <c r="H126" i="10" s="1"/>
  <c r="H104" i="10"/>
  <c r="H108" i="10" s="1"/>
  <c r="H129" i="10" s="1"/>
  <c r="H130" i="10" s="1"/>
  <c r="H104" i="9"/>
  <c r="H108" i="9" s="1"/>
  <c r="H129" i="9" s="1"/>
  <c r="H130" i="9" s="1"/>
  <c r="H54" i="2"/>
  <c r="H66" i="2" s="1"/>
  <c r="H83" i="2"/>
  <c r="H87" i="2"/>
  <c r="H86" i="2"/>
  <c r="H104" i="6"/>
  <c r="H104" i="5"/>
  <c r="H104" i="2"/>
  <c r="H108" i="2" s="1"/>
  <c r="H62" i="6"/>
  <c r="H67" i="6" s="1"/>
  <c r="H68" i="6" s="1"/>
  <c r="H126" i="6" s="1"/>
  <c r="H62" i="5"/>
  <c r="H67" i="5" s="1"/>
  <c r="H68" i="5" s="1"/>
  <c r="H62" i="2"/>
  <c r="H67" i="2" s="1"/>
  <c r="H89" i="5"/>
  <c r="H98" i="5" s="1"/>
  <c r="H100" i="5" s="1"/>
  <c r="H128" i="5" s="1"/>
  <c r="H89" i="6"/>
  <c r="H98" i="6" s="1"/>
  <c r="H100" i="6" s="1"/>
  <c r="H128" i="6" s="1"/>
  <c r="C64" i="4"/>
  <c r="O50" i="4"/>
  <c r="O49" i="4"/>
  <c r="O48" i="4"/>
  <c r="O47" i="4"/>
  <c r="O46" i="4"/>
  <c r="C51" i="4"/>
  <c r="C38" i="4"/>
  <c r="C25" i="4"/>
  <c r="O63" i="4"/>
  <c r="F63" i="4"/>
  <c r="O62" i="4"/>
  <c r="F62" i="4"/>
  <c r="O61" i="4"/>
  <c r="F61" i="4"/>
  <c r="O60" i="4"/>
  <c r="F60" i="4"/>
  <c r="F50" i="4"/>
  <c r="F49" i="4"/>
  <c r="F48" i="4"/>
  <c r="F47" i="4"/>
  <c r="F46" i="4"/>
  <c r="O37" i="4"/>
  <c r="O36" i="4"/>
  <c r="O35" i="4"/>
  <c r="O34" i="4"/>
  <c r="F33" i="4"/>
  <c r="F37" i="4"/>
  <c r="F36" i="4"/>
  <c r="F35" i="4"/>
  <c r="F34" i="4"/>
  <c r="O23" i="4"/>
  <c r="O22" i="4"/>
  <c r="O21" i="4"/>
  <c r="O20" i="4"/>
  <c r="F22" i="4"/>
  <c r="F21" i="4"/>
  <c r="F20" i="4"/>
  <c r="F19" i="4"/>
  <c r="H112" i="9" l="1"/>
  <c r="H113" i="9" s="1"/>
  <c r="H120" i="9" s="1"/>
  <c r="H112" i="10"/>
  <c r="H113" i="10" s="1"/>
  <c r="H117" i="10" s="1"/>
  <c r="H84" i="2"/>
  <c r="H85" i="2"/>
  <c r="H68" i="2"/>
  <c r="H126" i="2" s="1"/>
  <c r="H116" i="9"/>
  <c r="H117" i="9"/>
  <c r="H108" i="6"/>
  <c r="H129" i="6" s="1"/>
  <c r="H130" i="6" s="1"/>
  <c r="H108" i="5"/>
  <c r="H129" i="5" s="1"/>
  <c r="H129" i="2"/>
  <c r="H89" i="2"/>
  <c r="H98" i="2" s="1"/>
  <c r="H100" i="2" s="1"/>
  <c r="H128" i="2" s="1"/>
  <c r="H126" i="5"/>
  <c r="H116" i="10" l="1"/>
  <c r="H120" i="10"/>
  <c r="H122" i="10" s="1"/>
  <c r="H131" i="10" s="1"/>
  <c r="H122" i="9"/>
  <c r="H131" i="9" s="1"/>
  <c r="H132" i="9" s="1"/>
  <c r="O5" i="4" s="1"/>
  <c r="Q23" i="4"/>
  <c r="Q19" i="4"/>
  <c r="Q20" i="4"/>
  <c r="Q21" i="4"/>
  <c r="Q22" i="4"/>
  <c r="H112" i="6"/>
  <c r="H113" i="6" s="1"/>
  <c r="H120" i="6" s="1"/>
  <c r="H112" i="5"/>
  <c r="H113" i="5" s="1"/>
  <c r="H117" i="5" s="1"/>
  <c r="H130" i="5"/>
  <c r="H112" i="2"/>
  <c r="H113" i="2" s="1"/>
  <c r="H120" i="2" s="1"/>
  <c r="H132" i="10" l="1"/>
  <c r="O6" i="4" s="1"/>
  <c r="H116" i="5"/>
  <c r="H117" i="6"/>
  <c r="H120" i="5"/>
  <c r="H116" i="6"/>
  <c r="H117" i="2"/>
  <c r="H116" i="2"/>
  <c r="H122" i="6" l="1"/>
  <c r="H131" i="6" s="1"/>
  <c r="H132" i="6" s="1"/>
  <c r="O8" i="4" s="1"/>
  <c r="H122" i="5"/>
  <c r="H131" i="5" s="1"/>
  <c r="H132" i="5" s="1"/>
  <c r="O7" i="4" s="1"/>
  <c r="H122" i="2"/>
  <c r="H131" i="2" s="1"/>
  <c r="H132" i="2" s="1"/>
  <c r="O4" i="4" s="1"/>
  <c r="Q15" i="4" l="1"/>
  <c r="S15" i="4" s="1"/>
  <c r="G10" i="4" s="1"/>
  <c r="I10" i="4" s="1"/>
  <c r="Q12" i="4"/>
  <c r="S12" i="4" s="1"/>
  <c r="G7" i="4" s="1"/>
  <c r="I7" i="4" s="1"/>
  <c r="Q13" i="4"/>
  <c r="S13" i="4" s="1"/>
  <c r="G8" i="4" s="1"/>
  <c r="I8" i="4" s="1"/>
  <c r="Q14" i="4"/>
  <c r="S14" i="4" s="1"/>
  <c r="G9" i="4" s="1"/>
  <c r="I9" i="4" s="1"/>
  <c r="Q33" i="4"/>
  <c r="S33" i="4" s="1"/>
  <c r="G33" i="4" s="1"/>
  <c r="I33" i="4" s="1"/>
  <c r="Q36" i="4"/>
  <c r="S36" i="4" s="1"/>
  <c r="G36" i="4" s="1"/>
  <c r="I36" i="4" s="1"/>
  <c r="S23" i="4"/>
  <c r="S19" i="4"/>
  <c r="Q37" i="4"/>
  <c r="S37" i="4" s="1"/>
  <c r="G37" i="4" s="1"/>
  <c r="I37" i="4" s="1"/>
  <c r="S20" i="4"/>
  <c r="G20" i="4" s="1"/>
  <c r="I20" i="4" s="1"/>
  <c r="S21" i="4"/>
  <c r="G21" i="4" s="1"/>
  <c r="I21" i="4" s="1"/>
  <c r="W27" i="4"/>
  <c r="X27" i="4" s="1"/>
  <c r="G24" i="4" s="1"/>
  <c r="Q34" i="4"/>
  <c r="S34" i="4" s="1"/>
  <c r="G34" i="4" s="1"/>
  <c r="I34" i="4" s="1"/>
  <c r="S22" i="4"/>
  <c r="G22" i="4" s="1"/>
  <c r="I22" i="4" s="1"/>
  <c r="Q35" i="4"/>
  <c r="S35" i="4" s="1"/>
  <c r="G35" i="4" s="1"/>
  <c r="I35" i="4" s="1"/>
  <c r="I38" i="4" l="1"/>
  <c r="I11" i="4"/>
  <c r="I13" i="4" s="1"/>
  <c r="G19" i="4"/>
  <c r="I19" i="4" s="1"/>
  <c r="G23" i="4"/>
  <c r="I23" i="4" s="1"/>
  <c r="I24" i="4"/>
  <c r="H13" i="1" l="1"/>
  <c r="I40" i="4"/>
  <c r="H11" i="1"/>
  <c r="I25" i="4"/>
  <c r="I27" i="4" s="1"/>
  <c r="I39" i="4"/>
  <c r="Q63" i="4"/>
  <c r="S63" i="4" s="1"/>
  <c r="G63" i="4" s="1"/>
  <c r="I63" i="4" s="1"/>
  <c r="Q61" i="4"/>
  <c r="S61" i="4" s="1"/>
  <c r="G61" i="4" s="1"/>
  <c r="I61" i="4" s="1"/>
  <c r="Q60" i="4"/>
  <c r="S60" i="4" s="1"/>
  <c r="G60" i="4" s="1"/>
  <c r="I60" i="4" s="1"/>
  <c r="Q62" i="4"/>
  <c r="S62" i="4" s="1"/>
  <c r="G62" i="4" s="1"/>
  <c r="I62" i="4" s="1"/>
  <c r="I11" i="1" l="1"/>
  <c r="I13" i="1"/>
  <c r="I12" i="4"/>
  <c r="I26" i="4"/>
  <c r="H12" i="1"/>
  <c r="I64" i="4"/>
  <c r="I12" i="1" l="1"/>
  <c r="I16" i="1" s="1"/>
  <c r="H16" i="1"/>
  <c r="Q50" i="4"/>
  <c r="S50" i="4" s="1"/>
  <c r="G50" i="4" s="1"/>
  <c r="I50" i="4" s="1"/>
  <c r="Q46" i="4"/>
  <c r="S46" i="4" s="1"/>
  <c r="G46" i="4" s="1"/>
  <c r="I46" i="4" s="1"/>
  <c r="Q47" i="4"/>
  <c r="S47" i="4" s="1"/>
  <c r="G47" i="4" s="1"/>
  <c r="I47" i="4" s="1"/>
  <c r="Q49" i="4"/>
  <c r="S49" i="4" s="1"/>
  <c r="G49" i="4" s="1"/>
  <c r="I49" i="4" s="1"/>
  <c r="Q48" i="4"/>
  <c r="S48" i="4" s="1"/>
  <c r="G48" i="4" s="1"/>
  <c r="I48" i="4" s="1"/>
  <c r="I65" i="4"/>
  <c r="H15" i="1"/>
  <c r="I51" i="4" l="1"/>
  <c r="I15" i="1"/>
  <c r="H14" i="1" l="1"/>
  <c r="I52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<sst xmlns="http://schemas.openxmlformats.org/spreadsheetml/2006/main" count="1492" uniqueCount="354">
  <si>
    <t>Telefone:</t>
  </si>
  <si>
    <t>Contato:</t>
  </si>
  <si>
    <t>E-mail:</t>
  </si>
  <si>
    <t>Razão Social:</t>
  </si>
  <si>
    <t>Endereço:</t>
  </si>
  <si>
    <t>UF:</t>
  </si>
  <si>
    <t>CEP:</t>
  </si>
  <si>
    <t>IDENTIFICAÇÃO</t>
  </si>
  <si>
    <t>Qtde/meses</t>
  </si>
  <si>
    <t>Valor Mensal</t>
  </si>
  <si>
    <t>GRUPO 1</t>
  </si>
  <si>
    <t>Postos</t>
  </si>
  <si>
    <t>Nº de Postos</t>
  </si>
  <si>
    <t>VALOR TOTAL GRUPO 1</t>
  </si>
  <si>
    <t>ÁREAS INTERNAS</t>
  </si>
  <si>
    <t xml:space="preserve">Pisos Frios: </t>
  </si>
  <si>
    <t>Almoxarifados/galpões:</t>
  </si>
  <si>
    <t>Banheiros:</t>
  </si>
  <si>
    <t>ÁREAS EXTERNAS</t>
  </si>
  <si>
    <t>Áreas com espaços livres - saguão, hall e salão:</t>
  </si>
  <si>
    <t>Pátios e áreas verdes com baixa frequência:</t>
  </si>
  <si>
    <t xml:space="preserve">ESQUADRIAS EXTERNAS </t>
  </si>
  <si>
    <t xml:space="preserve">Face interna: </t>
  </si>
  <si>
    <t>Produtividade</t>
  </si>
  <si>
    <t>-------</t>
  </si>
  <si>
    <t>GRA/GO-TO</t>
  </si>
  <si>
    <t>PFN/GO</t>
  </si>
  <si>
    <t>PSFN/ANA</t>
  </si>
  <si>
    <t>PSFN/RV</t>
  </si>
  <si>
    <t>SPU/GO</t>
  </si>
  <si>
    <t>ÁREA TOTAL DO ÓRGÃO (M²)</t>
  </si>
  <si>
    <t>Tipo</t>
  </si>
  <si>
    <t xml:space="preserve"> ANEXO  VII D - PLANILHA DE CUSTO E FORMAÇÃO DE PREÇOS </t>
  </si>
  <si>
    <t>Nº  do Processo:</t>
  </si>
  <si>
    <t>Licitação Nº:</t>
  </si>
  <si>
    <t xml:space="preserve">Data: </t>
  </si>
  <si>
    <t>___/___/___ às __:__ horas</t>
  </si>
  <si>
    <t>Empresa/CNPJ:</t>
  </si>
  <si>
    <t>DISCRIMINAÇÃO DOS SERVIÇOS (dados referentes à contratação)</t>
  </si>
  <si>
    <t>A</t>
  </si>
  <si>
    <t>Data da apresentação da proposta (dia/mês/ano):</t>
  </si>
  <si>
    <t>B</t>
  </si>
  <si>
    <t>Município/UF:</t>
  </si>
  <si>
    <t>Goiânia-GO</t>
  </si>
  <si>
    <t>C</t>
  </si>
  <si>
    <t>Ano do Acordo, Convenção ou Dissídio Coletivo:</t>
  </si>
  <si>
    <t>D</t>
  </si>
  <si>
    <t>Número de meses de execução contratual:</t>
  </si>
  <si>
    <t>IDENTIFICAÇÃO DO SERVIÇO</t>
  </si>
  <si>
    <t>Tipo de Serviço</t>
  </si>
  <si>
    <t>Unidade</t>
  </si>
  <si>
    <t xml:space="preserve">Quantidade total a contratar </t>
  </si>
  <si>
    <t>Posto</t>
  </si>
  <si>
    <t>Nota 1: Esta tabela poderá ser adaptada às características do serviço contratado, inclusive no que concerne às rubricas e suas respectivas provisões e/ou estimativas, desde que haja justificativa.
Nota 2: As provisões constantes desta planilha poderão ser desnecessárias quando se tratar de determinados serviços que prescindam da dedicação exclusiva dos trabalhadores da contratada para com a Administração.</t>
  </si>
  <si>
    <t>Mão de obra vinculada a execução contratual</t>
  </si>
  <si>
    <t>Dados para composição dos custos referentes a mão de obra</t>
  </si>
  <si>
    <t>Tipo de serviço</t>
  </si>
  <si>
    <t>Terceirizados</t>
  </si>
  <si>
    <t>Classificação Brasileira de Ocupações (CBO)</t>
  </si>
  <si>
    <t>Salário Normativo da Categora Profissional</t>
  </si>
  <si>
    <t>Categoria Profissional (vinculada à execução contratual)</t>
  </si>
  <si>
    <t>Data-Base da Categoria (dia/mês/ano)</t>
  </si>
  <si>
    <t>Nota 1: Deverá ser elaborado um quadro para cada tipo de serviço.
Nota 2: A planilha será calculada considerando o valor mensal do empregado.</t>
  </si>
  <si>
    <t xml:space="preserve">Módulo 1: Composição da Remuneração </t>
  </si>
  <si>
    <t>Composição da remuneração</t>
  </si>
  <si>
    <t>Valor (R$)</t>
  </si>
  <si>
    <t xml:space="preserve">Salário-Base </t>
  </si>
  <si>
    <r>
      <t xml:space="preserve">Adicional de periculosidade </t>
    </r>
    <r>
      <rPr>
        <i/>
        <sz val="11"/>
        <color rgb="FFFF0000"/>
        <rFont val="Calibri"/>
        <family val="2"/>
      </rPr>
      <t>(salário base*30%)</t>
    </r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</si>
  <si>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</si>
  <si>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</si>
  <si>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</si>
  <si>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</si>
  <si>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</si>
  <si>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</si>
  <si>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Total</t>
  </si>
  <si>
    <t>Nota 1: O Módulo 1 refere-se ao valor mensal devido ao empregado pela prestação do serviço no período de 12 meses.</t>
  </si>
  <si>
    <t xml:space="preserve">Módulo 2: Encargos e Benefícios Anuais, Mensais e Diários </t>
  </si>
  <si>
    <t xml:space="preserve">Submódulo 2.1 - 13º (décimo terceiro) Salário, Férias e Adicional de Férias </t>
  </si>
  <si>
    <t>2.1</t>
  </si>
  <si>
    <t xml:space="preserve">13º (décimo terceiro) Salário, Férias e Adicional de Férias </t>
  </si>
  <si>
    <t>Percentual %</t>
  </si>
  <si>
    <r>
      <t xml:space="preserve">13º (décimo terceiro)  </t>
    </r>
    <r>
      <rPr>
        <i/>
        <sz val="11"/>
        <color rgb="FFFF0000"/>
        <rFont val="Calibri"/>
        <family val="2"/>
        <scheme val="minor"/>
      </rPr>
      <t xml:space="preserve">Obrigatória a cotação de 8,33% sobre o valor do Módulo 1 – Composição da Remuneração, conforme Anexo XII da IN 5/17       </t>
    </r>
    <r>
      <rPr>
        <sz val="11"/>
        <rFont val="Calibri"/>
        <family val="2"/>
        <scheme val="minor"/>
      </rPr>
      <t xml:space="preserve">                                                    </t>
    </r>
  </si>
  <si>
    <r>
      <t xml:space="preserve"> Adicional de Férias    </t>
    </r>
    <r>
      <rPr>
        <i/>
        <sz val="11"/>
        <color rgb="FFFF0000"/>
        <rFont val="Calibri"/>
        <family val="2"/>
        <scheme val="minor"/>
      </rPr>
      <t>Obrigatória a cotação de 3,025% sobre o valor do Módulo 1 – Composição da Remuneração, conforme Anexo XII da IN 5/17 (Férias + Adicional = 9,075% + 3,025% = 12,10%)</t>
    </r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</si>
  <si>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
Nota 2: O adicional de férias contido no Submódulo 2.1 corresponde a 1/3 (um terço) da remuneração que por sua vez é divido por 12 (doze) conforme Nota 1 acima.
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</si>
  <si>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</t>
  </si>
  <si>
    <t>2.2</t>
  </si>
  <si>
    <t>GPS, FGTS e outras contribuições</t>
  </si>
  <si>
    <r>
      <t xml:space="preserve">INSS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</si>
  <si>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Salário Educação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</si>
  <si>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>SAT</t>
    </r>
    <r>
      <rPr>
        <i/>
        <sz val="11"/>
        <color rgb="FFFF0000"/>
        <rFont val="Calibri"/>
        <family val="2"/>
        <scheme val="minor"/>
      </rPr>
      <t xml:space="preserve"> SAT = RAT X FAP (Módulo1 + SubMódulo 2.1)*(Alíquota) </t>
    </r>
  </si>
  <si>
    <t>RAT:</t>
  </si>
  <si>
    <t>FAP:</t>
  </si>
  <si>
    <r>
      <t xml:space="preserve">SESC ou SESI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</si>
  <si>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SENAI - SENAC 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</si>
  <si>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r>
      <t xml:space="preserve">SEBRAE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</si>
  <si>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G</t>
  </si>
  <si>
    <r>
      <t>INCRA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</si>
  <si>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t>H</t>
  </si>
  <si>
    <r>
      <t xml:space="preserve">FGTS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</si>
  <si>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1, o Submódulo 2.1. (Redação dada pela Instrução Normativa nº 7, de 2018)</t>
  </si>
  <si>
    <t xml:space="preserve">Submódulo 2.3 - Benefícios mensais e diários </t>
  </si>
  <si>
    <t xml:space="preserve">2.3 </t>
  </si>
  <si>
    <t xml:space="preserve">Benefícios mensais e diários </t>
  </si>
  <si>
    <r>
      <t>Transporte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[(valor unitário da passagem*22*2)-(Sálário-base*6%)]    (vide memória de cálculo)</t>
    </r>
  </si>
  <si>
    <r>
      <t xml:space="preserve">Auxilio -Refeição/Alimentação </t>
    </r>
    <r>
      <rPr>
        <i/>
        <sz val="11"/>
        <color rgb="FFFF0000"/>
        <rFont val="Calibri"/>
        <family val="2"/>
        <scheme val="minor"/>
      </rPr>
      <t>[(valor unitário*22)-desconto]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</si>
  <si>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Benefício Amparo Familiar </t>
    </r>
    <r>
      <rPr>
        <i/>
        <sz val="11"/>
        <color rgb="FFFF0000"/>
        <rFont val="Calibri"/>
        <family val="2"/>
        <scheme val="minor"/>
      </rPr>
      <t>Conforme CCT (vide memória de cálculo)</t>
    </r>
  </si>
  <si>
    <r>
      <t xml:space="preserve">Seguro de Vida </t>
    </r>
    <r>
      <rPr>
        <i/>
        <sz val="11"/>
        <color rgb="FFFF0000"/>
        <rFont val="Calibri"/>
        <family val="2"/>
        <scheme val="minor"/>
      </rPr>
      <t>Conforme CCT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</si>
  <si>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t xml:space="preserve">Total 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</si>
  <si>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desta Instrução Normativa.</t>
  </si>
  <si>
    <t xml:space="preserve">Quadro-resumo Módulo 2: Encargos e Benefícios Anuais, Mensais e Diários </t>
  </si>
  <si>
    <t xml:space="preserve">Submódulo 2.1 - 13º (décimo terceiro) Salário e Adicional de Férias </t>
  </si>
  <si>
    <t>Módulo 3: Provisão para Rescisão</t>
  </si>
  <si>
    <t>Provisão para Rescisão</t>
  </si>
  <si>
    <r>
      <t xml:space="preserve">Aviso Prévio indenizado </t>
    </r>
    <r>
      <rPr>
        <i/>
        <sz val="11"/>
        <color rgb="FFFF0000"/>
        <rFont val="Calibri"/>
        <family val="2"/>
        <scheme val="minor"/>
      </rPr>
      <t>(Acórdão TCU nº 1.904/2007)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1/12*5,55%=0,46%  (Módulo 1*0,46%)</t>
    </r>
  </si>
  <si>
    <r>
      <t xml:space="preserve">Incidência do FGTS sobre o Aviso Prévio Indenizado </t>
    </r>
    <r>
      <rPr>
        <i/>
        <sz val="11"/>
        <color rgb="FFFF0000"/>
        <rFont val="Calibri"/>
        <family val="2"/>
        <scheme val="minor"/>
      </rPr>
      <t>8%*0,46%=0,04%  (Módulo 1*0,04%)</t>
    </r>
  </si>
  <si>
    <r>
      <t xml:space="preserve">Aviso prévio trabalhado </t>
    </r>
    <r>
      <rPr>
        <i/>
        <sz val="11"/>
        <color rgb="FFFF0000"/>
        <rFont val="Calibri"/>
        <family val="2"/>
        <scheme val="minor"/>
      </rPr>
      <t xml:space="preserve">(Acórdão TCU Plenário nº 1186/2017)     [(1/ 30) x 7]/12=1,94%      (Módulo 1*1,94%) </t>
    </r>
  </si>
  <si>
    <r>
      <t xml:space="preserve">Incidência de GPS, FGTS e outras contribuições sobre o Aviso Prévio Trabalhado </t>
    </r>
    <r>
      <rPr>
        <i/>
        <sz val="11"/>
        <color rgb="FFFF0000"/>
        <rFont val="Calibri"/>
        <family val="2"/>
        <scheme val="minor"/>
      </rPr>
      <t xml:space="preserve">(36,80%*1,94%)=0,71% (Módulo 1*0,71%) </t>
    </r>
    <r>
      <rPr>
        <sz val="11"/>
        <rFont val="Calibri"/>
        <family val="2"/>
        <scheme val="minor"/>
      </rPr>
      <t xml:space="preserve">         </t>
    </r>
  </si>
  <si>
    <r>
      <t xml:space="preserve">Multa do FGTS sobre o Aviso Prévio Trabalhado e sobre o Aviso Prévio Indenizado     </t>
    </r>
    <r>
      <rPr>
        <i/>
        <sz val="11"/>
        <color rgb="FFFF0000"/>
        <rFont val="Calibri"/>
        <family val="2"/>
        <scheme val="minor"/>
      </rPr>
      <t>Obrigatória a cotação de 4% sobre o valor do Módulo 1 – Composição da Remuneração, conforme Anexo XII da IN Seges nº 5/2017, considerada a alteração do art. 1º Lei 13.932/19, que exclui 10% da Contribuição Social</t>
    </r>
  </si>
  <si>
    <t>Módulo 4: Custo de Reposição do Profissional ausente</t>
  </si>
  <si>
    <r>
      <rPr>
        <sz val="11"/>
        <rFont val="Calibri"/>
        <family val="2"/>
        <scheme val="minor"/>
      </rPr>
      <t xml:space="preserve"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 xml:space="preserve">Os percentuais de referência das linhas B a E abaixo foram extraídos da Nota Técnica nº 2/2018/CGAC/CISET/SG-PR, da Secretaria-Geral da Presidência da República.    </t>
    </r>
  </si>
  <si>
    <t>Submódulo 4.1 - Substituto nas Ausências Legais</t>
  </si>
  <si>
    <t>4.1</t>
  </si>
  <si>
    <t>Ausências Legais</t>
  </si>
  <si>
    <r>
      <t>Substituto na cobertura de Férias</t>
    </r>
    <r>
      <rPr>
        <i/>
        <sz val="11"/>
        <color rgb="FFFF0000"/>
        <rFont val="Calibri"/>
        <family val="2"/>
        <scheme val="minor"/>
      </rPr>
      <t xml:space="preserve"> [9,075%*(Módulo 1 + Submódulo 2.1 + Submódulo 2.2 + Submódulo 2.3 (exceto Transporte e Auxílio-alimentação) + Módulo 3)]</t>
    </r>
  </si>
  <si>
    <r>
      <t>Substituto na cobertura de Ausências Legais</t>
    </r>
    <r>
      <rPr>
        <i/>
        <sz val="11"/>
        <color rgb="FFFF0000"/>
        <rFont val="Calibri"/>
        <family val="2"/>
        <scheme val="minor"/>
      </rPr>
      <t xml:space="preserve"> (5,96/365 dias)*100 = 1,63%  [1,63%*(Módulo 1 + Submódulo 2.1 + Submódulo 2.2 + Submódulo 2.3 (exceto Transporte e Auxílio-alimentação) + Módulo 3)]</t>
    </r>
  </si>
  <si>
    <r>
      <t xml:space="preserve">Substituto na cobertura de Licença-Paternidade </t>
    </r>
    <r>
      <rPr>
        <i/>
        <sz val="11"/>
        <color rgb="FFFF0000"/>
        <rFont val="Calibri"/>
        <family val="2"/>
        <scheme val="minor"/>
      </rPr>
      <t xml:space="preserve"> [(5/30)/12]*0,015*100 = 0,02%   [0,02%*(Módulo 1 + Submódulo 2.1 + Submódulo 2.2 + Submódulo 2.3 (exceto Transporte e Auxílio-alimentação) + Módulo 3)]</t>
    </r>
  </si>
  <si>
    <r>
      <t>Substituto na cobertura de Ausência por acidente de trabalho</t>
    </r>
    <r>
      <rPr>
        <i/>
        <sz val="11"/>
        <color rgb="FFFF0000"/>
        <rFont val="Calibri"/>
        <family val="2"/>
        <scheme val="minor"/>
      </rPr>
      <t xml:space="preserve"> [(15/30)/12]*0,08*100 = 0,33%  [0,33%*(Módulo 1 + Submódulo 2.1 + Submódulo 2.2 + Submódulo 2.3 (exceto Transporte e Auxílio-alimentação) + Módulo 3)]</t>
    </r>
  </si>
  <si>
    <r>
      <t xml:space="preserve">Substituto na cobertura de Afastamento Maternidade </t>
    </r>
    <r>
      <rPr>
        <i/>
        <sz val="11"/>
        <color rgb="FFFF0000"/>
        <rFont val="Calibri"/>
        <family val="2"/>
        <scheme val="minor"/>
      </rPr>
      <t>[0,02*(4/12)/12*100] = 0,055%</t>
    </r>
    <r>
      <rPr>
        <sz val="1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>[0,055%*(Módulo 1 + Submódulo 2.1 + Submódulo 2.2 + Submódulo 2.3 (exceto Transporte e Auxílio-alimentação) + Módulo 3)]</t>
    </r>
  </si>
  <si>
    <t>Substituto na cobertura de Outras ausências (especificar)</t>
  </si>
  <si>
    <r>
      <rPr>
        <b/>
        <i/>
        <sz val="11"/>
        <color rgb="FFFF0000"/>
        <rFont val="Calibri"/>
        <family val="2"/>
        <scheme val="minor"/>
      </rPr>
      <t xml:space="preserve">                                                        </t>
    </r>
    <r>
      <rPr>
        <sz val="11"/>
        <rFont val="Calibri"/>
        <family val="2"/>
        <scheme val="minor"/>
      </rPr>
      <t xml:space="preserve">                                                         </t>
    </r>
  </si>
  <si>
    <t>Submódulo 4.2 - Substituto na Intrajornada</t>
  </si>
  <si>
    <t>4.2.</t>
  </si>
  <si>
    <t>Substituto na Intrajornada</t>
  </si>
  <si>
    <t>Substituto na cobertura de Intervalo para repouso ou alimentação</t>
  </si>
  <si>
    <t>Quadro-Resumo do Módulo 4 - Custo de Reposição do Profissional Ausente (Redação dada pela Instrução Normativa nº 7, de 2018)</t>
  </si>
  <si>
    <t>Custo de Reposição do Profissional Ausente</t>
  </si>
  <si>
    <t>Ausências legais</t>
  </si>
  <si>
    <t>Módulo 5 : Insumos Diversos</t>
  </si>
  <si>
    <t xml:space="preserve"> Insumos diversos</t>
  </si>
  <si>
    <r>
      <t xml:space="preserve">Uniformes e EPIs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</si>
  <si>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Máscara de Tecido </t>
    </r>
    <r>
      <rPr>
        <i/>
        <sz val="11"/>
        <color rgb="FFFF0000"/>
        <rFont val="Calibri"/>
        <family val="2"/>
        <scheme val="minor"/>
      </rPr>
      <t>(vide memória de cálculo)</t>
    </r>
  </si>
  <si>
    <t>Nota: Valores mensais por empregado.</t>
  </si>
  <si>
    <t>Módulo 6 : Custos Indiretos, Lucro e Tributos</t>
  </si>
  <si>
    <t>Custos Indiretos, Lucro e Tributos</t>
  </si>
  <si>
    <t>Valor R$</t>
  </si>
  <si>
    <r>
      <t xml:space="preserve">Custos Indiretos  </t>
    </r>
    <r>
      <rPr>
        <i/>
        <sz val="11"/>
        <color rgb="FFFF0000"/>
        <rFont val="Calibri"/>
        <family val="2"/>
      </rPr>
      <t xml:space="preserve"> (somatório dos módulos 1,2,3,4 e 5)*alíquota%</t>
    </r>
  </si>
  <si>
    <r>
      <t xml:space="preserve">Lucro </t>
    </r>
    <r>
      <rPr>
        <i/>
        <sz val="11"/>
        <color rgb="FFFF0000"/>
        <rFont val="Calibri"/>
        <family val="2"/>
      </rPr>
      <t xml:space="preserve"> (somatório dos módulos 1,2,3,4, 5 + CI)*alíquota%</t>
    </r>
  </si>
  <si>
    <t xml:space="preserve">Tributos   </t>
  </si>
  <si>
    <t xml:space="preserve">C.1. Tributos Federais </t>
  </si>
  <si>
    <r>
      <t xml:space="preserve">PIS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</si>
  <si>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r>
      <t>COFINS</t>
    </r>
    <r>
      <rPr>
        <i/>
        <sz val="11"/>
        <color rgb="FFFF0000"/>
        <rFont val="Calibri"/>
        <family val="2"/>
      </rPr>
      <t xml:space="preserve"> (somatório dos módulos 1,2,3,4,5 + CI + Lucro) / (1-%tributos)*alíquota%</t>
    </r>
  </si>
  <si>
    <t xml:space="preserve">C.2  Tributos Estaduais </t>
  </si>
  <si>
    <t>C3. Tributos Municipais</t>
  </si>
  <si>
    <r>
      <t xml:space="preserve">ISS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</si>
  <si>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t>Nota 1: Custos Indiretos, Tributos e Lucro por empregado.
Nota 2: O valor referente a tributos é obtido aplicando-se o percentual sobre o valor do faturamento.</t>
  </si>
  <si>
    <t>2. QUADRO-RESUMO DO CUSTO POR EMPREGADO</t>
  </si>
  <si>
    <t xml:space="preserve">Módulo 1 - Composição da Remuneração 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</si>
  <si>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</si>
  <si>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</si>
  <si>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</si>
  <si>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</si>
  <si>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</t>
  </si>
  <si>
    <t>Módulo 6 - Custos indiretos, Lucro e Tributos (CITL)</t>
  </si>
  <si>
    <t>Valor total do empregado</t>
  </si>
  <si>
    <t>I - CUSTO DE MÃO DE OBRA</t>
  </si>
  <si>
    <t>II - CÁLCULO DO VALOR DO METRO QUADRADO</t>
  </si>
  <si>
    <t>GOIÁS</t>
  </si>
  <si>
    <t>Preço Homem-Mês - GO</t>
  </si>
  <si>
    <t>GRA-GO/TO</t>
  </si>
  <si>
    <t>Mão de Obra</t>
  </si>
  <si>
    <t>Preço Homem-Mês</t>
  </si>
  <si>
    <t>Planilha-Referência</t>
  </si>
  <si>
    <t>Tipo de Área</t>
  </si>
  <si>
    <t>Área Total</t>
  </si>
  <si>
    <t>Valor Por Metro</t>
  </si>
  <si>
    <t>Valor Total Mensal</t>
  </si>
  <si>
    <t>Pisos Frios</t>
  </si>
  <si>
    <t>Almoxarifados/galpões</t>
  </si>
  <si>
    <t>Área Livre: saguão, hall e salão</t>
  </si>
  <si>
    <t>Banheiros</t>
  </si>
  <si>
    <t>Subtotal</t>
  </si>
  <si>
    <t xml:space="preserve">TOTAL: </t>
  </si>
  <si>
    <t>Banheiro</t>
  </si>
  <si>
    <t xml:space="preserve">TOTAL ANUAL: </t>
  </si>
  <si>
    <t>Face interna</t>
  </si>
  <si>
    <t>Anápolis-GO</t>
  </si>
  <si>
    <t>Rio Verde-GO</t>
  </si>
  <si>
    <t>Servente de Limpeza</t>
  </si>
  <si>
    <t>Área livre: saguão, hall e salão</t>
  </si>
  <si>
    <t>SPU-GO</t>
  </si>
  <si>
    <t>PFN-GO</t>
  </si>
  <si>
    <t>PSFN/Rio Verde</t>
  </si>
  <si>
    <t>5143-20</t>
  </si>
  <si>
    <t>Carga Horária</t>
  </si>
  <si>
    <t>Órgão</t>
  </si>
  <si>
    <t>Observação</t>
  </si>
  <si>
    <t>Quantidade de Pessoal / Postos / Salário Básico</t>
  </si>
  <si>
    <t>Valor Salário Base</t>
  </si>
  <si>
    <t>Custo da Passagem</t>
  </si>
  <si>
    <t>Área</t>
  </si>
  <si>
    <t>Vale Transporte</t>
  </si>
  <si>
    <t>Goiânia</t>
  </si>
  <si>
    <t>Anápolis</t>
  </si>
  <si>
    <t>Rio Verde</t>
  </si>
  <si>
    <t>Vale Alimentação / Refeição</t>
  </si>
  <si>
    <t>Valor diário</t>
  </si>
  <si>
    <t>Dias efetivamente trabalhados</t>
  </si>
  <si>
    <t>Percentual para Desconto</t>
  </si>
  <si>
    <t>Valor do Desconto</t>
  </si>
  <si>
    <t>Valor Benefício</t>
  </si>
  <si>
    <t>Custo Efetivo</t>
  </si>
  <si>
    <t>Categoria</t>
  </si>
  <si>
    <t>Desconto</t>
  </si>
  <si>
    <t>Amparo Familiar</t>
  </si>
  <si>
    <t>Cláusula CCT</t>
  </si>
  <si>
    <t>Outros Benefícios</t>
  </si>
  <si>
    <t>Benefício</t>
  </si>
  <si>
    <t>Seguro de Vida</t>
  </si>
  <si>
    <t xml:space="preserve">UNIFORMES e EPIs - COMPOSIÇÃO - VALOR ANUAL </t>
  </si>
  <si>
    <t>Item</t>
  </si>
  <si>
    <t>Quantidade ANUAL</t>
  </si>
  <si>
    <t>Valor Unitario Estimado</t>
  </si>
  <si>
    <t>Valor Total Estimado</t>
  </si>
  <si>
    <t>Meia em algodão, tipo soquete</t>
  </si>
  <si>
    <t>Botina de seguranç, pelo leve, antiderrapante, forma alta, cano curto, três gomos, forro interno resistente à tração e rasgamento, em conformidade com a NR-32.</t>
  </si>
  <si>
    <t>Máscara de tecido para proteção facial individual, lavável e reutilizável. Mínimo de três camadas de tecido</t>
  </si>
  <si>
    <t>Álcool Etílico</t>
  </si>
  <si>
    <t>Un</t>
  </si>
  <si>
    <t>Fr</t>
  </si>
  <si>
    <t>Limpa pedra</t>
  </si>
  <si>
    <t>Luvas de látex natural – tamanho Médio</t>
  </si>
  <si>
    <t>Par</t>
  </si>
  <si>
    <t>Papel higiênico, folha dupla, picotado biodegradável, rolo 64X40 m 100% celulose virgem, branca, alto poder de absorção, classificação classe 1 – abnt nbr 15.464-7/2007 (duetto, qualité ou similar).</t>
  </si>
  <si>
    <t>Sabão em pó tipo detergente biodegradável</t>
  </si>
  <si>
    <t>Sabonete líquido concentrado, ph neutro, perolizado, glicerinado, concentrado, biodegradável</t>
  </si>
  <si>
    <t>Saco plástico preto 40 l c/100</t>
  </si>
  <si>
    <t>Saco plástico preto 60 l c/100</t>
  </si>
  <si>
    <t>Saco plástico preto 100 l c/100</t>
  </si>
  <si>
    <t>Saco plástico branco 60 l c/100</t>
  </si>
  <si>
    <t>Saco plástico branco 100 l c/100</t>
  </si>
  <si>
    <t>Soda cáustica</t>
  </si>
  <si>
    <t>Litro</t>
  </si>
  <si>
    <t>Pacote c/ 8 unid.</t>
  </si>
  <si>
    <t>Quilo</t>
  </si>
  <si>
    <t>Fardo</t>
  </si>
  <si>
    <t>Quantidade</t>
  </si>
  <si>
    <t>MENSAL</t>
  </si>
  <si>
    <t>SEMESTRAL</t>
  </si>
  <si>
    <t>Escova para lavar vaso sanitário</t>
  </si>
  <si>
    <t>Desentupidor para sanitário</t>
  </si>
  <si>
    <t>Vassoura com cerdas de nylon</t>
  </si>
  <si>
    <t>Valor Unitário</t>
  </si>
  <si>
    <t>EQUIPAMENTOS</t>
  </si>
  <si>
    <t>Escada de alumínio tipo avalete c/ 7 degraus</t>
  </si>
  <si>
    <t>Mangueira (30m de comprimento) 3/4</t>
  </si>
  <si>
    <t>Relação Materiais e Equipamentos</t>
  </si>
  <si>
    <t>Custo Mensal por Pessoa</t>
  </si>
  <si>
    <t>Vida Útil (meses)</t>
  </si>
  <si>
    <t>* Quantidade x Valor Unitário, dividido por 6</t>
  </si>
  <si>
    <t>Valor Unitário Estimado</t>
  </si>
  <si>
    <t xml:space="preserve"> PSFN/RIO VERDE</t>
  </si>
  <si>
    <t>SAT (FAP X RAT)</t>
  </si>
  <si>
    <t>Utilizou-se para o cálculo do valor estimado o percentual previsto no Caderno Técnico de Limpeza Goiás 2019</t>
  </si>
  <si>
    <t>INFORMAÇÃO DE PERCENTUAIS ESTIMADOS DE CITL</t>
  </si>
  <si>
    <t>Custos Indiretos</t>
  </si>
  <si>
    <t>Tributos</t>
  </si>
  <si>
    <t>PIS+COFINS+ISS. Alíquotas máximas: 1,65% (PIS) + 7,60% (COFINS) + 5% (ISS) = 14,25%. Os tributos COFINS e PIS foram definidos utilizando o regime de tributação de Lucro REAL, a licitante deve elaborar sua proposta e, por conseguinte, sua planilha com base no regime de tributação ao qual estará submetido durante a execução do contrato. Quanto ao ISS deve ser observada a alíquota de cada município.</t>
  </si>
  <si>
    <t>Palmas-TO</t>
  </si>
  <si>
    <t>Lucro</t>
  </si>
  <si>
    <t>Valor da alíquota do ISS por município</t>
  </si>
  <si>
    <t xml:space="preserve">                                                            Utilizou-se como referência o valor máximo previsto para os serviços de limpeza, conforme doc. SEI nº 13096813 e Caderno Técnico de Limpeza Goiás 2019.</t>
  </si>
  <si>
    <r>
      <t xml:space="preserve">                                                            Utilizou-se como referência o valor máximo previsto para os serviços de limpeza, conforme doc. </t>
    </r>
    <r>
      <rPr>
        <sz val="11"/>
        <rFont val="Calibri"/>
        <family val="2"/>
        <scheme val="minor"/>
      </rPr>
      <t>SEI nº 13096813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 Caderno Técnico de Limpeza Goiás 2019.</t>
    </r>
  </si>
  <si>
    <t>Camiseta malha fria, gola polo, de mangas curtas, com logotipo da empresa, no lado esquerdo, cor cinza.</t>
  </si>
  <si>
    <t>Calça comprida cós alto, com elástico e cordão, tecido gabardine com elastano, cor preta.</t>
  </si>
  <si>
    <t>Álcool gel  - 70%</t>
  </si>
  <si>
    <t>Pá para lixo coletora com cabo longo</t>
  </si>
  <si>
    <t>Água sanitária, à base de Cloro, teor cloro ativo variando de 2 a 2,5% (K-boa ou similar)</t>
  </si>
  <si>
    <t>Aromatizante concentrado - Limpador de Superfícies (Ajax, Veja ou similar)</t>
  </si>
  <si>
    <t>Desinfetante e germicida concentrado  líquido</t>
  </si>
  <si>
    <t>Detergente biodegradável líquido neutro concentrado (cozinha) (Limpol, Minuano ou similar)</t>
  </si>
  <si>
    <t>Desodorizador ambiental, aerossol, sem CFC, Essências suaves, Lata com 360 ml</t>
  </si>
  <si>
    <t>Detergente desencrustante alcalino para limpeza de gordura</t>
  </si>
  <si>
    <t>Escova de mão, base madeira ou plástico</t>
  </si>
  <si>
    <t>Lã de aço (Bombril, Assolan ou similar)</t>
  </si>
  <si>
    <t>Esponja de fibra sintética dupla face (Scotch Brite ou similar)</t>
  </si>
  <si>
    <t>Flanela 40cmx50cm ou 40cmx60cm</t>
  </si>
  <si>
    <t>Limpador multiuso limpeza pesada, 500ml, 1ª qualidade (Veja ou similar)</t>
  </si>
  <si>
    <t>Limpa vidros, c/proteção contra mancha de chuva</t>
  </si>
  <si>
    <t>Lustra móveis a base de silicone, repelente de umidade e poeira que permita um brilho seco. Embalagem com 200ml</t>
  </si>
  <si>
    <t>Papel Higiênico, folha dupla, 100% celulose virgem, cor branca, premium, macio embalagem com 4 rolos com 30m x 10 cm cada.</t>
  </si>
  <si>
    <t>Pacote c/ 4 unid.</t>
  </si>
  <si>
    <t>Papel toalha entre folha branco de 1ª qualidade 100% celulose virgem, 20x21, 02 dobras, sem odor, gramatura mínima 24 g/m2 (nc papeis, selecto ou similar)</t>
  </si>
  <si>
    <t>Pacote com 1000 folhas</t>
  </si>
  <si>
    <t>Sabão em barra c/glicerina, 200 gramas</t>
  </si>
  <si>
    <t>Saponáceo em pó - 300 grs</t>
  </si>
  <si>
    <t>Balde material plástico reciclado, com alça de metal. 12 ou 15 litros</t>
  </si>
  <si>
    <t>Rodo de borracha dupla reforçado de 60 cm</t>
  </si>
  <si>
    <t>Rodo de mão de 25 cm para limpeza de vidros (rodo dobrável)</t>
  </si>
  <si>
    <t>Vassoura de teto, 2 metros</t>
  </si>
  <si>
    <t>Vassoura de pelo de 60 cm</t>
  </si>
  <si>
    <t>Vassoura de Palha com Cabo</t>
  </si>
  <si>
    <r>
      <t>Carrinho funcional completo – descrição aproximada: conjunto doblô-removível, balde, carro, haste, refil mop, placa de sinalização piso molhado, pá pop, conj. Mop Pó bolsa coleta de lixo, organizadores para acessórios</t>
    </r>
    <r>
      <rPr>
        <sz val="11"/>
        <color rgb="FF000000"/>
        <rFont val="Calibri"/>
        <family val="2"/>
        <scheme val="minor"/>
      </rPr>
      <t xml:space="preserve"> organizadores para acessórios</t>
    </r>
  </si>
  <si>
    <t>Extensão elétrica cabo mínimo 30 metros com tomada dupla</t>
  </si>
  <si>
    <t>Enceradeira industrial 350 mm com as escovas e demais acessórios e insumos necessários ao seu perfeito funcionamento - 220v e insumos necessários para seu perfeito funcionamento.</t>
  </si>
  <si>
    <t>Mangueira com adaptadores para torneira (50m de comprimento) 3/4</t>
  </si>
  <si>
    <t>Lavadora de alta pressão - (MIN. DE 1600 PSI -  MIN. VAZÃO 400L/h - 220W)</t>
  </si>
  <si>
    <t>Pano de Chão - saco de algodão alvejado 50cmx80cm (aproximado)</t>
  </si>
  <si>
    <t>Rodo de borracha dupla reforçado de 40 cm</t>
  </si>
  <si>
    <t>PFN/GO.</t>
  </si>
  <si>
    <t>PSFN/Anápolis.</t>
  </si>
  <si>
    <t>PSFN/Rio Verde.</t>
  </si>
  <si>
    <t>Local</t>
  </si>
  <si>
    <t>Produtividade (A)</t>
  </si>
  <si>
    <t>AxBxC</t>
  </si>
  <si>
    <t>Preço Homem Mês</t>
  </si>
  <si>
    <t>----</t>
  </si>
  <si>
    <t>Pátios e áreas verdes c/ baixa frequência</t>
  </si>
  <si>
    <t>Quantitativo de Postos a Contratar:</t>
  </si>
  <si>
    <t>Face Interna</t>
  </si>
  <si>
    <t>Jorn. de Trab. no mês (horas) (C)</t>
  </si>
  <si>
    <t>Frequencia no mês (hs) (B)</t>
  </si>
  <si>
    <t>Valor Anual</t>
  </si>
  <si>
    <t>CH Semanal</t>
  </si>
  <si>
    <t>44 horas</t>
  </si>
  <si>
    <t>Recomendação de uso para pessoas assintomáticas emitida pela Organização Mundial da Saúde (OMS) em decorrência da pandemia de COVID-19. Poderá haver supressão desse custo a qualquer tempo caso a orientação para uso da máscara seja alterada.</t>
  </si>
  <si>
    <t>Qtde</t>
  </si>
  <si>
    <t>Total Item</t>
  </si>
  <si>
    <t>VALOR TOTAL POR ÓRGÃO</t>
  </si>
  <si>
    <t>VALOR TOTAL POR ÓRGÃO (Valor Semestral/6)</t>
  </si>
  <si>
    <t>TOTAL MATERIAL MENSAL + MATERIAL SEMESTRAL (POR ÓRGÃO)</t>
  </si>
  <si>
    <t>Servente de Limpeza GRA-GO/TO</t>
  </si>
  <si>
    <t>3#Serv. de Limpeza GRA-GO-TO</t>
  </si>
  <si>
    <t>4#Serv. de Limpeza SPU-GO</t>
  </si>
  <si>
    <t>Servente de Limpeza PFN/GO</t>
  </si>
  <si>
    <t>Servente de Limpeza SPU/GO</t>
  </si>
  <si>
    <t>5#Serv. de Limpeza PFN-GO</t>
  </si>
  <si>
    <t>Servente de Limpeza PSFN/ANA</t>
  </si>
  <si>
    <t>Servente de Limpeza PSFN/RV</t>
  </si>
  <si>
    <t>Placas sinalizadoras dobráveis e compactas (sendo 10 c/alerta p/ piso molhado escrito e 5 c/alerta banheiro fora de uso)</t>
  </si>
  <si>
    <r>
      <t xml:space="preserve">Materiais </t>
    </r>
    <r>
      <rPr>
        <sz val="11"/>
        <color rgb="FFFF0000"/>
        <rFont val="Calibri"/>
        <family val="2"/>
        <scheme val="minor"/>
      </rPr>
      <t>(vide memória de cálculo)</t>
    </r>
  </si>
  <si>
    <r>
      <t xml:space="preserve">Equipamentos </t>
    </r>
    <r>
      <rPr>
        <sz val="11"/>
        <color rgb="FFFF0000"/>
        <rFont val="Calibri"/>
        <family val="2"/>
        <scheme val="minor"/>
      </rPr>
      <t>(vide memória de cálculo)</t>
    </r>
  </si>
  <si>
    <t>VALOR TOTAL MENSAL ((Valor total Unitário/60)</t>
  </si>
  <si>
    <t>Salário base de Goiás conforme CCT 2021/2023, Registro no MTE: GO000093/2021.</t>
  </si>
  <si>
    <t>1º/03/2021</t>
  </si>
  <si>
    <t>GOIÁS (Cláusula Décima Terceira da CCT 2021/2023, Registro no MTE)</t>
  </si>
  <si>
    <t>CCT 2021/2023 - NÚMERO DE REGISTRO NO MTE: GO000093/2021</t>
  </si>
  <si>
    <r>
      <t xml:space="preserve">Equipamentos </t>
    </r>
    <r>
      <rPr>
        <sz val="11"/>
        <color rgb="FFFF0000"/>
        <rFont val="Calibri"/>
        <family val="2"/>
        <scheme val="minor"/>
      </rPr>
      <t>(vide memória de cálculo)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(9 postos)</t>
    </r>
  </si>
  <si>
    <r>
      <t xml:space="preserve">Equipamentos </t>
    </r>
    <r>
      <rPr>
        <sz val="11"/>
        <color rgb="FFFF0000"/>
        <rFont val="Calibri"/>
        <family val="2"/>
        <scheme val="minor"/>
      </rPr>
      <t>(vide memória de cálculo)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(2 postos)</t>
    </r>
  </si>
  <si>
    <t>Cláusula Décima Sétima, parágrafo primeiro da CCT 2021/2023, Registro no MTE: GO000093/2021</t>
  </si>
  <si>
    <t>TOTAL 30 MESES:</t>
  </si>
  <si>
    <t>Valor Global (30 meses)</t>
  </si>
  <si>
    <t>Cláusula Décima Oitava da CCT 2021/2023, Registro no MTE: GO000093/2021</t>
  </si>
  <si>
    <t>6#Serv. de Limpeza PSFN-ANA</t>
  </si>
  <si>
    <t>7#Serv. de Limpeza PSFN-RV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</si>
</sst>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R$&quot;\ #,##0.00;[Red]&quot;R$&quot;\ #,##0.00"/>
    <numFmt numFmtId="165" formatCode="_(&quot;R$ &quot;* #,##0.00_);_(&quot;R$ &quot;* \(#,##0.00\);_(&quot;R$ &quot;* &quot;-&quot;??_);_(@_)"/>
    <numFmt numFmtId="166" formatCode="[$-416]d\-mmm;@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\ #,##0.00"/>
    <numFmt numFmtId="170" formatCode="0.000%"/>
    <numFmt numFmtId="171" formatCode="0.000000000"/>
    <numFmt numFmtId="172" formatCode="0.000000"/>
    <numFmt numFmtId="173" formatCode="0;[Red]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color rgb="FFFF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6"/>
        <bgColor rgb="FFBFBFBF"/>
      </patternFill>
    </fill>
    <fill>
      <patternFill patternType="solid">
        <fgColor rgb="FFFFFF00"/>
        <bgColor rgb="FFB4C7E7"/>
      </patternFill>
    </fill>
    <fill>
      <patternFill patternType="solid">
        <fgColor rgb="FF92D050"/>
        <bgColor indexed="64"/>
      </patternFill>
    </fill>
    <fill>
      <patternFill patternType="solid">
        <fgColor rgb="FFDAE3F3"/>
        <bgColor rgb="FFDAE3F3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B4C7E7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2" fillId="0" borderId="0" applyFill="0" applyBorder="0" applyAlignment="0" applyProtection="0"/>
    <xf numFmtId="9" fontId="18" fillId="0" borderId="0" applyFont="0" applyFill="0" applyBorder="0" applyAlignment="0" applyProtection="0"/>
  </cellStyleXfs>
  <cellXfs count="47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vertical="distributed"/>
    </xf>
    <xf numFmtId="0" fontId="0" fillId="0" borderId="1" xfId="0" quotePrefix="1" applyBorder="1" applyAlignment="1">
      <alignment horizontal="center"/>
    </xf>
    <xf numFmtId="4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167" fontId="8" fillId="4" borderId="1" xfId="2" applyNumberFormat="1" applyFont="1" applyFill="1" applyBorder="1" applyAlignment="1" applyProtection="1">
      <alignment horizontal="left" vertical="center"/>
    </xf>
    <xf numFmtId="167" fontId="7" fillId="5" borderId="1" xfId="2" applyNumberFormat="1" applyFont="1" applyFill="1" applyBorder="1" applyAlignment="1" applyProtection="1">
      <alignment horizontal="left" vertical="center"/>
    </xf>
    <xf numFmtId="0" fontId="5" fillId="6" borderId="1" xfId="1" applyFont="1" applyFill="1" applyBorder="1" applyAlignment="1">
      <alignment horizontal="center" vertical="center"/>
    </xf>
    <xf numFmtId="10" fontId="5" fillId="6" borderId="1" xfId="3" applyNumberFormat="1" applyFont="1" applyFill="1" applyBorder="1" applyAlignment="1" applyProtection="1">
      <alignment horizontal="left" vertical="center"/>
    </xf>
    <xf numFmtId="10" fontId="6" fillId="6" borderId="1" xfId="3" applyNumberFormat="1" applyFont="1" applyFill="1" applyBorder="1" applyAlignment="1" applyProtection="1">
      <alignment horizontal="center" vertical="center"/>
    </xf>
    <xf numFmtId="165" fontId="6" fillId="3" borderId="1" xfId="2" applyFont="1" applyFill="1" applyBorder="1" applyAlignment="1" applyProtection="1">
      <alignment horizontal="left" vertical="center"/>
    </xf>
    <xf numFmtId="10" fontId="7" fillId="4" borderId="1" xfId="1" applyNumberFormat="1" applyFont="1" applyFill="1" applyBorder="1" applyAlignment="1">
      <alignment horizontal="center" vertical="center"/>
    </xf>
    <xf numFmtId="167" fontId="7" fillId="4" borderId="1" xfId="2" applyNumberFormat="1" applyFont="1" applyFill="1" applyBorder="1" applyAlignment="1" applyProtection="1">
      <alignment horizontal="left" vertical="center"/>
    </xf>
    <xf numFmtId="10" fontId="6" fillId="3" borderId="1" xfId="3" applyNumberFormat="1" applyFont="1" applyFill="1" applyBorder="1" applyAlignment="1" applyProtection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0" fontId="5" fillId="6" borderId="1" xfId="3" applyNumberFormat="1" applyFont="1" applyFill="1" applyBorder="1" applyAlignment="1" applyProtection="1">
      <alignment horizontal="center" vertical="center"/>
    </xf>
    <xf numFmtId="165" fontId="5" fillId="6" borderId="1" xfId="2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65" fontId="6" fillId="3" borderId="4" xfId="2" applyFont="1" applyFill="1" applyBorder="1" applyAlignment="1" applyProtection="1">
      <alignment horizontal="left" vertical="center"/>
    </xf>
    <xf numFmtId="0" fontId="5" fillId="6" borderId="8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3" xfId="1" applyFont="1" applyFill="1" applyBorder="1" applyAlignment="1">
      <alignment vertical="center"/>
    </xf>
    <xf numFmtId="10" fontId="6" fillId="3" borderId="1" xfId="3" applyNumberFormat="1" applyFont="1" applyFill="1" applyBorder="1" applyAlignment="1">
      <alignment horizontal="center" vertical="center"/>
    </xf>
    <xf numFmtId="165" fontId="6" fillId="3" borderId="1" xfId="5" applyFont="1" applyFill="1" applyBorder="1" applyAlignment="1">
      <alignment horizontal="left" vertical="center"/>
    </xf>
    <xf numFmtId="0" fontId="6" fillId="6" borderId="5" xfId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10" fontId="5" fillId="2" borderId="1" xfId="3" applyNumberFormat="1" applyFont="1" applyFill="1" applyBorder="1" applyAlignment="1" applyProtection="1">
      <alignment horizontal="left" vertical="center"/>
    </xf>
    <xf numFmtId="10" fontId="6" fillId="6" borderId="1" xfId="3" applyNumberFormat="1" applyFont="1" applyFill="1" applyBorder="1" applyAlignment="1">
      <alignment horizontal="center" vertical="center"/>
    </xf>
    <xf numFmtId="165" fontId="6" fillId="6" borderId="1" xfId="2" applyFont="1" applyFill="1" applyBorder="1" applyAlignment="1" applyProtection="1">
      <alignment horizontal="left" vertical="center"/>
    </xf>
    <xf numFmtId="0" fontId="5" fillId="6" borderId="13" xfId="1" applyFont="1" applyFill="1" applyBorder="1" applyAlignment="1">
      <alignment horizontal="center" vertical="center"/>
    </xf>
    <xf numFmtId="165" fontId="5" fillId="2" borderId="1" xfId="2" applyFont="1" applyFill="1" applyBorder="1" applyAlignment="1" applyProtection="1">
      <alignment horizontal="left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165" fontId="5" fillId="6" borderId="1" xfId="2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left" vertical="center"/>
    </xf>
    <xf numFmtId="165" fontId="8" fillId="3" borderId="1" xfId="2" applyFont="1" applyFill="1" applyBorder="1" applyAlignment="1" applyProtection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165" fontId="5" fillId="3" borderId="1" xfId="2" applyFont="1" applyFill="1" applyBorder="1" applyAlignment="1" applyProtection="1">
      <alignment horizontal="left" vertical="center"/>
    </xf>
    <xf numFmtId="165" fontId="5" fillId="8" borderId="1" xfId="2" applyFont="1" applyFill="1" applyBorder="1" applyAlignment="1" applyProtection="1">
      <alignment horizontal="left" vertical="center"/>
    </xf>
    <xf numFmtId="10" fontId="6" fillId="7" borderId="1" xfId="3" applyNumberFormat="1" applyFont="1" applyFill="1" applyBorder="1" applyAlignment="1" applyProtection="1">
      <alignment horizontal="center" vertical="center"/>
    </xf>
    <xf numFmtId="10" fontId="7" fillId="3" borderId="1" xfId="3" applyNumberFormat="1" applyFont="1" applyFill="1" applyBorder="1" applyAlignment="1" applyProtection="1">
      <alignment horizontal="center" vertical="center"/>
    </xf>
    <xf numFmtId="170" fontId="6" fillId="6" borderId="1" xfId="3" applyNumberFormat="1" applyFont="1" applyFill="1" applyBorder="1" applyAlignment="1" applyProtection="1">
      <alignment horizontal="center" vertical="center"/>
    </xf>
    <xf numFmtId="0" fontId="6" fillId="3" borderId="4" xfId="1" applyFont="1" applyFill="1" applyBorder="1" applyAlignment="1">
      <alignment horizontal="left" vertical="center"/>
    </xf>
    <xf numFmtId="165" fontId="6" fillId="6" borderId="1" xfId="5" applyFont="1" applyFill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6" fillId="6" borderId="1" xfId="1" applyFont="1" applyFill="1" applyBorder="1" applyAlignment="1">
      <alignment vertical="center"/>
    </xf>
    <xf numFmtId="0" fontId="6" fillId="6" borderId="1" xfId="1" applyFont="1" applyFill="1" applyBorder="1" applyAlignment="1">
      <alignment vertical="center" wrapText="1"/>
    </xf>
    <xf numFmtId="165" fontId="5" fillId="2" borderId="4" xfId="2" applyFont="1" applyFill="1" applyBorder="1" applyAlignment="1" applyProtection="1">
      <alignment horizontal="left" vertical="center"/>
    </xf>
    <xf numFmtId="165" fontId="6" fillId="2" borderId="1" xfId="5" applyFont="1" applyFill="1" applyBorder="1" applyAlignment="1">
      <alignment horizontal="left" vertical="center"/>
    </xf>
    <xf numFmtId="10" fontId="5" fillId="2" borderId="1" xfId="1" applyNumberFormat="1" applyFont="1" applyFill="1" applyBorder="1" applyAlignment="1">
      <alignment horizontal="center" vertical="center"/>
    </xf>
    <xf numFmtId="165" fontId="7" fillId="2" borderId="1" xfId="2" applyFont="1" applyFill="1" applyBorder="1" applyAlignment="1" applyProtection="1">
      <alignment horizontal="left" vertical="center"/>
    </xf>
    <xf numFmtId="0" fontId="6" fillId="6" borderId="2" xfId="1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0" fontId="6" fillId="6" borderId="11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top"/>
    </xf>
    <xf numFmtId="165" fontId="6" fillId="7" borderId="4" xfId="2" applyFont="1" applyFill="1" applyBorder="1" applyAlignment="1" applyProtection="1">
      <alignment horizontal="left" vertical="center"/>
    </xf>
    <xf numFmtId="10" fontId="8" fillId="7" borderId="1" xfId="3" applyNumberFormat="1" applyFont="1" applyFill="1" applyBorder="1" applyAlignment="1" applyProtection="1">
      <alignment horizontal="center" vertical="center"/>
    </xf>
    <xf numFmtId="165" fontId="6" fillId="7" borderId="1" xfId="2" applyFont="1" applyFill="1" applyBorder="1" applyAlignment="1" applyProtection="1">
      <alignment horizontal="left" vertical="center"/>
    </xf>
    <xf numFmtId="167" fontId="8" fillId="9" borderId="1" xfId="2" applyNumberFormat="1" applyFont="1" applyFill="1" applyBorder="1" applyAlignment="1" applyProtection="1">
      <alignment horizontal="left" vertical="center"/>
    </xf>
    <xf numFmtId="10" fontId="8" fillId="7" borderId="1" xfId="1" applyNumberFormat="1" applyFont="1" applyFill="1" applyBorder="1" applyAlignment="1">
      <alignment horizontal="center" vertical="center"/>
    </xf>
    <xf numFmtId="167" fontId="8" fillId="10" borderId="1" xfId="2" applyNumberFormat="1" applyFont="1" applyFill="1" applyBorder="1" applyAlignment="1" applyProtection="1">
      <alignment horizontal="left" vertical="center"/>
    </xf>
    <xf numFmtId="170" fontId="6" fillId="7" borderId="1" xfId="3" applyNumberFormat="1" applyFont="1" applyFill="1" applyBorder="1" applyAlignment="1" applyProtection="1">
      <alignment horizontal="center" vertical="center"/>
    </xf>
    <xf numFmtId="169" fontId="0" fillId="0" borderId="1" xfId="0" applyNumberFormat="1" applyBorder="1" applyAlignment="1">
      <alignment horizont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0" fillId="11" borderId="4" xfId="0" applyFill="1" applyBorder="1" applyAlignment="1"/>
    <xf numFmtId="165" fontId="8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165" fontId="8" fillId="0" borderId="0" xfId="2" applyFont="1" applyFill="1" applyBorder="1" applyAlignment="1" applyProtection="1">
      <alignment vertical="center"/>
    </xf>
    <xf numFmtId="0" fontId="0" fillId="0" borderId="0" xfId="0"/>
    <xf numFmtId="165" fontId="8" fillId="3" borderId="1" xfId="1" applyNumberFormat="1" applyFont="1" applyFill="1" applyBorder="1" applyAlignment="1">
      <alignment horizontal="left" vertical="center"/>
    </xf>
    <xf numFmtId="165" fontId="8" fillId="3" borderId="1" xfId="2" applyFont="1" applyFill="1" applyBorder="1" applyAlignment="1" applyProtection="1">
      <alignment horizontal="left" vertical="center"/>
    </xf>
    <xf numFmtId="165" fontId="6" fillId="3" borderId="1" xfId="2" applyFont="1" applyFill="1" applyBorder="1" applyAlignment="1" applyProtection="1">
      <alignment horizontal="left" vertical="center"/>
    </xf>
    <xf numFmtId="165" fontId="6" fillId="7" borderId="4" xfId="2" applyFont="1" applyFill="1" applyBorder="1" applyAlignment="1" applyProtection="1">
      <alignment horizontal="left" vertical="center"/>
    </xf>
    <xf numFmtId="165" fontId="6" fillId="6" borderId="1" xfId="5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4" fontId="0" fillId="0" borderId="0" xfId="0" applyNumberFormat="1" applyBorder="1"/>
    <xf numFmtId="2" fontId="0" fillId="0" borderId="0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69" fontId="0" fillId="0" borderId="1" xfId="0" applyNumberFormat="1" applyFill="1" applyBorder="1"/>
    <xf numFmtId="169" fontId="0" fillId="0" borderId="1" xfId="0" applyNumberFormat="1" applyFill="1" applyBorder="1" applyAlignment="1"/>
    <xf numFmtId="10" fontId="0" fillId="0" borderId="0" xfId="0" applyNumberFormat="1"/>
    <xf numFmtId="169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distributed"/>
    </xf>
    <xf numFmtId="2" fontId="0" fillId="0" borderId="0" xfId="0" applyNumberFormat="1" applyFill="1" applyBorder="1"/>
    <xf numFmtId="0" fontId="0" fillId="0" borderId="0" xfId="0" quotePrefix="1" applyFill="1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/>
    <xf numFmtId="0" fontId="0" fillId="0" borderId="13" xfId="0" applyBorder="1" applyAlignment="1">
      <alignment horizontal="center"/>
    </xf>
    <xf numFmtId="169" fontId="0" fillId="0" borderId="0" xfId="0" applyNumberFormat="1" applyBorder="1"/>
    <xf numFmtId="165" fontId="6" fillId="3" borderId="0" xfId="2" applyFont="1" applyFill="1" applyBorder="1" applyAlignment="1" applyProtection="1">
      <alignment horizontal="left" vertical="center"/>
    </xf>
    <xf numFmtId="165" fontId="5" fillId="6" borderId="0" xfId="2" applyFont="1" applyFill="1" applyBorder="1" applyAlignment="1" applyProtection="1">
      <alignment horizontal="left" vertical="center"/>
    </xf>
    <xf numFmtId="165" fontId="5" fillId="3" borderId="0" xfId="2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6" fillId="0" borderId="1" xfId="7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distributed"/>
    </xf>
    <xf numFmtId="169" fontId="0" fillId="0" borderId="1" xfId="0" applyNumberFormat="1" applyBorder="1" applyAlignment="1"/>
    <xf numFmtId="0" fontId="2" fillId="19" borderId="1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6" fillId="19" borderId="1" xfId="1" applyFont="1" applyFill="1" applyBorder="1" applyAlignment="1">
      <alignment vertical="center"/>
    </xf>
    <xf numFmtId="3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173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2" fontId="0" fillId="0" borderId="1" xfId="0" quotePrefix="1" applyNumberFormat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65" fontId="5" fillId="0" borderId="0" xfId="2" applyFont="1" applyFill="1" applyBorder="1" applyAlignment="1" applyProtection="1">
      <alignment horizontal="left" vertical="center"/>
    </xf>
    <xf numFmtId="0" fontId="7" fillId="0" borderId="0" xfId="1" applyFont="1" applyFill="1" applyBorder="1" applyAlignment="1">
      <alignment vertical="center"/>
    </xf>
    <xf numFmtId="165" fontId="16" fillId="0" borderId="0" xfId="0" applyNumberFormat="1" applyFont="1" applyFill="1" applyBorder="1" applyAlignment="1"/>
    <xf numFmtId="43" fontId="16" fillId="0" borderId="0" xfId="0" applyNumberFormat="1" applyFont="1" applyFill="1" applyBorder="1" applyAlignment="1"/>
    <xf numFmtId="0" fontId="16" fillId="20" borderId="1" xfId="0" applyFont="1" applyFill="1" applyBorder="1" applyAlignment="1"/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16" borderId="1" xfId="0" applyFont="1" applyFill="1" applyBorder="1" applyAlignment="1">
      <alignment horizontal="left"/>
    </xf>
    <xf numFmtId="169" fontId="0" fillId="0" borderId="1" xfId="0" applyNumberFormat="1" applyBorder="1" applyAlignment="1">
      <alignment horizontal="center"/>
    </xf>
    <xf numFmtId="0" fontId="17" fillId="12" borderId="18" xfId="0" applyFont="1" applyFill="1" applyBorder="1" applyAlignment="1">
      <alignment horizontal="left"/>
    </xf>
    <xf numFmtId="0" fontId="17" fillId="12" borderId="19" xfId="0" applyFont="1" applyFill="1" applyBorder="1" applyAlignment="1">
      <alignment horizontal="left"/>
    </xf>
    <xf numFmtId="0" fontId="17" fillId="12" borderId="20" xfId="0" applyFont="1" applyFill="1" applyBorder="1" applyAlignment="1">
      <alignment horizontal="left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164" fontId="0" fillId="0" borderId="2" xfId="0" applyNumberFormat="1" applyBorder="1" applyAlignment="1"/>
    <xf numFmtId="164" fontId="0" fillId="0" borderId="1" xfId="0" applyNumberFormat="1" applyBorder="1" applyAlignment="1"/>
    <xf numFmtId="164" fontId="0" fillId="0" borderId="1" xfId="0" applyNumberFormat="1" applyFill="1" applyBorder="1" applyAlignment="1"/>
    <xf numFmtId="164" fontId="0" fillId="0" borderId="7" xfId="0" applyNumberFormat="1" applyBorder="1" applyAlignment="1"/>
    <xf numFmtId="0" fontId="0" fillId="0" borderId="0" xfId="0" applyBorder="1" applyAlignment="1">
      <alignment horizontal="center" vertical="justify"/>
    </xf>
    <xf numFmtId="164" fontId="0" fillId="0" borderId="13" xfId="0" applyNumberFormat="1" applyBorder="1" applyAlignment="1">
      <alignment horizontal="center"/>
    </xf>
    <xf numFmtId="164" fontId="0" fillId="0" borderId="0" xfId="0" applyNumberFormat="1" applyBorder="1" applyAlignment="1"/>
    <xf numFmtId="0" fontId="0" fillId="21" borderId="13" xfId="0" applyFill="1" applyBorder="1" applyAlignment="1">
      <alignment horizontal="center"/>
    </xf>
    <xf numFmtId="164" fontId="0" fillId="21" borderId="13" xfId="0" applyNumberForma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164" fontId="0" fillId="21" borderId="1" xfId="0" applyNumberFormat="1" applyFill="1" applyBorder="1" applyAlignment="1">
      <alignment horizontal="center"/>
    </xf>
    <xf numFmtId="164" fontId="0" fillId="21" borderId="1" xfId="0" applyNumberFormat="1" applyFill="1" applyBorder="1" applyAlignment="1"/>
    <xf numFmtId="0" fontId="0" fillId="21" borderId="1" xfId="0" applyFill="1" applyBorder="1" applyAlignment="1"/>
    <xf numFmtId="0" fontId="0" fillId="21" borderId="1" xfId="0" applyFill="1" applyBorder="1"/>
    <xf numFmtId="164" fontId="0" fillId="21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/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13" xfId="0" applyFont="1" applyBorder="1"/>
    <xf numFmtId="0" fontId="0" fillId="0" borderId="14" xfId="0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9" fontId="0" fillId="0" borderId="0" xfId="0" applyNumberFormat="1" applyFill="1" applyBorder="1" applyAlignment="1"/>
    <xf numFmtId="0" fontId="2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/>
    <xf numFmtId="171" fontId="0" fillId="0" borderId="0" xfId="0" applyNumberFormat="1" applyFill="1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justify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justify"/>
    </xf>
    <xf numFmtId="0" fontId="0" fillId="21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3" xfId="0" applyBorder="1" applyAlignment="1">
      <alignment horizontal="center" vertical="justify"/>
    </xf>
    <xf numFmtId="0" fontId="0" fillId="0" borderId="1" xfId="0" applyFill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justify"/>
    </xf>
    <xf numFmtId="0" fontId="0" fillId="0" borderId="3" xfId="0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3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1" fillId="18" borderId="2" xfId="0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9" fontId="0" fillId="0" borderId="6" xfId="0" applyNumberFormat="1" applyBorder="1" applyAlignment="1">
      <alignment horizontal="center" vertical="center"/>
    </xf>
    <xf numFmtId="169" fontId="0" fillId="0" borderId="27" xfId="0" applyNumberFormat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169" fontId="0" fillId="0" borderId="26" xfId="0" applyNumberFormat="1" applyBorder="1" applyAlignment="1">
      <alignment horizontal="center" vertical="center"/>
    </xf>
    <xf numFmtId="169" fontId="0" fillId="0" borderId="7" xfId="0" applyNumberFormat="1" applyBorder="1" applyAlignment="1">
      <alignment horizontal="center" vertical="center"/>
    </xf>
    <xf numFmtId="169" fontId="0" fillId="0" borderId="8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9" fontId="0" fillId="0" borderId="2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49" fontId="24" fillId="19" borderId="2" xfId="0" applyNumberFormat="1" applyFont="1" applyFill="1" applyBorder="1" applyAlignment="1">
      <alignment horizontal="center"/>
    </xf>
    <xf numFmtId="49" fontId="24" fillId="19" borderId="4" xfId="0" applyNumberFormat="1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0" fillId="0" borderId="4" xfId="0" applyNumberForma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171" fontId="0" fillId="0" borderId="4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9" fontId="0" fillId="11" borderId="2" xfId="0" applyNumberFormat="1" applyFill="1" applyBorder="1" applyAlignment="1">
      <alignment horizontal="center"/>
    </xf>
    <xf numFmtId="169" fontId="0" fillId="11" borderId="4" xfId="0" applyNumberFormat="1" applyFill="1" applyBorder="1" applyAlignment="1">
      <alignment horizontal="center"/>
    </xf>
    <xf numFmtId="169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17" fillId="16" borderId="1" xfId="0" applyFont="1" applyFill="1" applyBorder="1" applyAlignment="1">
      <alignment horizontal="left"/>
    </xf>
    <xf numFmtId="169" fontId="0" fillId="0" borderId="1" xfId="0" applyNumberFormat="1" applyBorder="1" applyAlignment="1">
      <alignment horizontal="center"/>
    </xf>
    <xf numFmtId="0" fontId="17" fillId="16" borderId="1" xfId="0" applyFont="1" applyFill="1" applyBorder="1" applyAlignment="1">
      <alignment horizontal="justify" vertical="justify"/>
    </xf>
    <xf numFmtId="0" fontId="16" fillId="13" borderId="16" xfId="0" applyFont="1" applyFill="1" applyBorder="1" applyAlignment="1">
      <alignment horizontal="center" vertical="center"/>
    </xf>
    <xf numFmtId="0" fontId="16" fillId="13" borderId="15" xfId="0" applyFont="1" applyFill="1" applyBorder="1" applyAlignment="1">
      <alignment horizontal="center" vertical="center"/>
    </xf>
    <xf numFmtId="0" fontId="16" fillId="13" borderId="23" xfId="0" applyFont="1" applyFill="1" applyBorder="1" applyAlignment="1">
      <alignment horizontal="center" vertical="center"/>
    </xf>
    <xf numFmtId="0" fontId="16" fillId="13" borderId="2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justify"/>
    </xf>
    <xf numFmtId="0" fontId="16" fillId="13" borderId="22" xfId="0" applyFont="1" applyFill="1" applyBorder="1" applyAlignment="1">
      <alignment horizontal="center" vertical="center"/>
    </xf>
    <xf numFmtId="0" fontId="16" fillId="13" borderId="0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left"/>
    </xf>
    <xf numFmtId="0" fontId="17" fillId="16" borderId="4" xfId="0" applyFont="1" applyFill="1" applyBorder="1" applyAlignment="1">
      <alignment horizontal="left"/>
    </xf>
    <xf numFmtId="0" fontId="16" fillId="13" borderId="21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justify"/>
    </xf>
    <xf numFmtId="0" fontId="23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169" fontId="0" fillId="0" borderId="0" xfId="0" applyNumberFormat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3" fillId="19" borderId="2" xfId="0" applyFont="1" applyFill="1" applyBorder="1" applyAlignment="1">
      <alignment horizontal="center"/>
    </xf>
    <xf numFmtId="0" fontId="23" fillId="19" borderId="4" xfId="0" applyFont="1" applyFill="1" applyBorder="1" applyAlignment="1">
      <alignment horizontal="center"/>
    </xf>
    <xf numFmtId="0" fontId="16" fillId="13" borderId="28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justify"/>
    </xf>
    <xf numFmtId="0" fontId="16" fillId="0" borderId="32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12" borderId="23" xfId="0" applyFont="1" applyFill="1" applyBorder="1" applyAlignment="1">
      <alignment horizontal="center"/>
    </xf>
    <xf numFmtId="0" fontId="16" fillId="12" borderId="19" xfId="0" applyFont="1" applyFill="1" applyBorder="1" applyAlignment="1">
      <alignment horizontal="center"/>
    </xf>
    <xf numFmtId="0" fontId="16" fillId="12" borderId="20" xfId="0" applyFont="1" applyFill="1" applyBorder="1" applyAlignment="1">
      <alignment horizontal="center"/>
    </xf>
    <xf numFmtId="169" fontId="17" fillId="14" borderId="2" xfId="0" applyNumberFormat="1" applyFont="1" applyFill="1" applyBorder="1" applyAlignment="1">
      <alignment horizontal="center"/>
    </xf>
    <xf numFmtId="169" fontId="17" fillId="14" borderId="4" xfId="0" applyNumberFormat="1" applyFont="1" applyFill="1" applyBorder="1" applyAlignment="1">
      <alignment horizontal="center"/>
    </xf>
    <xf numFmtId="0" fontId="17" fillId="12" borderId="18" xfId="0" applyFont="1" applyFill="1" applyBorder="1" applyAlignment="1">
      <alignment horizontal="left"/>
    </xf>
    <xf numFmtId="0" fontId="17" fillId="12" borderId="19" xfId="0" applyFont="1" applyFill="1" applyBorder="1" applyAlignment="1">
      <alignment horizontal="left"/>
    </xf>
    <xf numFmtId="0" fontId="17" fillId="12" borderId="20" xfId="0" applyFont="1" applyFill="1" applyBorder="1" applyAlignment="1">
      <alignment horizontal="left"/>
    </xf>
    <xf numFmtId="169" fontId="0" fillId="17" borderId="2" xfId="0" applyNumberFormat="1" applyFill="1" applyBorder="1" applyAlignment="1">
      <alignment horizontal="center"/>
    </xf>
    <xf numFmtId="169" fontId="0" fillId="17" borderId="4" xfId="0" applyNumberFormat="1" applyFill="1" applyBorder="1" applyAlignment="1">
      <alignment horizontal="center"/>
    </xf>
    <xf numFmtId="0" fontId="17" fillId="12" borderId="29" xfId="0" applyFont="1" applyFill="1" applyBorder="1" applyAlignment="1">
      <alignment horizontal="left"/>
    </xf>
    <xf numFmtId="0" fontId="17" fillId="12" borderId="30" xfId="0" applyFont="1" applyFill="1" applyBorder="1" applyAlignment="1">
      <alignment horizontal="left"/>
    </xf>
    <xf numFmtId="0" fontId="17" fillId="12" borderId="31" xfId="0" applyFont="1" applyFill="1" applyBorder="1" applyAlignment="1">
      <alignment horizontal="left"/>
    </xf>
    <xf numFmtId="0" fontId="16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5" borderId="0" xfId="0" applyFill="1" applyAlignment="1">
      <alignment horizontal="center"/>
    </xf>
    <xf numFmtId="169" fontId="0" fillId="15" borderId="2" xfId="0" applyNumberFormat="1" applyFill="1" applyBorder="1" applyAlignment="1">
      <alignment horizontal="center"/>
    </xf>
    <xf numFmtId="169" fontId="0" fillId="15" borderId="4" xfId="0" applyNumberFormat="1" applyFill="1" applyBorder="1" applyAlignment="1">
      <alignment horizontal="center"/>
    </xf>
    <xf numFmtId="0" fontId="6" fillId="6" borderId="2" xfId="1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top"/>
    </xf>
    <xf numFmtId="0" fontId="5" fillId="6" borderId="3" xfId="1" applyFont="1" applyFill="1" applyBorder="1" applyAlignment="1">
      <alignment horizontal="center" vertical="top"/>
    </xf>
    <xf numFmtId="0" fontId="5" fillId="6" borderId="4" xfId="1" applyFont="1" applyFill="1" applyBorder="1" applyAlignment="1">
      <alignment horizontal="center" vertical="top"/>
    </xf>
    <xf numFmtId="0" fontId="5" fillId="6" borderId="2" xfId="1" applyFont="1" applyFill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6" fillId="7" borderId="3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 wrapText="1"/>
    </xf>
    <xf numFmtId="165" fontId="6" fillId="7" borderId="2" xfId="2" applyFont="1" applyFill="1" applyBorder="1" applyAlignment="1" applyProtection="1">
      <alignment horizontal="center" vertical="center"/>
    </xf>
    <xf numFmtId="165" fontId="6" fillId="7" borderId="4" xfId="2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166" fontId="6" fillId="7" borderId="2" xfId="1" applyNumberFormat="1" applyFont="1" applyFill="1" applyBorder="1" applyAlignment="1">
      <alignment horizontal="center" vertical="center"/>
    </xf>
    <xf numFmtId="166" fontId="6" fillId="7" borderId="4" xfId="1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14" fontId="6" fillId="3" borderId="2" xfId="1" applyNumberFormat="1" applyFont="1" applyFill="1" applyBorder="1" applyAlignment="1">
      <alignment horizontal="center" vertical="center"/>
    </xf>
    <xf numFmtId="14" fontId="6" fillId="3" borderId="3" xfId="1" applyNumberFormat="1" applyFont="1" applyFill="1" applyBorder="1" applyAlignment="1">
      <alignment horizontal="center" vertical="center"/>
    </xf>
    <xf numFmtId="14" fontId="6" fillId="3" borderId="4" xfId="1" applyNumberFormat="1" applyFont="1" applyFill="1" applyBorder="1" applyAlignment="1">
      <alignment horizontal="center" vertical="center"/>
    </xf>
    <xf numFmtId="17" fontId="6" fillId="3" borderId="2" xfId="1" applyNumberFormat="1" applyFont="1" applyFill="1" applyBorder="1" applyAlignment="1">
      <alignment horizontal="center" vertical="center"/>
    </xf>
    <xf numFmtId="17" fontId="6" fillId="3" borderId="3" xfId="1" applyNumberFormat="1" applyFont="1" applyFill="1" applyBorder="1" applyAlignment="1">
      <alignment horizontal="center" vertical="center"/>
    </xf>
    <xf numFmtId="17" fontId="6" fillId="3" borderId="4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left" vertical="center" wrapText="1"/>
    </xf>
    <xf numFmtId="0" fontId="8" fillId="6" borderId="2" xfId="1" applyFont="1" applyFill="1" applyBorder="1" applyAlignment="1">
      <alignment horizontal="left" vertical="center"/>
    </xf>
    <xf numFmtId="0" fontId="8" fillId="6" borderId="3" xfId="1" applyFont="1" applyFill="1" applyBorder="1" applyAlignment="1">
      <alignment horizontal="left" vertical="center"/>
    </xf>
    <xf numFmtId="0" fontId="8" fillId="6" borderId="4" xfId="1" applyFont="1" applyFill="1" applyBorder="1" applyAlignment="1">
      <alignment horizontal="left" vertical="center"/>
    </xf>
    <xf numFmtId="0" fontId="7" fillId="6" borderId="2" xfId="1" applyFont="1" applyFill="1" applyBorder="1" applyAlignment="1">
      <alignment horizontal="left" vertical="center"/>
    </xf>
    <xf numFmtId="0" fontId="7" fillId="6" borderId="3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0" fontId="9" fillId="6" borderId="3" xfId="1" applyFont="1" applyFill="1" applyBorder="1" applyAlignment="1">
      <alignment horizontal="left" vertical="center"/>
    </xf>
    <xf numFmtId="0" fontId="9" fillId="6" borderId="4" xfId="1" applyFont="1" applyFill="1" applyBorder="1" applyAlignment="1">
      <alignment horizontal="left" vertical="center"/>
    </xf>
    <xf numFmtId="0" fontId="10" fillId="6" borderId="2" xfId="1" applyFont="1" applyFill="1" applyBorder="1" applyAlignment="1">
      <alignment horizontal="left" vertical="center"/>
    </xf>
    <xf numFmtId="0" fontId="10" fillId="6" borderId="3" xfId="1" applyFont="1" applyFill="1" applyBorder="1" applyAlignment="1">
      <alignment horizontal="left" vertical="center"/>
    </xf>
    <xf numFmtId="0" fontId="10" fillId="6" borderId="4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</cellXfs>
  <cellStyles count="8">
    <cellStyle name="Moeda 2" xfId="2" xr:uid="{08115B60-9D26-4204-9132-95777EB6A319}"/>
    <cellStyle name="Moeda 3" xfId="5" xr:uid="{C28FF1AB-833F-4F82-8F28-24951F85C285}"/>
    <cellStyle name="Normal" xfId="0" builtinId="0"/>
    <cellStyle name="Normal 2" xfId="1" xr:uid="{2CD14D7B-2BA9-43D8-B923-4ED798B97A67}"/>
    <cellStyle name="Porcentagem" xfId="7" builtinId="5"/>
    <cellStyle name="Porcentagem 2" xfId="4" xr:uid="{F52C17A6-C587-48FB-B4BF-F0B6CE2CDE42}"/>
    <cellStyle name="Porcentagem 6" xfId="3" xr:uid="{64784F1C-1539-47A4-8127-81DBA3D3D9C1}"/>
    <cellStyle name="Vírgula 2" xfId="6" xr:uid="{B76D3783-2955-4A70-BCE6-F39B52F40737}"/>
  </cellStyles>
  <dxfs count="0"/>
  <tableStyles count="0" defaultTableStyle="TableStyleMedium2" defaultPivotStyle="PivotStyleLight16"/>
  <colors>
    <mruColors>
      <color rgb="FFFA7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F665-8C08-45BB-ADB2-4062F64994A1}">
  <dimension ref="A1:T168"/>
  <sheetViews>
    <sheetView topLeftCell="A109" workbookViewId="0">
      <selection activeCell="J16" sqref="J16"/>
    </sheetView>
  </sheetViews>
  <sheetFormatPr defaultRowHeight="14.4" x14ac:dyDescent="0.3"/>
  <cols>
    <col min="1" max="1" width="11.21875" bestFit="1" customWidth="1"/>
    <col min="2" max="2" width="10.77734375" customWidth="1"/>
    <col min="3" max="3" width="10.77734375" style="97" customWidth="1"/>
    <col min="4" max="4" width="10.77734375" customWidth="1"/>
    <col min="5" max="5" width="11" customWidth="1"/>
    <col min="6" max="6" width="15.77734375" style="97" customWidth="1"/>
    <col min="7" max="7" width="11.88671875" customWidth="1"/>
    <col min="8" max="8" width="15" customWidth="1"/>
    <col min="9" max="9" width="18.88671875" customWidth="1"/>
    <col min="10" max="10" width="20.109375" customWidth="1"/>
    <col min="11" max="11" width="9.33203125" style="97" customWidth="1"/>
    <col min="12" max="12" width="12.5546875" bestFit="1" customWidth="1"/>
    <col min="13" max="13" width="10.5546875" style="97" bestFit="1" customWidth="1"/>
    <col min="14" max="14" width="14.21875" bestFit="1" customWidth="1"/>
    <col min="15" max="15" width="10.5546875" bestFit="1" customWidth="1"/>
    <col min="16" max="16" width="9.88671875" customWidth="1"/>
    <col min="17" max="17" width="8.88671875" customWidth="1"/>
    <col min="18" max="18" width="11.77734375" customWidth="1"/>
  </cols>
  <sheetData>
    <row r="1" spans="1:15" x14ac:dyDescent="0.3">
      <c r="A1" s="252" t="s">
        <v>7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5" x14ac:dyDescent="0.3">
      <c r="A2" s="1" t="s">
        <v>3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5" x14ac:dyDescent="0.3">
      <c r="A3" s="1" t="s">
        <v>4</v>
      </c>
      <c r="B3" s="261"/>
      <c r="C3" s="261"/>
      <c r="D3" s="261"/>
      <c r="E3" s="261"/>
      <c r="F3" s="261"/>
      <c r="G3" s="261"/>
      <c r="H3" s="230" t="s">
        <v>5</v>
      </c>
      <c r="I3" s="294" t="s">
        <v>6</v>
      </c>
      <c r="J3" s="294"/>
    </row>
    <row r="4" spans="1:15" x14ac:dyDescent="0.3">
      <c r="A4" s="1" t="s">
        <v>0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5" x14ac:dyDescent="0.3">
      <c r="A5" s="1" t="s">
        <v>1</v>
      </c>
      <c r="B5" s="293"/>
      <c r="C5" s="293"/>
      <c r="D5" s="293"/>
      <c r="E5" s="293"/>
      <c r="F5" s="293"/>
      <c r="G5" s="293"/>
      <c r="H5" s="293"/>
      <c r="I5" s="293"/>
      <c r="J5" s="293"/>
    </row>
    <row r="6" spans="1:15" x14ac:dyDescent="0.3">
      <c r="A6" s="1" t="s">
        <v>2</v>
      </c>
      <c r="B6" s="293"/>
      <c r="C6" s="293"/>
      <c r="D6" s="293"/>
      <c r="E6" s="293"/>
      <c r="F6" s="293"/>
      <c r="G6" s="293"/>
      <c r="H6" s="293"/>
      <c r="I6" s="293"/>
      <c r="J6" s="293"/>
    </row>
    <row r="9" spans="1:15" x14ac:dyDescent="0.3">
      <c r="A9" s="252" t="s">
        <v>10</v>
      </c>
      <c r="B9" s="252"/>
      <c r="C9" s="252"/>
      <c r="D9" s="252"/>
      <c r="E9" s="252"/>
      <c r="F9" s="252"/>
      <c r="G9" s="252"/>
      <c r="H9" s="252"/>
      <c r="I9" s="252"/>
      <c r="J9" s="252"/>
      <c r="K9" s="228"/>
      <c r="L9" s="113"/>
      <c r="M9" s="113"/>
    </row>
    <row r="10" spans="1:15" x14ac:dyDescent="0.3">
      <c r="A10" s="3" t="s">
        <v>219</v>
      </c>
      <c r="B10" s="240" t="s">
        <v>311</v>
      </c>
      <c r="C10" s="240"/>
      <c r="D10" s="240"/>
      <c r="E10" s="159" t="s">
        <v>12</v>
      </c>
      <c r="F10" s="159" t="s">
        <v>322</v>
      </c>
      <c r="G10" s="3" t="s">
        <v>8</v>
      </c>
      <c r="H10" s="3" t="s">
        <v>9</v>
      </c>
      <c r="I10" s="154" t="s">
        <v>321</v>
      </c>
      <c r="J10" s="185" t="s">
        <v>350</v>
      </c>
      <c r="K10" s="188"/>
    </row>
    <row r="11" spans="1:15" ht="58.95" customHeight="1" x14ac:dyDescent="0.3">
      <c r="A11" s="2">
        <v>1</v>
      </c>
      <c r="B11" s="258" t="s">
        <v>168</v>
      </c>
      <c r="C11" s="259"/>
      <c r="D11" s="260"/>
      <c r="E11" s="169">
        <v>1</v>
      </c>
      <c r="F11" s="161" t="s">
        <v>323</v>
      </c>
      <c r="G11" s="3">
        <v>30</v>
      </c>
      <c r="H11" s="125">
        <f>'2#CUSTO POR M²'!I11</f>
        <v>3854.5834102864469</v>
      </c>
      <c r="I11" s="4">
        <f>H11*12</f>
        <v>46255.000923437365</v>
      </c>
      <c r="J11" s="4">
        <f>ROUND(G11*H11,2)</f>
        <v>115637.5</v>
      </c>
      <c r="K11" s="147"/>
    </row>
    <row r="12" spans="1:15" ht="58.95" customHeight="1" x14ac:dyDescent="0.3">
      <c r="A12" s="2">
        <v>2</v>
      </c>
      <c r="B12" s="258" t="s">
        <v>29</v>
      </c>
      <c r="C12" s="259"/>
      <c r="D12" s="260"/>
      <c r="E12" s="169">
        <v>2</v>
      </c>
      <c r="F12" s="161" t="s">
        <v>323</v>
      </c>
      <c r="G12" s="3">
        <v>30</v>
      </c>
      <c r="H12" s="125">
        <f>'2#CUSTO POR M²'!I25</f>
        <v>7986.4097937873494</v>
      </c>
      <c r="I12" s="4">
        <f>H12*12</f>
        <v>95836.917525448196</v>
      </c>
      <c r="J12" s="4">
        <f>ROUND(G12*H12,2)</f>
        <v>239592.29</v>
      </c>
      <c r="K12" s="147"/>
    </row>
    <row r="13" spans="1:15" ht="58.95" customHeight="1" x14ac:dyDescent="0.3">
      <c r="A13" s="2">
        <v>3</v>
      </c>
      <c r="B13" s="258" t="s">
        <v>308</v>
      </c>
      <c r="C13" s="259"/>
      <c r="D13" s="260"/>
      <c r="E13" s="169">
        <v>9</v>
      </c>
      <c r="F13" s="161" t="s">
        <v>323</v>
      </c>
      <c r="G13" s="3">
        <v>30</v>
      </c>
      <c r="H13" s="125">
        <f>'2#CUSTO POR M²'!I38</f>
        <v>35000.164520712729</v>
      </c>
      <c r="I13" s="4">
        <f>H13*12</f>
        <v>420001.97424855275</v>
      </c>
      <c r="J13" s="4">
        <f>ROUND(G13*H13,2)</f>
        <v>1050004.94</v>
      </c>
      <c r="K13" s="147"/>
    </row>
    <row r="14" spans="1:15" ht="58.95" customHeight="1" x14ac:dyDescent="0.3">
      <c r="A14" s="2">
        <v>4</v>
      </c>
      <c r="B14" s="258" t="s">
        <v>309</v>
      </c>
      <c r="C14" s="259"/>
      <c r="D14" s="260"/>
      <c r="E14" s="169">
        <v>1</v>
      </c>
      <c r="F14" s="161" t="s">
        <v>323</v>
      </c>
      <c r="G14" s="3">
        <v>30</v>
      </c>
      <c r="H14" s="125">
        <f>'2#CUSTO POR M²'!I51</f>
        <v>4384.3235061187715</v>
      </c>
      <c r="I14" s="4">
        <f>H14*12</f>
        <v>52611.882073425259</v>
      </c>
      <c r="J14" s="4">
        <f>ROUND(G14*H14,2)</f>
        <v>131529.71</v>
      </c>
      <c r="K14" s="147"/>
    </row>
    <row r="15" spans="1:15" ht="58.95" customHeight="1" x14ac:dyDescent="0.3">
      <c r="A15" s="2">
        <v>5</v>
      </c>
      <c r="B15" s="258" t="s">
        <v>310</v>
      </c>
      <c r="C15" s="259"/>
      <c r="D15" s="260"/>
      <c r="E15" s="169">
        <v>1</v>
      </c>
      <c r="F15" s="161" t="s">
        <v>323</v>
      </c>
      <c r="G15" s="3">
        <v>30</v>
      </c>
      <c r="H15" s="125">
        <f>'2#CUSTO POR M²'!I64</f>
        <v>3759.8360445940571</v>
      </c>
      <c r="I15" s="4">
        <f>H15*12</f>
        <v>45118.032535128688</v>
      </c>
      <c r="J15" s="4">
        <f>ROUND(G15*H15,2)</f>
        <v>112795.08</v>
      </c>
      <c r="K15" s="172"/>
    </row>
    <row r="16" spans="1:15" s="9" customFormat="1" ht="22.2" customHeight="1" x14ac:dyDescent="0.3">
      <c r="A16" s="262" t="s">
        <v>13</v>
      </c>
      <c r="B16" s="263"/>
      <c r="C16" s="263"/>
      <c r="D16" s="263"/>
      <c r="E16" s="263"/>
      <c r="F16" s="263"/>
      <c r="G16" s="264"/>
      <c r="H16" s="168">
        <f>ROUND(SUM(H11:H15),2)</f>
        <v>54985.32</v>
      </c>
      <c r="I16" s="168">
        <f>ROUND(SUM(I11:I15),2)</f>
        <v>659823.81000000006</v>
      </c>
      <c r="J16" s="168">
        <f>ROUND(SUM(J11:J15),2)</f>
        <v>1649559.52</v>
      </c>
      <c r="K16" s="172"/>
      <c r="L16" s="172"/>
      <c r="M16" s="172"/>
      <c r="N16" s="184"/>
      <c r="O16" s="184"/>
    </row>
    <row r="17" spans="1:13" x14ac:dyDescent="0.3">
      <c r="A17" s="238"/>
      <c r="B17" s="238"/>
      <c r="C17" s="238"/>
      <c r="D17" s="238"/>
      <c r="E17" s="238"/>
      <c r="F17" s="238"/>
      <c r="G17" s="238"/>
      <c r="H17" s="147"/>
      <c r="I17" s="147"/>
      <c r="K17" s="114"/>
    </row>
    <row r="19" spans="1:13" s="97" customFormat="1" x14ac:dyDescent="0.3"/>
    <row r="20" spans="1:13" s="97" customFormat="1" x14ac:dyDescent="0.3">
      <c r="A20" s="252" t="s">
        <v>199</v>
      </c>
      <c r="B20" s="252"/>
      <c r="C20" s="252"/>
      <c r="D20" s="252"/>
      <c r="E20" s="252"/>
      <c r="F20" s="252"/>
      <c r="G20" s="252"/>
      <c r="H20" s="252"/>
      <c r="J20" s="113"/>
      <c r="K20" s="113"/>
      <c r="L20" s="113"/>
      <c r="M20" s="113"/>
    </row>
    <row r="21" spans="1:13" ht="30" customHeight="1" x14ac:dyDescent="0.3">
      <c r="A21" s="242" t="s">
        <v>31</v>
      </c>
      <c r="B21" s="243"/>
      <c r="C21" s="244"/>
      <c r="D21" s="5" t="s">
        <v>25</v>
      </c>
      <c r="E21" s="5" t="s">
        <v>29</v>
      </c>
      <c r="F21" s="5" t="s">
        <v>26</v>
      </c>
      <c r="G21" s="5" t="s">
        <v>27</v>
      </c>
      <c r="H21" s="5" t="s">
        <v>28</v>
      </c>
      <c r="J21" s="144"/>
      <c r="K21" s="144"/>
      <c r="L21" s="144"/>
      <c r="M21" s="144"/>
    </row>
    <row r="22" spans="1:13" ht="15" customHeight="1" x14ac:dyDescent="0.3">
      <c r="A22" s="271" t="s">
        <v>14</v>
      </c>
      <c r="B22" s="272"/>
      <c r="C22" s="272"/>
      <c r="D22" s="252"/>
      <c r="E22" s="252"/>
      <c r="F22" s="252"/>
      <c r="G22" s="252"/>
      <c r="H22" s="252"/>
      <c r="J22" s="113"/>
      <c r="K22" s="113"/>
      <c r="L22" s="113"/>
      <c r="M22" s="113"/>
    </row>
    <row r="23" spans="1:13" ht="15" customHeight="1" x14ac:dyDescent="0.3">
      <c r="A23" s="265" t="s">
        <v>15</v>
      </c>
      <c r="B23" s="266"/>
      <c r="C23" s="267"/>
      <c r="D23" s="8">
        <v>433.39</v>
      </c>
      <c r="E23" s="8">
        <v>786.87</v>
      </c>
      <c r="F23" s="8">
        <v>3910.2</v>
      </c>
      <c r="G23" s="8">
        <v>366.5</v>
      </c>
      <c r="H23" s="8">
        <v>397.9</v>
      </c>
      <c r="J23" s="145"/>
      <c r="K23" s="145"/>
      <c r="L23" s="145"/>
      <c r="M23" s="145"/>
    </row>
    <row r="24" spans="1:13" ht="15" customHeight="1" x14ac:dyDescent="0.3">
      <c r="A24" s="265" t="s">
        <v>16</v>
      </c>
      <c r="B24" s="266"/>
      <c r="C24" s="267"/>
      <c r="D24" s="8">
        <v>15.18</v>
      </c>
      <c r="E24" s="8">
        <v>33.799999999999997</v>
      </c>
      <c r="F24" s="8">
        <v>230.8</v>
      </c>
      <c r="G24" s="8">
        <v>39.5</v>
      </c>
      <c r="H24" s="8">
        <v>23.09</v>
      </c>
      <c r="J24" s="145"/>
      <c r="K24" s="145"/>
      <c r="L24" s="145"/>
      <c r="M24" s="145"/>
    </row>
    <row r="25" spans="1:13" ht="29.4" customHeight="1" x14ac:dyDescent="0.3">
      <c r="A25" s="268" t="s">
        <v>19</v>
      </c>
      <c r="B25" s="269"/>
      <c r="C25" s="270"/>
      <c r="D25" s="8">
        <v>121.78</v>
      </c>
      <c r="E25" s="8">
        <v>240.8</v>
      </c>
      <c r="F25" s="8">
        <v>1995.21</v>
      </c>
      <c r="G25" s="8">
        <v>60.6</v>
      </c>
      <c r="H25" s="8">
        <v>109.86</v>
      </c>
      <c r="J25" s="145"/>
      <c r="K25" s="145"/>
      <c r="L25" s="145"/>
      <c r="M25" s="145"/>
    </row>
    <row r="26" spans="1:13" ht="15" customHeight="1" x14ac:dyDescent="0.3">
      <c r="A26" s="265" t="s">
        <v>17</v>
      </c>
      <c r="B26" s="266"/>
      <c r="C26" s="267"/>
      <c r="D26" s="8">
        <v>2.7</v>
      </c>
      <c r="E26" s="8">
        <v>46.7</v>
      </c>
      <c r="F26" s="8">
        <v>191.44</v>
      </c>
      <c r="G26" s="8">
        <v>27.2</v>
      </c>
      <c r="H26" s="8">
        <v>20.86</v>
      </c>
      <c r="J26" s="145"/>
      <c r="K26" s="145"/>
      <c r="L26" s="145"/>
      <c r="M26" s="145"/>
    </row>
    <row r="27" spans="1:13" ht="15" customHeight="1" x14ac:dyDescent="0.3">
      <c r="A27" s="271" t="s">
        <v>18</v>
      </c>
      <c r="B27" s="272"/>
      <c r="C27" s="272"/>
      <c r="D27" s="252"/>
      <c r="E27" s="252"/>
      <c r="F27" s="252"/>
      <c r="G27" s="252"/>
      <c r="H27" s="252"/>
      <c r="J27" s="113"/>
      <c r="K27" s="113"/>
      <c r="L27" s="113"/>
      <c r="M27" s="113"/>
    </row>
    <row r="28" spans="1:13" ht="28.2" customHeight="1" x14ac:dyDescent="0.3">
      <c r="A28" s="268" t="s">
        <v>20</v>
      </c>
      <c r="B28" s="269"/>
      <c r="C28" s="270"/>
      <c r="D28" s="6" t="s">
        <v>24</v>
      </c>
      <c r="E28" s="8">
        <v>305.51</v>
      </c>
      <c r="F28" s="8">
        <v>785</v>
      </c>
      <c r="G28" s="8">
        <v>134.46</v>
      </c>
      <c r="H28" s="171" t="s">
        <v>24</v>
      </c>
      <c r="J28" s="146"/>
      <c r="K28" s="146"/>
      <c r="L28" s="146"/>
      <c r="M28" s="146"/>
    </row>
    <row r="29" spans="1:13" ht="15" customHeight="1" x14ac:dyDescent="0.3">
      <c r="A29" s="271" t="s">
        <v>21</v>
      </c>
      <c r="B29" s="272"/>
      <c r="C29" s="272"/>
      <c r="D29" s="252"/>
      <c r="E29" s="252"/>
      <c r="F29" s="252"/>
      <c r="G29" s="252"/>
      <c r="H29" s="252"/>
      <c r="J29" s="113"/>
      <c r="K29" s="113"/>
      <c r="L29" s="113"/>
      <c r="M29" s="113"/>
    </row>
    <row r="30" spans="1:13" ht="15" customHeight="1" x14ac:dyDescent="0.3">
      <c r="A30" s="265" t="s">
        <v>22</v>
      </c>
      <c r="B30" s="266"/>
      <c r="C30" s="267"/>
      <c r="D30" s="6" t="s">
        <v>24</v>
      </c>
      <c r="E30" s="2">
        <v>183.29</v>
      </c>
      <c r="F30" s="6" t="s">
        <v>24</v>
      </c>
      <c r="G30" s="6" t="s">
        <v>24</v>
      </c>
      <c r="H30" s="6" t="s">
        <v>24</v>
      </c>
      <c r="J30" s="146"/>
      <c r="K30" s="146"/>
      <c r="L30" s="146"/>
      <c r="M30" s="146"/>
    </row>
    <row r="31" spans="1:13" x14ac:dyDescent="0.3">
      <c r="A31" s="106" t="s">
        <v>30</v>
      </c>
      <c r="B31" s="107"/>
      <c r="C31" s="108"/>
      <c r="D31" s="8">
        <f>SUM(D23:D30)</f>
        <v>573.05000000000007</v>
      </c>
      <c r="E31" s="8">
        <f>SUM(E23:E30)</f>
        <v>1596.97</v>
      </c>
      <c r="F31" s="7">
        <f>SUM(F23:F30)</f>
        <v>7112.65</v>
      </c>
      <c r="G31" s="8">
        <f>SUM(G23:G30)</f>
        <v>628.26</v>
      </c>
      <c r="H31" s="8">
        <f>SUM(H23:H30)</f>
        <v>551.70999999999992</v>
      </c>
      <c r="J31" s="145"/>
      <c r="K31" s="145"/>
      <c r="L31" s="145"/>
      <c r="M31" s="145"/>
    </row>
    <row r="32" spans="1:13" s="97" customFormat="1" x14ac:dyDescent="0.3">
      <c r="A32" s="112"/>
      <c r="B32" s="112"/>
      <c r="C32" s="112"/>
      <c r="D32" s="111"/>
      <c r="E32" s="116"/>
      <c r="F32" s="116"/>
      <c r="G32" s="111"/>
      <c r="H32" s="111"/>
      <c r="I32" s="111"/>
      <c r="J32" s="117"/>
      <c r="K32" s="117"/>
      <c r="L32" s="117"/>
      <c r="M32" s="117"/>
    </row>
    <row r="33" spans="1:18" x14ac:dyDescent="0.3">
      <c r="M33" s="114"/>
    </row>
    <row r="34" spans="1:18" x14ac:dyDescent="0.3">
      <c r="A34" s="252" t="s">
        <v>196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105"/>
      <c r="N34" s="113"/>
      <c r="O34" s="113"/>
      <c r="P34" s="113"/>
      <c r="Q34" s="113"/>
      <c r="R34" s="113"/>
    </row>
    <row r="35" spans="1:18" x14ac:dyDescent="0.3">
      <c r="A35" s="240" t="s">
        <v>166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105"/>
      <c r="N35" s="112"/>
      <c r="O35" s="112"/>
      <c r="P35" s="112"/>
      <c r="Q35" s="112"/>
      <c r="R35" s="112"/>
    </row>
    <row r="36" spans="1:18" s="97" customFormat="1" x14ac:dyDescent="0.3">
      <c r="A36" s="159" t="s">
        <v>194</v>
      </c>
      <c r="B36" s="240" t="s">
        <v>193</v>
      </c>
      <c r="C36" s="240"/>
      <c r="D36" s="159" t="s">
        <v>11</v>
      </c>
      <c r="E36" s="240" t="s">
        <v>197</v>
      </c>
      <c r="F36" s="240"/>
      <c r="G36" s="240" t="s">
        <v>195</v>
      </c>
      <c r="H36" s="240"/>
      <c r="I36" s="240"/>
      <c r="J36" s="240"/>
      <c r="K36" s="240"/>
      <c r="L36" s="240"/>
      <c r="M36" s="105"/>
      <c r="N36" s="112"/>
      <c r="O36" s="112"/>
      <c r="P36" s="112"/>
      <c r="Q36" s="112"/>
      <c r="R36" s="112"/>
    </row>
    <row r="37" spans="1:18" s="97" customFormat="1" x14ac:dyDescent="0.3">
      <c r="A37" s="252" t="s">
        <v>187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105"/>
      <c r="N37" s="113"/>
      <c r="O37" s="113"/>
      <c r="P37" s="113"/>
      <c r="Q37" s="113"/>
      <c r="R37" s="113"/>
    </row>
    <row r="38" spans="1:18" x14ac:dyDescent="0.3">
      <c r="A38" s="5" t="s">
        <v>25</v>
      </c>
      <c r="B38" s="240">
        <v>44</v>
      </c>
      <c r="C38" s="240"/>
      <c r="D38" s="159">
        <v>1</v>
      </c>
      <c r="E38" s="283">
        <v>1162</v>
      </c>
      <c r="F38" s="284"/>
      <c r="G38" s="253" t="s">
        <v>342</v>
      </c>
      <c r="H38" s="253"/>
      <c r="I38" s="253"/>
      <c r="J38" s="253"/>
      <c r="K38" s="253"/>
      <c r="L38" s="253"/>
      <c r="M38" s="229"/>
      <c r="N38" s="170"/>
      <c r="O38" s="170"/>
      <c r="P38" s="170"/>
      <c r="Q38" s="170"/>
      <c r="R38" s="170"/>
    </row>
    <row r="39" spans="1:18" x14ac:dyDescent="0.3">
      <c r="A39" s="5" t="s">
        <v>26</v>
      </c>
      <c r="B39" s="240">
        <v>44</v>
      </c>
      <c r="C39" s="240"/>
      <c r="D39" s="159">
        <v>9</v>
      </c>
      <c r="E39" s="285"/>
      <c r="F39" s="286"/>
      <c r="G39" s="253"/>
      <c r="H39" s="253"/>
      <c r="I39" s="253"/>
      <c r="J39" s="253"/>
      <c r="K39" s="253"/>
      <c r="L39" s="253"/>
      <c r="M39" s="229"/>
      <c r="N39" s="170"/>
      <c r="O39" s="170"/>
      <c r="P39" s="170"/>
      <c r="Q39" s="170"/>
      <c r="R39" s="170"/>
    </row>
    <row r="40" spans="1:18" x14ac:dyDescent="0.3">
      <c r="A40" s="5" t="s">
        <v>27</v>
      </c>
      <c r="B40" s="240">
        <v>44</v>
      </c>
      <c r="C40" s="240"/>
      <c r="D40" s="159">
        <v>1</v>
      </c>
      <c r="E40" s="285"/>
      <c r="F40" s="286"/>
      <c r="G40" s="253"/>
      <c r="H40" s="253"/>
      <c r="I40" s="253"/>
      <c r="J40" s="253"/>
      <c r="K40" s="253"/>
      <c r="L40" s="253"/>
      <c r="M40" s="229"/>
      <c r="N40" s="170"/>
      <c r="O40" s="170"/>
      <c r="P40" s="170"/>
      <c r="Q40" s="170"/>
      <c r="R40" s="170"/>
    </row>
    <row r="41" spans="1:18" x14ac:dyDescent="0.3">
      <c r="A41" s="5" t="s">
        <v>28</v>
      </c>
      <c r="B41" s="240">
        <v>44</v>
      </c>
      <c r="C41" s="240"/>
      <c r="D41" s="159">
        <v>1</v>
      </c>
      <c r="E41" s="285"/>
      <c r="F41" s="286"/>
      <c r="G41" s="253"/>
      <c r="H41" s="253"/>
      <c r="I41" s="253"/>
      <c r="J41" s="253"/>
      <c r="K41" s="253"/>
      <c r="L41" s="253"/>
      <c r="M41" s="229"/>
      <c r="N41" s="170"/>
      <c r="O41" s="170"/>
      <c r="P41" s="170"/>
      <c r="Q41" s="170"/>
      <c r="R41" s="170"/>
    </row>
    <row r="42" spans="1:18" x14ac:dyDescent="0.3">
      <c r="A42" s="5" t="s">
        <v>29</v>
      </c>
      <c r="B42" s="240">
        <v>44</v>
      </c>
      <c r="C42" s="240"/>
      <c r="D42" s="159">
        <v>2</v>
      </c>
      <c r="E42" s="287"/>
      <c r="F42" s="288"/>
      <c r="G42" s="253"/>
      <c r="H42" s="253"/>
      <c r="I42" s="253"/>
      <c r="J42" s="253"/>
      <c r="K42" s="253"/>
      <c r="L42" s="253"/>
      <c r="M42" s="229"/>
      <c r="N42" s="170"/>
      <c r="O42" s="170"/>
      <c r="P42" s="170"/>
      <c r="Q42" s="170"/>
      <c r="R42" s="170"/>
    </row>
    <row r="44" spans="1:18" s="97" customFormat="1" x14ac:dyDescent="0.3">
      <c r="A44" s="252" t="s">
        <v>200</v>
      </c>
      <c r="B44" s="252"/>
    </row>
    <row r="45" spans="1:18" x14ac:dyDescent="0.3">
      <c r="A45" s="273" t="s">
        <v>198</v>
      </c>
      <c r="B45" s="273"/>
      <c r="C45" s="113"/>
      <c r="D45" s="113"/>
      <c r="E45" s="113"/>
      <c r="F45" s="113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1:18" x14ac:dyDescent="0.3">
      <c r="A46" s="252" t="s">
        <v>166</v>
      </c>
      <c r="B46" s="25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114"/>
    </row>
    <row r="47" spans="1:18" x14ac:dyDescent="0.3">
      <c r="A47" s="119" t="s">
        <v>201</v>
      </c>
      <c r="B47" s="120">
        <v>4.3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4"/>
      <c r="Q47" s="114"/>
    </row>
    <row r="48" spans="1:18" x14ac:dyDescent="0.3">
      <c r="A48" s="119" t="s">
        <v>202</v>
      </c>
      <c r="B48" s="121">
        <v>4.25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  <c r="Q48" s="114"/>
    </row>
    <row r="49" spans="1:15" x14ac:dyDescent="0.3">
      <c r="A49" s="119" t="s">
        <v>203</v>
      </c>
      <c r="B49" s="110">
        <v>4.3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2" spans="1:15" x14ac:dyDescent="0.3">
      <c r="A52" s="252" t="s">
        <v>204</v>
      </c>
      <c r="B52" s="252"/>
      <c r="C52" s="252"/>
      <c r="D52" s="252"/>
      <c r="E52" s="252"/>
      <c r="F52" s="252"/>
      <c r="G52" s="252"/>
      <c r="H52" s="113"/>
    </row>
    <row r="53" spans="1:15" s="97" customFormat="1" x14ac:dyDescent="0.3">
      <c r="A53" s="105"/>
      <c r="B53" s="105"/>
      <c r="C53" s="105"/>
      <c r="D53" s="105"/>
      <c r="E53" s="105"/>
      <c r="F53" s="105"/>
      <c r="G53" s="105"/>
      <c r="H53" s="105"/>
    </row>
    <row r="54" spans="1:15" s="97" customFormat="1" x14ac:dyDescent="0.3">
      <c r="A54" s="274" t="s">
        <v>344</v>
      </c>
      <c r="B54" s="274"/>
      <c r="C54" s="274"/>
      <c r="D54" s="274"/>
      <c r="E54" s="274"/>
      <c r="F54" s="274"/>
      <c r="G54" s="274"/>
      <c r="H54" s="173"/>
    </row>
    <row r="55" spans="1:15" x14ac:dyDescent="0.3">
      <c r="A55" s="253" t="s">
        <v>205</v>
      </c>
      <c r="B55" s="254" t="s">
        <v>206</v>
      </c>
      <c r="C55" s="254"/>
      <c r="D55" s="254" t="s">
        <v>209</v>
      </c>
      <c r="E55" s="254" t="s">
        <v>207</v>
      </c>
      <c r="F55" s="254" t="s">
        <v>208</v>
      </c>
      <c r="G55" s="253" t="s">
        <v>210</v>
      </c>
    </row>
    <row r="56" spans="1:15" s="97" customFormat="1" x14ac:dyDescent="0.3">
      <c r="A56" s="253"/>
      <c r="B56" s="254"/>
      <c r="C56" s="254"/>
      <c r="D56" s="254"/>
      <c r="E56" s="254"/>
      <c r="F56" s="254"/>
      <c r="G56" s="253"/>
    </row>
    <row r="57" spans="1:15" x14ac:dyDescent="0.3">
      <c r="A57" s="110">
        <v>15.2</v>
      </c>
      <c r="B57" s="242">
        <v>22</v>
      </c>
      <c r="C57" s="244"/>
      <c r="D57" s="90">
        <f>A57*B57</f>
        <v>334.4</v>
      </c>
      <c r="E57" s="126">
        <v>6.5000000000000002E-2</v>
      </c>
      <c r="F57" s="90">
        <f>D57*E57</f>
        <v>21.736000000000001</v>
      </c>
      <c r="G57" s="90">
        <f>D57-F57</f>
        <v>312.66399999999999</v>
      </c>
      <c r="I57" s="123"/>
    </row>
    <row r="58" spans="1:15" s="97" customFormat="1" x14ac:dyDescent="0.3">
      <c r="A58" s="123"/>
      <c r="D58" s="123"/>
      <c r="E58" s="122"/>
      <c r="F58" s="122"/>
      <c r="G58" s="123"/>
      <c r="H58" s="123"/>
      <c r="J58" s="123"/>
      <c r="K58" s="123"/>
    </row>
    <row r="60" spans="1:15" x14ac:dyDescent="0.3">
      <c r="A60" s="252" t="s">
        <v>215</v>
      </c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</row>
    <row r="61" spans="1:15" s="97" customFormat="1" x14ac:dyDescent="0.3"/>
    <row r="62" spans="1:15" x14ac:dyDescent="0.3">
      <c r="A62" s="252" t="s">
        <v>166</v>
      </c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</row>
    <row r="63" spans="1:15" s="97" customFormat="1" x14ac:dyDescent="0.3">
      <c r="A63" s="240" t="s">
        <v>211</v>
      </c>
      <c r="B63" s="240"/>
      <c r="C63" s="240" t="s">
        <v>216</v>
      </c>
      <c r="D63" s="240"/>
      <c r="E63" s="242" t="s">
        <v>214</v>
      </c>
      <c r="F63" s="243"/>
      <c r="G63" s="243"/>
      <c r="H63" s="243"/>
      <c r="I63" s="243"/>
      <c r="J63" s="243"/>
      <c r="K63" s="243"/>
      <c r="L63" s="244"/>
      <c r="M63" s="242" t="s">
        <v>212</v>
      </c>
      <c r="N63" s="244"/>
    </row>
    <row r="64" spans="1:15" x14ac:dyDescent="0.3">
      <c r="A64" s="291" t="s">
        <v>187</v>
      </c>
      <c r="B64" s="291"/>
      <c r="C64" s="246" t="s">
        <v>213</v>
      </c>
      <c r="D64" s="246"/>
      <c r="E64" s="265" t="s">
        <v>351</v>
      </c>
      <c r="F64" s="266"/>
      <c r="G64" s="266"/>
      <c r="H64" s="266"/>
      <c r="I64" s="266"/>
      <c r="J64" s="266"/>
      <c r="K64" s="266"/>
      <c r="L64" s="267"/>
      <c r="M64" s="295">
        <v>7</v>
      </c>
      <c r="N64" s="296"/>
    </row>
    <row r="65" spans="1:16" x14ac:dyDescent="0.3">
      <c r="A65" s="291"/>
      <c r="B65" s="291"/>
      <c r="C65" s="265" t="s">
        <v>217</v>
      </c>
      <c r="D65" s="267"/>
      <c r="E65" s="246" t="s">
        <v>348</v>
      </c>
      <c r="F65" s="246"/>
      <c r="G65" s="246"/>
      <c r="H65" s="246"/>
      <c r="I65" s="246"/>
      <c r="J65" s="246"/>
      <c r="K65" s="246"/>
      <c r="L65" s="246"/>
      <c r="M65" s="295">
        <v>2.54</v>
      </c>
      <c r="N65" s="296"/>
    </row>
    <row r="68" spans="1:16" x14ac:dyDescent="0.3">
      <c r="A68" s="252" t="s">
        <v>218</v>
      </c>
      <c r="B68" s="252"/>
      <c r="C68" s="252"/>
      <c r="D68" s="252"/>
      <c r="E68" s="252"/>
      <c r="F68" s="252"/>
      <c r="G68" s="252"/>
      <c r="H68" s="252"/>
      <c r="I68" s="252"/>
      <c r="J68" s="252"/>
      <c r="K68" s="105"/>
    </row>
    <row r="69" spans="1:16" s="97" customFormat="1" x14ac:dyDescent="0.3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  <row r="70" spans="1:16" ht="14.4" customHeight="1" x14ac:dyDescent="0.3">
      <c r="A70" s="253" t="s">
        <v>219</v>
      </c>
      <c r="B70" s="253"/>
      <c r="C70" s="253"/>
      <c r="D70" s="253"/>
      <c r="E70" s="253"/>
      <c r="F70" s="253"/>
      <c r="G70" s="253"/>
      <c r="H70" s="254" t="s">
        <v>220</v>
      </c>
      <c r="I70" s="254" t="s">
        <v>221</v>
      </c>
      <c r="J70" s="254" t="s">
        <v>222</v>
      </c>
      <c r="K70" s="215"/>
      <c r="L70" s="97"/>
    </row>
    <row r="71" spans="1:16" x14ac:dyDescent="0.3">
      <c r="A71" s="253"/>
      <c r="B71" s="253"/>
      <c r="C71" s="253"/>
      <c r="D71" s="253"/>
      <c r="E71" s="253"/>
      <c r="F71" s="253"/>
      <c r="G71" s="253"/>
      <c r="H71" s="254"/>
      <c r="I71" s="254"/>
      <c r="J71" s="254"/>
      <c r="K71" s="215"/>
      <c r="L71" s="97"/>
    </row>
    <row r="72" spans="1:16" ht="27.6" customHeight="1" x14ac:dyDescent="0.3">
      <c r="A72" s="241" t="s">
        <v>273</v>
      </c>
      <c r="B72" s="241"/>
      <c r="C72" s="241"/>
      <c r="D72" s="241"/>
      <c r="E72" s="241"/>
      <c r="F72" s="241"/>
      <c r="G72" s="241"/>
      <c r="H72" s="2">
        <v>4</v>
      </c>
      <c r="I72" s="124">
        <v>30.69</v>
      </c>
      <c r="J72" s="110">
        <f>(H72*I72)</f>
        <v>122.76</v>
      </c>
      <c r="K72" s="150"/>
      <c r="L72" s="97"/>
    </row>
    <row r="73" spans="1:16" ht="29.4" customHeight="1" x14ac:dyDescent="0.3">
      <c r="A73" s="241" t="s">
        <v>272</v>
      </c>
      <c r="B73" s="241"/>
      <c r="C73" s="241"/>
      <c r="D73" s="241"/>
      <c r="E73" s="241"/>
      <c r="F73" s="241"/>
      <c r="G73" s="241"/>
      <c r="H73" s="2">
        <v>4</v>
      </c>
      <c r="I73" s="124">
        <v>17.059999999999999</v>
      </c>
      <c r="J73" s="110">
        <f>(H73*I73)</f>
        <v>68.239999999999995</v>
      </c>
      <c r="K73" s="150"/>
    </row>
    <row r="74" spans="1:16" x14ac:dyDescent="0.3">
      <c r="A74" s="246" t="s">
        <v>223</v>
      </c>
      <c r="B74" s="246"/>
      <c r="C74" s="246"/>
      <c r="D74" s="246"/>
      <c r="E74" s="246"/>
      <c r="F74" s="246"/>
      <c r="G74" s="246"/>
      <c r="H74" s="2">
        <v>4</v>
      </c>
      <c r="I74" s="124">
        <v>3.86</v>
      </c>
      <c r="J74" s="110">
        <f>(H74*I74)</f>
        <v>15.44</v>
      </c>
      <c r="K74" s="150"/>
    </row>
    <row r="75" spans="1:16" ht="28.2" customHeight="1" x14ac:dyDescent="0.3">
      <c r="A75" s="241" t="s">
        <v>224</v>
      </c>
      <c r="B75" s="241"/>
      <c r="C75" s="241"/>
      <c r="D75" s="241"/>
      <c r="E75" s="241"/>
      <c r="F75" s="241"/>
      <c r="G75" s="241"/>
      <c r="H75" s="148">
        <v>4</v>
      </c>
      <c r="I75" s="124">
        <v>33.6</v>
      </c>
      <c r="J75" s="110">
        <f>(H75*I75)</f>
        <v>134.4</v>
      </c>
      <c r="K75" s="150"/>
    </row>
    <row r="76" spans="1:16" x14ac:dyDescent="0.3">
      <c r="A76" s="242" t="s">
        <v>256</v>
      </c>
      <c r="B76" s="243"/>
      <c r="C76" s="243"/>
      <c r="D76" s="243"/>
      <c r="E76" s="243"/>
      <c r="F76" s="243"/>
      <c r="G76" s="243"/>
      <c r="H76" s="243"/>
      <c r="I76" s="244"/>
      <c r="J76" s="110">
        <f>(SUM(J72:J75))/12</f>
        <v>28.403333333333336</v>
      </c>
      <c r="K76" s="150"/>
    </row>
    <row r="77" spans="1:16" s="97" customFormat="1" x14ac:dyDescent="0.3">
      <c r="A77" s="69"/>
      <c r="B77" s="69"/>
      <c r="C77" s="69"/>
      <c r="D77" s="69"/>
      <c r="E77" s="69"/>
      <c r="F77" s="160"/>
      <c r="G77" s="69"/>
      <c r="H77" s="69"/>
      <c r="I77" s="69"/>
      <c r="J77" s="150"/>
      <c r="K77" s="150"/>
    </row>
    <row r="78" spans="1:16" s="97" customFormat="1" x14ac:dyDescent="0.3">
      <c r="A78" s="69"/>
      <c r="B78" s="69"/>
      <c r="C78" s="69"/>
      <c r="D78" s="69"/>
      <c r="E78" s="69"/>
      <c r="F78" s="160"/>
      <c r="G78" s="69"/>
      <c r="H78" s="69"/>
      <c r="I78" s="69"/>
      <c r="J78" s="150"/>
      <c r="K78" s="150"/>
    </row>
    <row r="79" spans="1:16" s="97" customFormat="1" ht="14.4" customHeight="1" x14ac:dyDescent="0.3">
      <c r="A79" s="253" t="s">
        <v>219</v>
      </c>
      <c r="B79" s="253"/>
      <c r="C79" s="253"/>
      <c r="D79" s="253"/>
      <c r="E79" s="253"/>
      <c r="F79" s="253"/>
      <c r="G79" s="253"/>
      <c r="H79" s="254" t="s">
        <v>220</v>
      </c>
      <c r="I79" s="254" t="s">
        <v>259</v>
      </c>
      <c r="J79" s="255" t="s">
        <v>222</v>
      </c>
      <c r="K79" s="297" t="s">
        <v>324</v>
      </c>
      <c r="L79" s="298"/>
      <c r="M79" s="298"/>
      <c r="N79" s="298"/>
      <c r="O79" s="298"/>
      <c r="P79" s="298"/>
    </row>
    <row r="80" spans="1:16" s="97" customFormat="1" x14ac:dyDescent="0.3">
      <c r="A80" s="253"/>
      <c r="B80" s="253"/>
      <c r="C80" s="253"/>
      <c r="D80" s="253"/>
      <c r="E80" s="253"/>
      <c r="F80" s="253"/>
      <c r="G80" s="253"/>
      <c r="H80" s="254"/>
      <c r="I80" s="254"/>
      <c r="J80" s="256"/>
      <c r="K80" s="297"/>
      <c r="L80" s="298"/>
      <c r="M80" s="298"/>
      <c r="N80" s="298"/>
      <c r="O80" s="298"/>
      <c r="P80" s="298"/>
    </row>
    <row r="81" spans="1:19" s="97" customFormat="1" ht="27" customHeight="1" x14ac:dyDescent="0.3">
      <c r="A81" s="241" t="s">
        <v>225</v>
      </c>
      <c r="B81" s="241"/>
      <c r="C81" s="241"/>
      <c r="D81" s="241"/>
      <c r="E81" s="241"/>
      <c r="F81" s="241"/>
      <c r="G81" s="241"/>
      <c r="H81" s="2">
        <v>6</v>
      </c>
      <c r="I81" s="124">
        <v>3.56</v>
      </c>
      <c r="J81" s="110">
        <f>(H81*I81)</f>
        <v>21.36</v>
      </c>
      <c r="K81" s="297"/>
      <c r="L81" s="298"/>
      <c r="M81" s="298"/>
      <c r="N81" s="298"/>
      <c r="O81" s="298"/>
      <c r="P81" s="298"/>
    </row>
    <row r="82" spans="1:19" s="97" customFormat="1" x14ac:dyDescent="0.3">
      <c r="A82" s="242" t="s">
        <v>256</v>
      </c>
      <c r="B82" s="243"/>
      <c r="C82" s="243"/>
      <c r="D82" s="243"/>
      <c r="E82" s="243"/>
      <c r="F82" s="243"/>
      <c r="G82" s="243"/>
      <c r="H82" s="243"/>
      <c r="I82" s="244"/>
      <c r="J82" s="110">
        <f>J81/12</f>
        <v>1.78</v>
      </c>
      <c r="K82" s="297"/>
      <c r="L82" s="298"/>
      <c r="M82" s="298"/>
      <c r="N82" s="298"/>
      <c r="O82" s="298"/>
      <c r="P82" s="298"/>
    </row>
    <row r="85" spans="1:19" x14ac:dyDescent="0.3">
      <c r="A85" s="252" t="s">
        <v>255</v>
      </c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</row>
    <row r="86" spans="1:19" ht="14.4" customHeight="1" x14ac:dyDescent="0.3">
      <c r="A86" s="240" t="s">
        <v>211</v>
      </c>
      <c r="B86" s="240"/>
      <c r="C86" s="240"/>
      <c r="D86" s="240"/>
      <c r="E86" s="240"/>
      <c r="F86" s="240"/>
      <c r="G86" s="240"/>
      <c r="H86" s="109" t="s">
        <v>50</v>
      </c>
      <c r="I86" s="109" t="s">
        <v>251</v>
      </c>
      <c r="J86" s="249" t="s">
        <v>168</v>
      </c>
      <c r="K86" s="250"/>
      <c r="L86" s="242" t="s">
        <v>29</v>
      </c>
      <c r="M86" s="244"/>
      <c r="N86" s="248" t="s">
        <v>26</v>
      </c>
      <c r="O86" s="248"/>
      <c r="P86" s="240" t="s">
        <v>27</v>
      </c>
      <c r="Q86" s="240"/>
      <c r="R86" s="248" t="s">
        <v>28</v>
      </c>
      <c r="S86" s="248"/>
    </row>
    <row r="87" spans="1:19" s="97" customFormat="1" x14ac:dyDescent="0.3">
      <c r="A87" s="262" t="s">
        <v>246</v>
      </c>
      <c r="B87" s="263"/>
      <c r="C87" s="263"/>
      <c r="D87" s="263"/>
      <c r="E87" s="263"/>
      <c r="F87" s="263"/>
      <c r="G87" s="263"/>
      <c r="H87" s="263"/>
      <c r="I87" s="264"/>
      <c r="J87" s="220" t="s">
        <v>325</v>
      </c>
      <c r="K87" s="223" t="s">
        <v>326</v>
      </c>
      <c r="L87" s="226" t="s">
        <v>325</v>
      </c>
      <c r="M87" s="227" t="s">
        <v>326</v>
      </c>
      <c r="N87" s="220" t="s">
        <v>325</v>
      </c>
      <c r="O87" s="223" t="s">
        <v>326</v>
      </c>
      <c r="P87" s="226" t="s">
        <v>325</v>
      </c>
      <c r="Q87" s="227" t="s">
        <v>326</v>
      </c>
      <c r="R87" s="220" t="s">
        <v>325</v>
      </c>
      <c r="S87" s="223" t="s">
        <v>326</v>
      </c>
    </row>
    <row r="88" spans="1:19" x14ac:dyDescent="0.3">
      <c r="A88" s="246" t="s">
        <v>276</v>
      </c>
      <c r="B88" s="246"/>
      <c r="C88" s="246"/>
      <c r="D88" s="246"/>
      <c r="E88" s="246"/>
      <c r="F88" s="246"/>
      <c r="G88" s="246"/>
      <c r="H88" s="109" t="s">
        <v>241</v>
      </c>
      <c r="I88" s="212">
        <v>2.2999999999999998</v>
      </c>
      <c r="J88" s="218">
        <v>5</v>
      </c>
      <c r="K88" s="219">
        <f>I88*J88</f>
        <v>11.5</v>
      </c>
      <c r="L88" s="149">
        <v>5</v>
      </c>
      <c r="M88" s="216">
        <f>I88*L88</f>
        <v>11.5</v>
      </c>
      <c r="N88" s="218">
        <v>20</v>
      </c>
      <c r="O88" s="222">
        <f>I88*N88</f>
        <v>46</v>
      </c>
      <c r="P88" s="149">
        <v>10</v>
      </c>
      <c r="Q88" s="216">
        <f>I88*P88</f>
        <v>23</v>
      </c>
      <c r="R88" s="218">
        <v>5</v>
      </c>
      <c r="S88" s="219">
        <f>I88*R88</f>
        <v>11.5</v>
      </c>
    </row>
    <row r="89" spans="1:19" x14ac:dyDescent="0.3">
      <c r="A89" s="246" t="s">
        <v>226</v>
      </c>
      <c r="B89" s="246"/>
      <c r="C89" s="246"/>
      <c r="D89" s="246"/>
      <c r="E89" s="246"/>
      <c r="F89" s="246"/>
      <c r="G89" s="246"/>
      <c r="H89" s="109" t="s">
        <v>241</v>
      </c>
      <c r="I89" s="212">
        <v>5.99</v>
      </c>
      <c r="J89" s="218">
        <v>8</v>
      </c>
      <c r="K89" s="219">
        <f>I89*J89</f>
        <v>47.92</v>
      </c>
      <c r="L89" s="149">
        <v>10</v>
      </c>
      <c r="M89" s="216">
        <f t="shared" ref="M89:M118" si="0">I89*L89</f>
        <v>59.900000000000006</v>
      </c>
      <c r="N89" s="218">
        <v>40</v>
      </c>
      <c r="O89" s="222">
        <f t="shared" ref="O89:O118" si="1">I89*N89</f>
        <v>239.60000000000002</v>
      </c>
      <c r="P89" s="149">
        <v>4</v>
      </c>
      <c r="Q89" s="216">
        <f t="shared" ref="Q89:Q118" si="2">I89*P89</f>
        <v>23.96</v>
      </c>
      <c r="R89" s="218">
        <v>2</v>
      </c>
      <c r="S89" s="219">
        <f>I89*R89</f>
        <v>11.98</v>
      </c>
    </row>
    <row r="90" spans="1:19" s="114" customFormat="1" x14ac:dyDescent="0.3">
      <c r="A90" s="257" t="s">
        <v>274</v>
      </c>
      <c r="B90" s="257"/>
      <c r="C90" s="257"/>
      <c r="D90" s="257"/>
      <c r="E90" s="257"/>
      <c r="F90" s="257"/>
      <c r="G90" s="257"/>
      <c r="H90" s="155" t="s">
        <v>241</v>
      </c>
      <c r="I90" s="213">
        <v>8.73</v>
      </c>
      <c r="J90" s="218">
        <v>0</v>
      </c>
      <c r="K90" s="219">
        <f t="shared" ref="K90:K118" si="3">I90*J90</f>
        <v>0</v>
      </c>
      <c r="L90" s="149">
        <v>10</v>
      </c>
      <c r="M90" s="216">
        <f t="shared" si="0"/>
        <v>87.300000000000011</v>
      </c>
      <c r="N90" s="218">
        <v>40</v>
      </c>
      <c r="O90" s="222">
        <f t="shared" si="1"/>
        <v>349.20000000000005</v>
      </c>
      <c r="P90" s="149">
        <v>1</v>
      </c>
      <c r="Q90" s="216">
        <f t="shared" si="2"/>
        <v>8.73</v>
      </c>
      <c r="R90" s="218">
        <v>2</v>
      </c>
      <c r="S90" s="219">
        <f>I90*R90</f>
        <v>17.46</v>
      </c>
    </row>
    <row r="91" spans="1:19" x14ac:dyDescent="0.3">
      <c r="A91" s="246" t="s">
        <v>277</v>
      </c>
      <c r="B91" s="246"/>
      <c r="C91" s="246"/>
      <c r="D91" s="246"/>
      <c r="E91" s="246"/>
      <c r="F91" s="246"/>
      <c r="G91" s="246"/>
      <c r="H91" s="109" t="s">
        <v>241</v>
      </c>
      <c r="I91" s="212">
        <v>5.79</v>
      </c>
      <c r="J91" s="218">
        <v>5</v>
      </c>
      <c r="K91" s="219">
        <f t="shared" si="3"/>
        <v>28.95</v>
      </c>
      <c r="L91" s="149">
        <v>3</v>
      </c>
      <c r="M91" s="216">
        <f t="shared" si="0"/>
        <v>17.37</v>
      </c>
      <c r="N91" s="218">
        <v>12</v>
      </c>
      <c r="O91" s="222">
        <f t="shared" si="1"/>
        <v>69.48</v>
      </c>
      <c r="P91" s="149">
        <v>2</v>
      </c>
      <c r="Q91" s="216">
        <f t="shared" si="2"/>
        <v>11.58</v>
      </c>
      <c r="R91" s="218">
        <v>5</v>
      </c>
      <c r="S91" s="219">
        <f t="shared" ref="S91:S118" si="4">I91*R91</f>
        <v>28.95</v>
      </c>
    </row>
    <row r="92" spans="1:19" x14ac:dyDescent="0.3">
      <c r="A92" s="246" t="s">
        <v>278</v>
      </c>
      <c r="B92" s="246"/>
      <c r="C92" s="246"/>
      <c r="D92" s="246"/>
      <c r="E92" s="246"/>
      <c r="F92" s="246"/>
      <c r="G92" s="246"/>
      <c r="H92" s="109" t="s">
        <v>241</v>
      </c>
      <c r="I92" s="212">
        <v>4.53</v>
      </c>
      <c r="J92" s="218">
        <v>10</v>
      </c>
      <c r="K92" s="219">
        <f t="shared" si="3"/>
        <v>45.300000000000004</v>
      </c>
      <c r="L92" s="149">
        <v>10</v>
      </c>
      <c r="M92" s="216">
        <f t="shared" si="0"/>
        <v>45.300000000000004</v>
      </c>
      <c r="N92" s="218">
        <v>40</v>
      </c>
      <c r="O92" s="222">
        <f t="shared" si="1"/>
        <v>181.20000000000002</v>
      </c>
      <c r="P92" s="149">
        <v>10</v>
      </c>
      <c r="Q92" s="216">
        <f t="shared" si="2"/>
        <v>45.300000000000004</v>
      </c>
      <c r="R92" s="218">
        <v>5</v>
      </c>
      <c r="S92" s="219">
        <f t="shared" si="4"/>
        <v>22.650000000000002</v>
      </c>
    </row>
    <row r="93" spans="1:19" x14ac:dyDescent="0.3">
      <c r="A93" s="246" t="s">
        <v>279</v>
      </c>
      <c r="B93" s="246"/>
      <c r="C93" s="246"/>
      <c r="D93" s="246"/>
      <c r="E93" s="246"/>
      <c r="F93" s="246"/>
      <c r="G93" s="246"/>
      <c r="H93" s="109" t="s">
        <v>241</v>
      </c>
      <c r="I93" s="212">
        <v>3.07</v>
      </c>
      <c r="J93" s="218">
        <v>5</v>
      </c>
      <c r="K93" s="219">
        <f t="shared" si="3"/>
        <v>15.35</v>
      </c>
      <c r="L93" s="149">
        <v>3</v>
      </c>
      <c r="M93" s="216">
        <f t="shared" si="0"/>
        <v>9.2099999999999991</v>
      </c>
      <c r="N93" s="218">
        <v>12</v>
      </c>
      <c r="O93" s="222">
        <f t="shared" si="1"/>
        <v>36.839999999999996</v>
      </c>
      <c r="P93" s="149">
        <v>3</v>
      </c>
      <c r="Q93" s="216">
        <f t="shared" si="2"/>
        <v>9.2099999999999991</v>
      </c>
      <c r="R93" s="218">
        <v>5</v>
      </c>
      <c r="S93" s="219">
        <f t="shared" si="4"/>
        <v>15.35</v>
      </c>
    </row>
    <row r="94" spans="1:19" x14ac:dyDescent="0.3">
      <c r="A94" s="246" t="s">
        <v>280</v>
      </c>
      <c r="B94" s="246"/>
      <c r="C94" s="246"/>
      <c r="D94" s="246"/>
      <c r="E94" s="246"/>
      <c r="F94" s="246"/>
      <c r="G94" s="246"/>
      <c r="H94" s="109" t="s">
        <v>50</v>
      </c>
      <c r="I94" s="212">
        <v>9.82</v>
      </c>
      <c r="J94" s="218">
        <v>2</v>
      </c>
      <c r="K94" s="219">
        <f t="shared" si="3"/>
        <v>19.64</v>
      </c>
      <c r="L94" s="149">
        <v>3</v>
      </c>
      <c r="M94" s="216">
        <f t="shared" si="0"/>
        <v>29.46</v>
      </c>
      <c r="N94" s="218">
        <v>12</v>
      </c>
      <c r="O94" s="222">
        <f t="shared" si="1"/>
        <v>117.84</v>
      </c>
      <c r="P94" s="149">
        <v>4</v>
      </c>
      <c r="Q94" s="216">
        <f t="shared" si="2"/>
        <v>39.28</v>
      </c>
      <c r="R94" s="218">
        <v>3</v>
      </c>
      <c r="S94" s="219">
        <f t="shared" si="4"/>
        <v>29.46</v>
      </c>
    </row>
    <row r="95" spans="1:19" x14ac:dyDescent="0.3">
      <c r="A95" s="246" t="s">
        <v>281</v>
      </c>
      <c r="B95" s="246"/>
      <c r="C95" s="246"/>
      <c r="D95" s="246"/>
      <c r="E95" s="246"/>
      <c r="F95" s="246"/>
      <c r="G95" s="246"/>
      <c r="H95" s="109" t="s">
        <v>241</v>
      </c>
      <c r="I95" s="212">
        <v>3.2</v>
      </c>
      <c r="J95" s="218">
        <v>0</v>
      </c>
      <c r="K95" s="219">
        <f t="shared" si="3"/>
        <v>0</v>
      </c>
      <c r="L95" s="149">
        <v>5</v>
      </c>
      <c r="M95" s="216">
        <f t="shared" si="0"/>
        <v>16</v>
      </c>
      <c r="N95" s="218">
        <v>20</v>
      </c>
      <c r="O95" s="222">
        <f t="shared" si="1"/>
        <v>64</v>
      </c>
      <c r="P95" s="149">
        <v>2</v>
      </c>
      <c r="Q95" s="216">
        <f t="shared" si="2"/>
        <v>6.4</v>
      </c>
      <c r="R95" s="218">
        <v>5</v>
      </c>
      <c r="S95" s="219">
        <f t="shared" si="4"/>
        <v>16</v>
      </c>
    </row>
    <row r="96" spans="1:19" x14ac:dyDescent="0.3">
      <c r="A96" s="246" t="s">
        <v>282</v>
      </c>
      <c r="B96" s="246"/>
      <c r="C96" s="246"/>
      <c r="D96" s="246"/>
      <c r="E96" s="246"/>
      <c r="F96" s="246"/>
      <c r="G96" s="246"/>
      <c r="H96" s="109" t="s">
        <v>50</v>
      </c>
      <c r="I96" s="212">
        <v>3.78</v>
      </c>
      <c r="J96" s="218">
        <v>1</v>
      </c>
      <c r="K96" s="219">
        <f t="shared" si="3"/>
        <v>3.78</v>
      </c>
      <c r="L96" s="149">
        <v>2</v>
      </c>
      <c r="M96" s="216">
        <f t="shared" si="0"/>
        <v>7.56</v>
      </c>
      <c r="N96" s="218">
        <v>8</v>
      </c>
      <c r="O96" s="222">
        <f t="shared" si="1"/>
        <v>30.24</v>
      </c>
      <c r="P96" s="149">
        <v>2</v>
      </c>
      <c r="Q96" s="216">
        <f t="shared" si="2"/>
        <v>7.56</v>
      </c>
      <c r="R96" s="218">
        <v>1</v>
      </c>
      <c r="S96" s="219">
        <f t="shared" si="4"/>
        <v>3.78</v>
      </c>
    </row>
    <row r="97" spans="1:19" x14ac:dyDescent="0.3">
      <c r="A97" s="246" t="s">
        <v>283</v>
      </c>
      <c r="B97" s="246"/>
      <c r="C97" s="246"/>
      <c r="D97" s="246"/>
      <c r="E97" s="246"/>
      <c r="F97" s="246"/>
      <c r="G97" s="246"/>
      <c r="H97" s="109" t="s">
        <v>242</v>
      </c>
      <c r="I97" s="212">
        <v>1.76</v>
      </c>
      <c r="J97" s="218">
        <v>0</v>
      </c>
      <c r="K97" s="219">
        <f t="shared" si="3"/>
        <v>0</v>
      </c>
      <c r="L97" s="149">
        <v>4</v>
      </c>
      <c r="M97" s="216">
        <f t="shared" si="0"/>
        <v>7.04</v>
      </c>
      <c r="N97" s="218">
        <v>16</v>
      </c>
      <c r="O97" s="222">
        <f t="shared" si="1"/>
        <v>28.16</v>
      </c>
      <c r="P97" s="149">
        <v>2</v>
      </c>
      <c r="Q97" s="216">
        <f t="shared" si="2"/>
        <v>3.52</v>
      </c>
      <c r="R97" s="218">
        <v>1</v>
      </c>
      <c r="S97" s="219">
        <f t="shared" si="4"/>
        <v>1.76</v>
      </c>
    </row>
    <row r="98" spans="1:19" x14ac:dyDescent="0.3">
      <c r="A98" s="246" t="s">
        <v>284</v>
      </c>
      <c r="B98" s="246"/>
      <c r="C98" s="246"/>
      <c r="D98" s="246"/>
      <c r="E98" s="246"/>
      <c r="F98" s="246"/>
      <c r="G98" s="246"/>
      <c r="H98" s="109" t="s">
        <v>50</v>
      </c>
      <c r="I98" s="212">
        <v>0.78</v>
      </c>
      <c r="J98" s="218">
        <v>2</v>
      </c>
      <c r="K98" s="219">
        <f t="shared" si="3"/>
        <v>1.56</v>
      </c>
      <c r="L98" s="149">
        <v>4</v>
      </c>
      <c r="M98" s="216">
        <f t="shared" si="0"/>
        <v>3.12</v>
      </c>
      <c r="N98" s="218">
        <v>16</v>
      </c>
      <c r="O98" s="222">
        <f t="shared" si="1"/>
        <v>12.48</v>
      </c>
      <c r="P98" s="149">
        <v>6</v>
      </c>
      <c r="Q98" s="216">
        <f t="shared" si="2"/>
        <v>4.68</v>
      </c>
      <c r="R98" s="218">
        <v>4</v>
      </c>
      <c r="S98" s="219">
        <f t="shared" si="4"/>
        <v>3.12</v>
      </c>
    </row>
    <row r="99" spans="1:19" x14ac:dyDescent="0.3">
      <c r="A99" s="246" t="s">
        <v>285</v>
      </c>
      <c r="B99" s="246"/>
      <c r="C99" s="246"/>
      <c r="D99" s="246"/>
      <c r="E99" s="246"/>
      <c r="F99" s="246"/>
      <c r="G99" s="246" t="s">
        <v>227</v>
      </c>
      <c r="H99" s="109" t="s">
        <v>50</v>
      </c>
      <c r="I99" s="212">
        <v>3.13</v>
      </c>
      <c r="J99" s="218">
        <v>4</v>
      </c>
      <c r="K99" s="219">
        <f t="shared" si="3"/>
        <v>12.52</v>
      </c>
      <c r="L99" s="149">
        <v>4</v>
      </c>
      <c r="M99" s="216">
        <f t="shared" si="0"/>
        <v>12.52</v>
      </c>
      <c r="N99" s="218">
        <v>16</v>
      </c>
      <c r="O99" s="222">
        <f t="shared" si="1"/>
        <v>50.08</v>
      </c>
      <c r="P99" s="149">
        <v>12</v>
      </c>
      <c r="Q99" s="216">
        <f t="shared" si="2"/>
        <v>37.56</v>
      </c>
      <c r="R99" s="218">
        <v>2</v>
      </c>
      <c r="S99" s="219">
        <f t="shared" si="4"/>
        <v>6.26</v>
      </c>
    </row>
    <row r="100" spans="1:19" x14ac:dyDescent="0.3">
      <c r="A100" s="246" t="s">
        <v>286</v>
      </c>
      <c r="B100" s="246"/>
      <c r="C100" s="246"/>
      <c r="D100" s="246"/>
      <c r="E100" s="246"/>
      <c r="F100" s="246"/>
      <c r="G100" s="246" t="s">
        <v>228</v>
      </c>
      <c r="H100" s="109" t="s">
        <v>50</v>
      </c>
      <c r="I100" s="212">
        <v>2.94</v>
      </c>
      <c r="J100" s="218">
        <v>1</v>
      </c>
      <c r="K100" s="219">
        <f t="shared" si="3"/>
        <v>2.94</v>
      </c>
      <c r="L100" s="149">
        <v>6</v>
      </c>
      <c r="M100" s="216">
        <f t="shared" si="0"/>
        <v>17.64</v>
      </c>
      <c r="N100" s="218">
        <v>24</v>
      </c>
      <c r="O100" s="222">
        <f t="shared" si="1"/>
        <v>70.56</v>
      </c>
      <c r="P100" s="149">
        <v>20</v>
      </c>
      <c r="Q100" s="216">
        <f t="shared" si="2"/>
        <v>58.8</v>
      </c>
      <c r="R100" s="218">
        <v>5</v>
      </c>
      <c r="S100" s="219">
        <f t="shared" si="4"/>
        <v>14.7</v>
      </c>
    </row>
    <row r="101" spans="1:19" x14ac:dyDescent="0.3">
      <c r="A101" s="246" t="s">
        <v>287</v>
      </c>
      <c r="B101" s="246"/>
      <c r="C101" s="246"/>
      <c r="D101" s="246"/>
      <c r="E101" s="246"/>
      <c r="F101" s="246"/>
      <c r="G101" s="246"/>
      <c r="H101" s="109" t="s">
        <v>241</v>
      </c>
      <c r="I101" s="212">
        <v>3.41</v>
      </c>
      <c r="J101" s="218">
        <v>0</v>
      </c>
      <c r="K101" s="219">
        <f t="shared" si="3"/>
        <v>0</v>
      </c>
      <c r="L101" s="149">
        <v>5</v>
      </c>
      <c r="M101" s="216">
        <f t="shared" si="0"/>
        <v>17.05</v>
      </c>
      <c r="N101" s="218">
        <v>20</v>
      </c>
      <c r="O101" s="222">
        <f t="shared" si="1"/>
        <v>68.2</v>
      </c>
      <c r="P101" s="149">
        <v>1</v>
      </c>
      <c r="Q101" s="216">
        <f t="shared" si="2"/>
        <v>3.41</v>
      </c>
      <c r="R101" s="218">
        <v>1</v>
      </c>
      <c r="S101" s="219">
        <f t="shared" si="4"/>
        <v>3.41</v>
      </c>
    </row>
    <row r="102" spans="1:19" x14ac:dyDescent="0.3">
      <c r="A102" s="246" t="s">
        <v>229</v>
      </c>
      <c r="B102" s="246"/>
      <c r="C102" s="246"/>
      <c r="D102" s="246"/>
      <c r="E102" s="246"/>
      <c r="F102" s="246"/>
      <c r="G102" s="246"/>
      <c r="H102" s="109" t="s">
        <v>241</v>
      </c>
      <c r="I102" s="212">
        <v>4.54</v>
      </c>
      <c r="J102" s="218">
        <v>0</v>
      </c>
      <c r="K102" s="219">
        <f t="shared" si="3"/>
        <v>0</v>
      </c>
      <c r="L102" s="149">
        <v>10</v>
      </c>
      <c r="M102" s="216">
        <f t="shared" si="0"/>
        <v>45.4</v>
      </c>
      <c r="N102" s="218">
        <v>40</v>
      </c>
      <c r="O102" s="222">
        <f t="shared" si="1"/>
        <v>181.6</v>
      </c>
      <c r="P102" s="149">
        <v>10</v>
      </c>
      <c r="Q102" s="216">
        <f t="shared" si="2"/>
        <v>45.4</v>
      </c>
      <c r="R102" s="218">
        <v>0</v>
      </c>
      <c r="S102" s="219">
        <f t="shared" si="4"/>
        <v>0</v>
      </c>
    </row>
    <row r="103" spans="1:19" ht="25.2" customHeight="1" x14ac:dyDescent="0.3">
      <c r="A103" s="251" t="s">
        <v>288</v>
      </c>
      <c r="B103" s="246"/>
      <c r="C103" s="246"/>
      <c r="D103" s="246"/>
      <c r="E103" s="246"/>
      <c r="F103" s="246"/>
      <c r="G103" s="246"/>
      <c r="H103" s="109" t="s">
        <v>50</v>
      </c>
      <c r="I103" s="212">
        <v>4.3600000000000003</v>
      </c>
      <c r="J103" s="218">
        <v>1</v>
      </c>
      <c r="K103" s="219">
        <f t="shared" si="3"/>
        <v>4.3600000000000003</v>
      </c>
      <c r="L103" s="149">
        <v>3</v>
      </c>
      <c r="M103" s="216">
        <f t="shared" si="0"/>
        <v>13.080000000000002</v>
      </c>
      <c r="N103" s="218">
        <v>12</v>
      </c>
      <c r="O103" s="222">
        <f t="shared" si="1"/>
        <v>52.320000000000007</v>
      </c>
      <c r="P103" s="149">
        <v>2</v>
      </c>
      <c r="Q103" s="216">
        <f t="shared" si="2"/>
        <v>8.7200000000000006</v>
      </c>
      <c r="R103" s="218">
        <v>1</v>
      </c>
      <c r="S103" s="219">
        <f t="shared" si="4"/>
        <v>4.3600000000000003</v>
      </c>
    </row>
    <row r="104" spans="1:19" x14ac:dyDescent="0.3">
      <c r="A104" s="246" t="s">
        <v>230</v>
      </c>
      <c r="B104" s="246"/>
      <c r="C104" s="246"/>
      <c r="D104" s="246"/>
      <c r="E104" s="246"/>
      <c r="F104" s="246"/>
      <c r="G104" s="246"/>
      <c r="H104" s="109" t="s">
        <v>231</v>
      </c>
      <c r="I104" s="212">
        <v>3.03</v>
      </c>
      <c r="J104" s="218">
        <v>2</v>
      </c>
      <c r="K104" s="219">
        <f t="shared" si="3"/>
        <v>6.06</v>
      </c>
      <c r="L104" s="149">
        <v>8</v>
      </c>
      <c r="M104" s="216">
        <f t="shared" si="0"/>
        <v>24.24</v>
      </c>
      <c r="N104" s="218">
        <v>32</v>
      </c>
      <c r="O104" s="222">
        <f t="shared" si="1"/>
        <v>96.96</v>
      </c>
      <c r="P104" s="149">
        <v>6</v>
      </c>
      <c r="Q104" s="216">
        <f t="shared" si="2"/>
        <v>18.18</v>
      </c>
      <c r="R104" s="218">
        <v>1</v>
      </c>
      <c r="S104" s="219">
        <f t="shared" si="4"/>
        <v>3.03</v>
      </c>
    </row>
    <row r="105" spans="1:19" x14ac:dyDescent="0.3">
      <c r="A105" s="246" t="s">
        <v>306</v>
      </c>
      <c r="B105" s="246"/>
      <c r="C105" s="246"/>
      <c r="D105" s="246"/>
      <c r="E105" s="246"/>
      <c r="F105" s="246"/>
      <c r="G105" s="246"/>
      <c r="H105" s="109" t="s">
        <v>50</v>
      </c>
      <c r="I105" s="212">
        <v>4.1500000000000004</v>
      </c>
      <c r="J105" s="218">
        <v>2</v>
      </c>
      <c r="K105" s="219">
        <f t="shared" si="3"/>
        <v>8.3000000000000007</v>
      </c>
      <c r="L105" s="149">
        <v>5</v>
      </c>
      <c r="M105" s="216">
        <f t="shared" si="0"/>
        <v>20.75</v>
      </c>
      <c r="N105" s="218">
        <v>20</v>
      </c>
      <c r="O105" s="222">
        <f t="shared" si="1"/>
        <v>83</v>
      </c>
      <c r="P105" s="149">
        <v>8</v>
      </c>
      <c r="Q105" s="216">
        <f t="shared" si="2"/>
        <v>33.200000000000003</v>
      </c>
      <c r="R105" s="218">
        <v>2</v>
      </c>
      <c r="S105" s="219">
        <f t="shared" si="4"/>
        <v>8.3000000000000007</v>
      </c>
    </row>
    <row r="106" spans="1:19" ht="42" customHeight="1" x14ac:dyDescent="0.3">
      <c r="A106" s="241" t="s">
        <v>232</v>
      </c>
      <c r="B106" s="241"/>
      <c r="C106" s="241"/>
      <c r="D106" s="241"/>
      <c r="E106" s="241"/>
      <c r="F106" s="241"/>
      <c r="G106" s="241"/>
      <c r="H106" s="154" t="s">
        <v>242</v>
      </c>
      <c r="I106" s="212">
        <v>31.83</v>
      </c>
      <c r="J106" s="218">
        <v>4</v>
      </c>
      <c r="K106" s="219">
        <f t="shared" si="3"/>
        <v>127.32</v>
      </c>
      <c r="L106" s="149">
        <v>6</v>
      </c>
      <c r="M106" s="216">
        <f t="shared" si="0"/>
        <v>190.98</v>
      </c>
      <c r="N106" s="218">
        <v>24</v>
      </c>
      <c r="O106" s="222">
        <f t="shared" si="1"/>
        <v>763.92</v>
      </c>
      <c r="P106" s="149">
        <v>6</v>
      </c>
      <c r="Q106" s="216">
        <f t="shared" si="2"/>
        <v>190.98</v>
      </c>
      <c r="R106" s="218">
        <v>1</v>
      </c>
      <c r="S106" s="219">
        <f t="shared" si="4"/>
        <v>31.83</v>
      </c>
    </row>
    <row r="107" spans="1:19" s="97" customFormat="1" ht="27" customHeight="1" x14ac:dyDescent="0.3">
      <c r="A107" s="241" t="s">
        <v>289</v>
      </c>
      <c r="B107" s="241"/>
      <c r="C107" s="241"/>
      <c r="D107" s="241"/>
      <c r="E107" s="241"/>
      <c r="F107" s="241"/>
      <c r="G107" s="241"/>
      <c r="H107" s="154" t="s">
        <v>290</v>
      </c>
      <c r="I107" s="211">
        <v>4.6100000000000003</v>
      </c>
      <c r="J107" s="218">
        <v>0</v>
      </c>
      <c r="K107" s="219">
        <f t="shared" si="3"/>
        <v>0</v>
      </c>
      <c r="L107" s="149">
        <v>4</v>
      </c>
      <c r="M107" s="216">
        <f t="shared" si="0"/>
        <v>18.440000000000001</v>
      </c>
      <c r="N107" s="218">
        <v>16</v>
      </c>
      <c r="O107" s="222">
        <f t="shared" si="1"/>
        <v>73.760000000000005</v>
      </c>
      <c r="P107" s="149">
        <v>0</v>
      </c>
      <c r="Q107" s="216">
        <f t="shared" si="2"/>
        <v>0</v>
      </c>
      <c r="R107" s="218">
        <v>1</v>
      </c>
      <c r="S107" s="219">
        <f t="shared" si="4"/>
        <v>4.6100000000000003</v>
      </c>
    </row>
    <row r="108" spans="1:19" ht="29.4" customHeight="1" x14ac:dyDescent="0.3">
      <c r="A108" s="241" t="s">
        <v>291</v>
      </c>
      <c r="B108" s="241"/>
      <c r="C108" s="241"/>
      <c r="D108" s="241"/>
      <c r="E108" s="241"/>
      <c r="F108" s="241"/>
      <c r="G108" s="241"/>
      <c r="H108" s="162" t="s">
        <v>292</v>
      </c>
      <c r="I108" s="212">
        <v>13.15</v>
      </c>
      <c r="J108" s="218">
        <v>2</v>
      </c>
      <c r="K108" s="219">
        <f t="shared" si="3"/>
        <v>26.3</v>
      </c>
      <c r="L108" s="149">
        <v>10</v>
      </c>
      <c r="M108" s="216">
        <f t="shared" si="0"/>
        <v>131.5</v>
      </c>
      <c r="N108" s="218">
        <v>40</v>
      </c>
      <c r="O108" s="222">
        <f t="shared" si="1"/>
        <v>526</v>
      </c>
      <c r="P108" s="149">
        <v>6</v>
      </c>
      <c r="Q108" s="216">
        <f t="shared" si="2"/>
        <v>78.900000000000006</v>
      </c>
      <c r="R108" s="218">
        <v>1</v>
      </c>
      <c r="S108" s="219">
        <f t="shared" si="4"/>
        <v>13.15</v>
      </c>
    </row>
    <row r="109" spans="1:19" x14ac:dyDescent="0.3">
      <c r="A109" s="246" t="s">
        <v>293</v>
      </c>
      <c r="B109" s="246"/>
      <c r="C109" s="246"/>
      <c r="D109" s="246"/>
      <c r="E109" s="246"/>
      <c r="F109" s="246"/>
      <c r="G109" s="246"/>
      <c r="H109" s="109" t="s">
        <v>50</v>
      </c>
      <c r="I109" s="212">
        <v>1.23</v>
      </c>
      <c r="J109" s="218">
        <v>5</v>
      </c>
      <c r="K109" s="219">
        <f t="shared" si="3"/>
        <v>6.15</v>
      </c>
      <c r="L109" s="149">
        <v>5</v>
      </c>
      <c r="M109" s="216">
        <f t="shared" si="0"/>
        <v>6.15</v>
      </c>
      <c r="N109" s="218">
        <v>20</v>
      </c>
      <c r="O109" s="222">
        <f t="shared" si="1"/>
        <v>24.6</v>
      </c>
      <c r="P109" s="149">
        <v>10</v>
      </c>
      <c r="Q109" s="216">
        <f t="shared" si="2"/>
        <v>12.3</v>
      </c>
      <c r="R109" s="218">
        <v>5</v>
      </c>
      <c r="S109" s="219">
        <f t="shared" si="4"/>
        <v>6.15</v>
      </c>
    </row>
    <row r="110" spans="1:19" s="97" customFormat="1" x14ac:dyDescent="0.3">
      <c r="A110" s="246" t="s">
        <v>233</v>
      </c>
      <c r="B110" s="246"/>
      <c r="C110" s="246"/>
      <c r="D110" s="246"/>
      <c r="E110" s="246"/>
      <c r="F110" s="246"/>
      <c r="G110" s="246"/>
      <c r="H110" s="109" t="s">
        <v>243</v>
      </c>
      <c r="I110" s="212">
        <v>5.89</v>
      </c>
      <c r="J110" s="218">
        <v>1</v>
      </c>
      <c r="K110" s="219">
        <f t="shared" si="3"/>
        <v>5.89</v>
      </c>
      <c r="L110" s="149">
        <v>2</v>
      </c>
      <c r="M110" s="216">
        <f t="shared" si="0"/>
        <v>11.78</v>
      </c>
      <c r="N110" s="218">
        <v>8</v>
      </c>
      <c r="O110" s="222">
        <f t="shared" si="1"/>
        <v>47.12</v>
      </c>
      <c r="P110" s="149">
        <v>0</v>
      </c>
      <c r="Q110" s="216">
        <f t="shared" si="2"/>
        <v>0</v>
      </c>
      <c r="R110" s="218">
        <v>1</v>
      </c>
      <c r="S110" s="219">
        <f t="shared" si="4"/>
        <v>5.89</v>
      </c>
    </row>
    <row r="111" spans="1:19" ht="29.4" customHeight="1" x14ac:dyDescent="0.3">
      <c r="A111" s="241" t="s">
        <v>234</v>
      </c>
      <c r="B111" s="241"/>
      <c r="C111" s="241"/>
      <c r="D111" s="241"/>
      <c r="E111" s="241"/>
      <c r="F111" s="241"/>
      <c r="G111" s="241"/>
      <c r="H111" s="109" t="s">
        <v>241</v>
      </c>
      <c r="I111" s="212">
        <v>4.41</v>
      </c>
      <c r="J111" s="218">
        <v>2</v>
      </c>
      <c r="K111" s="219">
        <f t="shared" si="3"/>
        <v>8.82</v>
      </c>
      <c r="L111" s="149">
        <v>10</v>
      </c>
      <c r="M111" s="216">
        <f t="shared" si="0"/>
        <v>44.1</v>
      </c>
      <c r="N111" s="218">
        <v>40</v>
      </c>
      <c r="O111" s="222">
        <f t="shared" si="1"/>
        <v>176.4</v>
      </c>
      <c r="P111" s="149">
        <v>10</v>
      </c>
      <c r="Q111" s="216">
        <f t="shared" si="2"/>
        <v>44.1</v>
      </c>
      <c r="R111" s="218">
        <v>5</v>
      </c>
      <c r="S111" s="219">
        <f t="shared" si="4"/>
        <v>22.05</v>
      </c>
    </row>
    <row r="112" spans="1:19" x14ac:dyDescent="0.3">
      <c r="A112" s="246" t="s">
        <v>235</v>
      </c>
      <c r="B112" s="246"/>
      <c r="C112" s="246"/>
      <c r="D112" s="246"/>
      <c r="E112" s="246"/>
      <c r="F112" s="246"/>
      <c r="G112" s="246"/>
      <c r="H112" s="109" t="s">
        <v>244</v>
      </c>
      <c r="I112" s="212">
        <v>12.17</v>
      </c>
      <c r="J112" s="218">
        <v>1</v>
      </c>
      <c r="K112" s="219">
        <f t="shared" si="3"/>
        <v>12.17</v>
      </c>
      <c r="L112" s="149">
        <v>2</v>
      </c>
      <c r="M112" s="216">
        <f t="shared" si="0"/>
        <v>24.34</v>
      </c>
      <c r="N112" s="218">
        <v>8</v>
      </c>
      <c r="O112" s="222">
        <f t="shared" si="1"/>
        <v>97.36</v>
      </c>
      <c r="P112" s="149">
        <v>1</v>
      </c>
      <c r="Q112" s="216">
        <f t="shared" si="2"/>
        <v>12.17</v>
      </c>
      <c r="R112" s="218">
        <v>1</v>
      </c>
      <c r="S112" s="219">
        <f t="shared" si="4"/>
        <v>12.17</v>
      </c>
    </row>
    <row r="113" spans="1:20" x14ac:dyDescent="0.3">
      <c r="A113" s="246" t="s">
        <v>236</v>
      </c>
      <c r="B113" s="246"/>
      <c r="C113" s="246"/>
      <c r="D113" s="246"/>
      <c r="E113" s="246"/>
      <c r="F113" s="246"/>
      <c r="G113" s="246"/>
      <c r="H113" s="109" t="s">
        <v>244</v>
      </c>
      <c r="I113" s="212">
        <v>12.58</v>
      </c>
      <c r="J113" s="218">
        <v>1</v>
      </c>
      <c r="K113" s="219">
        <f t="shared" si="3"/>
        <v>12.58</v>
      </c>
      <c r="L113" s="149">
        <v>2</v>
      </c>
      <c r="M113" s="216">
        <f t="shared" si="0"/>
        <v>25.16</v>
      </c>
      <c r="N113" s="218">
        <v>8</v>
      </c>
      <c r="O113" s="222">
        <f t="shared" si="1"/>
        <v>100.64</v>
      </c>
      <c r="P113" s="149">
        <v>1</v>
      </c>
      <c r="Q113" s="216">
        <f t="shared" si="2"/>
        <v>12.58</v>
      </c>
      <c r="R113" s="218">
        <v>0</v>
      </c>
      <c r="S113" s="219">
        <f t="shared" si="4"/>
        <v>0</v>
      </c>
    </row>
    <row r="114" spans="1:20" x14ac:dyDescent="0.3">
      <c r="A114" s="246" t="s">
        <v>237</v>
      </c>
      <c r="B114" s="246"/>
      <c r="C114" s="246"/>
      <c r="D114" s="246"/>
      <c r="E114" s="246"/>
      <c r="F114" s="246"/>
      <c r="G114" s="246"/>
      <c r="H114" s="109" t="s">
        <v>244</v>
      </c>
      <c r="I114" s="212">
        <v>19.829999999999998</v>
      </c>
      <c r="J114" s="218">
        <v>0</v>
      </c>
      <c r="K114" s="219">
        <f t="shared" si="3"/>
        <v>0</v>
      </c>
      <c r="L114" s="149">
        <v>2</v>
      </c>
      <c r="M114" s="216">
        <f t="shared" si="0"/>
        <v>39.659999999999997</v>
      </c>
      <c r="N114" s="218">
        <v>8</v>
      </c>
      <c r="O114" s="222">
        <f t="shared" si="1"/>
        <v>158.63999999999999</v>
      </c>
      <c r="P114" s="149">
        <v>1</v>
      </c>
      <c r="Q114" s="216">
        <f t="shared" si="2"/>
        <v>19.829999999999998</v>
      </c>
      <c r="R114" s="218">
        <v>1</v>
      </c>
      <c r="S114" s="219">
        <f t="shared" si="4"/>
        <v>19.829999999999998</v>
      </c>
    </row>
    <row r="115" spans="1:20" x14ac:dyDescent="0.3">
      <c r="A115" s="246" t="s">
        <v>238</v>
      </c>
      <c r="B115" s="246"/>
      <c r="C115" s="246"/>
      <c r="D115" s="246"/>
      <c r="E115" s="246"/>
      <c r="F115" s="246"/>
      <c r="G115" s="246"/>
      <c r="H115" s="109" t="s">
        <v>244</v>
      </c>
      <c r="I115" s="212">
        <v>12.85</v>
      </c>
      <c r="J115" s="218">
        <v>0</v>
      </c>
      <c r="K115" s="219">
        <f t="shared" si="3"/>
        <v>0</v>
      </c>
      <c r="L115" s="149">
        <v>2</v>
      </c>
      <c r="M115" s="216">
        <f t="shared" si="0"/>
        <v>25.7</v>
      </c>
      <c r="N115" s="218">
        <v>8</v>
      </c>
      <c r="O115" s="222">
        <f t="shared" si="1"/>
        <v>102.8</v>
      </c>
      <c r="P115" s="149">
        <v>1</v>
      </c>
      <c r="Q115" s="216">
        <f t="shared" si="2"/>
        <v>12.85</v>
      </c>
      <c r="R115" s="218">
        <v>0</v>
      </c>
      <c r="S115" s="219">
        <f t="shared" si="4"/>
        <v>0</v>
      </c>
    </row>
    <row r="116" spans="1:20" x14ac:dyDescent="0.3">
      <c r="A116" s="246" t="s">
        <v>239</v>
      </c>
      <c r="B116" s="246"/>
      <c r="C116" s="246"/>
      <c r="D116" s="246"/>
      <c r="E116" s="246"/>
      <c r="F116" s="246"/>
      <c r="G116" s="246"/>
      <c r="H116" s="109" t="s">
        <v>244</v>
      </c>
      <c r="I116" s="212">
        <v>17.579999999999998</v>
      </c>
      <c r="J116" s="218">
        <v>0</v>
      </c>
      <c r="K116" s="219">
        <f t="shared" si="3"/>
        <v>0</v>
      </c>
      <c r="L116" s="149">
        <v>2</v>
      </c>
      <c r="M116" s="216">
        <f t="shared" si="0"/>
        <v>35.159999999999997</v>
      </c>
      <c r="N116" s="218">
        <v>8</v>
      </c>
      <c r="O116" s="222">
        <f t="shared" si="1"/>
        <v>140.63999999999999</v>
      </c>
      <c r="P116" s="149">
        <v>1</v>
      </c>
      <c r="Q116" s="216">
        <f t="shared" si="2"/>
        <v>17.579999999999998</v>
      </c>
      <c r="R116" s="218">
        <v>0</v>
      </c>
      <c r="S116" s="219">
        <f t="shared" si="4"/>
        <v>0</v>
      </c>
    </row>
    <row r="117" spans="1:20" x14ac:dyDescent="0.3">
      <c r="A117" s="246" t="s">
        <v>240</v>
      </c>
      <c r="B117" s="246"/>
      <c r="C117" s="246"/>
      <c r="D117" s="246"/>
      <c r="E117" s="246"/>
      <c r="F117" s="246"/>
      <c r="G117" s="246"/>
      <c r="H117" s="109" t="s">
        <v>243</v>
      </c>
      <c r="I117" s="212">
        <v>12.59</v>
      </c>
      <c r="J117" s="218">
        <v>0</v>
      </c>
      <c r="K117" s="219">
        <f t="shared" si="3"/>
        <v>0</v>
      </c>
      <c r="L117" s="149">
        <v>1</v>
      </c>
      <c r="M117" s="216">
        <f t="shared" si="0"/>
        <v>12.59</v>
      </c>
      <c r="N117" s="218">
        <v>4</v>
      </c>
      <c r="O117" s="222">
        <f t="shared" si="1"/>
        <v>50.36</v>
      </c>
      <c r="P117" s="149">
        <v>0</v>
      </c>
      <c r="Q117" s="216">
        <f t="shared" si="2"/>
        <v>0</v>
      </c>
      <c r="R117" s="218">
        <v>0</v>
      </c>
      <c r="S117" s="219">
        <f t="shared" si="4"/>
        <v>0</v>
      </c>
    </row>
    <row r="118" spans="1:20" x14ac:dyDescent="0.3">
      <c r="A118" s="246" t="s">
        <v>294</v>
      </c>
      <c r="B118" s="246"/>
      <c r="C118" s="246"/>
      <c r="D118" s="246"/>
      <c r="E118" s="246"/>
      <c r="F118" s="246"/>
      <c r="G118" s="246"/>
      <c r="H118" s="109" t="s">
        <v>50</v>
      </c>
      <c r="I118" s="212">
        <v>3.97</v>
      </c>
      <c r="J118" s="218">
        <v>0</v>
      </c>
      <c r="K118" s="219">
        <f t="shared" si="3"/>
        <v>0</v>
      </c>
      <c r="L118" s="149">
        <v>1</v>
      </c>
      <c r="M118" s="216">
        <f t="shared" si="0"/>
        <v>3.97</v>
      </c>
      <c r="N118" s="218">
        <v>4</v>
      </c>
      <c r="O118" s="222">
        <f t="shared" si="1"/>
        <v>15.88</v>
      </c>
      <c r="P118" s="149">
        <v>0</v>
      </c>
      <c r="Q118" s="216">
        <f t="shared" si="2"/>
        <v>0</v>
      </c>
      <c r="R118" s="218">
        <v>1</v>
      </c>
      <c r="S118" s="219">
        <f t="shared" si="4"/>
        <v>3.97</v>
      </c>
    </row>
    <row r="119" spans="1:20" s="97" customFormat="1" x14ac:dyDescent="0.3">
      <c r="A119" s="240" t="s">
        <v>327</v>
      </c>
      <c r="B119" s="240"/>
      <c r="C119" s="240"/>
      <c r="D119" s="240"/>
      <c r="E119" s="240"/>
      <c r="F119" s="240"/>
      <c r="G119" s="240"/>
      <c r="H119" s="240"/>
      <c r="I119" s="240"/>
      <c r="J119" s="220" t="s">
        <v>168</v>
      </c>
      <c r="K119" s="221">
        <f>SUM(K88:K118)</f>
        <v>407.41</v>
      </c>
      <c r="L119" s="212" t="s">
        <v>29</v>
      </c>
      <c r="M119" s="212">
        <f>SUM(M88:M118)</f>
        <v>1013.97</v>
      </c>
      <c r="N119" s="221" t="s">
        <v>26</v>
      </c>
      <c r="O119" s="221">
        <f>SUM(O88:O118)</f>
        <v>4055.88</v>
      </c>
      <c r="P119" s="2" t="s">
        <v>27</v>
      </c>
      <c r="Q119" s="4">
        <f>SUM(Q88:Q118)</f>
        <v>789.78000000000009</v>
      </c>
      <c r="R119" s="224" t="s">
        <v>28</v>
      </c>
      <c r="S119" s="225">
        <f>SUM(S88:S118)</f>
        <v>321.72000000000003</v>
      </c>
    </row>
    <row r="120" spans="1:20" s="97" customFormat="1" x14ac:dyDescent="0.3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88"/>
      <c r="N120" s="217"/>
      <c r="O120" s="217"/>
    </row>
    <row r="121" spans="1:20" x14ac:dyDescent="0.3">
      <c r="A121" s="252" t="s">
        <v>247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</row>
    <row r="122" spans="1:20" s="97" customFormat="1" x14ac:dyDescent="0.3">
      <c r="A122" s="240" t="s">
        <v>211</v>
      </c>
      <c r="B122" s="240"/>
      <c r="C122" s="240"/>
      <c r="D122" s="240"/>
      <c r="E122" s="240"/>
      <c r="F122" s="240"/>
      <c r="G122" s="240"/>
      <c r="H122" s="109" t="s">
        <v>50</v>
      </c>
      <c r="I122" s="109" t="s">
        <v>245</v>
      </c>
      <c r="J122" s="249" t="s">
        <v>168</v>
      </c>
      <c r="K122" s="250"/>
      <c r="L122" s="242" t="s">
        <v>29</v>
      </c>
      <c r="M122" s="244"/>
      <c r="N122" s="248" t="s">
        <v>26</v>
      </c>
      <c r="O122" s="248"/>
      <c r="P122" s="240" t="s">
        <v>27</v>
      </c>
      <c r="Q122" s="242"/>
      <c r="R122" s="248" t="s">
        <v>28</v>
      </c>
      <c r="S122" s="248"/>
    </row>
    <row r="123" spans="1:20" ht="14.4" customHeight="1" x14ac:dyDescent="0.3">
      <c r="A123" s="292" t="s">
        <v>248</v>
      </c>
      <c r="B123" s="292"/>
      <c r="C123" s="292"/>
      <c r="D123" s="292"/>
      <c r="E123" s="292"/>
      <c r="F123" s="292"/>
      <c r="G123" s="292"/>
      <c r="H123" s="149" t="s">
        <v>50</v>
      </c>
      <c r="I123" s="149">
        <v>4.8099999999999996</v>
      </c>
      <c r="J123" s="218">
        <v>1</v>
      </c>
      <c r="K123" s="222">
        <f>(I123*J123)/6</f>
        <v>0.80166666666666664</v>
      </c>
      <c r="L123" s="149">
        <v>8</v>
      </c>
      <c r="M123" s="212">
        <f>(I123*L123)/6</f>
        <v>6.4133333333333331</v>
      </c>
      <c r="N123" s="218">
        <v>32</v>
      </c>
      <c r="O123" s="222">
        <f>(I123*N123)/6</f>
        <v>25.653333333333332</v>
      </c>
      <c r="P123" s="149">
        <v>3</v>
      </c>
      <c r="Q123" s="214">
        <f>(I123*P123)/6</f>
        <v>2.4049999999999998</v>
      </c>
      <c r="R123" s="218">
        <v>6</v>
      </c>
      <c r="S123" s="222">
        <f>(I123*R123)/6</f>
        <v>4.8099999999999996</v>
      </c>
      <c r="T123" t="s">
        <v>258</v>
      </c>
    </row>
    <row r="124" spans="1:20" ht="14.4" customHeight="1" x14ac:dyDescent="0.3">
      <c r="A124" s="246" t="s">
        <v>295</v>
      </c>
      <c r="B124" s="246"/>
      <c r="C124" s="246"/>
      <c r="D124" s="246"/>
      <c r="E124" s="246"/>
      <c r="F124" s="246"/>
      <c r="G124" s="246"/>
      <c r="H124" s="109" t="s">
        <v>50</v>
      </c>
      <c r="I124" s="109">
        <v>11.25</v>
      </c>
      <c r="J124" s="220">
        <v>2</v>
      </c>
      <c r="K124" s="222">
        <f t="shared" ref="K124:K133" si="5">(I124*J124)/6</f>
        <v>3.75</v>
      </c>
      <c r="L124" s="185">
        <v>4</v>
      </c>
      <c r="M124" s="212">
        <f t="shared" ref="M124:M133" si="6">(I124*L124)/6</f>
        <v>7.5</v>
      </c>
      <c r="N124" s="218">
        <v>16</v>
      </c>
      <c r="O124" s="222">
        <f>(I124*N124)/6</f>
        <v>30</v>
      </c>
      <c r="P124" s="185">
        <v>3</v>
      </c>
      <c r="Q124" s="211">
        <f t="shared" ref="Q124:Q133" si="7">(I124*P124)/6</f>
        <v>5.625</v>
      </c>
      <c r="R124" s="220">
        <v>1</v>
      </c>
      <c r="S124" s="222">
        <f t="shared" ref="S124:S133" si="8">(I124*R124)/6</f>
        <v>1.875</v>
      </c>
    </row>
    <row r="125" spans="1:20" ht="14.4" customHeight="1" x14ac:dyDescent="0.3">
      <c r="A125" s="246" t="s">
        <v>275</v>
      </c>
      <c r="B125" s="246"/>
      <c r="C125" s="246"/>
      <c r="D125" s="246"/>
      <c r="E125" s="246"/>
      <c r="F125" s="246"/>
      <c r="G125" s="246"/>
      <c r="H125" s="109" t="s">
        <v>50</v>
      </c>
      <c r="I125" s="109">
        <v>9.5299999999999994</v>
      </c>
      <c r="J125" s="220">
        <v>1</v>
      </c>
      <c r="K125" s="222">
        <f t="shared" si="5"/>
        <v>1.5883333333333332</v>
      </c>
      <c r="L125" s="185">
        <v>3</v>
      </c>
      <c r="M125" s="212">
        <f t="shared" si="6"/>
        <v>4.7649999999999997</v>
      </c>
      <c r="N125" s="218">
        <v>12</v>
      </c>
      <c r="O125" s="222">
        <f t="shared" ref="O125:O133" si="9">(I125*N125)/6</f>
        <v>19.059999999999999</v>
      </c>
      <c r="P125" s="185">
        <v>1</v>
      </c>
      <c r="Q125" s="211">
        <f t="shared" si="7"/>
        <v>1.5883333333333332</v>
      </c>
      <c r="R125" s="220">
        <v>1</v>
      </c>
      <c r="S125" s="222">
        <f t="shared" si="8"/>
        <v>1.5883333333333332</v>
      </c>
    </row>
    <row r="126" spans="1:20" x14ac:dyDescent="0.3">
      <c r="A126" s="246" t="s">
        <v>307</v>
      </c>
      <c r="B126" s="246"/>
      <c r="C126" s="246"/>
      <c r="D126" s="246"/>
      <c r="E126" s="246"/>
      <c r="F126" s="246"/>
      <c r="G126" s="246"/>
      <c r="H126" s="118" t="s">
        <v>50</v>
      </c>
      <c r="I126" s="109">
        <v>11.36</v>
      </c>
      <c r="J126" s="220">
        <v>1</v>
      </c>
      <c r="K126" s="222">
        <f t="shared" si="5"/>
        <v>1.8933333333333333</v>
      </c>
      <c r="L126" s="185">
        <v>4</v>
      </c>
      <c r="M126" s="212">
        <f t="shared" si="6"/>
        <v>7.5733333333333333</v>
      </c>
      <c r="N126" s="218">
        <v>16</v>
      </c>
      <c r="O126" s="222">
        <f t="shared" si="9"/>
        <v>30.293333333333333</v>
      </c>
      <c r="P126" s="185">
        <v>2</v>
      </c>
      <c r="Q126" s="211">
        <f t="shared" si="7"/>
        <v>3.7866666666666666</v>
      </c>
      <c r="R126" s="220">
        <v>1</v>
      </c>
      <c r="S126" s="222">
        <f t="shared" si="8"/>
        <v>1.8933333333333333</v>
      </c>
    </row>
    <row r="127" spans="1:20" ht="14.4" customHeight="1" x14ac:dyDescent="0.3">
      <c r="A127" s="246" t="s">
        <v>296</v>
      </c>
      <c r="B127" s="246"/>
      <c r="C127" s="246"/>
      <c r="D127" s="246"/>
      <c r="E127" s="246"/>
      <c r="F127" s="246"/>
      <c r="G127" s="246"/>
      <c r="H127" s="118" t="s">
        <v>50</v>
      </c>
      <c r="I127" s="109">
        <v>16.61</v>
      </c>
      <c r="J127" s="220">
        <v>1</v>
      </c>
      <c r="K127" s="222">
        <f t="shared" si="5"/>
        <v>2.7683333333333331</v>
      </c>
      <c r="L127" s="185">
        <v>4</v>
      </c>
      <c r="M127" s="212">
        <f t="shared" si="6"/>
        <v>11.073333333333332</v>
      </c>
      <c r="N127" s="218">
        <v>16</v>
      </c>
      <c r="O127" s="222">
        <f t="shared" si="9"/>
        <v>44.293333333333329</v>
      </c>
      <c r="P127" s="185">
        <v>1</v>
      </c>
      <c r="Q127" s="211">
        <f t="shared" si="7"/>
        <v>2.7683333333333331</v>
      </c>
      <c r="R127" s="220">
        <v>0</v>
      </c>
      <c r="S127" s="222">
        <f t="shared" si="8"/>
        <v>0</v>
      </c>
    </row>
    <row r="128" spans="1:20" x14ac:dyDescent="0.3">
      <c r="A128" s="246" t="s">
        <v>297</v>
      </c>
      <c r="B128" s="246"/>
      <c r="C128" s="246"/>
      <c r="D128" s="246"/>
      <c r="E128" s="246"/>
      <c r="F128" s="246"/>
      <c r="G128" s="246"/>
      <c r="H128" s="118" t="s">
        <v>50</v>
      </c>
      <c r="I128" s="109">
        <v>34.450000000000003</v>
      </c>
      <c r="J128" s="220">
        <v>0</v>
      </c>
      <c r="K128" s="222">
        <f t="shared" si="5"/>
        <v>0</v>
      </c>
      <c r="L128" s="185">
        <v>4</v>
      </c>
      <c r="M128" s="212">
        <f t="shared" si="6"/>
        <v>22.966666666666669</v>
      </c>
      <c r="N128" s="218">
        <v>16</v>
      </c>
      <c r="O128" s="222">
        <f t="shared" si="9"/>
        <v>91.866666666666674</v>
      </c>
      <c r="P128" s="185">
        <v>2</v>
      </c>
      <c r="Q128" s="211">
        <f t="shared" si="7"/>
        <v>11.483333333333334</v>
      </c>
      <c r="R128" s="220">
        <v>1</v>
      </c>
      <c r="S128" s="222">
        <f t="shared" si="8"/>
        <v>5.7416666666666671</v>
      </c>
    </row>
    <row r="129" spans="1:19" x14ac:dyDescent="0.3">
      <c r="A129" s="246" t="s">
        <v>249</v>
      </c>
      <c r="B129" s="246"/>
      <c r="C129" s="246"/>
      <c r="D129" s="246"/>
      <c r="E129" s="246"/>
      <c r="F129" s="246"/>
      <c r="G129" s="246"/>
      <c r="H129" s="118" t="s">
        <v>50</v>
      </c>
      <c r="I129" s="109">
        <v>7.45</v>
      </c>
      <c r="J129" s="220">
        <v>0</v>
      </c>
      <c r="K129" s="222">
        <f t="shared" si="5"/>
        <v>0</v>
      </c>
      <c r="L129" s="185">
        <v>3</v>
      </c>
      <c r="M129" s="212">
        <f t="shared" si="6"/>
        <v>3.7250000000000001</v>
      </c>
      <c r="N129" s="218">
        <v>12</v>
      </c>
      <c r="O129" s="222">
        <f t="shared" si="9"/>
        <v>14.9</v>
      </c>
      <c r="P129" s="185">
        <v>1</v>
      </c>
      <c r="Q129" s="211">
        <f t="shared" si="7"/>
        <v>1.2416666666666667</v>
      </c>
      <c r="R129" s="220">
        <v>1</v>
      </c>
      <c r="S129" s="222">
        <f t="shared" si="8"/>
        <v>1.2416666666666667</v>
      </c>
    </row>
    <row r="130" spans="1:19" x14ac:dyDescent="0.3">
      <c r="A130" s="246" t="s">
        <v>300</v>
      </c>
      <c r="B130" s="246"/>
      <c r="C130" s="246"/>
      <c r="D130" s="246"/>
      <c r="E130" s="246"/>
      <c r="F130" s="246"/>
      <c r="G130" s="246"/>
      <c r="H130" s="118" t="s">
        <v>50</v>
      </c>
      <c r="I130" s="109">
        <v>10.19</v>
      </c>
      <c r="J130" s="220">
        <v>0</v>
      </c>
      <c r="K130" s="222">
        <f t="shared" si="5"/>
        <v>0</v>
      </c>
      <c r="L130" s="185">
        <v>2</v>
      </c>
      <c r="M130" s="212">
        <f t="shared" si="6"/>
        <v>3.3966666666666665</v>
      </c>
      <c r="N130" s="218">
        <v>8</v>
      </c>
      <c r="O130" s="222">
        <f t="shared" si="9"/>
        <v>13.586666666666666</v>
      </c>
      <c r="P130" s="185">
        <v>1</v>
      </c>
      <c r="Q130" s="211">
        <f t="shared" si="7"/>
        <v>1.6983333333333333</v>
      </c>
      <c r="R130" s="220">
        <v>0</v>
      </c>
      <c r="S130" s="222">
        <f t="shared" si="8"/>
        <v>0</v>
      </c>
    </row>
    <row r="131" spans="1:19" x14ac:dyDescent="0.3">
      <c r="A131" s="246" t="s">
        <v>250</v>
      </c>
      <c r="B131" s="246"/>
      <c r="C131" s="246"/>
      <c r="D131" s="246"/>
      <c r="E131" s="246"/>
      <c r="F131" s="246"/>
      <c r="G131" s="246"/>
      <c r="H131" s="118" t="s">
        <v>50</v>
      </c>
      <c r="I131" s="109">
        <v>11.82</v>
      </c>
      <c r="J131" s="220">
        <v>0</v>
      </c>
      <c r="K131" s="222">
        <f t="shared" si="5"/>
        <v>0</v>
      </c>
      <c r="L131" s="185">
        <v>2</v>
      </c>
      <c r="M131" s="212">
        <f t="shared" si="6"/>
        <v>3.94</v>
      </c>
      <c r="N131" s="218">
        <v>8</v>
      </c>
      <c r="O131" s="222">
        <f t="shared" si="9"/>
        <v>15.76</v>
      </c>
      <c r="P131" s="185">
        <v>1</v>
      </c>
      <c r="Q131" s="211">
        <f t="shared" si="7"/>
        <v>1.97</v>
      </c>
      <c r="R131" s="220">
        <v>1</v>
      </c>
      <c r="S131" s="222">
        <f t="shared" si="8"/>
        <v>1.97</v>
      </c>
    </row>
    <row r="132" spans="1:19" x14ac:dyDescent="0.3">
      <c r="A132" s="246" t="s">
        <v>298</v>
      </c>
      <c r="B132" s="246"/>
      <c r="C132" s="246"/>
      <c r="D132" s="246"/>
      <c r="E132" s="246"/>
      <c r="F132" s="246"/>
      <c r="G132" s="246"/>
      <c r="H132" s="118" t="s">
        <v>50</v>
      </c>
      <c r="I132" s="109">
        <v>12.95</v>
      </c>
      <c r="J132" s="220">
        <v>1</v>
      </c>
      <c r="K132" s="222">
        <f t="shared" si="5"/>
        <v>2.1583333333333332</v>
      </c>
      <c r="L132" s="185">
        <v>2</v>
      </c>
      <c r="M132" s="212">
        <f t="shared" si="6"/>
        <v>4.3166666666666664</v>
      </c>
      <c r="N132" s="218">
        <v>8</v>
      </c>
      <c r="O132" s="222">
        <f t="shared" si="9"/>
        <v>17.266666666666666</v>
      </c>
      <c r="P132" s="185">
        <v>1</v>
      </c>
      <c r="Q132" s="211">
        <f t="shared" si="7"/>
        <v>2.1583333333333332</v>
      </c>
      <c r="R132" s="220">
        <v>1</v>
      </c>
      <c r="S132" s="222">
        <f t="shared" si="8"/>
        <v>2.1583333333333332</v>
      </c>
    </row>
    <row r="133" spans="1:19" x14ac:dyDescent="0.3">
      <c r="A133" s="246" t="s">
        <v>299</v>
      </c>
      <c r="B133" s="246"/>
      <c r="C133" s="246"/>
      <c r="D133" s="246"/>
      <c r="E133" s="246"/>
      <c r="F133" s="246"/>
      <c r="G133" s="246"/>
      <c r="H133" s="118" t="s">
        <v>50</v>
      </c>
      <c r="I133" s="109">
        <v>12.32</v>
      </c>
      <c r="J133" s="220">
        <v>1</v>
      </c>
      <c r="K133" s="222">
        <f t="shared" si="5"/>
        <v>2.0533333333333332</v>
      </c>
      <c r="L133" s="185">
        <v>2</v>
      </c>
      <c r="M133" s="212">
        <f t="shared" si="6"/>
        <v>4.1066666666666665</v>
      </c>
      <c r="N133" s="218">
        <v>8</v>
      </c>
      <c r="O133" s="222">
        <f t="shared" si="9"/>
        <v>16.426666666666666</v>
      </c>
      <c r="P133" s="185">
        <v>1</v>
      </c>
      <c r="Q133" s="211">
        <f t="shared" si="7"/>
        <v>2.0533333333333332</v>
      </c>
      <c r="R133" s="220">
        <v>1</v>
      </c>
      <c r="S133" s="222">
        <f t="shared" si="8"/>
        <v>2.0533333333333332</v>
      </c>
    </row>
    <row r="134" spans="1:19" s="97" customFormat="1" x14ac:dyDescent="0.3">
      <c r="A134" s="240" t="s">
        <v>328</v>
      </c>
      <c r="B134" s="240"/>
      <c r="C134" s="240"/>
      <c r="D134" s="240"/>
      <c r="E134" s="240"/>
      <c r="F134" s="240"/>
      <c r="G134" s="240"/>
      <c r="H134" s="240"/>
      <c r="I134" s="240"/>
      <c r="J134" s="220" t="s">
        <v>168</v>
      </c>
      <c r="K134" s="222">
        <f>SUM(K123:K133)</f>
        <v>15.013333333333332</v>
      </c>
      <c r="L134" s="187" t="s">
        <v>29</v>
      </c>
      <c r="M134" s="212">
        <f>SUM(M123:M133)</f>
        <v>79.776666666666657</v>
      </c>
      <c r="N134" s="221" t="s">
        <v>26</v>
      </c>
      <c r="O134" s="221">
        <f>SUM(O123:O133)</f>
        <v>319.10666666666663</v>
      </c>
      <c r="P134" s="2" t="s">
        <v>27</v>
      </c>
      <c r="Q134" s="4">
        <f>SUM(Q123:Q133)</f>
        <v>36.778333333333336</v>
      </c>
      <c r="R134" s="224" t="s">
        <v>28</v>
      </c>
      <c r="S134" s="225">
        <f>SUM(S123:S133)</f>
        <v>23.331666666666663</v>
      </c>
    </row>
    <row r="135" spans="1:19" s="97" customFormat="1" x14ac:dyDescent="0.3">
      <c r="A135" s="238"/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188"/>
      <c r="N135" s="239"/>
      <c r="O135" s="239"/>
    </row>
    <row r="136" spans="1:19" s="97" customFormat="1" x14ac:dyDescent="0.3">
      <c r="A136" s="262" t="s">
        <v>329</v>
      </c>
      <c r="B136" s="263"/>
      <c r="C136" s="263"/>
      <c r="D136" s="263"/>
      <c r="E136" s="263"/>
      <c r="F136" s="263"/>
      <c r="G136" s="263"/>
      <c r="H136" s="263"/>
      <c r="I136" s="263"/>
      <c r="J136" s="220" t="s">
        <v>168</v>
      </c>
      <c r="K136" s="221">
        <f>K119+K134</f>
        <v>422.42333333333335</v>
      </c>
      <c r="L136" s="185" t="s">
        <v>29</v>
      </c>
      <c r="M136" s="187">
        <f>M119+M134</f>
        <v>1093.7466666666667</v>
      </c>
      <c r="N136" s="221" t="s">
        <v>26</v>
      </c>
      <c r="O136" s="221">
        <f>O119+O134</f>
        <v>4374.9866666666667</v>
      </c>
      <c r="P136" s="2" t="s">
        <v>27</v>
      </c>
      <c r="Q136" s="4">
        <f>Q119+Q134</f>
        <v>826.55833333333339</v>
      </c>
      <c r="R136" s="224" t="s">
        <v>28</v>
      </c>
      <c r="S136" s="225">
        <f>S119+S134</f>
        <v>345.05166666666668</v>
      </c>
    </row>
    <row r="138" spans="1:19" x14ac:dyDescent="0.3">
      <c r="A138" s="252" t="s">
        <v>252</v>
      </c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1:19" x14ac:dyDescent="0.3">
      <c r="A139" s="240" t="s">
        <v>211</v>
      </c>
      <c r="B139" s="240"/>
      <c r="C139" s="240"/>
      <c r="D139" s="240"/>
      <c r="E139" s="240"/>
      <c r="F139" s="240"/>
      <c r="G139" s="240"/>
      <c r="H139" s="109" t="s">
        <v>50</v>
      </c>
      <c r="I139" s="109" t="s">
        <v>245</v>
      </c>
      <c r="J139" s="240" t="s">
        <v>251</v>
      </c>
      <c r="K139" s="240"/>
      <c r="L139" s="240"/>
      <c r="M139" s="242" t="s">
        <v>74</v>
      </c>
      <c r="N139" s="243"/>
      <c r="O139" s="244"/>
      <c r="P139" s="240" t="s">
        <v>257</v>
      </c>
      <c r="Q139" s="240"/>
    </row>
    <row r="140" spans="1:19" ht="42.6" customHeight="1" x14ac:dyDescent="0.3">
      <c r="A140" s="241" t="s">
        <v>301</v>
      </c>
      <c r="B140" s="241"/>
      <c r="C140" s="241"/>
      <c r="D140" s="241"/>
      <c r="E140" s="241"/>
      <c r="F140" s="241"/>
      <c r="G140" s="241"/>
      <c r="H140" s="118" t="s">
        <v>50</v>
      </c>
      <c r="I140" s="109">
        <v>5</v>
      </c>
      <c r="J140" s="245">
        <v>661.51</v>
      </c>
      <c r="K140" s="245"/>
      <c r="L140" s="245"/>
      <c r="M140" s="258">
        <f t="shared" ref="M140:M147" si="10">(I140*J140)</f>
        <v>3307.55</v>
      </c>
      <c r="N140" s="259"/>
      <c r="O140" s="260"/>
      <c r="P140" s="240">
        <v>60</v>
      </c>
      <c r="Q140" s="240"/>
    </row>
    <row r="141" spans="1:19" x14ac:dyDescent="0.3">
      <c r="A141" s="246" t="s">
        <v>302</v>
      </c>
      <c r="B141" s="246"/>
      <c r="C141" s="246"/>
      <c r="D141" s="246"/>
      <c r="E141" s="246"/>
      <c r="F141" s="246"/>
      <c r="G141" s="246"/>
      <c r="H141" s="118" t="s">
        <v>50</v>
      </c>
      <c r="I141" s="109">
        <v>5</v>
      </c>
      <c r="J141" s="245">
        <v>134.93</v>
      </c>
      <c r="K141" s="245"/>
      <c r="L141" s="245"/>
      <c r="M141" s="258">
        <f t="shared" si="10"/>
        <v>674.65000000000009</v>
      </c>
      <c r="N141" s="259"/>
      <c r="O141" s="260"/>
      <c r="P141" s="240">
        <v>60</v>
      </c>
      <c r="Q141" s="240"/>
    </row>
    <row r="142" spans="1:19" ht="42.6" customHeight="1" x14ac:dyDescent="0.3">
      <c r="A142" s="247" t="s">
        <v>303</v>
      </c>
      <c r="B142" s="247"/>
      <c r="C142" s="247"/>
      <c r="D142" s="247"/>
      <c r="E142" s="247"/>
      <c r="F142" s="247"/>
      <c r="G142" s="247"/>
      <c r="H142" s="118" t="s">
        <v>50</v>
      </c>
      <c r="I142" s="109">
        <v>5</v>
      </c>
      <c r="J142" s="245">
        <v>1147.46</v>
      </c>
      <c r="K142" s="245"/>
      <c r="L142" s="245"/>
      <c r="M142" s="258">
        <f t="shared" si="10"/>
        <v>5737.3</v>
      </c>
      <c r="N142" s="259"/>
      <c r="O142" s="260"/>
      <c r="P142" s="240">
        <v>60</v>
      </c>
      <c r="Q142" s="240"/>
    </row>
    <row r="143" spans="1:19" x14ac:dyDescent="0.3">
      <c r="A143" s="246" t="s">
        <v>253</v>
      </c>
      <c r="B143" s="246"/>
      <c r="C143" s="246"/>
      <c r="D143" s="246"/>
      <c r="E143" s="246"/>
      <c r="F143" s="246"/>
      <c r="G143" s="246"/>
      <c r="H143" s="118" t="s">
        <v>50</v>
      </c>
      <c r="I143" s="109">
        <v>5</v>
      </c>
      <c r="J143" s="245">
        <v>145.66999999999999</v>
      </c>
      <c r="K143" s="245"/>
      <c r="L143" s="245"/>
      <c r="M143" s="258">
        <f t="shared" si="10"/>
        <v>728.34999999999991</v>
      </c>
      <c r="N143" s="259"/>
      <c r="O143" s="260"/>
      <c r="P143" s="240">
        <v>60</v>
      </c>
      <c r="Q143" s="240"/>
    </row>
    <row r="144" spans="1:19" x14ac:dyDescent="0.3">
      <c r="A144" s="246" t="s">
        <v>304</v>
      </c>
      <c r="B144" s="246"/>
      <c r="C144" s="246"/>
      <c r="D144" s="246"/>
      <c r="E144" s="246"/>
      <c r="F144" s="246"/>
      <c r="G144" s="246"/>
      <c r="H144" s="118" t="s">
        <v>50</v>
      </c>
      <c r="I144" s="109">
        <v>5</v>
      </c>
      <c r="J144" s="245">
        <v>114.18</v>
      </c>
      <c r="K144" s="245"/>
      <c r="L144" s="245"/>
      <c r="M144" s="258">
        <f t="shared" si="10"/>
        <v>570.90000000000009</v>
      </c>
      <c r="N144" s="259"/>
      <c r="O144" s="260"/>
      <c r="P144" s="240">
        <v>60</v>
      </c>
      <c r="Q144" s="240"/>
    </row>
    <row r="145" spans="1:17" x14ac:dyDescent="0.3">
      <c r="A145" s="246" t="s">
        <v>254</v>
      </c>
      <c r="B145" s="246"/>
      <c r="C145" s="246"/>
      <c r="D145" s="246"/>
      <c r="E145" s="246"/>
      <c r="F145" s="246"/>
      <c r="G145" s="246"/>
      <c r="H145" s="118" t="s">
        <v>50</v>
      </c>
      <c r="I145" s="109">
        <v>5</v>
      </c>
      <c r="J145" s="245">
        <v>82.74</v>
      </c>
      <c r="K145" s="245"/>
      <c r="L145" s="245"/>
      <c r="M145" s="258">
        <f t="shared" si="10"/>
        <v>413.7</v>
      </c>
      <c r="N145" s="259"/>
      <c r="O145" s="260"/>
      <c r="P145" s="240">
        <v>60</v>
      </c>
      <c r="Q145" s="240"/>
    </row>
    <row r="146" spans="1:17" x14ac:dyDescent="0.3">
      <c r="A146" s="246" t="s">
        <v>305</v>
      </c>
      <c r="B146" s="246"/>
      <c r="C146" s="246"/>
      <c r="D146" s="246"/>
      <c r="E146" s="246"/>
      <c r="F146" s="246"/>
      <c r="G146" s="246"/>
      <c r="H146" s="118" t="s">
        <v>50</v>
      </c>
      <c r="I146" s="109">
        <v>5</v>
      </c>
      <c r="J146" s="245">
        <v>539.97</v>
      </c>
      <c r="K146" s="245"/>
      <c r="L146" s="245"/>
      <c r="M146" s="258">
        <f t="shared" si="10"/>
        <v>2699.8500000000004</v>
      </c>
      <c r="N146" s="259"/>
      <c r="O146" s="260"/>
      <c r="P146" s="240">
        <v>60</v>
      </c>
      <c r="Q146" s="240"/>
    </row>
    <row r="147" spans="1:17" ht="28.2" customHeight="1" x14ac:dyDescent="0.3">
      <c r="A147" s="247" t="s">
        <v>338</v>
      </c>
      <c r="B147" s="247"/>
      <c r="C147" s="247"/>
      <c r="D147" s="247"/>
      <c r="E147" s="247"/>
      <c r="F147" s="247"/>
      <c r="G147" s="247"/>
      <c r="H147" s="118" t="s">
        <v>50</v>
      </c>
      <c r="I147" s="109">
        <v>15</v>
      </c>
      <c r="J147" s="245">
        <v>29.43</v>
      </c>
      <c r="K147" s="245"/>
      <c r="L147" s="245"/>
      <c r="M147" s="258">
        <f t="shared" si="10"/>
        <v>441.45</v>
      </c>
      <c r="N147" s="259"/>
      <c r="O147" s="260"/>
      <c r="P147" s="240">
        <v>60</v>
      </c>
      <c r="Q147" s="240"/>
    </row>
    <row r="148" spans="1:17" s="97" customFormat="1" ht="28.2" customHeight="1" x14ac:dyDescent="0.3">
      <c r="A148" s="240" t="s">
        <v>341</v>
      </c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58">
        <f>(SUM(J140:J147)/60)</f>
        <v>47.598166666666664</v>
      </c>
      <c r="N148" s="259"/>
      <c r="O148" s="259"/>
      <c r="P148" s="259"/>
      <c r="Q148" s="260"/>
    </row>
    <row r="151" spans="1:17" ht="15.6" x14ac:dyDescent="0.3">
      <c r="A151" s="280" t="s">
        <v>261</v>
      </c>
      <c r="B151" s="281"/>
      <c r="C151" s="281"/>
      <c r="D151" s="281"/>
      <c r="E151" s="281"/>
      <c r="F151" s="281"/>
      <c r="G151" s="174"/>
    </row>
    <row r="152" spans="1:17" ht="30.6" customHeight="1" x14ac:dyDescent="0.3">
      <c r="A152" s="289" t="s">
        <v>262</v>
      </c>
      <c r="B152" s="290"/>
      <c r="C152" s="290"/>
      <c r="D152" s="290"/>
      <c r="E152" s="290"/>
      <c r="F152" s="157">
        <v>0.03</v>
      </c>
    </row>
    <row r="155" spans="1:17" ht="15" customHeight="1" x14ac:dyDescent="0.3">
      <c r="A155" s="282" t="s">
        <v>263</v>
      </c>
      <c r="B155" s="282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175"/>
    </row>
    <row r="156" spans="1:17" ht="31.8" customHeight="1" x14ac:dyDescent="0.3">
      <c r="A156" s="279" t="s">
        <v>264</v>
      </c>
      <c r="B156" s="279"/>
      <c r="C156" s="158">
        <v>0.03</v>
      </c>
      <c r="D156" s="278" t="s">
        <v>271</v>
      </c>
      <c r="E156" s="278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176"/>
    </row>
    <row r="157" spans="1:17" ht="15.6" customHeight="1" x14ac:dyDescent="0.3">
      <c r="A157" s="279" t="s">
        <v>265</v>
      </c>
      <c r="B157" s="279"/>
      <c r="C157" s="158">
        <f>1.65%+7.6%+C165</f>
        <v>0.14250000000000002</v>
      </c>
      <c r="D157" s="275" t="s">
        <v>43</v>
      </c>
      <c r="E157" s="275"/>
      <c r="F157" s="278" t="s">
        <v>266</v>
      </c>
      <c r="G157" s="278"/>
      <c r="H157" s="278"/>
      <c r="I157" s="278"/>
      <c r="J157" s="278"/>
      <c r="K157" s="278"/>
      <c r="L157" s="278"/>
      <c r="M157" s="278"/>
      <c r="N157" s="278"/>
      <c r="O157" s="278"/>
      <c r="P157" s="115"/>
    </row>
    <row r="158" spans="1:17" x14ac:dyDescent="0.3">
      <c r="A158" s="279"/>
      <c r="B158" s="279"/>
      <c r="C158" s="158">
        <f>1.65%+7.6%+C166</f>
        <v>0.14250000000000002</v>
      </c>
      <c r="D158" s="275" t="s">
        <v>185</v>
      </c>
      <c r="E158" s="275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115"/>
    </row>
    <row r="159" spans="1:17" x14ac:dyDescent="0.3">
      <c r="A159" s="279"/>
      <c r="B159" s="279"/>
      <c r="C159" s="158">
        <f>1.65%+7.6%+C167</f>
        <v>0.14250000000000002</v>
      </c>
      <c r="D159" s="275" t="s">
        <v>186</v>
      </c>
      <c r="E159" s="275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115"/>
    </row>
    <row r="160" spans="1:17" x14ac:dyDescent="0.3">
      <c r="A160" s="279"/>
      <c r="B160" s="279"/>
      <c r="C160" s="158">
        <f>1.65%+7.6%+C168</f>
        <v>0.14250000000000002</v>
      </c>
      <c r="D160" s="275" t="s">
        <v>267</v>
      </c>
      <c r="E160" s="275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115"/>
    </row>
    <row r="161" spans="1:16" ht="29.4" customHeight="1" x14ac:dyDescent="0.3">
      <c r="A161" s="279" t="s">
        <v>268</v>
      </c>
      <c r="B161" s="279"/>
      <c r="C161" s="158">
        <v>6.7900000000000002E-2</v>
      </c>
      <c r="D161" s="278" t="s">
        <v>270</v>
      </c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176"/>
    </row>
    <row r="164" spans="1:16" ht="30.6" customHeight="1" x14ac:dyDescent="0.3">
      <c r="A164" s="276" t="s">
        <v>269</v>
      </c>
      <c r="B164" s="277"/>
      <c r="C164" s="277"/>
    </row>
    <row r="165" spans="1:16" x14ac:dyDescent="0.3">
      <c r="A165" s="275" t="s">
        <v>43</v>
      </c>
      <c r="B165" s="275"/>
      <c r="C165" s="158">
        <v>0.05</v>
      </c>
    </row>
    <row r="166" spans="1:16" x14ac:dyDescent="0.3">
      <c r="A166" s="275" t="s">
        <v>185</v>
      </c>
      <c r="B166" s="275"/>
      <c r="C166" s="158">
        <v>0.05</v>
      </c>
    </row>
    <row r="167" spans="1:16" x14ac:dyDescent="0.3">
      <c r="A167" s="275" t="s">
        <v>186</v>
      </c>
      <c r="B167" s="275"/>
      <c r="C167" s="158">
        <v>0.05</v>
      </c>
    </row>
    <row r="168" spans="1:16" x14ac:dyDescent="0.3">
      <c r="A168" s="275" t="s">
        <v>267</v>
      </c>
      <c r="B168" s="275"/>
      <c r="C168" s="158">
        <v>0.05</v>
      </c>
    </row>
  </sheetData>
  <mergeCells count="204">
    <mergeCell ref="M145:O145"/>
    <mergeCell ref="M146:O146"/>
    <mergeCell ref="M147:O147"/>
    <mergeCell ref="B2:J2"/>
    <mergeCell ref="I3:J3"/>
    <mergeCell ref="B4:J4"/>
    <mergeCell ref="B5:J5"/>
    <mergeCell ref="B6:J6"/>
    <mergeCell ref="A1:J1"/>
    <mergeCell ref="A136:I136"/>
    <mergeCell ref="M139:O139"/>
    <mergeCell ref="A138:Q138"/>
    <mergeCell ref="A121:S121"/>
    <mergeCell ref="A87:I87"/>
    <mergeCell ref="M63:N63"/>
    <mergeCell ref="M64:N64"/>
    <mergeCell ref="M65:N65"/>
    <mergeCell ref="K79:P82"/>
    <mergeCell ref="P139:Q139"/>
    <mergeCell ref="P140:Q140"/>
    <mergeCell ref="P141:Q141"/>
    <mergeCell ref="P142:Q142"/>
    <mergeCell ref="P143:Q143"/>
    <mergeCell ref="P144:Q144"/>
    <mergeCell ref="P145:Q145"/>
    <mergeCell ref="P146:Q146"/>
    <mergeCell ref="P147:Q147"/>
    <mergeCell ref="P86:Q86"/>
    <mergeCell ref="R86:S86"/>
    <mergeCell ref="A85:S85"/>
    <mergeCell ref="A119:I119"/>
    <mergeCell ref="J122:K122"/>
    <mergeCell ref="L122:M122"/>
    <mergeCell ref="P122:Q122"/>
    <mergeCell ref="R122:S122"/>
    <mergeCell ref="A134:I134"/>
    <mergeCell ref="A127:G127"/>
    <mergeCell ref="A123:G123"/>
    <mergeCell ref="A109:G109"/>
    <mergeCell ref="A116:G116"/>
    <mergeCell ref="A117:G117"/>
    <mergeCell ref="A118:G118"/>
    <mergeCell ref="A110:G110"/>
    <mergeCell ref="A111:G111"/>
    <mergeCell ref="A112:G112"/>
    <mergeCell ref="A113:G113"/>
    <mergeCell ref="A114:G114"/>
    <mergeCell ref="A115:G115"/>
    <mergeCell ref="A105:G105"/>
    <mergeCell ref="A108:G108"/>
    <mergeCell ref="A133:G133"/>
    <mergeCell ref="A29:C29"/>
    <mergeCell ref="A151:F151"/>
    <mergeCell ref="A155:O155"/>
    <mergeCell ref="D156:O156"/>
    <mergeCell ref="D161:O161"/>
    <mergeCell ref="E36:F36"/>
    <mergeCell ref="E38:F42"/>
    <mergeCell ref="G38:L42"/>
    <mergeCell ref="G36:L36"/>
    <mergeCell ref="A72:G72"/>
    <mergeCell ref="A70:G71"/>
    <mergeCell ref="A152:E152"/>
    <mergeCell ref="E63:L63"/>
    <mergeCell ref="E64:L64"/>
    <mergeCell ref="A62:N62"/>
    <mergeCell ref="A64:B65"/>
    <mergeCell ref="C65:D65"/>
    <mergeCell ref="C64:D64"/>
    <mergeCell ref="A76:I76"/>
    <mergeCell ref="A68:J68"/>
    <mergeCell ref="A73:G73"/>
    <mergeCell ref="A74:G74"/>
    <mergeCell ref="A75:G75"/>
    <mergeCell ref="A63:B63"/>
    <mergeCell ref="B41:C41"/>
    <mergeCell ref="B42:C42"/>
    <mergeCell ref="A52:G52"/>
    <mergeCell ref="A54:G54"/>
    <mergeCell ref="C63:D63"/>
    <mergeCell ref="A168:B168"/>
    <mergeCell ref="A164:C164"/>
    <mergeCell ref="F157:O160"/>
    <mergeCell ref="A165:B165"/>
    <mergeCell ref="A166:B166"/>
    <mergeCell ref="A167:B167"/>
    <mergeCell ref="A156:B156"/>
    <mergeCell ref="A157:B160"/>
    <mergeCell ref="A161:B161"/>
    <mergeCell ref="D157:E157"/>
    <mergeCell ref="D158:E158"/>
    <mergeCell ref="D159:E159"/>
    <mergeCell ref="D160:E160"/>
    <mergeCell ref="M148:Q148"/>
    <mergeCell ref="M140:O140"/>
    <mergeCell ref="M141:O141"/>
    <mergeCell ref="M142:O142"/>
    <mergeCell ref="M143:O143"/>
    <mergeCell ref="M144:O144"/>
    <mergeCell ref="A60:N60"/>
    <mergeCell ref="H70:H71"/>
    <mergeCell ref="A44:B44"/>
    <mergeCell ref="A55:A56"/>
    <mergeCell ref="B55:C56"/>
    <mergeCell ref="D55:D56"/>
    <mergeCell ref="A45:B45"/>
    <mergeCell ref="A46:B46"/>
    <mergeCell ref="E55:E56"/>
    <mergeCell ref="F55:F56"/>
    <mergeCell ref="G55:G56"/>
    <mergeCell ref="B14:D14"/>
    <mergeCell ref="B3:G3"/>
    <mergeCell ref="B10:D10"/>
    <mergeCell ref="B11:D11"/>
    <mergeCell ref="B12:D12"/>
    <mergeCell ref="B36:C36"/>
    <mergeCell ref="A9:J9"/>
    <mergeCell ref="A16:G16"/>
    <mergeCell ref="A21:C21"/>
    <mergeCell ref="A26:C26"/>
    <mergeCell ref="B13:D13"/>
    <mergeCell ref="A28:C28"/>
    <mergeCell ref="B15:D15"/>
    <mergeCell ref="A17:G17"/>
    <mergeCell ref="A23:C23"/>
    <mergeCell ref="A24:C24"/>
    <mergeCell ref="A20:H20"/>
    <mergeCell ref="D22:H22"/>
    <mergeCell ref="D29:H29"/>
    <mergeCell ref="D27:H27"/>
    <mergeCell ref="A25:C25"/>
    <mergeCell ref="A22:C22"/>
    <mergeCell ref="A30:C30"/>
    <mergeCell ref="A27:C27"/>
    <mergeCell ref="A34:L34"/>
    <mergeCell ref="A35:L35"/>
    <mergeCell ref="A37:L37"/>
    <mergeCell ref="A104:G104"/>
    <mergeCell ref="A98:G98"/>
    <mergeCell ref="A99:G99"/>
    <mergeCell ref="A100:G100"/>
    <mergeCell ref="B57:C57"/>
    <mergeCell ref="E65:L65"/>
    <mergeCell ref="A79:G80"/>
    <mergeCell ref="H79:H80"/>
    <mergeCell ref="I79:I80"/>
    <mergeCell ref="J79:J80"/>
    <mergeCell ref="A86:G86"/>
    <mergeCell ref="I70:I71"/>
    <mergeCell ref="J70:J71"/>
    <mergeCell ref="A97:G97"/>
    <mergeCell ref="A88:G88"/>
    <mergeCell ref="A89:G89"/>
    <mergeCell ref="A90:G90"/>
    <mergeCell ref="B38:C38"/>
    <mergeCell ref="B39:C39"/>
    <mergeCell ref="B40:C40"/>
    <mergeCell ref="A101:G101"/>
    <mergeCell ref="A129:G129"/>
    <mergeCell ref="A130:G130"/>
    <mergeCell ref="A131:G131"/>
    <mergeCell ref="A132:G132"/>
    <mergeCell ref="A124:G124"/>
    <mergeCell ref="A125:G125"/>
    <mergeCell ref="A93:G93"/>
    <mergeCell ref="N86:O86"/>
    <mergeCell ref="A94:G94"/>
    <mergeCell ref="A95:G95"/>
    <mergeCell ref="A96:G96"/>
    <mergeCell ref="A91:G91"/>
    <mergeCell ref="A92:G92"/>
    <mergeCell ref="J86:K86"/>
    <mergeCell ref="L86:M86"/>
    <mergeCell ref="A122:G122"/>
    <mergeCell ref="N122:O122"/>
    <mergeCell ref="A107:G107"/>
    <mergeCell ref="A106:G106"/>
    <mergeCell ref="A126:G126"/>
    <mergeCell ref="A103:G103"/>
    <mergeCell ref="A102:G102"/>
    <mergeCell ref="A135:L135"/>
    <mergeCell ref="N135:O135"/>
    <mergeCell ref="A148:L148"/>
    <mergeCell ref="A81:G81"/>
    <mergeCell ref="A82:I82"/>
    <mergeCell ref="J144:L144"/>
    <mergeCell ref="J145:L145"/>
    <mergeCell ref="J146:L146"/>
    <mergeCell ref="J147:L147"/>
    <mergeCell ref="J141:L141"/>
    <mergeCell ref="J142:L142"/>
    <mergeCell ref="J143:L143"/>
    <mergeCell ref="A141:G141"/>
    <mergeCell ref="A142:G142"/>
    <mergeCell ref="A143:G143"/>
    <mergeCell ref="A147:G147"/>
    <mergeCell ref="A144:G144"/>
    <mergeCell ref="A145:G145"/>
    <mergeCell ref="A146:G146"/>
    <mergeCell ref="A139:G139"/>
    <mergeCell ref="J139:L139"/>
    <mergeCell ref="A140:G140"/>
    <mergeCell ref="J140:L140"/>
    <mergeCell ref="A128:G1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D0FB-7B29-496D-83CF-8022D561E5EB}">
  <dimension ref="A1:X71"/>
  <sheetViews>
    <sheetView tabSelected="1" topLeftCell="A16" workbookViewId="0">
      <selection activeCell="C14" sqref="C14"/>
    </sheetView>
  </sheetViews>
  <sheetFormatPr defaultRowHeight="14.4" x14ac:dyDescent="0.3"/>
  <cols>
    <col min="2" max="2" width="32.6640625" customWidth="1"/>
    <col min="9" max="9" width="10.5546875" bestFit="1" customWidth="1"/>
    <col min="11" max="11" width="10.6640625" bestFit="1" customWidth="1"/>
    <col min="14" max="14" width="11.21875" customWidth="1"/>
    <col min="15" max="15" width="10.5546875" bestFit="1" customWidth="1"/>
    <col min="16" max="16" width="8.88671875" customWidth="1"/>
    <col min="17" max="17" width="10.5546875" bestFit="1" customWidth="1"/>
    <col min="18" max="18" width="10.5546875" customWidth="1"/>
    <col min="19" max="19" width="10.5546875" bestFit="1" customWidth="1"/>
    <col min="20" max="20" width="10.6640625" customWidth="1"/>
    <col min="21" max="21" width="6.44140625" customWidth="1"/>
    <col min="22" max="22" width="5.77734375" customWidth="1"/>
    <col min="23" max="23" width="15.109375" customWidth="1"/>
    <col min="24" max="24" width="13.88671875" customWidth="1"/>
  </cols>
  <sheetData>
    <row r="1" spans="1:20" x14ac:dyDescent="0.3">
      <c r="A1" s="361" t="s">
        <v>164</v>
      </c>
      <c r="B1" s="361"/>
      <c r="C1" s="361"/>
      <c r="D1" s="361"/>
      <c r="E1" s="361"/>
      <c r="F1" s="361"/>
      <c r="G1" s="361"/>
      <c r="H1" s="361"/>
      <c r="I1" s="361"/>
      <c r="J1" s="361"/>
      <c r="L1" s="9" t="s">
        <v>165</v>
      </c>
    </row>
    <row r="2" spans="1:20" x14ac:dyDescent="0.3">
      <c r="A2" s="361"/>
      <c r="B2" s="361"/>
      <c r="C2" s="361"/>
      <c r="D2" s="361"/>
      <c r="E2" s="361"/>
      <c r="F2" s="361"/>
      <c r="G2" s="361"/>
      <c r="H2" s="361"/>
      <c r="I2" s="361"/>
      <c r="J2" s="361"/>
      <c r="L2" s="9" t="s">
        <v>167</v>
      </c>
    </row>
    <row r="3" spans="1:20" x14ac:dyDescent="0.3">
      <c r="A3" s="362" t="s">
        <v>166</v>
      </c>
      <c r="B3" s="362"/>
      <c r="C3" s="362"/>
      <c r="D3" s="362"/>
      <c r="E3" s="362"/>
      <c r="F3" s="362"/>
      <c r="G3" s="362"/>
      <c r="H3" s="362"/>
      <c r="I3" s="362"/>
      <c r="J3" s="362"/>
      <c r="L3" s="344" t="s">
        <v>169</v>
      </c>
      <c r="M3" s="345"/>
      <c r="N3" s="346"/>
      <c r="O3" s="344" t="s">
        <v>170</v>
      </c>
      <c r="P3" s="346"/>
      <c r="Q3" s="347" t="s">
        <v>171</v>
      </c>
      <c r="R3" s="348"/>
      <c r="S3" s="348"/>
      <c r="T3" s="349"/>
    </row>
    <row r="4" spans="1:20" x14ac:dyDescent="0.3">
      <c r="A4" s="252" t="s">
        <v>168</v>
      </c>
      <c r="B4" s="252"/>
      <c r="C4" s="252"/>
      <c r="D4" s="252"/>
      <c r="E4" s="252"/>
      <c r="F4" s="252"/>
      <c r="G4" s="252"/>
      <c r="H4" s="252"/>
      <c r="I4" s="252"/>
      <c r="J4" s="252"/>
      <c r="L4" s="265" t="s">
        <v>330</v>
      </c>
      <c r="M4" s="266"/>
      <c r="N4" s="267"/>
      <c r="O4" s="350">
        <f>'3#SERV. LIMP. GRA-GO-TO'!H132</f>
        <v>3850.9238992167529</v>
      </c>
      <c r="P4" s="351"/>
      <c r="Q4" s="352" t="s">
        <v>331</v>
      </c>
      <c r="R4" s="353"/>
      <c r="S4" s="353"/>
      <c r="T4" s="354"/>
    </row>
    <row r="5" spans="1:20" s="97" customFormat="1" ht="14.4" customHeight="1" x14ac:dyDescent="0.3">
      <c r="A5" s="360" t="s">
        <v>172</v>
      </c>
      <c r="B5" s="360"/>
      <c r="C5" s="360" t="s">
        <v>173</v>
      </c>
      <c r="D5" s="360"/>
      <c r="E5" s="329" t="s">
        <v>23</v>
      </c>
      <c r="F5" s="360" t="s">
        <v>11</v>
      </c>
      <c r="G5" s="360" t="s">
        <v>174</v>
      </c>
      <c r="H5" s="360"/>
      <c r="I5" s="360" t="s">
        <v>175</v>
      </c>
      <c r="J5" s="360"/>
      <c r="L5" s="265" t="s">
        <v>334</v>
      </c>
      <c r="M5" s="266"/>
      <c r="N5" s="267"/>
      <c r="O5" s="350">
        <f>'4#SERV. LIMP. SPU-GO'!H132</f>
        <v>3980.0313829783659</v>
      </c>
      <c r="P5" s="351"/>
      <c r="Q5" s="191" t="s">
        <v>332</v>
      </c>
      <c r="R5" s="192"/>
      <c r="S5" s="192"/>
      <c r="T5" s="193"/>
    </row>
    <row r="6" spans="1:20" s="97" customFormat="1" x14ac:dyDescent="0.3">
      <c r="A6" s="360"/>
      <c r="B6" s="360"/>
      <c r="C6" s="360"/>
      <c r="D6" s="360"/>
      <c r="E6" s="329"/>
      <c r="F6" s="360"/>
      <c r="G6" s="360"/>
      <c r="H6" s="360"/>
      <c r="I6" s="360"/>
      <c r="J6" s="360"/>
      <c r="L6" s="265" t="s">
        <v>333</v>
      </c>
      <c r="M6" s="266"/>
      <c r="N6" s="267"/>
      <c r="O6" s="350">
        <f>'5#SERV.LIMP.PFN-GO'!H132</f>
        <v>3878.3444817904706</v>
      </c>
      <c r="P6" s="351"/>
      <c r="Q6" s="191" t="s">
        <v>335</v>
      </c>
      <c r="R6" s="192"/>
      <c r="S6" s="192"/>
      <c r="T6" s="193"/>
    </row>
    <row r="7" spans="1:20" ht="14.4" customHeight="1" x14ac:dyDescent="0.3">
      <c r="A7" s="332" t="s">
        <v>176</v>
      </c>
      <c r="B7" s="333"/>
      <c r="C7" s="242">
        <v>433.39</v>
      </c>
      <c r="D7" s="244"/>
      <c r="E7" s="149">
        <v>550</v>
      </c>
      <c r="F7" s="231">
        <f>C7/E7</f>
        <v>0.78798181818181812</v>
      </c>
      <c r="G7" s="295">
        <f>S12</f>
        <v>7.0016798167577328</v>
      </c>
      <c r="H7" s="296"/>
      <c r="I7" s="295">
        <f>C7*G7</f>
        <v>3034.4580157846335</v>
      </c>
      <c r="J7" s="296"/>
      <c r="L7" s="265" t="s">
        <v>336</v>
      </c>
      <c r="M7" s="266"/>
      <c r="N7" s="267"/>
      <c r="O7" s="363">
        <f>'6#SERV.. LIMP. PSFN-ANA'!H132</f>
        <v>4366.4961185695229</v>
      </c>
      <c r="P7" s="364"/>
      <c r="Q7" s="352" t="s">
        <v>352</v>
      </c>
      <c r="R7" s="353"/>
      <c r="S7" s="353"/>
      <c r="T7" s="354"/>
    </row>
    <row r="8" spans="1:20" x14ac:dyDescent="0.3">
      <c r="A8" s="189" t="s">
        <v>177</v>
      </c>
      <c r="B8" s="189"/>
      <c r="C8" s="242">
        <v>15.18</v>
      </c>
      <c r="D8" s="244"/>
      <c r="E8" s="185">
        <v>1150</v>
      </c>
      <c r="F8" s="185">
        <f>C8/E8</f>
        <v>1.32E-2</v>
      </c>
      <c r="G8" s="295">
        <f>S13</f>
        <v>3.3486294775797854</v>
      </c>
      <c r="H8" s="296"/>
      <c r="I8" s="295">
        <f>C8*G8</f>
        <v>50.832195469661144</v>
      </c>
      <c r="J8" s="296"/>
      <c r="L8" s="265" t="s">
        <v>337</v>
      </c>
      <c r="M8" s="266"/>
      <c r="N8" s="267"/>
      <c r="O8" s="355">
        <f>'7#SERV. LIMP PSFN-RV'!H132</f>
        <v>3751.6772998950814</v>
      </c>
      <c r="P8" s="356"/>
      <c r="Q8" s="357" t="s">
        <v>353</v>
      </c>
      <c r="R8" s="358"/>
      <c r="S8" s="358"/>
      <c r="T8" s="359"/>
    </row>
    <row r="9" spans="1:20" x14ac:dyDescent="0.3">
      <c r="A9" s="324" t="s">
        <v>178</v>
      </c>
      <c r="B9" s="324"/>
      <c r="C9" s="240">
        <v>121.78</v>
      </c>
      <c r="D9" s="240"/>
      <c r="E9" s="167">
        <v>695</v>
      </c>
      <c r="F9" s="185">
        <f>C9/E9</f>
        <v>0.17522302158273381</v>
      </c>
      <c r="G9" s="323">
        <f>S14</f>
        <v>5.5408976967147527</v>
      </c>
      <c r="H9" s="323"/>
      <c r="I9" s="295">
        <f>C9*G9</f>
        <v>674.7705215059226</v>
      </c>
      <c r="J9" s="296"/>
    </row>
    <row r="10" spans="1:20" x14ac:dyDescent="0.3">
      <c r="A10" s="322" t="s">
        <v>179</v>
      </c>
      <c r="B10" s="322"/>
      <c r="C10" s="240">
        <v>2.7</v>
      </c>
      <c r="D10" s="240"/>
      <c r="E10" s="154">
        <v>110</v>
      </c>
      <c r="F10" s="154">
        <f>C10/E10</f>
        <v>2.4545454545454547E-2</v>
      </c>
      <c r="G10" s="323">
        <f>S15</f>
        <v>35.00839908378866</v>
      </c>
      <c r="H10" s="323"/>
      <c r="I10" s="295">
        <f>C10*G10</f>
        <v>94.522677526229387</v>
      </c>
      <c r="J10" s="296"/>
      <c r="L10" s="252" t="s">
        <v>168</v>
      </c>
      <c r="M10" s="252"/>
      <c r="N10" s="252"/>
      <c r="O10" s="252"/>
      <c r="P10" s="252"/>
      <c r="Q10" s="252"/>
      <c r="R10" s="252"/>
      <c r="S10" s="252"/>
      <c r="T10" s="252"/>
    </row>
    <row r="11" spans="1:20" x14ac:dyDescent="0.3">
      <c r="A11" s="320" t="s">
        <v>181</v>
      </c>
      <c r="B11" s="320"/>
      <c r="C11" s="319">
        <f>SUM(C9:D10)</f>
        <v>124.48</v>
      </c>
      <c r="D11" s="319"/>
      <c r="E11" s="156"/>
      <c r="F11" s="156">
        <f>SUM(F7:F10)</f>
        <v>1.0009502943100066</v>
      </c>
      <c r="G11" s="319"/>
      <c r="H11" s="319"/>
      <c r="I11" s="316">
        <f>SUM(I7:J10)</f>
        <v>3854.5834102864469</v>
      </c>
      <c r="J11" s="317"/>
      <c r="L11" s="252" t="s">
        <v>172</v>
      </c>
      <c r="M11" s="252"/>
      <c r="N11" s="252"/>
      <c r="O11" s="252" t="s">
        <v>23</v>
      </c>
      <c r="P11" s="252"/>
      <c r="Q11" s="252" t="s">
        <v>170</v>
      </c>
      <c r="R11" s="252"/>
      <c r="S11" s="252" t="s">
        <v>180</v>
      </c>
      <c r="T11" s="252"/>
    </row>
    <row r="12" spans="1:20" x14ac:dyDescent="0.3">
      <c r="A12" s="91" t="s">
        <v>183</v>
      </c>
      <c r="B12" s="92"/>
      <c r="C12" s="92"/>
      <c r="D12" s="92"/>
      <c r="E12" s="92"/>
      <c r="F12" s="92"/>
      <c r="G12" s="92"/>
      <c r="H12" s="93"/>
      <c r="I12" s="318">
        <f>I11*12</f>
        <v>46255.000923437365</v>
      </c>
      <c r="J12" s="319"/>
      <c r="L12" s="265" t="s">
        <v>176</v>
      </c>
      <c r="M12" s="266"/>
      <c r="N12" s="267"/>
      <c r="O12" s="242">
        <f>1/E7</f>
        <v>1.8181818181818182E-3</v>
      </c>
      <c r="P12" s="244"/>
      <c r="Q12" s="295">
        <f>O4</f>
        <v>3850.9238992167529</v>
      </c>
      <c r="R12" s="296"/>
      <c r="S12" s="190">
        <f>O12*Q12</f>
        <v>7.0016798167577328</v>
      </c>
      <c r="T12" s="185"/>
    </row>
    <row r="13" spans="1:20" x14ac:dyDescent="0.3">
      <c r="A13" s="320" t="s">
        <v>349</v>
      </c>
      <c r="B13" s="320"/>
      <c r="C13" s="320"/>
      <c r="D13" s="320"/>
      <c r="E13" s="320"/>
      <c r="F13" s="320"/>
      <c r="G13" s="320"/>
      <c r="H13" s="320"/>
      <c r="I13" s="318">
        <f>I11*30</f>
        <v>115637.50230859341</v>
      </c>
      <c r="J13" s="319"/>
      <c r="L13" s="186" t="s">
        <v>177</v>
      </c>
      <c r="M13" s="186"/>
      <c r="N13" s="186"/>
      <c r="O13" s="242">
        <f>1/E8</f>
        <v>8.6956521739130438E-4</v>
      </c>
      <c r="P13" s="244"/>
      <c r="Q13" s="295">
        <f>O4</f>
        <v>3850.9238992167529</v>
      </c>
      <c r="R13" s="296"/>
      <c r="S13" s="190">
        <f>O13*Q13</f>
        <v>3.3486294775797854</v>
      </c>
      <c r="T13" s="185"/>
    </row>
    <row r="14" spans="1:20" s="97" customFormat="1" x14ac:dyDescent="0.3">
      <c r="A14" s="103"/>
      <c r="B14" s="103"/>
      <c r="C14" s="103"/>
      <c r="D14" s="103"/>
      <c r="E14" s="103"/>
      <c r="F14" s="103"/>
      <c r="G14" s="103"/>
      <c r="H14" s="103"/>
      <c r="I14" s="104"/>
      <c r="J14" s="105"/>
      <c r="L14" s="186" t="s">
        <v>188</v>
      </c>
      <c r="M14" s="186"/>
      <c r="N14" s="186"/>
      <c r="O14" s="242">
        <f>1/E9</f>
        <v>1.4388489208633094E-3</v>
      </c>
      <c r="P14" s="244"/>
      <c r="Q14" s="295">
        <f>O4</f>
        <v>3850.9238992167529</v>
      </c>
      <c r="R14" s="296"/>
      <c r="S14" s="190">
        <f>O14*Q14</f>
        <v>5.5408976967147527</v>
      </c>
      <c r="T14" s="185"/>
    </row>
    <row r="15" spans="1:20" x14ac:dyDescent="0.3">
      <c r="L15" s="265" t="s">
        <v>182</v>
      </c>
      <c r="M15" s="266"/>
      <c r="N15" s="267"/>
      <c r="O15" s="242">
        <f>1/E10</f>
        <v>9.0909090909090905E-3</v>
      </c>
      <c r="P15" s="244"/>
      <c r="Q15" s="295">
        <f>O4</f>
        <v>3850.9238992167529</v>
      </c>
      <c r="R15" s="296"/>
      <c r="S15" s="190">
        <f>O15*Q15</f>
        <v>35.00839908378866</v>
      </c>
      <c r="T15" s="185"/>
    </row>
    <row r="16" spans="1:20" x14ac:dyDescent="0.3">
      <c r="A16" s="252" t="s">
        <v>189</v>
      </c>
      <c r="B16" s="252"/>
      <c r="C16" s="252"/>
      <c r="D16" s="252"/>
      <c r="E16" s="252"/>
      <c r="F16" s="252"/>
      <c r="G16" s="252"/>
      <c r="H16" s="252"/>
      <c r="I16" s="252"/>
      <c r="J16" s="252"/>
    </row>
    <row r="17" spans="1:24" x14ac:dyDescent="0.3">
      <c r="A17" s="334" t="s">
        <v>172</v>
      </c>
      <c r="B17" s="334"/>
      <c r="C17" s="334" t="s">
        <v>173</v>
      </c>
      <c r="D17" s="342"/>
      <c r="E17" s="343" t="s">
        <v>23</v>
      </c>
      <c r="F17" s="331" t="s">
        <v>11</v>
      </c>
      <c r="G17" s="334" t="s">
        <v>174</v>
      </c>
      <c r="H17" s="334"/>
      <c r="I17" s="334" t="s">
        <v>175</v>
      </c>
      <c r="J17" s="334"/>
      <c r="L17" s="252" t="s">
        <v>189</v>
      </c>
      <c r="M17" s="252"/>
      <c r="N17" s="252"/>
      <c r="O17" s="252"/>
      <c r="P17" s="252"/>
      <c r="Q17" s="252"/>
      <c r="R17" s="252"/>
      <c r="S17" s="252"/>
      <c r="T17" s="252"/>
    </row>
    <row r="18" spans="1:24" x14ac:dyDescent="0.3">
      <c r="A18" s="326"/>
      <c r="B18" s="326"/>
      <c r="C18" s="326"/>
      <c r="D18" s="328"/>
      <c r="E18" s="329"/>
      <c r="F18" s="331"/>
      <c r="G18" s="326"/>
      <c r="H18" s="326"/>
      <c r="I18" s="326"/>
      <c r="J18" s="326"/>
      <c r="L18" s="252" t="s">
        <v>172</v>
      </c>
      <c r="M18" s="252"/>
      <c r="N18" s="252"/>
      <c r="O18" s="252" t="s">
        <v>23</v>
      </c>
      <c r="P18" s="252"/>
      <c r="Q18" s="252" t="s">
        <v>170</v>
      </c>
      <c r="R18" s="252"/>
      <c r="S18" s="252" t="s">
        <v>180</v>
      </c>
      <c r="T18" s="252"/>
    </row>
    <row r="19" spans="1:24" x14ac:dyDescent="0.3">
      <c r="A19" s="322" t="s">
        <v>176</v>
      </c>
      <c r="B19" s="322"/>
      <c r="C19" s="240">
        <v>786.87</v>
      </c>
      <c r="D19" s="240"/>
      <c r="E19" s="154">
        <v>610</v>
      </c>
      <c r="F19" s="154">
        <f>C19/E19</f>
        <v>1.2899508196721312</v>
      </c>
      <c r="G19" s="323">
        <f>S19</f>
        <v>6.5246416114399439</v>
      </c>
      <c r="H19" s="323"/>
      <c r="I19" s="323">
        <f>C19*G19</f>
        <v>5134.0447447937486</v>
      </c>
      <c r="J19" s="323"/>
      <c r="L19" s="246" t="s">
        <v>176</v>
      </c>
      <c r="M19" s="246"/>
      <c r="N19" s="246"/>
      <c r="O19" s="240">
        <f>1/E19</f>
        <v>1.639344262295082E-3</v>
      </c>
      <c r="P19" s="240"/>
      <c r="Q19" s="323">
        <f>O5</f>
        <v>3980.0313829783659</v>
      </c>
      <c r="R19" s="240"/>
      <c r="S19" s="323">
        <f>O19*Q19</f>
        <v>6.5246416114399439</v>
      </c>
      <c r="T19" s="240"/>
    </row>
    <row r="20" spans="1:24" x14ac:dyDescent="0.3">
      <c r="A20" s="322" t="s">
        <v>177</v>
      </c>
      <c r="B20" s="322"/>
      <c r="C20" s="240">
        <v>33.799999999999997</v>
      </c>
      <c r="D20" s="240"/>
      <c r="E20" s="154">
        <v>1500</v>
      </c>
      <c r="F20" s="154">
        <f t="shared" ref="F20:F22" si="0">C20/E20</f>
        <v>2.2533333333333332E-2</v>
      </c>
      <c r="G20" s="323">
        <f t="shared" ref="G20:G22" si="1">S20</f>
        <v>2.6533542553189107</v>
      </c>
      <c r="H20" s="323"/>
      <c r="I20" s="323">
        <f t="shared" ref="I20:I24" si="2">C20*G20</f>
        <v>89.683373829779171</v>
      </c>
      <c r="J20" s="323"/>
      <c r="L20" s="246" t="s">
        <v>177</v>
      </c>
      <c r="M20" s="246"/>
      <c r="N20" s="246"/>
      <c r="O20" s="240">
        <f t="shared" ref="O20:O23" si="3">1/E20</f>
        <v>6.6666666666666664E-4</v>
      </c>
      <c r="P20" s="240"/>
      <c r="Q20" s="323">
        <f>O5</f>
        <v>3980.0313829783659</v>
      </c>
      <c r="R20" s="240"/>
      <c r="S20" s="323">
        <f>O20*Q20</f>
        <v>2.6533542553189107</v>
      </c>
      <c r="T20" s="240"/>
    </row>
    <row r="21" spans="1:24" x14ac:dyDescent="0.3">
      <c r="A21" s="324" t="s">
        <v>178</v>
      </c>
      <c r="B21" s="324"/>
      <c r="C21" s="240">
        <v>240.8</v>
      </c>
      <c r="D21" s="240"/>
      <c r="E21" s="167">
        <v>1000</v>
      </c>
      <c r="F21" s="154">
        <f t="shared" si="0"/>
        <v>0.24080000000000001</v>
      </c>
      <c r="G21" s="323">
        <f t="shared" si="1"/>
        <v>3.9800313829783658</v>
      </c>
      <c r="H21" s="323"/>
      <c r="I21" s="323">
        <f t="shared" si="2"/>
        <v>958.39155702119058</v>
      </c>
      <c r="J21" s="323"/>
      <c r="L21" s="246" t="s">
        <v>188</v>
      </c>
      <c r="M21" s="246"/>
      <c r="N21" s="246"/>
      <c r="O21" s="240">
        <f t="shared" si="3"/>
        <v>1E-3</v>
      </c>
      <c r="P21" s="240"/>
      <c r="Q21" s="295">
        <f>O5</f>
        <v>3980.0313829783659</v>
      </c>
      <c r="R21" s="244"/>
      <c r="S21" s="323">
        <f>O21*Q21</f>
        <v>3.9800313829783658</v>
      </c>
      <c r="T21" s="240"/>
    </row>
    <row r="22" spans="1:24" x14ac:dyDescent="0.3">
      <c r="A22" s="322" t="s">
        <v>179</v>
      </c>
      <c r="B22" s="322"/>
      <c r="C22" s="240">
        <v>46.7</v>
      </c>
      <c r="D22" s="240"/>
      <c r="E22" s="154">
        <v>200</v>
      </c>
      <c r="F22" s="154">
        <f t="shared" si="0"/>
        <v>0.23350000000000001</v>
      </c>
      <c r="G22" s="323">
        <f t="shared" si="1"/>
        <v>19.900156914891831</v>
      </c>
      <c r="H22" s="323"/>
      <c r="I22" s="323">
        <f t="shared" si="2"/>
        <v>929.33732792544856</v>
      </c>
      <c r="J22" s="323"/>
      <c r="L22" s="246" t="s">
        <v>182</v>
      </c>
      <c r="M22" s="246"/>
      <c r="N22" s="246"/>
      <c r="O22" s="240">
        <f t="shared" si="3"/>
        <v>5.0000000000000001E-3</v>
      </c>
      <c r="P22" s="240"/>
      <c r="Q22" s="323">
        <f>O5</f>
        <v>3980.0313829783659</v>
      </c>
      <c r="R22" s="240"/>
      <c r="S22" s="323">
        <f>O22*Q22</f>
        <v>19.900156914891831</v>
      </c>
      <c r="T22" s="240"/>
    </row>
    <row r="23" spans="1:24" s="9" customFormat="1" x14ac:dyDescent="0.3">
      <c r="A23" s="332" t="s">
        <v>20</v>
      </c>
      <c r="B23" s="333"/>
      <c r="C23" s="242">
        <v>305.51</v>
      </c>
      <c r="D23" s="244"/>
      <c r="E23" s="154">
        <v>1800</v>
      </c>
      <c r="F23" s="154">
        <f>C23/E23</f>
        <v>0.16972777777777778</v>
      </c>
      <c r="G23" s="323">
        <f>S23</f>
        <v>2.2111285460990922</v>
      </c>
      <c r="H23" s="323"/>
      <c r="I23" s="323">
        <f t="shared" si="2"/>
        <v>675.52188211873363</v>
      </c>
      <c r="J23" s="323"/>
      <c r="L23" s="246" t="s">
        <v>20</v>
      </c>
      <c r="M23" s="246"/>
      <c r="N23" s="246"/>
      <c r="O23" s="240">
        <f t="shared" si="3"/>
        <v>5.5555555555555556E-4</v>
      </c>
      <c r="P23" s="240"/>
      <c r="Q23" s="323">
        <f>O5</f>
        <v>3980.0313829783659</v>
      </c>
      <c r="R23" s="240"/>
      <c r="S23" s="323">
        <f>O23*Q23</f>
        <v>2.2111285460990922</v>
      </c>
      <c r="T23" s="240"/>
    </row>
    <row r="24" spans="1:24" s="9" customFormat="1" x14ac:dyDescent="0.3">
      <c r="A24" s="332" t="s">
        <v>184</v>
      </c>
      <c r="B24" s="333"/>
      <c r="C24" s="242">
        <v>183.29</v>
      </c>
      <c r="D24" s="244"/>
      <c r="E24" s="154">
        <v>300</v>
      </c>
      <c r="F24" s="6" t="s">
        <v>315</v>
      </c>
      <c r="G24" s="323">
        <f>X27</f>
        <v>1.0880621315862833</v>
      </c>
      <c r="H24" s="323"/>
      <c r="I24" s="323">
        <f t="shared" si="2"/>
        <v>199.43090809844986</v>
      </c>
      <c r="J24" s="323"/>
      <c r="L24" s="337"/>
      <c r="M24" s="337"/>
      <c r="N24" s="337"/>
      <c r="O24" s="238"/>
      <c r="P24" s="238"/>
      <c r="Q24" s="338"/>
      <c r="R24" s="238"/>
      <c r="S24" s="338"/>
      <c r="T24" s="238"/>
    </row>
    <row r="25" spans="1:24" x14ac:dyDescent="0.3">
      <c r="A25" s="320" t="s">
        <v>181</v>
      </c>
      <c r="B25" s="320"/>
      <c r="C25" s="319">
        <f>SUM(C19:D24)</f>
        <v>1596.97</v>
      </c>
      <c r="D25" s="319"/>
      <c r="E25" s="156"/>
      <c r="F25" s="156">
        <f>SUM(F19:F24)</f>
        <v>1.9565119307832421</v>
      </c>
      <c r="G25" s="319"/>
      <c r="H25" s="319"/>
      <c r="I25" s="316">
        <f>SUM(I19:J24)</f>
        <v>7986.4097937873494</v>
      </c>
      <c r="J25" s="317"/>
      <c r="L25" s="262" t="s">
        <v>29</v>
      </c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4"/>
    </row>
    <row r="26" spans="1:24" x14ac:dyDescent="0.3">
      <c r="A26" s="91" t="s">
        <v>183</v>
      </c>
      <c r="B26" s="92"/>
      <c r="C26" s="92"/>
      <c r="D26" s="92"/>
      <c r="E26" s="92"/>
      <c r="F26" s="92"/>
      <c r="G26" s="92"/>
      <c r="H26" s="93"/>
      <c r="I26" s="318">
        <f>I25*12</f>
        <v>95836.917525448196</v>
      </c>
      <c r="J26" s="319"/>
      <c r="L26" s="303" t="s">
        <v>172</v>
      </c>
      <c r="M26" s="339"/>
      <c r="N26" s="304"/>
      <c r="O26" s="303" t="s">
        <v>312</v>
      </c>
      <c r="P26" s="304"/>
      <c r="Q26" s="340" t="s">
        <v>320</v>
      </c>
      <c r="R26" s="341"/>
      <c r="S26" s="301" t="s">
        <v>319</v>
      </c>
      <c r="T26" s="302"/>
      <c r="U26" s="303" t="s">
        <v>313</v>
      </c>
      <c r="V26" s="304"/>
      <c r="W26" s="164" t="s">
        <v>314</v>
      </c>
      <c r="X26" s="165" t="s">
        <v>180</v>
      </c>
    </row>
    <row r="27" spans="1:24" x14ac:dyDescent="0.3">
      <c r="A27" s="320" t="s">
        <v>349</v>
      </c>
      <c r="B27" s="320"/>
      <c r="C27" s="320"/>
      <c r="D27" s="320"/>
      <c r="E27" s="320"/>
      <c r="F27" s="320"/>
      <c r="G27" s="320"/>
      <c r="H27" s="320"/>
      <c r="I27" s="318">
        <f>I25*30</f>
        <v>239592.29381362049</v>
      </c>
      <c r="J27" s="319"/>
      <c r="L27" s="305" t="s">
        <v>318</v>
      </c>
      <c r="M27" s="306"/>
      <c r="N27" s="307"/>
      <c r="O27" s="242">
        <f>1/E24</f>
        <v>3.3333333333333335E-3</v>
      </c>
      <c r="P27" s="244"/>
      <c r="Q27" s="308">
        <v>16</v>
      </c>
      <c r="R27" s="309"/>
      <c r="S27" s="310">
        <f>1/188.76</f>
        <v>5.2977325704598437E-3</v>
      </c>
      <c r="T27" s="311"/>
      <c r="U27" s="312">
        <f>O27*Q27*S27</f>
        <v>2.8254573709119167E-4</v>
      </c>
      <c r="V27" s="313"/>
      <c r="W27" s="163">
        <f>O4</f>
        <v>3850.9238992167529</v>
      </c>
      <c r="X27" s="163">
        <f>U27*W27</f>
        <v>1.0880621315862833</v>
      </c>
    </row>
    <row r="30" spans="1:24" x14ac:dyDescent="0.3">
      <c r="A30" s="252" t="s">
        <v>190</v>
      </c>
      <c r="B30" s="252"/>
      <c r="C30" s="252"/>
      <c r="D30" s="252"/>
      <c r="E30" s="252"/>
      <c r="F30" s="252"/>
      <c r="G30" s="252"/>
      <c r="H30" s="252"/>
      <c r="I30" s="252"/>
      <c r="J30" s="252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4" x14ac:dyDescent="0.3">
      <c r="A31" s="334" t="s">
        <v>172</v>
      </c>
      <c r="B31" s="334"/>
      <c r="C31" s="334" t="s">
        <v>173</v>
      </c>
      <c r="D31" s="334"/>
      <c r="E31" s="335" t="s">
        <v>23</v>
      </c>
      <c r="F31" s="330" t="s">
        <v>11</v>
      </c>
      <c r="G31" s="334" t="s">
        <v>174</v>
      </c>
      <c r="H31" s="334"/>
      <c r="I31" s="334" t="s">
        <v>175</v>
      </c>
      <c r="J31" s="334"/>
      <c r="K31" s="9"/>
      <c r="L31" s="252" t="s">
        <v>190</v>
      </c>
      <c r="M31" s="252"/>
      <c r="N31" s="252"/>
      <c r="O31" s="252"/>
      <c r="P31" s="252"/>
      <c r="Q31" s="252"/>
      <c r="R31" s="252"/>
      <c r="S31" s="252"/>
      <c r="T31" s="252"/>
    </row>
    <row r="32" spans="1:24" x14ac:dyDescent="0.3">
      <c r="A32" s="326"/>
      <c r="B32" s="326"/>
      <c r="C32" s="326"/>
      <c r="D32" s="326"/>
      <c r="E32" s="335"/>
      <c r="F32" s="331"/>
      <c r="G32" s="326"/>
      <c r="H32" s="326"/>
      <c r="I32" s="326"/>
      <c r="J32" s="326"/>
      <c r="K32" s="9"/>
      <c r="L32" s="252" t="s">
        <v>172</v>
      </c>
      <c r="M32" s="252"/>
      <c r="N32" s="252"/>
      <c r="O32" s="252" t="s">
        <v>23</v>
      </c>
      <c r="P32" s="252"/>
      <c r="Q32" s="252" t="s">
        <v>170</v>
      </c>
      <c r="R32" s="252"/>
      <c r="S32" s="252" t="s">
        <v>180</v>
      </c>
      <c r="T32" s="252"/>
    </row>
    <row r="33" spans="1:24" x14ac:dyDescent="0.3">
      <c r="A33" s="322" t="s">
        <v>176</v>
      </c>
      <c r="B33" s="322"/>
      <c r="C33" s="240">
        <v>3910.2</v>
      </c>
      <c r="D33" s="240"/>
      <c r="E33" s="154">
        <v>705</v>
      </c>
      <c r="F33" s="154">
        <f>C33/E33</f>
        <v>5.546382978723404</v>
      </c>
      <c r="G33" s="323">
        <f t="shared" ref="G33:G37" si="4">S33</f>
        <v>5.4623034031443307</v>
      </c>
      <c r="H33" s="323"/>
      <c r="I33" s="323">
        <f t="shared" ref="I33:I37" si="5">C33*G33</f>
        <v>21358.698766974961</v>
      </c>
      <c r="J33" s="323"/>
      <c r="K33" s="9"/>
      <c r="L33" s="246" t="s">
        <v>176</v>
      </c>
      <c r="M33" s="246"/>
      <c r="N33" s="246"/>
      <c r="O33" s="240">
        <f>1/E33</f>
        <v>1.4184397163120568E-3</v>
      </c>
      <c r="P33" s="240"/>
      <c r="Q33" s="323">
        <f>O4</f>
        <v>3850.9238992167529</v>
      </c>
      <c r="R33" s="240"/>
      <c r="S33" s="323">
        <f>O33*Q33</f>
        <v>5.4623034031443307</v>
      </c>
      <c r="T33" s="240"/>
    </row>
    <row r="34" spans="1:24" x14ac:dyDescent="0.3">
      <c r="A34" s="322" t="s">
        <v>177</v>
      </c>
      <c r="B34" s="322"/>
      <c r="C34" s="240">
        <v>230.8</v>
      </c>
      <c r="D34" s="240"/>
      <c r="E34" s="154">
        <v>1500</v>
      </c>
      <c r="F34" s="154">
        <f t="shared" ref="F34:F37" si="6">C34/E34</f>
        <v>0.15386666666666668</v>
      </c>
      <c r="G34" s="323">
        <f t="shared" si="4"/>
        <v>2.567282599477835</v>
      </c>
      <c r="H34" s="323"/>
      <c r="I34" s="323">
        <f t="shared" si="5"/>
        <v>592.52882395948438</v>
      </c>
      <c r="J34" s="323"/>
      <c r="K34" s="9"/>
      <c r="L34" s="246" t="s">
        <v>177</v>
      </c>
      <c r="M34" s="246"/>
      <c r="N34" s="246"/>
      <c r="O34" s="240">
        <f t="shared" ref="O34:O37" si="7">1/E34</f>
        <v>6.6666666666666664E-4</v>
      </c>
      <c r="P34" s="240"/>
      <c r="Q34" s="323">
        <f>O4</f>
        <v>3850.9238992167529</v>
      </c>
      <c r="R34" s="240"/>
      <c r="S34" s="323">
        <f>O34*Q34</f>
        <v>2.567282599477835</v>
      </c>
      <c r="T34" s="240"/>
    </row>
    <row r="35" spans="1:24" x14ac:dyDescent="0.3">
      <c r="A35" s="324" t="s">
        <v>178</v>
      </c>
      <c r="B35" s="324"/>
      <c r="C35" s="240">
        <v>1995.21</v>
      </c>
      <c r="D35" s="240"/>
      <c r="E35" s="167">
        <v>1000</v>
      </c>
      <c r="F35" s="154">
        <f t="shared" si="6"/>
        <v>1.9952099999999999</v>
      </c>
      <c r="G35" s="323">
        <f t="shared" si="4"/>
        <v>3.8509238992167529</v>
      </c>
      <c r="H35" s="323"/>
      <c r="I35" s="323">
        <f t="shared" si="5"/>
        <v>7683.4018729562576</v>
      </c>
      <c r="J35" s="323"/>
      <c r="K35" s="9"/>
      <c r="L35" s="246" t="s">
        <v>188</v>
      </c>
      <c r="M35" s="246"/>
      <c r="N35" s="246"/>
      <c r="O35" s="240">
        <f t="shared" si="7"/>
        <v>1E-3</v>
      </c>
      <c r="P35" s="240"/>
      <c r="Q35" s="295">
        <f>O4</f>
        <v>3850.9238992167529</v>
      </c>
      <c r="R35" s="244"/>
      <c r="S35" s="323">
        <f>O35*Q35</f>
        <v>3.8509238992167529</v>
      </c>
      <c r="T35" s="240"/>
    </row>
    <row r="36" spans="1:24" x14ac:dyDescent="0.3">
      <c r="A36" s="322" t="s">
        <v>179</v>
      </c>
      <c r="B36" s="322"/>
      <c r="C36" s="240">
        <v>191.44</v>
      </c>
      <c r="D36" s="240"/>
      <c r="E36" s="154">
        <v>200</v>
      </c>
      <c r="F36" s="154">
        <f t="shared" si="6"/>
        <v>0.95719999999999994</v>
      </c>
      <c r="G36" s="323">
        <f t="shared" si="4"/>
        <v>19.254619496083766</v>
      </c>
      <c r="H36" s="323"/>
      <c r="I36" s="323">
        <f t="shared" si="5"/>
        <v>3686.104356330276</v>
      </c>
      <c r="J36" s="323"/>
      <c r="K36" s="9"/>
      <c r="L36" s="246" t="s">
        <v>182</v>
      </c>
      <c r="M36" s="246"/>
      <c r="N36" s="246"/>
      <c r="O36" s="240">
        <f t="shared" si="7"/>
        <v>5.0000000000000001E-3</v>
      </c>
      <c r="P36" s="240"/>
      <c r="Q36" s="323">
        <f>O4</f>
        <v>3850.9238992167529</v>
      </c>
      <c r="R36" s="240"/>
      <c r="S36" s="323">
        <f>O36*Q36</f>
        <v>19.254619496083766</v>
      </c>
      <c r="T36" s="240"/>
    </row>
    <row r="37" spans="1:24" x14ac:dyDescent="0.3">
      <c r="A37" s="332" t="s">
        <v>20</v>
      </c>
      <c r="B37" s="333"/>
      <c r="C37" s="242">
        <v>785</v>
      </c>
      <c r="D37" s="244"/>
      <c r="E37" s="154">
        <v>1800</v>
      </c>
      <c r="F37" s="154">
        <f t="shared" si="6"/>
        <v>0.43611111111111112</v>
      </c>
      <c r="G37" s="323">
        <f t="shared" si="4"/>
        <v>2.1394021662315295</v>
      </c>
      <c r="H37" s="323"/>
      <c r="I37" s="323">
        <f t="shared" si="5"/>
        <v>1679.4307004917507</v>
      </c>
      <c r="J37" s="323"/>
      <c r="K37" s="9"/>
      <c r="L37" s="336" t="s">
        <v>316</v>
      </c>
      <c r="M37" s="336"/>
      <c r="N37" s="336"/>
      <c r="O37" s="240">
        <f t="shared" si="7"/>
        <v>5.5555555555555556E-4</v>
      </c>
      <c r="P37" s="240"/>
      <c r="Q37" s="323">
        <f>O4</f>
        <v>3850.9238992167529</v>
      </c>
      <c r="R37" s="240"/>
      <c r="S37" s="323">
        <f t="shared" ref="S37" si="8">O37*Q37</f>
        <v>2.1394021662315295</v>
      </c>
      <c r="T37" s="240"/>
    </row>
    <row r="38" spans="1:24" x14ac:dyDescent="0.3">
      <c r="A38" s="320" t="s">
        <v>181</v>
      </c>
      <c r="B38" s="320"/>
      <c r="C38" s="319">
        <f>SUM(C33:D37)</f>
        <v>7112.65</v>
      </c>
      <c r="D38" s="319"/>
      <c r="E38" s="156"/>
      <c r="F38" s="156">
        <f>SUM(F33:F37)</f>
        <v>9.0887707565011819</v>
      </c>
      <c r="G38" s="319"/>
      <c r="H38" s="319"/>
      <c r="I38" s="316">
        <f>SUM(I33:J37)</f>
        <v>35000.164520712729</v>
      </c>
      <c r="J38" s="317"/>
      <c r="K38" s="9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</row>
    <row r="39" spans="1:24" x14ac:dyDescent="0.3">
      <c r="A39" s="91" t="s">
        <v>183</v>
      </c>
      <c r="B39" s="92"/>
      <c r="C39" s="92"/>
      <c r="D39" s="92"/>
      <c r="E39" s="92"/>
      <c r="F39" s="92"/>
      <c r="G39" s="92"/>
      <c r="H39" s="93"/>
      <c r="I39" s="318">
        <f>I38*12</f>
        <v>420001.97424855275</v>
      </c>
      <c r="J39" s="319"/>
      <c r="K39" s="9"/>
      <c r="L39" s="299"/>
      <c r="M39" s="299"/>
      <c r="N39" s="299"/>
      <c r="O39" s="299"/>
      <c r="P39" s="299"/>
      <c r="Q39" s="299"/>
      <c r="R39" s="299"/>
      <c r="S39" s="232"/>
      <c r="T39" s="232"/>
      <c r="U39" s="299"/>
      <c r="V39" s="299"/>
      <c r="W39" s="233"/>
      <c r="X39" s="233"/>
    </row>
    <row r="40" spans="1:24" x14ac:dyDescent="0.3">
      <c r="A40" s="320" t="s">
        <v>349</v>
      </c>
      <c r="B40" s="320"/>
      <c r="C40" s="320"/>
      <c r="D40" s="320"/>
      <c r="E40" s="320"/>
      <c r="F40" s="320"/>
      <c r="G40" s="320"/>
      <c r="H40" s="320"/>
      <c r="I40" s="318">
        <f>I38*30</f>
        <v>1050004.935621382</v>
      </c>
      <c r="J40" s="319"/>
      <c r="K40" s="9"/>
      <c r="L40" s="299"/>
      <c r="M40" s="299"/>
      <c r="N40" s="299"/>
      <c r="O40" s="315"/>
      <c r="P40" s="315"/>
      <c r="Q40" s="314"/>
      <c r="R40" s="314"/>
      <c r="S40" s="300"/>
      <c r="T40" s="300"/>
      <c r="U40" s="300"/>
      <c r="V40" s="300"/>
      <c r="W40" s="234"/>
      <c r="X40" s="234"/>
    </row>
    <row r="43" spans="1:24" x14ac:dyDescent="0.3">
      <c r="A43" s="252" t="s">
        <v>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4" x14ac:dyDescent="0.3">
      <c r="A44" s="334" t="s">
        <v>172</v>
      </c>
      <c r="B44" s="334"/>
      <c r="C44" s="334" t="s">
        <v>173</v>
      </c>
      <c r="D44" s="334"/>
      <c r="E44" s="335" t="s">
        <v>23</v>
      </c>
      <c r="F44" s="330" t="s">
        <v>11</v>
      </c>
      <c r="G44" s="334" t="s">
        <v>174</v>
      </c>
      <c r="H44" s="334"/>
      <c r="I44" s="334" t="s">
        <v>175</v>
      </c>
      <c r="J44" s="334"/>
      <c r="K44" s="9"/>
      <c r="L44" s="252" t="s">
        <v>27</v>
      </c>
      <c r="M44" s="252"/>
      <c r="N44" s="252"/>
      <c r="O44" s="252"/>
      <c r="P44" s="252"/>
      <c r="Q44" s="252"/>
      <c r="R44" s="252"/>
      <c r="S44" s="252"/>
      <c r="T44" s="252"/>
    </row>
    <row r="45" spans="1:24" x14ac:dyDescent="0.3">
      <c r="A45" s="326"/>
      <c r="B45" s="326"/>
      <c r="C45" s="326"/>
      <c r="D45" s="326"/>
      <c r="E45" s="335"/>
      <c r="F45" s="331"/>
      <c r="G45" s="326"/>
      <c r="H45" s="326"/>
      <c r="I45" s="326"/>
      <c r="J45" s="326"/>
      <c r="K45" s="9"/>
      <c r="L45" s="252" t="s">
        <v>172</v>
      </c>
      <c r="M45" s="252"/>
      <c r="N45" s="252"/>
      <c r="O45" s="252" t="s">
        <v>23</v>
      </c>
      <c r="P45" s="252"/>
      <c r="Q45" s="252" t="s">
        <v>170</v>
      </c>
      <c r="R45" s="252"/>
      <c r="S45" s="252" t="s">
        <v>180</v>
      </c>
      <c r="T45" s="252"/>
    </row>
    <row r="46" spans="1:24" x14ac:dyDescent="0.3">
      <c r="A46" s="322" t="s">
        <v>176</v>
      </c>
      <c r="B46" s="322"/>
      <c r="C46" s="240">
        <v>366.5</v>
      </c>
      <c r="D46" s="240"/>
      <c r="E46" s="154">
        <v>530</v>
      </c>
      <c r="F46" s="154">
        <f>C46/E46</f>
        <v>0.69150943396226416</v>
      </c>
      <c r="G46" s="323">
        <f t="shared" ref="G46:G50" si="9">S46</f>
        <v>8.2386719218292885</v>
      </c>
      <c r="H46" s="323"/>
      <c r="I46" s="323">
        <f t="shared" ref="I46:I50" si="10">C46*G46</f>
        <v>3019.4732593504341</v>
      </c>
      <c r="J46" s="323"/>
      <c r="K46" s="9"/>
      <c r="L46" s="246" t="s">
        <v>176</v>
      </c>
      <c r="M46" s="246"/>
      <c r="N46" s="246"/>
      <c r="O46" s="240">
        <f t="shared" ref="O46:O50" si="11">1/E46</f>
        <v>1.8867924528301887E-3</v>
      </c>
      <c r="P46" s="240"/>
      <c r="Q46" s="323">
        <f>O7</f>
        <v>4366.4961185695229</v>
      </c>
      <c r="R46" s="240"/>
      <c r="S46" s="323">
        <f t="shared" ref="S46:S50" si="12">O46*Q46</f>
        <v>8.2386719218292885</v>
      </c>
      <c r="T46" s="240"/>
    </row>
    <row r="47" spans="1:24" x14ac:dyDescent="0.3">
      <c r="A47" s="322" t="s">
        <v>177</v>
      </c>
      <c r="B47" s="322"/>
      <c r="C47" s="240">
        <v>39.5</v>
      </c>
      <c r="D47" s="240"/>
      <c r="E47" s="154">
        <v>1500</v>
      </c>
      <c r="F47" s="154">
        <f t="shared" ref="F47:F50" si="13">C47/E47</f>
        <v>2.6333333333333334E-2</v>
      </c>
      <c r="G47" s="323">
        <f t="shared" si="9"/>
        <v>2.910997412379682</v>
      </c>
      <c r="H47" s="323"/>
      <c r="I47" s="323">
        <f t="shared" si="10"/>
        <v>114.98439778899744</v>
      </c>
      <c r="J47" s="323"/>
      <c r="K47" s="9"/>
      <c r="L47" s="246" t="s">
        <v>177</v>
      </c>
      <c r="M47" s="246"/>
      <c r="N47" s="246"/>
      <c r="O47" s="240">
        <f t="shared" si="11"/>
        <v>6.6666666666666664E-4</v>
      </c>
      <c r="P47" s="240"/>
      <c r="Q47" s="323">
        <f>O7</f>
        <v>4366.4961185695229</v>
      </c>
      <c r="R47" s="240"/>
      <c r="S47" s="323">
        <f t="shared" si="12"/>
        <v>2.910997412379682</v>
      </c>
      <c r="T47" s="240"/>
    </row>
    <row r="48" spans="1:24" x14ac:dyDescent="0.3">
      <c r="A48" s="324" t="s">
        <v>178</v>
      </c>
      <c r="B48" s="324"/>
      <c r="C48" s="240">
        <v>60.6</v>
      </c>
      <c r="D48" s="240"/>
      <c r="E48" s="167">
        <v>1000</v>
      </c>
      <c r="F48" s="154">
        <f t="shared" si="13"/>
        <v>6.0600000000000001E-2</v>
      </c>
      <c r="G48" s="323">
        <f t="shared" si="9"/>
        <v>4.3664961185695228</v>
      </c>
      <c r="H48" s="323"/>
      <c r="I48" s="323">
        <f t="shared" si="10"/>
        <v>264.6096647853131</v>
      </c>
      <c r="J48" s="323"/>
      <c r="K48" s="9"/>
      <c r="L48" s="246" t="s">
        <v>188</v>
      </c>
      <c r="M48" s="246"/>
      <c r="N48" s="246"/>
      <c r="O48" s="240">
        <f t="shared" si="11"/>
        <v>1E-3</v>
      </c>
      <c r="P48" s="240"/>
      <c r="Q48" s="295">
        <f>O7</f>
        <v>4366.4961185695229</v>
      </c>
      <c r="R48" s="244"/>
      <c r="S48" s="323">
        <f t="shared" si="12"/>
        <v>4.3664961185695228</v>
      </c>
      <c r="T48" s="240"/>
    </row>
    <row r="49" spans="1:24" x14ac:dyDescent="0.3">
      <c r="A49" s="322" t="s">
        <v>179</v>
      </c>
      <c r="B49" s="322"/>
      <c r="C49" s="240">
        <v>27.2</v>
      </c>
      <c r="D49" s="240"/>
      <c r="E49" s="154">
        <v>200</v>
      </c>
      <c r="F49" s="154">
        <f t="shared" si="13"/>
        <v>0.13600000000000001</v>
      </c>
      <c r="G49" s="323">
        <f t="shared" si="9"/>
        <v>21.832480592847613</v>
      </c>
      <c r="H49" s="323"/>
      <c r="I49" s="323">
        <f t="shared" si="10"/>
        <v>593.84347212545504</v>
      </c>
      <c r="J49" s="323"/>
      <c r="K49" s="9"/>
      <c r="L49" s="246" t="s">
        <v>182</v>
      </c>
      <c r="M49" s="246"/>
      <c r="N49" s="246"/>
      <c r="O49" s="240">
        <f t="shared" si="11"/>
        <v>5.0000000000000001E-3</v>
      </c>
      <c r="P49" s="240"/>
      <c r="Q49" s="323">
        <f>O7</f>
        <v>4366.4961185695229</v>
      </c>
      <c r="R49" s="240"/>
      <c r="S49" s="323">
        <f t="shared" si="12"/>
        <v>21.832480592847613</v>
      </c>
      <c r="T49" s="240"/>
    </row>
    <row r="50" spans="1:24" x14ac:dyDescent="0.3">
      <c r="A50" s="332" t="s">
        <v>20</v>
      </c>
      <c r="B50" s="333"/>
      <c r="C50" s="242">
        <v>134.46</v>
      </c>
      <c r="D50" s="244"/>
      <c r="E50" s="154">
        <v>1500</v>
      </c>
      <c r="F50" s="154">
        <f t="shared" si="13"/>
        <v>8.9640000000000011E-2</v>
      </c>
      <c r="G50" s="323">
        <f t="shared" si="9"/>
        <v>2.910997412379682</v>
      </c>
      <c r="H50" s="323"/>
      <c r="I50" s="323">
        <f t="shared" si="10"/>
        <v>391.41271206857209</v>
      </c>
      <c r="J50" s="323"/>
      <c r="K50" s="9"/>
      <c r="L50" s="246" t="s">
        <v>20</v>
      </c>
      <c r="M50" s="246"/>
      <c r="N50" s="246"/>
      <c r="O50" s="240">
        <f t="shared" si="11"/>
        <v>6.6666666666666664E-4</v>
      </c>
      <c r="P50" s="240"/>
      <c r="Q50" s="323">
        <f>O7</f>
        <v>4366.4961185695229</v>
      </c>
      <c r="R50" s="240"/>
      <c r="S50" s="323">
        <f t="shared" si="12"/>
        <v>2.910997412379682</v>
      </c>
      <c r="T50" s="240"/>
    </row>
    <row r="51" spans="1:24" x14ac:dyDescent="0.3">
      <c r="A51" s="320" t="s">
        <v>181</v>
      </c>
      <c r="B51" s="320"/>
      <c r="C51" s="319">
        <f>SUM(C46:D50)</f>
        <v>628.26</v>
      </c>
      <c r="D51" s="319"/>
      <c r="E51" s="156"/>
      <c r="F51" s="156">
        <f>SUM(F46:F50)</f>
        <v>1.0040827672955974</v>
      </c>
      <c r="G51" s="319"/>
      <c r="H51" s="319"/>
      <c r="I51" s="316">
        <f>SUM(I46:J50)</f>
        <v>4384.3235061187715</v>
      </c>
      <c r="J51" s="317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4" x14ac:dyDescent="0.3">
      <c r="A52" s="91" t="s">
        <v>183</v>
      </c>
      <c r="B52" s="92"/>
      <c r="C52" s="92"/>
      <c r="D52" s="92"/>
      <c r="E52" s="92"/>
      <c r="F52" s="92"/>
      <c r="G52" s="92"/>
      <c r="H52" s="93"/>
      <c r="I52" s="318">
        <f>I51*12</f>
        <v>52611.882073425259</v>
      </c>
      <c r="J52" s="319"/>
      <c r="K52" s="9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 spans="1:24" x14ac:dyDescent="0.3">
      <c r="A53" s="320" t="s">
        <v>349</v>
      </c>
      <c r="B53" s="320"/>
      <c r="C53" s="320"/>
      <c r="D53" s="320"/>
      <c r="E53" s="320"/>
      <c r="F53" s="320"/>
      <c r="G53" s="320"/>
      <c r="H53" s="320"/>
      <c r="I53" s="318">
        <f>I51*30</f>
        <v>131529.70518356314</v>
      </c>
      <c r="J53" s="319"/>
      <c r="K53" s="9"/>
      <c r="L53" s="232"/>
      <c r="M53" s="232"/>
      <c r="N53" s="232"/>
      <c r="O53" s="232"/>
      <c r="P53" s="232"/>
      <c r="Q53" s="232"/>
      <c r="R53" s="232"/>
      <c r="S53" s="232"/>
      <c r="T53" s="232"/>
      <c r="U53" s="299"/>
      <c r="V53" s="299"/>
      <c r="W53" s="235"/>
      <c r="X53" s="235"/>
    </row>
    <row r="54" spans="1:24" x14ac:dyDescent="0.3">
      <c r="A54" s="9"/>
      <c r="L54" s="232"/>
      <c r="M54" s="232"/>
      <c r="N54" s="232"/>
      <c r="O54" s="113"/>
      <c r="P54" s="113"/>
      <c r="Q54" s="236"/>
      <c r="R54" s="236"/>
      <c r="S54" s="237"/>
      <c r="T54" s="237"/>
      <c r="U54" s="300"/>
      <c r="V54" s="300"/>
      <c r="W54" s="234"/>
      <c r="X54" s="234"/>
    </row>
    <row r="57" spans="1:24" x14ac:dyDescent="0.3">
      <c r="A57" s="321" t="s">
        <v>191</v>
      </c>
      <c r="B57" s="321"/>
      <c r="C57" s="321"/>
      <c r="D57" s="321"/>
      <c r="E57" s="321"/>
      <c r="F57" s="321"/>
      <c r="G57" s="321"/>
      <c r="H57" s="321"/>
      <c r="I57" s="321"/>
      <c r="J57" s="321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4" x14ac:dyDescent="0.3">
      <c r="A58" s="325" t="s">
        <v>172</v>
      </c>
      <c r="B58" s="325"/>
      <c r="C58" s="325" t="s">
        <v>173</v>
      </c>
      <c r="D58" s="327"/>
      <c r="E58" s="329" t="s">
        <v>23</v>
      </c>
      <c r="F58" s="330" t="s">
        <v>11</v>
      </c>
      <c r="G58" s="325" t="s">
        <v>174</v>
      </c>
      <c r="H58" s="325"/>
      <c r="I58" s="325" t="s">
        <v>175</v>
      </c>
      <c r="J58" s="325"/>
      <c r="K58" s="9"/>
      <c r="L58" s="252" t="s">
        <v>191</v>
      </c>
      <c r="M58" s="252"/>
      <c r="N58" s="252"/>
      <c r="O58" s="252"/>
      <c r="P58" s="252"/>
      <c r="Q58" s="252"/>
      <c r="R58" s="252"/>
      <c r="S58" s="252"/>
      <c r="T58" s="252"/>
    </row>
    <row r="59" spans="1:24" x14ac:dyDescent="0.3">
      <c r="A59" s="326"/>
      <c r="B59" s="326"/>
      <c r="C59" s="326"/>
      <c r="D59" s="328"/>
      <c r="E59" s="329"/>
      <c r="F59" s="331"/>
      <c r="G59" s="326"/>
      <c r="H59" s="326"/>
      <c r="I59" s="326"/>
      <c r="J59" s="326"/>
      <c r="K59" s="9"/>
      <c r="L59" s="252" t="s">
        <v>172</v>
      </c>
      <c r="M59" s="252"/>
      <c r="N59" s="252"/>
      <c r="O59" s="252" t="s">
        <v>23</v>
      </c>
      <c r="P59" s="252"/>
      <c r="Q59" s="252" t="s">
        <v>170</v>
      </c>
      <c r="R59" s="252"/>
      <c r="S59" s="252" t="s">
        <v>180</v>
      </c>
      <c r="T59" s="252"/>
    </row>
    <row r="60" spans="1:24" x14ac:dyDescent="0.3">
      <c r="A60" s="322" t="s">
        <v>176</v>
      </c>
      <c r="B60" s="322"/>
      <c r="C60" s="240">
        <v>397.9</v>
      </c>
      <c r="D60" s="240"/>
      <c r="E60" s="154">
        <v>515</v>
      </c>
      <c r="F60" s="154">
        <f>C60/E60</f>
        <v>0.77262135922330089</v>
      </c>
      <c r="G60" s="323">
        <f>S60</f>
        <v>7.2848102910584105</v>
      </c>
      <c r="H60" s="323"/>
      <c r="I60" s="323">
        <f>C60*G60</f>
        <v>2898.6260148121414</v>
      </c>
      <c r="J60" s="323"/>
      <c r="K60" s="9"/>
      <c r="L60" s="246" t="s">
        <v>176</v>
      </c>
      <c r="M60" s="246"/>
      <c r="N60" s="246"/>
      <c r="O60" s="240">
        <f>1/E60</f>
        <v>1.9417475728155339E-3</v>
      </c>
      <c r="P60" s="240"/>
      <c r="Q60" s="323">
        <f>O8</f>
        <v>3751.6772998950814</v>
      </c>
      <c r="R60" s="240"/>
      <c r="S60" s="323">
        <f>O60*Q60</f>
        <v>7.2848102910584105</v>
      </c>
      <c r="T60" s="240"/>
    </row>
    <row r="61" spans="1:24" x14ac:dyDescent="0.3">
      <c r="A61" s="322" t="s">
        <v>177</v>
      </c>
      <c r="B61" s="322"/>
      <c r="C61" s="240">
        <v>23.09</v>
      </c>
      <c r="D61" s="240"/>
      <c r="E61" s="154">
        <v>1500</v>
      </c>
      <c r="F61" s="154">
        <f t="shared" ref="F61:F63" si="14">C61/E61</f>
        <v>1.5393333333333334E-2</v>
      </c>
      <c r="G61" s="323">
        <f>S61</f>
        <v>2.5011181999300542</v>
      </c>
      <c r="H61" s="323"/>
      <c r="I61" s="323">
        <f>C61*G61</f>
        <v>57.750819236384949</v>
      </c>
      <c r="J61" s="323"/>
      <c r="K61" s="9"/>
      <c r="L61" s="246" t="s">
        <v>177</v>
      </c>
      <c r="M61" s="246"/>
      <c r="N61" s="246"/>
      <c r="O61" s="240">
        <f>1/E61</f>
        <v>6.6666666666666664E-4</v>
      </c>
      <c r="P61" s="240"/>
      <c r="Q61" s="323">
        <f>O8</f>
        <v>3751.6772998950814</v>
      </c>
      <c r="R61" s="240"/>
      <c r="S61" s="323">
        <f>O61*Q61</f>
        <v>2.5011181999300542</v>
      </c>
      <c r="T61" s="240"/>
    </row>
    <row r="62" spans="1:24" x14ac:dyDescent="0.3">
      <c r="A62" s="324" t="s">
        <v>178</v>
      </c>
      <c r="B62" s="324"/>
      <c r="C62" s="240">
        <v>109.86</v>
      </c>
      <c r="D62" s="240"/>
      <c r="E62" s="167">
        <v>1000</v>
      </c>
      <c r="F62" s="154">
        <f t="shared" si="14"/>
        <v>0.10986</v>
      </c>
      <c r="G62" s="323">
        <f>S62</f>
        <v>3.7516772998950816</v>
      </c>
      <c r="H62" s="323"/>
      <c r="I62" s="323">
        <f>C62*G62</f>
        <v>412.15926816647368</v>
      </c>
      <c r="J62" s="323"/>
      <c r="K62" s="9"/>
      <c r="L62" s="246" t="s">
        <v>188</v>
      </c>
      <c r="M62" s="246"/>
      <c r="N62" s="246"/>
      <c r="O62" s="240">
        <f>1/E62</f>
        <v>1E-3</v>
      </c>
      <c r="P62" s="240"/>
      <c r="Q62" s="295">
        <f>O8</f>
        <v>3751.6772998950814</v>
      </c>
      <c r="R62" s="244"/>
      <c r="S62" s="323">
        <f>O62*Q62</f>
        <v>3.7516772998950816</v>
      </c>
      <c r="T62" s="240"/>
    </row>
    <row r="63" spans="1:24" x14ac:dyDescent="0.3">
      <c r="A63" s="322" t="s">
        <v>179</v>
      </c>
      <c r="B63" s="322"/>
      <c r="C63" s="240">
        <v>20.86</v>
      </c>
      <c r="D63" s="240"/>
      <c r="E63" s="154">
        <v>200</v>
      </c>
      <c r="F63" s="154">
        <f t="shared" si="14"/>
        <v>0.1043</v>
      </c>
      <c r="G63" s="323">
        <f>S63</f>
        <v>18.758386499475407</v>
      </c>
      <c r="H63" s="323"/>
      <c r="I63" s="323">
        <f>C63*G63</f>
        <v>391.29994237905697</v>
      </c>
      <c r="J63" s="323"/>
      <c r="K63" s="9"/>
      <c r="L63" s="246" t="s">
        <v>182</v>
      </c>
      <c r="M63" s="246"/>
      <c r="N63" s="246"/>
      <c r="O63" s="240">
        <f>1/E63</f>
        <v>5.0000000000000001E-3</v>
      </c>
      <c r="P63" s="240"/>
      <c r="Q63" s="323">
        <f>O8</f>
        <v>3751.6772998950814</v>
      </c>
      <c r="R63" s="240"/>
      <c r="S63" s="323">
        <f>O63*Q63</f>
        <v>18.758386499475407</v>
      </c>
      <c r="T63" s="240"/>
    </row>
    <row r="64" spans="1:24" x14ac:dyDescent="0.3">
      <c r="A64" s="320" t="s">
        <v>181</v>
      </c>
      <c r="B64" s="320"/>
      <c r="C64" s="319">
        <f>SUM(C60:D63)</f>
        <v>551.70999999999992</v>
      </c>
      <c r="D64" s="319"/>
      <c r="E64" s="156"/>
      <c r="F64" s="156">
        <f>SUM(F60:F63)</f>
        <v>1.0021746925566342</v>
      </c>
      <c r="G64" s="319"/>
      <c r="H64" s="319"/>
      <c r="I64" s="316">
        <f>SUM(I60:J63)</f>
        <v>3759.8360445940571</v>
      </c>
      <c r="J64" s="317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3">
      <c r="A65" s="91" t="s">
        <v>183</v>
      </c>
      <c r="B65" s="92"/>
      <c r="C65" s="92"/>
      <c r="D65" s="92"/>
      <c r="E65" s="92"/>
      <c r="F65" s="92"/>
      <c r="G65" s="92"/>
      <c r="H65" s="93"/>
      <c r="I65" s="318">
        <f>I64*12</f>
        <v>45118.032535128688</v>
      </c>
      <c r="J65" s="31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3">
      <c r="A66" s="320" t="s">
        <v>349</v>
      </c>
      <c r="B66" s="320"/>
      <c r="C66" s="320"/>
      <c r="D66" s="320"/>
      <c r="E66" s="320"/>
      <c r="F66" s="320"/>
      <c r="G66" s="320"/>
      <c r="H66" s="320"/>
      <c r="I66" s="318">
        <f>I64*30</f>
        <v>112795.08133782171</v>
      </c>
      <c r="J66" s="319"/>
      <c r="K66" s="9"/>
      <c r="L66" s="9"/>
      <c r="M66" s="9"/>
      <c r="N66" s="9"/>
      <c r="O66" s="9"/>
      <c r="P66" s="9"/>
      <c r="Q66" s="9"/>
      <c r="R66" s="9"/>
      <c r="S66" s="9"/>
      <c r="T66" s="9"/>
    </row>
    <row r="71" spans="1:20" x14ac:dyDescent="0.3">
      <c r="A71" s="97"/>
    </row>
  </sheetData>
  <mergeCells count="321">
    <mergeCell ref="I8:J8"/>
    <mergeCell ref="L7:N7"/>
    <mergeCell ref="O7:P7"/>
    <mergeCell ref="L5:N5"/>
    <mergeCell ref="O5:P5"/>
    <mergeCell ref="L6:N6"/>
    <mergeCell ref="O6:P6"/>
    <mergeCell ref="A7:B7"/>
    <mergeCell ref="A5:B6"/>
    <mergeCell ref="C5:D6"/>
    <mergeCell ref="E5:E6"/>
    <mergeCell ref="F5:F6"/>
    <mergeCell ref="I5:J6"/>
    <mergeCell ref="G5:H6"/>
    <mergeCell ref="A1:J2"/>
    <mergeCell ref="A3:J3"/>
    <mergeCell ref="A4:J4"/>
    <mergeCell ref="Q14:R14"/>
    <mergeCell ref="Q15:R15"/>
    <mergeCell ref="L3:N3"/>
    <mergeCell ref="O3:P3"/>
    <mergeCell ref="Q3:T3"/>
    <mergeCell ref="L4:N4"/>
    <mergeCell ref="O4:P4"/>
    <mergeCell ref="Q4:T4"/>
    <mergeCell ref="Q7:T7"/>
    <mergeCell ref="L8:N8"/>
    <mergeCell ref="O8:P8"/>
    <mergeCell ref="Q8:T8"/>
    <mergeCell ref="L10:T10"/>
    <mergeCell ref="A9:B9"/>
    <mergeCell ref="C9:D9"/>
    <mergeCell ref="G9:H9"/>
    <mergeCell ref="I9:J9"/>
    <mergeCell ref="C7:D7"/>
    <mergeCell ref="G7:H7"/>
    <mergeCell ref="G8:H8"/>
    <mergeCell ref="A17:B18"/>
    <mergeCell ref="C17:D18"/>
    <mergeCell ref="E17:E18"/>
    <mergeCell ref="F17:F18"/>
    <mergeCell ref="G17:H18"/>
    <mergeCell ref="I17:J18"/>
    <mergeCell ref="A16:J16"/>
    <mergeCell ref="A11:B11"/>
    <mergeCell ref="C11:D11"/>
    <mergeCell ref="G11:H11"/>
    <mergeCell ref="I11:J11"/>
    <mergeCell ref="A10:B10"/>
    <mergeCell ref="C10:D10"/>
    <mergeCell ref="G10:H10"/>
    <mergeCell ref="I10:J10"/>
    <mergeCell ref="C8:D8"/>
    <mergeCell ref="I7:J7"/>
    <mergeCell ref="L17:T17"/>
    <mergeCell ref="L18:N18"/>
    <mergeCell ref="O18:P18"/>
    <mergeCell ref="Q18:R18"/>
    <mergeCell ref="S18:T18"/>
    <mergeCell ref="Q12:R12"/>
    <mergeCell ref="Q11:R11"/>
    <mergeCell ref="A19:B19"/>
    <mergeCell ref="C19:D19"/>
    <mergeCell ref="G19:H19"/>
    <mergeCell ref="I19:J19"/>
    <mergeCell ref="S11:T11"/>
    <mergeCell ref="L15:N15"/>
    <mergeCell ref="O12:P12"/>
    <mergeCell ref="O11:P11"/>
    <mergeCell ref="O14:P14"/>
    <mergeCell ref="O15:P15"/>
    <mergeCell ref="A13:H13"/>
    <mergeCell ref="I13:J13"/>
    <mergeCell ref="I12:J12"/>
    <mergeCell ref="O13:P13"/>
    <mergeCell ref="Q13:R13"/>
    <mergeCell ref="L12:N12"/>
    <mergeCell ref="L11:N11"/>
    <mergeCell ref="A20:B20"/>
    <mergeCell ref="C20:D20"/>
    <mergeCell ref="G20:H20"/>
    <mergeCell ref="I20:J20"/>
    <mergeCell ref="G23:H23"/>
    <mergeCell ref="G24:H24"/>
    <mergeCell ref="A25:B25"/>
    <mergeCell ref="C25:D25"/>
    <mergeCell ref="G25:H25"/>
    <mergeCell ref="A21:B21"/>
    <mergeCell ref="C21:D21"/>
    <mergeCell ref="G21:H21"/>
    <mergeCell ref="I21:J21"/>
    <mergeCell ref="A22:B22"/>
    <mergeCell ref="C22:D22"/>
    <mergeCell ref="G22:H22"/>
    <mergeCell ref="I22:J22"/>
    <mergeCell ref="I23:J23"/>
    <mergeCell ref="A23:B23"/>
    <mergeCell ref="A24:B24"/>
    <mergeCell ref="C23:D23"/>
    <mergeCell ref="C24:D24"/>
    <mergeCell ref="L23:N23"/>
    <mergeCell ref="O23:P23"/>
    <mergeCell ref="Q23:R23"/>
    <mergeCell ref="S23:T23"/>
    <mergeCell ref="S19:T19"/>
    <mergeCell ref="L20:N20"/>
    <mergeCell ref="O20:P20"/>
    <mergeCell ref="Q20:R20"/>
    <mergeCell ref="S20:T20"/>
    <mergeCell ref="L21:N21"/>
    <mergeCell ref="O21:P21"/>
    <mergeCell ref="L19:N19"/>
    <mergeCell ref="O19:P19"/>
    <mergeCell ref="Q19:R19"/>
    <mergeCell ref="L22:N22"/>
    <mergeCell ref="O22:P22"/>
    <mergeCell ref="Q22:R22"/>
    <mergeCell ref="S22:T22"/>
    <mergeCell ref="Q21:R21"/>
    <mergeCell ref="S21:T21"/>
    <mergeCell ref="I31:J32"/>
    <mergeCell ref="L31:T31"/>
    <mergeCell ref="L32:N32"/>
    <mergeCell ref="O32:P32"/>
    <mergeCell ref="Q32:R32"/>
    <mergeCell ref="S32:T32"/>
    <mergeCell ref="L24:N24"/>
    <mergeCell ref="O24:P24"/>
    <mergeCell ref="Q24:R24"/>
    <mergeCell ref="S24:T24"/>
    <mergeCell ref="A30:J30"/>
    <mergeCell ref="A31:B32"/>
    <mergeCell ref="C31:D32"/>
    <mergeCell ref="E31:E32"/>
    <mergeCell ref="F31:F32"/>
    <mergeCell ref="G31:H32"/>
    <mergeCell ref="I25:J25"/>
    <mergeCell ref="I26:J26"/>
    <mergeCell ref="A27:H27"/>
    <mergeCell ref="I27:J27"/>
    <mergeCell ref="I24:J24"/>
    <mergeCell ref="L26:N26"/>
    <mergeCell ref="O26:P26"/>
    <mergeCell ref="Q26:R26"/>
    <mergeCell ref="C37:D37"/>
    <mergeCell ref="G37:H37"/>
    <mergeCell ref="I37:J37"/>
    <mergeCell ref="L37:N37"/>
    <mergeCell ref="Q33:R33"/>
    <mergeCell ref="S33:T33"/>
    <mergeCell ref="A34:B34"/>
    <mergeCell ref="C34:D34"/>
    <mergeCell ref="G34:H34"/>
    <mergeCell ref="I34:J34"/>
    <mergeCell ref="L34:N34"/>
    <mergeCell ref="O34:P34"/>
    <mergeCell ref="Q34:R34"/>
    <mergeCell ref="S34:T34"/>
    <mergeCell ref="A33:B33"/>
    <mergeCell ref="C33:D33"/>
    <mergeCell ref="G33:H33"/>
    <mergeCell ref="I33:J33"/>
    <mergeCell ref="L33:N33"/>
    <mergeCell ref="O33:P33"/>
    <mergeCell ref="A43:J43"/>
    <mergeCell ref="A38:B38"/>
    <mergeCell ref="C38:D38"/>
    <mergeCell ref="G38:H38"/>
    <mergeCell ref="L38:X38"/>
    <mergeCell ref="Q35:R35"/>
    <mergeCell ref="S35:T35"/>
    <mergeCell ref="A36:B36"/>
    <mergeCell ref="C36:D36"/>
    <mergeCell ref="G36:H36"/>
    <mergeCell ref="I36:J36"/>
    <mergeCell ref="L36:N36"/>
    <mergeCell ref="O36:P36"/>
    <mergeCell ref="Q36:R36"/>
    <mergeCell ref="S36:T36"/>
    <mergeCell ref="A35:B35"/>
    <mergeCell ref="C35:D35"/>
    <mergeCell ref="G35:H35"/>
    <mergeCell ref="I35:J35"/>
    <mergeCell ref="L35:N35"/>
    <mergeCell ref="O35:P35"/>
    <mergeCell ref="Q37:R37"/>
    <mergeCell ref="S37:T37"/>
    <mergeCell ref="A37:B37"/>
    <mergeCell ref="L44:T44"/>
    <mergeCell ref="L45:N45"/>
    <mergeCell ref="O45:P45"/>
    <mergeCell ref="Q45:R45"/>
    <mergeCell ref="S45:T45"/>
    <mergeCell ref="A46:B46"/>
    <mergeCell ref="C46:D46"/>
    <mergeCell ref="G46:H46"/>
    <mergeCell ref="I46:J46"/>
    <mergeCell ref="L46:N46"/>
    <mergeCell ref="O46:P46"/>
    <mergeCell ref="Q46:R46"/>
    <mergeCell ref="S46:T46"/>
    <mergeCell ref="A44:B45"/>
    <mergeCell ref="C44:D45"/>
    <mergeCell ref="E44:E45"/>
    <mergeCell ref="F44:F45"/>
    <mergeCell ref="G44:H45"/>
    <mergeCell ref="I44:J45"/>
    <mergeCell ref="A48:B48"/>
    <mergeCell ref="C48:D48"/>
    <mergeCell ref="G48:H48"/>
    <mergeCell ref="I48:J48"/>
    <mergeCell ref="L48:N48"/>
    <mergeCell ref="O48:P48"/>
    <mergeCell ref="Q48:R48"/>
    <mergeCell ref="S48:T48"/>
    <mergeCell ref="A47:B47"/>
    <mergeCell ref="C47:D47"/>
    <mergeCell ref="G47:H47"/>
    <mergeCell ref="I47:J47"/>
    <mergeCell ref="L47:N47"/>
    <mergeCell ref="C49:D49"/>
    <mergeCell ref="G49:H49"/>
    <mergeCell ref="I49:J49"/>
    <mergeCell ref="L49:N49"/>
    <mergeCell ref="O49:P49"/>
    <mergeCell ref="Q49:R49"/>
    <mergeCell ref="S49:T49"/>
    <mergeCell ref="A50:B50"/>
    <mergeCell ref="C50:D50"/>
    <mergeCell ref="G50:H50"/>
    <mergeCell ref="I50:J50"/>
    <mergeCell ref="L50:N50"/>
    <mergeCell ref="O50:P50"/>
    <mergeCell ref="Q50:R50"/>
    <mergeCell ref="L60:N60"/>
    <mergeCell ref="O60:P60"/>
    <mergeCell ref="Q60:R60"/>
    <mergeCell ref="S60:T60"/>
    <mergeCell ref="A58:B59"/>
    <mergeCell ref="C58:D59"/>
    <mergeCell ref="E58:E59"/>
    <mergeCell ref="F58:F59"/>
    <mergeCell ref="G58:H59"/>
    <mergeCell ref="I58:J59"/>
    <mergeCell ref="L58:T58"/>
    <mergeCell ref="L59:N59"/>
    <mergeCell ref="O59:P59"/>
    <mergeCell ref="Q59:R59"/>
    <mergeCell ref="S59:T59"/>
    <mergeCell ref="Q63:R63"/>
    <mergeCell ref="S63:T63"/>
    <mergeCell ref="A63:B63"/>
    <mergeCell ref="C63:D63"/>
    <mergeCell ref="G63:H63"/>
    <mergeCell ref="S61:T61"/>
    <mergeCell ref="A62:B62"/>
    <mergeCell ref="C62:D62"/>
    <mergeCell ref="G62:H62"/>
    <mergeCell ref="I62:J62"/>
    <mergeCell ref="L62:N62"/>
    <mergeCell ref="O62:P62"/>
    <mergeCell ref="Q62:R62"/>
    <mergeCell ref="S62:T62"/>
    <mergeCell ref="A61:B61"/>
    <mergeCell ref="C61:D61"/>
    <mergeCell ref="G61:H61"/>
    <mergeCell ref="I61:J61"/>
    <mergeCell ref="L61:N61"/>
    <mergeCell ref="O61:P61"/>
    <mergeCell ref="Q61:R61"/>
    <mergeCell ref="I63:J63"/>
    <mergeCell ref="L63:N63"/>
    <mergeCell ref="O63:P63"/>
    <mergeCell ref="I38:J38"/>
    <mergeCell ref="I39:J39"/>
    <mergeCell ref="I65:J65"/>
    <mergeCell ref="A66:H66"/>
    <mergeCell ref="I66:J66"/>
    <mergeCell ref="A64:B64"/>
    <mergeCell ref="C64:D64"/>
    <mergeCell ref="G64:H64"/>
    <mergeCell ref="I64:J64"/>
    <mergeCell ref="I52:J52"/>
    <mergeCell ref="A53:H53"/>
    <mergeCell ref="I53:J53"/>
    <mergeCell ref="A57:J57"/>
    <mergeCell ref="A40:H40"/>
    <mergeCell ref="I40:J40"/>
    <mergeCell ref="A60:B60"/>
    <mergeCell ref="C60:D60"/>
    <mergeCell ref="G60:H60"/>
    <mergeCell ref="I60:J60"/>
    <mergeCell ref="A51:B51"/>
    <mergeCell ref="C51:D51"/>
    <mergeCell ref="G51:H51"/>
    <mergeCell ref="I51:J51"/>
    <mergeCell ref="A49:B49"/>
    <mergeCell ref="U53:V53"/>
    <mergeCell ref="U54:V54"/>
    <mergeCell ref="S26:T26"/>
    <mergeCell ref="U26:V26"/>
    <mergeCell ref="L25:X25"/>
    <mergeCell ref="L27:N27"/>
    <mergeCell ref="O27:P27"/>
    <mergeCell ref="Q27:R27"/>
    <mergeCell ref="S27:T27"/>
    <mergeCell ref="U27:V27"/>
    <mergeCell ref="L39:N39"/>
    <mergeCell ref="O39:P39"/>
    <mergeCell ref="Q39:R39"/>
    <mergeCell ref="S40:T40"/>
    <mergeCell ref="Q40:R40"/>
    <mergeCell ref="O40:P40"/>
    <mergeCell ref="L40:N40"/>
    <mergeCell ref="U40:V40"/>
    <mergeCell ref="U39:V39"/>
    <mergeCell ref="S50:T50"/>
    <mergeCell ref="O47:P47"/>
    <mergeCell ref="Q47:R47"/>
    <mergeCell ref="S47:T47"/>
    <mergeCell ref="O37:P3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254-ADD9-4DCF-B478-FA87F3B51934}">
  <dimension ref="A1:L136"/>
  <sheetViews>
    <sheetView topLeftCell="A113" workbookViewId="0">
      <selection activeCell="E10" sqref="E10:H10"/>
    </sheetView>
  </sheetViews>
  <sheetFormatPr defaultRowHeight="14.4" x14ac:dyDescent="0.3"/>
  <cols>
    <col min="2" max="2" width="27.44140625" customWidth="1"/>
    <col min="4" max="4" width="24.33203125" customWidth="1"/>
    <col min="5" max="5" width="10.77734375" customWidth="1"/>
    <col min="6" max="6" width="11.6640625" bestFit="1" customWidth="1"/>
    <col min="7" max="7" width="11.88671875" bestFit="1" customWidth="1"/>
    <col min="8" max="8" width="31.21875" customWidth="1"/>
    <col min="11" max="11" width="12" bestFit="1" customWidth="1"/>
  </cols>
  <sheetData>
    <row r="1" spans="1:8" x14ac:dyDescent="0.3">
      <c r="A1" s="418" t="s">
        <v>32</v>
      </c>
      <c r="B1" s="419"/>
      <c r="C1" s="419"/>
      <c r="D1" s="419"/>
      <c r="E1" s="419"/>
      <c r="F1" s="419"/>
      <c r="G1" s="419"/>
      <c r="H1" s="420"/>
    </row>
    <row r="2" spans="1:8" x14ac:dyDescent="0.3">
      <c r="A2" s="377" t="s">
        <v>33</v>
      </c>
      <c r="B2" s="379"/>
      <c r="C2" s="377"/>
      <c r="D2" s="378"/>
      <c r="E2" s="378"/>
      <c r="F2" s="378"/>
      <c r="G2" s="378"/>
      <c r="H2" s="379"/>
    </row>
    <row r="3" spans="1:8" x14ac:dyDescent="0.3">
      <c r="A3" s="377" t="s">
        <v>34</v>
      </c>
      <c r="B3" s="379"/>
      <c r="C3" s="425"/>
      <c r="D3" s="426"/>
      <c r="E3" s="426"/>
      <c r="F3" s="426"/>
      <c r="G3" s="426"/>
      <c r="H3" s="427"/>
    </row>
    <row r="4" spans="1:8" x14ac:dyDescent="0.3">
      <c r="A4" s="377" t="s">
        <v>35</v>
      </c>
      <c r="B4" s="379"/>
      <c r="C4" s="377" t="s">
        <v>36</v>
      </c>
      <c r="D4" s="378"/>
      <c r="E4" s="378"/>
      <c r="F4" s="378"/>
      <c r="G4" s="378"/>
      <c r="H4" s="379"/>
    </row>
    <row r="5" spans="1:8" x14ac:dyDescent="0.3">
      <c r="A5" s="421" t="s">
        <v>37</v>
      </c>
      <c r="B5" s="421"/>
      <c r="C5" s="12"/>
      <c r="D5" s="12"/>
      <c r="E5" s="12"/>
      <c r="F5" s="12"/>
      <c r="G5" s="12"/>
      <c r="H5" s="65"/>
    </row>
    <row r="6" spans="1:8" x14ac:dyDescent="0.3">
      <c r="A6" s="428" t="s">
        <v>168</v>
      </c>
      <c r="B6" s="429"/>
      <c r="C6" s="429"/>
      <c r="D6" s="429"/>
      <c r="E6" s="429"/>
      <c r="F6" s="429"/>
      <c r="G6" s="429"/>
      <c r="H6" s="430"/>
    </row>
    <row r="7" spans="1:8" x14ac:dyDescent="0.3">
      <c r="A7" s="401" t="s">
        <v>38</v>
      </c>
      <c r="B7" s="402"/>
      <c r="C7" s="402"/>
      <c r="D7" s="402"/>
      <c r="E7" s="402"/>
      <c r="F7" s="402"/>
      <c r="G7" s="402"/>
      <c r="H7" s="431"/>
    </row>
    <row r="8" spans="1:8" x14ac:dyDescent="0.3">
      <c r="A8" s="10" t="s">
        <v>39</v>
      </c>
      <c r="B8" s="377" t="s">
        <v>40</v>
      </c>
      <c r="C8" s="378"/>
      <c r="D8" s="379"/>
      <c r="E8" s="422"/>
      <c r="F8" s="423"/>
      <c r="G8" s="423"/>
      <c r="H8" s="424"/>
    </row>
    <row r="9" spans="1:8" x14ac:dyDescent="0.3">
      <c r="A9" s="80" t="s">
        <v>41</v>
      </c>
      <c r="B9" s="365" t="s">
        <v>42</v>
      </c>
      <c r="C9" s="366"/>
      <c r="D9" s="367"/>
      <c r="E9" s="386" t="s">
        <v>43</v>
      </c>
      <c r="F9" s="396"/>
      <c r="G9" s="396"/>
      <c r="H9" s="387"/>
    </row>
    <row r="10" spans="1:8" x14ac:dyDescent="0.3">
      <c r="A10" s="80" t="s">
        <v>44</v>
      </c>
      <c r="B10" s="365" t="s">
        <v>45</v>
      </c>
      <c r="C10" s="366"/>
      <c r="D10" s="367"/>
      <c r="E10" s="368" t="s">
        <v>345</v>
      </c>
      <c r="F10" s="369"/>
      <c r="G10" s="369"/>
      <c r="H10" s="370"/>
    </row>
    <row r="11" spans="1:8" x14ac:dyDescent="0.3">
      <c r="A11" s="81" t="s">
        <v>46</v>
      </c>
      <c r="B11" s="365" t="s">
        <v>47</v>
      </c>
      <c r="C11" s="366"/>
      <c r="D11" s="367"/>
      <c r="E11" s="371">
        <v>30</v>
      </c>
      <c r="F11" s="372"/>
      <c r="G11" s="372"/>
      <c r="H11" s="373"/>
    </row>
    <row r="12" spans="1:8" x14ac:dyDescent="0.3">
      <c r="A12" s="388" t="s">
        <v>48</v>
      </c>
      <c r="B12" s="389"/>
      <c r="C12" s="389"/>
      <c r="D12" s="389"/>
      <c r="E12" s="389"/>
      <c r="F12" s="389"/>
      <c r="G12" s="389"/>
      <c r="H12" s="390"/>
    </row>
    <row r="13" spans="1:8" x14ac:dyDescent="0.3">
      <c r="A13" s="391" t="s">
        <v>49</v>
      </c>
      <c r="B13" s="392"/>
      <c r="C13" s="392"/>
      <c r="D13" s="392"/>
      <c r="E13" s="393"/>
      <c r="F13" s="82" t="s">
        <v>50</v>
      </c>
      <c r="G13" s="394" t="s">
        <v>51</v>
      </c>
      <c r="H13" s="395"/>
    </row>
    <row r="14" spans="1:8" x14ac:dyDescent="0.3">
      <c r="A14" s="386" t="s">
        <v>187</v>
      </c>
      <c r="B14" s="396"/>
      <c r="C14" s="396"/>
      <c r="D14" s="396"/>
      <c r="E14" s="387"/>
      <c r="F14" s="34" t="s">
        <v>52</v>
      </c>
      <c r="G14" s="397">
        <v>1</v>
      </c>
      <c r="H14" s="387"/>
    </row>
    <row r="15" spans="1:8" ht="72.599999999999994" customHeight="1" x14ac:dyDescent="0.3">
      <c r="A15" s="398" t="s">
        <v>53</v>
      </c>
      <c r="B15" s="366"/>
      <c r="C15" s="366"/>
      <c r="D15" s="366"/>
      <c r="E15" s="366"/>
      <c r="F15" s="366"/>
      <c r="G15" s="366"/>
      <c r="H15" s="367"/>
    </row>
    <row r="16" spans="1:8" x14ac:dyDescent="0.3">
      <c r="A16" s="371"/>
      <c r="B16" s="372"/>
      <c r="C16" s="372"/>
      <c r="D16" s="372"/>
      <c r="E16" s="372"/>
      <c r="F16" s="372"/>
      <c r="G16" s="372"/>
      <c r="H16" s="373"/>
    </row>
    <row r="17" spans="1:8" x14ac:dyDescent="0.3">
      <c r="A17" s="374" t="s">
        <v>54</v>
      </c>
      <c r="B17" s="375"/>
      <c r="C17" s="375"/>
      <c r="D17" s="375"/>
      <c r="E17" s="375"/>
      <c r="F17" s="375"/>
      <c r="G17" s="375"/>
      <c r="H17" s="376"/>
    </row>
    <row r="18" spans="1:8" x14ac:dyDescent="0.3">
      <c r="A18" s="374" t="s">
        <v>55</v>
      </c>
      <c r="B18" s="375"/>
      <c r="C18" s="375"/>
      <c r="D18" s="375"/>
      <c r="E18" s="375"/>
      <c r="F18" s="375"/>
      <c r="G18" s="375"/>
      <c r="H18" s="376"/>
    </row>
    <row r="19" spans="1:8" x14ac:dyDescent="0.3">
      <c r="A19" s="79">
        <v>1</v>
      </c>
      <c r="B19" s="365" t="s">
        <v>56</v>
      </c>
      <c r="C19" s="366"/>
      <c r="D19" s="366"/>
      <c r="E19" s="366"/>
      <c r="F19" s="367"/>
      <c r="G19" s="371" t="s">
        <v>57</v>
      </c>
      <c r="H19" s="373"/>
    </row>
    <row r="20" spans="1:8" x14ac:dyDescent="0.3">
      <c r="A20" s="79">
        <v>2</v>
      </c>
      <c r="B20" s="365" t="s">
        <v>58</v>
      </c>
      <c r="C20" s="366"/>
      <c r="D20" s="366"/>
      <c r="E20" s="366"/>
      <c r="F20" s="367"/>
      <c r="G20" s="386" t="s">
        <v>192</v>
      </c>
      <c r="H20" s="387"/>
    </row>
    <row r="21" spans="1:8" x14ac:dyDescent="0.3">
      <c r="A21" s="79">
        <v>3</v>
      </c>
      <c r="B21" s="365" t="s">
        <v>59</v>
      </c>
      <c r="C21" s="366"/>
      <c r="D21" s="366"/>
      <c r="E21" s="366"/>
      <c r="F21" s="367"/>
      <c r="G21" s="399">
        <f>'1#IDENTIFICAÇÃO'!E38</f>
        <v>1162</v>
      </c>
      <c r="H21" s="400"/>
    </row>
    <row r="22" spans="1:8" x14ac:dyDescent="0.3">
      <c r="A22" s="79">
        <v>4</v>
      </c>
      <c r="B22" s="76" t="s">
        <v>60</v>
      </c>
      <c r="C22" s="77"/>
      <c r="D22" s="77"/>
      <c r="E22" s="77"/>
      <c r="F22" s="78"/>
      <c r="G22" s="399" t="s">
        <v>187</v>
      </c>
      <c r="H22" s="400"/>
    </row>
    <row r="23" spans="1:8" x14ac:dyDescent="0.3">
      <c r="A23" s="79">
        <v>5</v>
      </c>
      <c r="B23" s="365" t="s">
        <v>61</v>
      </c>
      <c r="C23" s="366"/>
      <c r="D23" s="366"/>
      <c r="E23" s="366"/>
      <c r="F23" s="367"/>
      <c r="G23" s="413" t="s">
        <v>343</v>
      </c>
      <c r="H23" s="414"/>
    </row>
    <row r="24" spans="1:8" ht="43.2" customHeight="1" x14ac:dyDescent="0.3">
      <c r="A24" s="398" t="s">
        <v>62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13" t="s">
        <v>63</v>
      </c>
      <c r="B25" s="14"/>
      <c r="C25" s="14"/>
      <c r="D25" s="14"/>
      <c r="E25" s="14"/>
      <c r="F25" s="15"/>
      <c r="G25" s="16"/>
      <c r="H25" s="17"/>
    </row>
    <row r="26" spans="1:8" x14ac:dyDescent="0.3">
      <c r="A26" s="18"/>
      <c r="B26" s="12"/>
      <c r="C26" s="12"/>
      <c r="D26" s="12"/>
      <c r="E26" s="12"/>
      <c r="F26" s="19"/>
      <c r="G26" s="20"/>
      <c r="H26" s="21"/>
    </row>
    <row r="27" spans="1:8" x14ac:dyDescent="0.3">
      <c r="A27" s="22">
        <v>1</v>
      </c>
      <c r="B27" s="380" t="s">
        <v>64</v>
      </c>
      <c r="C27" s="381"/>
      <c r="D27" s="381"/>
      <c r="E27" s="381"/>
      <c r="F27" s="381"/>
      <c r="G27" s="382"/>
      <c r="H27" s="23" t="s">
        <v>65</v>
      </c>
    </row>
    <row r="28" spans="1:8" x14ac:dyDescent="0.3">
      <c r="A28" s="24" t="s">
        <v>39</v>
      </c>
      <c r="B28" s="403" t="s">
        <v>66</v>
      </c>
      <c r="C28" s="384"/>
      <c r="D28" s="384"/>
      <c r="E28" s="384"/>
      <c r="F28" s="384"/>
      <c r="G28" s="385"/>
      <c r="H28" s="86">
        <f>G21</f>
        <v>1162</v>
      </c>
    </row>
    <row r="29" spans="1:8" x14ac:dyDescent="0.3">
      <c r="A29" s="24" t="s">
        <v>41</v>
      </c>
      <c r="B29" s="403" t="s">
        <v>67</v>
      </c>
      <c r="C29" s="384"/>
      <c r="D29" s="384"/>
      <c r="E29" s="384"/>
      <c r="F29" s="384"/>
      <c r="G29" s="385"/>
      <c r="H29" s="88"/>
    </row>
    <row r="30" spans="1:8" x14ac:dyDescent="0.3">
      <c r="A30" s="24" t="s">
        <v>44</v>
      </c>
      <c r="B30" s="403" t="s">
        <v>68</v>
      </c>
      <c r="C30" s="384"/>
      <c r="D30" s="384"/>
      <c r="E30" s="384"/>
      <c r="F30" s="384"/>
      <c r="G30" s="385"/>
      <c r="H30" s="25"/>
    </row>
    <row r="31" spans="1:8" x14ac:dyDescent="0.3">
      <c r="A31" s="24" t="s">
        <v>46</v>
      </c>
      <c r="B31" s="403" t="s">
        <v>69</v>
      </c>
      <c r="C31" s="384"/>
      <c r="D31" s="384"/>
      <c r="E31" s="384"/>
      <c r="F31" s="384"/>
      <c r="G31" s="385"/>
      <c r="H31" s="25"/>
    </row>
    <row r="32" spans="1:8" x14ac:dyDescent="0.3">
      <c r="A32" s="24" t="s">
        <v>70</v>
      </c>
      <c r="B32" s="403" t="s">
        <v>71</v>
      </c>
      <c r="C32" s="384"/>
      <c r="D32" s="384"/>
      <c r="E32" s="384"/>
      <c r="F32" s="384"/>
      <c r="G32" s="385"/>
      <c r="H32" s="25"/>
    </row>
    <row r="33" spans="1:11" x14ac:dyDescent="0.3">
      <c r="A33" s="24" t="s">
        <v>72</v>
      </c>
      <c r="B33" s="403" t="s">
        <v>73</v>
      </c>
      <c r="C33" s="384"/>
      <c r="D33" s="384"/>
      <c r="E33" s="384"/>
      <c r="F33" s="384"/>
      <c r="G33" s="385"/>
      <c r="H33" s="25"/>
    </row>
    <row r="34" spans="1:11" x14ac:dyDescent="0.3">
      <c r="A34" s="415" t="s">
        <v>74</v>
      </c>
      <c r="B34" s="416"/>
      <c r="C34" s="416"/>
      <c r="D34" s="416"/>
      <c r="E34" s="416"/>
      <c r="F34" s="416"/>
      <c r="G34" s="417"/>
      <c r="H34" s="26">
        <f>SUM(H28:H33)</f>
        <v>1162</v>
      </c>
    </row>
    <row r="35" spans="1:11" ht="25.8" customHeight="1" x14ac:dyDescent="0.3">
      <c r="A35" s="403" t="s">
        <v>75</v>
      </c>
      <c r="B35" s="384"/>
      <c r="C35" s="384"/>
      <c r="D35" s="384"/>
      <c r="E35" s="384"/>
      <c r="F35" s="384"/>
      <c r="G35" s="384"/>
      <c r="H35" s="385"/>
    </row>
    <row r="36" spans="1:11" x14ac:dyDescent="0.3">
      <c r="A36" s="380" t="s">
        <v>76</v>
      </c>
      <c r="B36" s="381"/>
      <c r="C36" s="381"/>
      <c r="D36" s="381"/>
      <c r="E36" s="381"/>
      <c r="F36" s="381"/>
      <c r="G36" s="381"/>
      <c r="H36" s="382"/>
    </row>
    <row r="37" spans="1:11" x14ac:dyDescent="0.3">
      <c r="A37" s="401"/>
      <c r="B37" s="402"/>
      <c r="C37" s="402"/>
      <c r="D37" s="402"/>
      <c r="E37" s="402"/>
      <c r="F37" s="402"/>
      <c r="G37" s="402"/>
      <c r="H37" s="402"/>
    </row>
    <row r="38" spans="1:11" x14ac:dyDescent="0.3">
      <c r="A38" s="380" t="s">
        <v>77</v>
      </c>
      <c r="B38" s="381"/>
      <c r="C38" s="381"/>
      <c r="D38" s="381"/>
      <c r="E38" s="381"/>
      <c r="F38" s="381"/>
      <c r="G38" s="381"/>
      <c r="H38" s="382"/>
    </row>
    <row r="39" spans="1:11" x14ac:dyDescent="0.3">
      <c r="A39" s="27" t="s">
        <v>78</v>
      </c>
      <c r="B39" s="374" t="s">
        <v>79</v>
      </c>
      <c r="C39" s="375"/>
      <c r="D39" s="375"/>
      <c r="E39" s="375"/>
      <c r="F39" s="376"/>
      <c r="G39" s="28" t="s">
        <v>80</v>
      </c>
      <c r="H39" s="27" t="s">
        <v>65</v>
      </c>
    </row>
    <row r="40" spans="1:11" ht="26.4" customHeight="1" x14ac:dyDescent="0.3">
      <c r="A40" s="11" t="s">
        <v>39</v>
      </c>
      <c r="B40" s="406" t="s">
        <v>81</v>
      </c>
      <c r="C40" s="407"/>
      <c r="D40" s="407"/>
      <c r="E40" s="407"/>
      <c r="F40" s="408"/>
      <c r="G40" s="29">
        <v>8.3333333333333329E-2</v>
      </c>
      <c r="H40" s="30">
        <f>H34*G40</f>
        <v>96.833333333333329</v>
      </c>
    </row>
    <row r="41" spans="1:11" ht="30" customHeight="1" x14ac:dyDescent="0.3">
      <c r="A41" s="11" t="s">
        <v>41</v>
      </c>
      <c r="B41" s="406" t="s">
        <v>82</v>
      </c>
      <c r="C41" s="407"/>
      <c r="D41" s="407"/>
      <c r="E41" s="407"/>
      <c r="F41" s="408"/>
      <c r="G41" s="64">
        <v>3.0249999999999999E-2</v>
      </c>
      <c r="H41" s="30">
        <f>H34*G41</f>
        <v>35.150500000000001</v>
      </c>
    </row>
    <row r="42" spans="1:11" x14ac:dyDescent="0.3">
      <c r="A42" s="409" t="s">
        <v>74</v>
      </c>
      <c r="B42" s="410"/>
      <c r="C42" s="410"/>
      <c r="D42" s="410"/>
      <c r="E42" s="410"/>
      <c r="F42" s="411"/>
      <c r="G42" s="31">
        <v>0.11358333333333333</v>
      </c>
      <c r="H42" s="32">
        <f>SUM(H40:H41)</f>
        <v>131.98383333333334</v>
      </c>
    </row>
    <row r="43" spans="1:11" ht="117" customHeight="1" x14ac:dyDescent="0.3">
      <c r="A43" s="383" t="s">
        <v>83</v>
      </c>
      <c r="B43" s="384"/>
      <c r="C43" s="384"/>
      <c r="D43" s="384"/>
      <c r="E43" s="384"/>
      <c r="F43" s="384"/>
      <c r="G43" s="384"/>
      <c r="H43" s="385"/>
    </row>
    <row r="44" spans="1:11" x14ac:dyDescent="0.3">
      <c r="A44" s="412" t="s">
        <v>84</v>
      </c>
      <c r="B44" s="412"/>
      <c r="C44" s="412"/>
      <c r="D44" s="412"/>
      <c r="E44" s="412"/>
      <c r="F44" s="412"/>
      <c r="G44" s="412"/>
      <c r="H44" s="412"/>
    </row>
    <row r="45" spans="1:11" x14ac:dyDescent="0.3">
      <c r="A45" s="27" t="s">
        <v>85</v>
      </c>
      <c r="B45" s="374" t="s">
        <v>86</v>
      </c>
      <c r="C45" s="375"/>
      <c r="D45" s="375"/>
      <c r="E45" s="375"/>
      <c r="F45" s="376"/>
      <c r="G45" s="28" t="s">
        <v>80</v>
      </c>
      <c r="H45" s="27" t="s">
        <v>65</v>
      </c>
    </row>
    <row r="46" spans="1:11" x14ac:dyDescent="0.3">
      <c r="A46" s="11" t="s">
        <v>39</v>
      </c>
      <c r="B46" s="377" t="s">
        <v>87</v>
      </c>
      <c r="C46" s="378"/>
      <c r="D46" s="378"/>
      <c r="E46" s="378"/>
      <c r="F46" s="379"/>
      <c r="G46" s="33">
        <v>0.2</v>
      </c>
      <c r="H46" s="30">
        <f>(H34+H42)*G46</f>
        <v>258.79676666666666</v>
      </c>
      <c r="K46" s="151"/>
    </row>
    <row r="47" spans="1:11" x14ac:dyDescent="0.3">
      <c r="A47" s="11" t="s">
        <v>41</v>
      </c>
      <c r="B47" s="377" t="s">
        <v>88</v>
      </c>
      <c r="C47" s="378"/>
      <c r="D47" s="378"/>
      <c r="E47" s="378"/>
      <c r="F47" s="379"/>
      <c r="G47" s="33">
        <v>2.5000000000000001E-2</v>
      </c>
      <c r="H47" s="100">
        <f>(H34+H42)*G47</f>
        <v>32.349595833333332</v>
      </c>
      <c r="K47" s="151"/>
    </row>
    <row r="48" spans="1:11" ht="42.6" customHeight="1" x14ac:dyDescent="0.3">
      <c r="A48" s="11" t="s">
        <v>44</v>
      </c>
      <c r="B48" s="71" t="s">
        <v>89</v>
      </c>
      <c r="C48" s="70" t="s">
        <v>90</v>
      </c>
      <c r="D48" s="70"/>
      <c r="E48" s="70" t="s">
        <v>91</v>
      </c>
      <c r="F48" s="70"/>
      <c r="G48" s="62">
        <f>'1#IDENTIFICAÇÃO'!F152</f>
        <v>0.03</v>
      </c>
      <c r="H48" s="100">
        <f>(H34+H42)*G48</f>
        <v>38.819514999999996</v>
      </c>
      <c r="K48" s="151"/>
    </row>
    <row r="49" spans="1:11" x14ac:dyDescent="0.3">
      <c r="A49" s="11" t="s">
        <v>46</v>
      </c>
      <c r="B49" s="377" t="s">
        <v>92</v>
      </c>
      <c r="C49" s="378"/>
      <c r="D49" s="378"/>
      <c r="E49" s="378"/>
      <c r="F49" s="379"/>
      <c r="G49" s="33">
        <v>1.4999999999999999E-2</v>
      </c>
      <c r="H49" s="100">
        <f>(H34+H42)*G49</f>
        <v>19.409757499999998</v>
      </c>
      <c r="K49" s="151"/>
    </row>
    <row r="50" spans="1:11" x14ac:dyDescent="0.3">
      <c r="A50" s="11" t="s">
        <v>70</v>
      </c>
      <c r="B50" s="377" t="s">
        <v>93</v>
      </c>
      <c r="C50" s="378"/>
      <c r="D50" s="378"/>
      <c r="E50" s="378"/>
      <c r="F50" s="379"/>
      <c r="G50" s="33">
        <v>0.01</v>
      </c>
      <c r="H50" s="100">
        <f>(H34+H42)*G50</f>
        <v>12.939838333333332</v>
      </c>
      <c r="K50" s="151"/>
    </row>
    <row r="51" spans="1:11" x14ac:dyDescent="0.3">
      <c r="A51" s="34" t="s">
        <v>72</v>
      </c>
      <c r="B51" s="365" t="s">
        <v>94</v>
      </c>
      <c r="C51" s="366"/>
      <c r="D51" s="366"/>
      <c r="E51" s="366"/>
      <c r="F51" s="367"/>
      <c r="G51" s="29">
        <v>6.0000000000000001E-3</v>
      </c>
      <c r="H51" s="100">
        <f>(H34+H42)*G51</f>
        <v>7.7639029999999991</v>
      </c>
      <c r="K51" s="151"/>
    </row>
    <row r="52" spans="1:11" x14ac:dyDescent="0.3">
      <c r="A52" s="11" t="s">
        <v>95</v>
      </c>
      <c r="B52" s="377" t="s">
        <v>96</v>
      </c>
      <c r="C52" s="378"/>
      <c r="D52" s="378"/>
      <c r="E52" s="378"/>
      <c r="F52" s="379"/>
      <c r="G52" s="33">
        <v>2E-3</v>
      </c>
      <c r="H52" s="100">
        <f>(H34+H42)*G52</f>
        <v>2.5879676666666667</v>
      </c>
      <c r="K52" s="151"/>
    </row>
    <row r="53" spans="1:11" x14ac:dyDescent="0.3">
      <c r="A53" s="11" t="s">
        <v>97</v>
      </c>
      <c r="B53" s="377" t="s">
        <v>98</v>
      </c>
      <c r="C53" s="378"/>
      <c r="D53" s="378"/>
      <c r="E53" s="378"/>
      <c r="F53" s="379"/>
      <c r="G53" s="33">
        <v>0.08</v>
      </c>
      <c r="H53" s="100">
        <f>(H34+H42)*G53</f>
        <v>103.51870666666666</v>
      </c>
      <c r="K53" s="151"/>
    </row>
    <row r="54" spans="1:11" x14ac:dyDescent="0.3">
      <c r="A54" s="374" t="s">
        <v>74</v>
      </c>
      <c r="B54" s="375"/>
      <c r="C54" s="375"/>
      <c r="D54" s="375"/>
      <c r="E54" s="375"/>
      <c r="F54" s="376"/>
      <c r="G54" s="35">
        <v>0.36800000000000005</v>
      </c>
      <c r="H54" s="36">
        <f>SUM(H46:H53)</f>
        <v>476.18605066666669</v>
      </c>
      <c r="K54" s="152"/>
    </row>
    <row r="55" spans="1:11" ht="88.2" customHeight="1" x14ac:dyDescent="0.3">
      <c r="A55" s="404" t="s">
        <v>99</v>
      </c>
      <c r="B55" s="405"/>
      <c r="C55" s="405"/>
      <c r="D55" s="405"/>
      <c r="E55" s="405"/>
      <c r="F55" s="405"/>
      <c r="G55" s="405"/>
      <c r="H55" s="405"/>
    </row>
    <row r="56" spans="1:11" x14ac:dyDescent="0.3">
      <c r="A56" s="380" t="s">
        <v>100</v>
      </c>
      <c r="B56" s="381"/>
      <c r="C56" s="381"/>
      <c r="D56" s="381"/>
      <c r="E56" s="381"/>
      <c r="F56" s="381"/>
      <c r="G56" s="381"/>
      <c r="H56" s="382"/>
    </row>
    <row r="57" spans="1:11" x14ac:dyDescent="0.3">
      <c r="A57" s="37" t="s">
        <v>101</v>
      </c>
      <c r="B57" s="374" t="s">
        <v>102</v>
      </c>
      <c r="C57" s="375"/>
      <c r="D57" s="375"/>
      <c r="E57" s="375"/>
      <c r="F57" s="375"/>
      <c r="G57" s="376"/>
      <c r="H57" s="38" t="s">
        <v>65</v>
      </c>
    </row>
    <row r="58" spans="1:11" x14ac:dyDescent="0.3">
      <c r="A58" s="39" t="s">
        <v>39</v>
      </c>
      <c r="B58" s="377" t="s">
        <v>103</v>
      </c>
      <c r="C58" s="378"/>
      <c r="D58" s="378"/>
      <c r="E58" s="378"/>
      <c r="F58" s="378"/>
      <c r="G58" s="379"/>
      <c r="H58" s="101">
        <f>(22*2*'1#IDENTIFICAÇÃO'!B47)-(H34*6%)</f>
        <v>119.47999999999999</v>
      </c>
    </row>
    <row r="59" spans="1:11" x14ac:dyDescent="0.3">
      <c r="A59" s="39" t="s">
        <v>41</v>
      </c>
      <c r="B59" s="377" t="s">
        <v>104</v>
      </c>
      <c r="C59" s="378"/>
      <c r="D59" s="378"/>
      <c r="E59" s="378"/>
      <c r="F59" s="378"/>
      <c r="G59" s="379"/>
      <c r="H59" s="83">
        <f>'1#IDENTIFICAÇÃO'!G57</f>
        <v>312.66399999999999</v>
      </c>
    </row>
    <row r="60" spans="1:11" x14ac:dyDescent="0.3">
      <c r="A60" s="39" t="s">
        <v>44</v>
      </c>
      <c r="B60" s="377" t="s">
        <v>105</v>
      </c>
      <c r="C60" s="378"/>
      <c r="D60" s="378"/>
      <c r="E60" s="378"/>
      <c r="F60" s="378"/>
      <c r="G60" s="379"/>
      <c r="H60" s="83">
        <f>'1#IDENTIFICAÇÃO'!M64</f>
        <v>7</v>
      </c>
    </row>
    <row r="61" spans="1:11" x14ac:dyDescent="0.3">
      <c r="A61" s="39" t="s">
        <v>46</v>
      </c>
      <c r="B61" s="365" t="s">
        <v>106</v>
      </c>
      <c r="C61" s="366"/>
      <c r="D61" s="366"/>
      <c r="E61" s="366"/>
      <c r="F61" s="366"/>
      <c r="G61" s="367"/>
      <c r="H61" s="83">
        <f>'1#IDENTIFICAÇÃO'!M65</f>
        <v>2.54</v>
      </c>
    </row>
    <row r="62" spans="1:11" x14ac:dyDescent="0.3">
      <c r="A62" s="374" t="s">
        <v>107</v>
      </c>
      <c r="B62" s="375"/>
      <c r="C62" s="375"/>
      <c r="D62" s="375"/>
      <c r="E62" s="375"/>
      <c r="F62" s="375"/>
      <c r="G62" s="41"/>
      <c r="H62" s="36">
        <f>SUM(H58:H61)</f>
        <v>441.68400000000003</v>
      </c>
    </row>
    <row r="63" spans="1:11" ht="60" customHeight="1" x14ac:dyDescent="0.3">
      <c r="A63" s="398" t="s">
        <v>108</v>
      </c>
      <c r="B63" s="366"/>
      <c r="C63" s="366"/>
      <c r="D63" s="366"/>
      <c r="E63" s="366"/>
      <c r="F63" s="366"/>
      <c r="G63" s="366"/>
      <c r="H63" s="367"/>
    </row>
    <row r="64" spans="1:11" x14ac:dyDescent="0.3">
      <c r="A64" s="380" t="s">
        <v>109</v>
      </c>
      <c r="B64" s="381"/>
      <c r="C64" s="381"/>
      <c r="D64" s="381"/>
      <c r="E64" s="381"/>
      <c r="F64" s="381"/>
      <c r="G64" s="381"/>
      <c r="H64" s="382"/>
    </row>
    <row r="65" spans="1:8" x14ac:dyDescent="0.3">
      <c r="A65" s="34" t="s">
        <v>39</v>
      </c>
      <c r="B65" s="365" t="s">
        <v>110</v>
      </c>
      <c r="C65" s="366"/>
      <c r="D65" s="366"/>
      <c r="E65" s="366"/>
      <c r="F65" s="366"/>
      <c r="G65" s="367"/>
      <c r="H65" s="40">
        <f>H42</f>
        <v>131.98383333333334</v>
      </c>
    </row>
    <row r="66" spans="1:8" x14ac:dyDescent="0.3">
      <c r="A66" s="34" t="s">
        <v>41</v>
      </c>
      <c r="B66" s="398" t="s">
        <v>84</v>
      </c>
      <c r="C66" s="432"/>
      <c r="D66" s="432"/>
      <c r="E66" s="432"/>
      <c r="F66" s="432"/>
      <c r="G66" s="433"/>
      <c r="H66" s="40">
        <f>H54</f>
        <v>476.18605066666669</v>
      </c>
    </row>
    <row r="67" spans="1:8" x14ac:dyDescent="0.3">
      <c r="A67" s="34" t="s">
        <v>44</v>
      </c>
      <c r="B67" s="365" t="s">
        <v>100</v>
      </c>
      <c r="C67" s="366"/>
      <c r="D67" s="366"/>
      <c r="E67" s="366"/>
      <c r="F67" s="366"/>
      <c r="G67" s="367"/>
      <c r="H67" s="40">
        <f>H62</f>
        <v>441.68400000000003</v>
      </c>
    </row>
    <row r="68" spans="1:8" x14ac:dyDescent="0.3">
      <c r="A68" s="380" t="s">
        <v>74</v>
      </c>
      <c r="B68" s="381"/>
      <c r="C68" s="381"/>
      <c r="D68" s="381"/>
      <c r="E68" s="381"/>
      <c r="F68" s="381"/>
      <c r="G68" s="382"/>
      <c r="H68" s="72">
        <f>SUM(H65:H67)</f>
        <v>1049.8538840000001</v>
      </c>
    </row>
    <row r="69" spans="1:8" x14ac:dyDescent="0.3">
      <c r="A69" s="53"/>
      <c r="B69" s="54"/>
      <c r="C69" s="54"/>
      <c r="D69" s="54"/>
      <c r="E69" s="54"/>
      <c r="F69" s="54"/>
      <c r="G69" s="54"/>
      <c r="H69" s="54"/>
    </row>
    <row r="70" spans="1:8" x14ac:dyDescent="0.3">
      <c r="A70" s="380" t="s">
        <v>111</v>
      </c>
      <c r="B70" s="381"/>
      <c r="C70" s="381"/>
      <c r="D70" s="381"/>
      <c r="E70" s="381"/>
      <c r="F70" s="381"/>
      <c r="G70" s="381"/>
      <c r="H70" s="382"/>
    </row>
    <row r="71" spans="1:8" x14ac:dyDescent="0.3">
      <c r="A71" s="27">
        <v>3</v>
      </c>
      <c r="B71" s="42" t="s">
        <v>112</v>
      </c>
      <c r="C71" s="43"/>
      <c r="D71" s="43"/>
      <c r="E71" s="43"/>
      <c r="F71" s="43"/>
      <c r="G71" s="28" t="s">
        <v>80</v>
      </c>
      <c r="H71" s="34" t="s">
        <v>65</v>
      </c>
    </row>
    <row r="72" spans="1:8" x14ac:dyDescent="0.3">
      <c r="A72" s="11" t="s">
        <v>39</v>
      </c>
      <c r="B72" s="406" t="s">
        <v>113</v>
      </c>
      <c r="C72" s="407"/>
      <c r="D72" s="407"/>
      <c r="E72" s="407"/>
      <c r="F72" s="408"/>
      <c r="G72" s="44">
        <v>4.6249999999999998E-3</v>
      </c>
      <c r="H72" s="45">
        <f>H34*G72</f>
        <v>5.37425</v>
      </c>
    </row>
    <row r="73" spans="1:8" ht="15.6" customHeight="1" x14ac:dyDescent="0.3">
      <c r="A73" s="11" t="s">
        <v>41</v>
      </c>
      <c r="B73" s="406" t="s">
        <v>114</v>
      </c>
      <c r="C73" s="407"/>
      <c r="D73" s="407"/>
      <c r="E73" s="407"/>
      <c r="F73" s="408"/>
      <c r="G73" s="44">
        <v>3.6999999999999999E-4</v>
      </c>
      <c r="H73" s="45">
        <f>H34*G73</f>
        <v>0.42993999999999999</v>
      </c>
    </row>
    <row r="74" spans="1:8" ht="30.6" customHeight="1" x14ac:dyDescent="0.3">
      <c r="A74" s="11" t="s">
        <v>46</v>
      </c>
      <c r="B74" s="406" t="s">
        <v>115</v>
      </c>
      <c r="C74" s="407"/>
      <c r="D74" s="407"/>
      <c r="E74" s="407"/>
      <c r="F74" s="408"/>
      <c r="G74" s="44">
        <v>1.9400000000000001E-2</v>
      </c>
      <c r="H74" s="45">
        <f>H34*G74</f>
        <v>22.5428</v>
      </c>
    </row>
    <row r="75" spans="1:8" x14ac:dyDescent="0.3">
      <c r="A75" s="11" t="s">
        <v>70</v>
      </c>
      <c r="B75" s="406" t="s">
        <v>116</v>
      </c>
      <c r="C75" s="407"/>
      <c r="D75" s="407"/>
      <c r="E75" s="407"/>
      <c r="F75" s="408"/>
      <c r="G75" s="44">
        <v>7.1392000000000009E-3</v>
      </c>
      <c r="H75" s="45">
        <f>H34*G75</f>
        <v>8.2957504000000011</v>
      </c>
    </row>
    <row r="76" spans="1:8" ht="55.8" customHeight="1" x14ac:dyDescent="0.3">
      <c r="A76" s="11" t="s">
        <v>72</v>
      </c>
      <c r="B76" s="434" t="s">
        <v>117</v>
      </c>
      <c r="C76" s="435"/>
      <c r="D76" s="435"/>
      <c r="E76" s="435"/>
      <c r="F76" s="436"/>
      <c r="G76" s="49">
        <v>0.04</v>
      </c>
      <c r="H76" s="45">
        <f>H34*G76</f>
        <v>46.480000000000004</v>
      </c>
    </row>
    <row r="77" spans="1:8" x14ac:dyDescent="0.3">
      <c r="A77" s="374" t="s">
        <v>74</v>
      </c>
      <c r="B77" s="375"/>
      <c r="C77" s="375"/>
      <c r="D77" s="375"/>
      <c r="E77" s="375"/>
      <c r="F77" s="376"/>
      <c r="G77" s="35"/>
      <c r="H77" s="36">
        <f>SUM(H72:H76)</f>
        <v>83.122740399999998</v>
      </c>
    </row>
    <row r="78" spans="1:8" x14ac:dyDescent="0.3">
      <c r="A78" s="46"/>
      <c r="B78" s="47"/>
      <c r="C78" s="47"/>
      <c r="D78" s="372"/>
      <c r="E78" s="372"/>
      <c r="F78" s="372"/>
      <c r="G78" s="372"/>
      <c r="H78" s="372"/>
    </row>
    <row r="79" spans="1:8" x14ac:dyDescent="0.3">
      <c r="A79" s="380" t="s">
        <v>118</v>
      </c>
      <c r="B79" s="381"/>
      <c r="C79" s="381"/>
      <c r="D79" s="381"/>
      <c r="E79" s="381"/>
      <c r="F79" s="381"/>
      <c r="G79" s="381"/>
      <c r="H79" s="382"/>
    </row>
    <row r="80" spans="1:8" ht="48.6" customHeight="1" x14ac:dyDescent="0.3">
      <c r="A80" s="437" t="s">
        <v>119</v>
      </c>
      <c r="B80" s="438"/>
      <c r="C80" s="438"/>
      <c r="D80" s="438"/>
      <c r="E80" s="438"/>
      <c r="F80" s="438"/>
      <c r="G80" s="438"/>
      <c r="H80" s="439"/>
    </row>
    <row r="81" spans="1:8" x14ac:dyDescent="0.3">
      <c r="A81" s="440" t="s">
        <v>120</v>
      </c>
      <c r="B81" s="440"/>
      <c r="C81" s="440"/>
      <c r="D81" s="440"/>
      <c r="E81" s="440"/>
      <c r="F81" s="440"/>
      <c r="G81" s="440"/>
      <c r="H81" s="440"/>
    </row>
    <row r="82" spans="1:8" x14ac:dyDescent="0.3">
      <c r="A82" s="22" t="s">
        <v>121</v>
      </c>
      <c r="B82" s="380" t="s">
        <v>122</v>
      </c>
      <c r="C82" s="381"/>
      <c r="D82" s="381"/>
      <c r="E82" s="381"/>
      <c r="F82" s="382"/>
      <c r="G82" s="48" t="s">
        <v>80</v>
      </c>
      <c r="H82" s="23" t="s">
        <v>65</v>
      </c>
    </row>
    <row r="83" spans="1:8" ht="28.2" customHeight="1" x14ac:dyDescent="0.3">
      <c r="A83" s="11" t="s">
        <v>39</v>
      </c>
      <c r="B83" s="398" t="s">
        <v>123</v>
      </c>
      <c r="C83" s="432"/>
      <c r="D83" s="432"/>
      <c r="E83" s="432"/>
      <c r="F83" s="433"/>
      <c r="G83" s="64">
        <v>9.0749999999999997E-2</v>
      </c>
      <c r="H83" s="102">
        <f>G83*(SUM($H$34,$H$42,$H$54,$H$60,$H$61,$H$77))</f>
        <v>169.0520606643</v>
      </c>
    </row>
    <row r="84" spans="1:8" ht="45" customHeight="1" x14ac:dyDescent="0.3">
      <c r="A84" s="11" t="s">
        <v>41</v>
      </c>
      <c r="B84" s="406" t="s">
        <v>124</v>
      </c>
      <c r="C84" s="407"/>
      <c r="D84" s="407"/>
      <c r="E84" s="407"/>
      <c r="F84" s="408"/>
      <c r="G84" s="62">
        <v>1.6299999999999999E-2</v>
      </c>
      <c r="H84" s="102">
        <f>G84*(SUM($H$34,$H$42,$H$54,$H$60,$H$61,$H$77))</f>
        <v>30.364171777719996</v>
      </c>
    </row>
    <row r="85" spans="1:8" ht="39.6" customHeight="1" x14ac:dyDescent="0.3">
      <c r="A85" s="11" t="s">
        <v>44</v>
      </c>
      <c r="B85" s="406" t="s">
        <v>125</v>
      </c>
      <c r="C85" s="407"/>
      <c r="D85" s="407"/>
      <c r="E85" s="407"/>
      <c r="F85" s="408"/>
      <c r="G85" s="62">
        <v>2.0000000000000001E-4</v>
      </c>
      <c r="H85" s="102">
        <f>G85*(SUM($H$34,$H$42,$H$54,$H$60,$H$61,$H$77))</f>
        <v>0.37256652488000003</v>
      </c>
    </row>
    <row r="86" spans="1:8" ht="38.4" customHeight="1" x14ac:dyDescent="0.3">
      <c r="A86" s="11" t="s">
        <v>46</v>
      </c>
      <c r="B86" s="406" t="s">
        <v>126</v>
      </c>
      <c r="C86" s="407"/>
      <c r="D86" s="407"/>
      <c r="E86" s="407"/>
      <c r="F86" s="408"/>
      <c r="G86" s="62">
        <v>3.3E-3</v>
      </c>
      <c r="H86" s="102">
        <f>G86*(SUM($H$34,$H$42,$H$54,$H$60,$H$61,$H$77))</f>
        <v>6.1473476605199995</v>
      </c>
    </row>
    <row r="87" spans="1:8" ht="43.2" customHeight="1" x14ac:dyDescent="0.3">
      <c r="A87" s="11" t="s">
        <v>70</v>
      </c>
      <c r="B87" s="406" t="s">
        <v>127</v>
      </c>
      <c r="C87" s="407"/>
      <c r="D87" s="407"/>
      <c r="E87" s="407"/>
      <c r="F87" s="408"/>
      <c r="G87" s="89">
        <v>5.5000000000000003E-4</v>
      </c>
      <c r="H87" s="102">
        <f>G87*(SUM($H$34,$H$42,$H$54,$H$60,$H$61,$H$77))</f>
        <v>1.0245579434200001</v>
      </c>
    </row>
    <row r="88" spans="1:8" x14ac:dyDescent="0.3">
      <c r="A88" s="11" t="s">
        <v>72</v>
      </c>
      <c r="B88" s="407" t="s">
        <v>128</v>
      </c>
      <c r="C88" s="407"/>
      <c r="D88" s="407"/>
      <c r="E88" s="407"/>
      <c r="F88" s="408"/>
      <c r="G88" s="62">
        <v>0</v>
      </c>
      <c r="H88" s="66">
        <v>0</v>
      </c>
    </row>
    <row r="89" spans="1:8" x14ac:dyDescent="0.3">
      <c r="A89" s="441" t="s">
        <v>74</v>
      </c>
      <c r="B89" s="441"/>
      <c r="C89" s="441"/>
      <c r="D89" s="441"/>
      <c r="E89" s="441"/>
      <c r="F89" s="441"/>
      <c r="G89" s="35">
        <v>0.11109999999999999</v>
      </c>
      <c r="H89" s="50">
        <f>SUM(H83:H88)</f>
        <v>206.96070457084002</v>
      </c>
    </row>
    <row r="90" spans="1:8" x14ac:dyDescent="0.3">
      <c r="A90" s="445" t="s">
        <v>129</v>
      </c>
      <c r="B90" s="445"/>
      <c r="C90" s="445"/>
      <c r="D90" s="445"/>
      <c r="E90" s="445"/>
      <c r="F90" s="445"/>
      <c r="G90" s="445"/>
      <c r="H90" s="445"/>
    </row>
    <row r="91" spans="1:8" x14ac:dyDescent="0.3">
      <c r="A91" s="440" t="s">
        <v>130</v>
      </c>
      <c r="B91" s="440"/>
      <c r="C91" s="440"/>
      <c r="D91" s="440"/>
      <c r="E91" s="440"/>
      <c r="F91" s="440"/>
      <c r="G91" s="440"/>
      <c r="H91" s="440"/>
    </row>
    <row r="92" spans="1:8" x14ac:dyDescent="0.3">
      <c r="A92" s="22" t="s">
        <v>131</v>
      </c>
      <c r="B92" s="380" t="s">
        <v>132</v>
      </c>
      <c r="C92" s="381"/>
      <c r="D92" s="381"/>
      <c r="E92" s="381"/>
      <c r="F92" s="382"/>
      <c r="G92" s="48" t="s">
        <v>80</v>
      </c>
      <c r="H92" s="23" t="s">
        <v>65</v>
      </c>
    </row>
    <row r="93" spans="1:8" x14ac:dyDescent="0.3">
      <c r="A93" s="11" t="s">
        <v>39</v>
      </c>
      <c r="B93" s="365" t="s">
        <v>133</v>
      </c>
      <c r="C93" s="366"/>
      <c r="D93" s="366"/>
      <c r="E93" s="366"/>
      <c r="F93" s="367"/>
      <c r="G93" s="29">
        <v>0</v>
      </c>
      <c r="H93" s="66">
        <v>0</v>
      </c>
    </row>
    <row r="94" spans="1:8" x14ac:dyDescent="0.3">
      <c r="A94" s="374" t="s">
        <v>74</v>
      </c>
      <c r="B94" s="375"/>
      <c r="C94" s="375"/>
      <c r="D94" s="375"/>
      <c r="E94" s="375"/>
      <c r="F94" s="375"/>
      <c r="G94" s="376"/>
      <c r="H94" s="66">
        <v>0</v>
      </c>
    </row>
    <row r="95" spans="1:8" x14ac:dyDescent="0.3">
      <c r="A95" s="442"/>
      <c r="B95" s="443"/>
      <c r="C95" s="443"/>
      <c r="D95" s="443"/>
      <c r="E95" s="443"/>
      <c r="F95" s="443"/>
      <c r="G95" s="443"/>
      <c r="H95" s="443"/>
    </row>
    <row r="96" spans="1:8" x14ac:dyDescent="0.3">
      <c r="A96" s="444" t="s">
        <v>134</v>
      </c>
      <c r="B96" s="444"/>
      <c r="C96" s="444"/>
      <c r="D96" s="444"/>
      <c r="E96" s="444"/>
      <c r="F96" s="444"/>
      <c r="G96" s="444"/>
      <c r="H96" s="444"/>
    </row>
    <row r="97" spans="1:12" x14ac:dyDescent="0.3">
      <c r="A97" s="22">
        <v>4</v>
      </c>
      <c r="B97" s="380" t="s">
        <v>135</v>
      </c>
      <c r="C97" s="381"/>
      <c r="D97" s="381"/>
      <c r="E97" s="381"/>
      <c r="F97" s="381"/>
      <c r="G97" s="382"/>
      <c r="H97" s="23" t="s">
        <v>65</v>
      </c>
    </row>
    <row r="98" spans="1:12" x14ac:dyDescent="0.3">
      <c r="A98" s="11" t="s">
        <v>39</v>
      </c>
      <c r="B98" s="365" t="s">
        <v>136</v>
      </c>
      <c r="C98" s="366"/>
      <c r="D98" s="366"/>
      <c r="E98" s="366"/>
      <c r="F98" s="366"/>
      <c r="G98" s="367"/>
      <c r="H98" s="66">
        <f>H89</f>
        <v>206.96070457084002</v>
      </c>
    </row>
    <row r="99" spans="1:12" x14ac:dyDescent="0.3">
      <c r="A99" s="11" t="s">
        <v>41</v>
      </c>
      <c r="B99" s="377" t="s">
        <v>132</v>
      </c>
      <c r="C99" s="378"/>
      <c r="D99" s="378"/>
      <c r="E99" s="378"/>
      <c r="F99" s="378"/>
      <c r="G99" s="379"/>
      <c r="H99" s="66">
        <v>0</v>
      </c>
    </row>
    <row r="100" spans="1:12" x14ac:dyDescent="0.3">
      <c r="A100" s="380" t="s">
        <v>74</v>
      </c>
      <c r="B100" s="381"/>
      <c r="C100" s="381"/>
      <c r="D100" s="381"/>
      <c r="E100" s="381"/>
      <c r="F100" s="381"/>
      <c r="G100" s="382"/>
      <c r="H100" s="73">
        <f>SUM(H98:H99)</f>
        <v>206.96070457084002</v>
      </c>
    </row>
    <row r="101" spans="1:12" x14ac:dyDescent="0.3">
      <c r="A101" s="67"/>
      <c r="B101" s="68"/>
      <c r="C101" s="68"/>
      <c r="D101" s="68"/>
      <c r="E101" s="68"/>
      <c r="F101" s="68"/>
      <c r="G101" s="68"/>
      <c r="H101" s="68"/>
    </row>
    <row r="102" spans="1:12" x14ac:dyDescent="0.3">
      <c r="A102" s="380" t="s">
        <v>137</v>
      </c>
      <c r="B102" s="381"/>
      <c r="C102" s="381"/>
      <c r="D102" s="381"/>
      <c r="E102" s="381"/>
      <c r="F102" s="381"/>
      <c r="G102" s="381"/>
      <c r="H102" s="382"/>
    </row>
    <row r="103" spans="1:12" x14ac:dyDescent="0.3">
      <c r="A103" s="51">
        <v>5</v>
      </c>
      <c r="B103" s="374" t="s">
        <v>138</v>
      </c>
      <c r="C103" s="375"/>
      <c r="D103" s="375"/>
      <c r="E103" s="375"/>
      <c r="F103" s="375"/>
      <c r="G103" s="376"/>
      <c r="H103" s="27" t="s">
        <v>65</v>
      </c>
    </row>
    <row r="104" spans="1:12" x14ac:dyDescent="0.3">
      <c r="A104" s="11" t="s">
        <v>39</v>
      </c>
      <c r="B104" s="377" t="s">
        <v>139</v>
      </c>
      <c r="C104" s="378"/>
      <c r="D104" s="378"/>
      <c r="E104" s="378"/>
      <c r="F104" s="378"/>
      <c r="G104" s="379"/>
      <c r="H104" s="85">
        <f>'1#IDENTIFICAÇÃO'!J76</f>
        <v>28.403333333333336</v>
      </c>
    </row>
    <row r="105" spans="1:12" x14ac:dyDescent="0.3">
      <c r="A105" s="11" t="s">
        <v>41</v>
      </c>
      <c r="B105" s="365" t="s">
        <v>140</v>
      </c>
      <c r="C105" s="366"/>
      <c r="D105" s="366"/>
      <c r="E105" s="366"/>
      <c r="F105" s="366"/>
      <c r="G105" s="367"/>
      <c r="H105" s="85">
        <f>'1#IDENTIFICAÇÃO'!J82</f>
        <v>1.78</v>
      </c>
    </row>
    <row r="106" spans="1:12" s="97" customFormat="1" x14ac:dyDescent="0.3">
      <c r="A106" s="11" t="s">
        <v>44</v>
      </c>
      <c r="B106" s="365" t="s">
        <v>339</v>
      </c>
      <c r="C106" s="366"/>
      <c r="D106" s="366"/>
      <c r="E106" s="366"/>
      <c r="F106" s="366"/>
      <c r="G106" s="367"/>
      <c r="H106" s="85">
        <f>'1#IDENTIFICAÇÃO'!K136</f>
        <v>422.42333333333335</v>
      </c>
    </row>
    <row r="107" spans="1:12" s="97" customFormat="1" x14ac:dyDescent="0.3">
      <c r="A107" s="11" t="s">
        <v>46</v>
      </c>
      <c r="B107" s="182" t="s">
        <v>340</v>
      </c>
      <c r="C107" s="182"/>
      <c r="D107" s="182"/>
      <c r="E107" s="182"/>
      <c r="F107" s="182"/>
      <c r="G107" s="183"/>
      <c r="H107" s="85" cm="1">
        <f t="array" ref="H107:L107">'1#IDENTIFICAÇÃO'!M148:Q148</f>
        <v>47.598166666666664</v>
      </c>
      <c r="I107" s="97">
        <v>0</v>
      </c>
      <c r="J107" s="97">
        <v>0</v>
      </c>
      <c r="K107" s="97">
        <v>0</v>
      </c>
      <c r="L107" s="97">
        <v>0</v>
      </c>
    </row>
    <row r="108" spans="1:12" x14ac:dyDescent="0.3">
      <c r="A108" s="380" t="s">
        <v>107</v>
      </c>
      <c r="B108" s="381"/>
      <c r="C108" s="381"/>
      <c r="D108" s="381"/>
      <c r="E108" s="381"/>
      <c r="F108" s="381"/>
      <c r="G108" s="382"/>
      <c r="H108" s="52">
        <f>SUM(H104:H107)</f>
        <v>500.20483333333334</v>
      </c>
    </row>
    <row r="109" spans="1:12" ht="17.399999999999999" customHeight="1" x14ac:dyDescent="0.3">
      <c r="A109" s="365" t="s">
        <v>141</v>
      </c>
      <c r="B109" s="366"/>
      <c r="C109" s="366"/>
      <c r="D109" s="366"/>
      <c r="E109" s="366"/>
      <c r="F109" s="366"/>
      <c r="G109" s="366"/>
      <c r="H109" s="366"/>
    </row>
    <row r="110" spans="1:12" x14ac:dyDescent="0.3">
      <c r="A110" s="380" t="s">
        <v>142</v>
      </c>
      <c r="B110" s="381"/>
      <c r="C110" s="381"/>
      <c r="D110" s="381"/>
      <c r="E110" s="381"/>
      <c r="F110" s="381"/>
      <c r="G110" s="381"/>
      <c r="H110" s="382"/>
    </row>
    <row r="111" spans="1:12" x14ac:dyDescent="0.3">
      <c r="A111" s="27">
        <v>6</v>
      </c>
      <c r="B111" s="374" t="s">
        <v>143</v>
      </c>
      <c r="C111" s="375"/>
      <c r="D111" s="375"/>
      <c r="E111" s="375"/>
      <c r="F111" s="376"/>
      <c r="G111" s="28" t="s">
        <v>80</v>
      </c>
      <c r="H111" s="55" t="s">
        <v>144</v>
      </c>
    </row>
    <row r="112" spans="1:12" x14ac:dyDescent="0.3">
      <c r="A112" s="56" t="s">
        <v>39</v>
      </c>
      <c r="B112" s="446" t="s">
        <v>145</v>
      </c>
      <c r="C112" s="447"/>
      <c r="D112" s="447"/>
      <c r="E112" s="447"/>
      <c r="F112" s="448"/>
      <c r="G112" s="84">
        <f>'1#IDENTIFICAÇÃO'!C156</f>
        <v>0.03</v>
      </c>
      <c r="H112" s="57">
        <f>(H34+H68+H77+H100+H108)*G112</f>
        <v>90.064264869125196</v>
      </c>
    </row>
    <row r="113" spans="1:11" x14ac:dyDescent="0.3">
      <c r="A113" s="56" t="s">
        <v>41</v>
      </c>
      <c r="B113" s="446" t="s">
        <v>146</v>
      </c>
      <c r="C113" s="447"/>
      <c r="D113" s="447"/>
      <c r="E113" s="447"/>
      <c r="F113" s="448"/>
      <c r="G113" s="84">
        <f>'1#IDENTIFICAÇÃO'!C161</f>
        <v>6.7900000000000002E-2</v>
      </c>
      <c r="H113" s="98">
        <f>(H34+H68+H77+H100+H108+H112)*G113</f>
        <v>209.96081640506696</v>
      </c>
    </row>
    <row r="114" spans="1:11" x14ac:dyDescent="0.3">
      <c r="A114" s="56" t="s">
        <v>44</v>
      </c>
      <c r="B114" s="449" t="s">
        <v>147</v>
      </c>
      <c r="C114" s="450"/>
      <c r="D114" s="450"/>
      <c r="E114" s="450"/>
      <c r="F114" s="450"/>
      <c r="G114" s="451"/>
      <c r="H114" s="58"/>
    </row>
    <row r="115" spans="1:11" x14ac:dyDescent="0.3">
      <c r="A115" s="56"/>
      <c r="B115" s="452" t="s">
        <v>148</v>
      </c>
      <c r="C115" s="453"/>
      <c r="D115" s="453"/>
      <c r="E115" s="453"/>
      <c r="F115" s="453"/>
      <c r="G115" s="454"/>
      <c r="H115" s="58"/>
    </row>
    <row r="116" spans="1:11" x14ac:dyDescent="0.3">
      <c r="A116" s="56"/>
      <c r="B116" s="446" t="s">
        <v>149</v>
      </c>
      <c r="C116" s="447"/>
      <c r="D116" s="447"/>
      <c r="E116" s="447"/>
      <c r="F116" s="448"/>
      <c r="G116" s="87">
        <v>1.6500000000000001E-2</v>
      </c>
      <c r="H116" s="99">
        <f>SUM($H$34,$H$68,$H$77,$H$100,$H$108,$H$112,$H$113)/(1-$G$121)*G116</f>
        <v>63.540244337076423</v>
      </c>
    </row>
    <row r="117" spans="1:11" x14ac:dyDescent="0.3">
      <c r="A117" s="56"/>
      <c r="B117" s="446" t="s">
        <v>150</v>
      </c>
      <c r="C117" s="447"/>
      <c r="D117" s="447"/>
      <c r="E117" s="447"/>
      <c r="F117" s="448"/>
      <c r="G117" s="84">
        <v>7.5999999999999998E-2</v>
      </c>
      <c r="H117" s="99">
        <f>SUM($H$34,$H$68,$H$77,$H$100,$H$108,$H$112,$H$113)/(1-$G$121)*G117</f>
        <v>292.67021634047319</v>
      </c>
    </row>
    <row r="118" spans="1:11" x14ac:dyDescent="0.3">
      <c r="A118" s="56"/>
      <c r="B118" s="449" t="s">
        <v>151</v>
      </c>
      <c r="C118" s="450"/>
      <c r="D118" s="450"/>
      <c r="E118" s="450"/>
      <c r="F118" s="450"/>
      <c r="G118" s="451"/>
      <c r="H118" s="58"/>
    </row>
    <row r="119" spans="1:11" x14ac:dyDescent="0.3">
      <c r="A119" s="56"/>
      <c r="B119" s="455" t="s">
        <v>152</v>
      </c>
      <c r="C119" s="456"/>
      <c r="D119" s="456"/>
      <c r="E119" s="456"/>
      <c r="F119" s="456"/>
      <c r="G119" s="457"/>
      <c r="H119" s="58"/>
    </row>
    <row r="120" spans="1:11" x14ac:dyDescent="0.3">
      <c r="A120" s="56"/>
      <c r="B120" s="446" t="s">
        <v>153</v>
      </c>
      <c r="C120" s="447"/>
      <c r="D120" s="447"/>
      <c r="E120" s="447"/>
      <c r="F120" s="448"/>
      <c r="G120" s="84">
        <f>'1#IDENTIFICAÇÃO'!C165</f>
        <v>0.05</v>
      </c>
      <c r="H120" s="99">
        <f>SUM($H$34,$H$68,$H$77,$H$100,$H$108,$H$112,$H$113)/(1-$G$121)*G120</f>
        <v>192.54619496083765</v>
      </c>
    </row>
    <row r="121" spans="1:11" x14ac:dyDescent="0.3">
      <c r="A121" s="458"/>
      <c r="B121" s="459"/>
      <c r="C121" s="459"/>
      <c r="D121" s="459"/>
      <c r="E121" s="459"/>
      <c r="F121" s="460"/>
      <c r="G121" s="63">
        <f>G116+G117+G120</f>
        <v>0.14250000000000002</v>
      </c>
      <c r="H121" s="58"/>
    </row>
    <row r="122" spans="1:11" x14ac:dyDescent="0.3">
      <c r="A122" s="465" t="s">
        <v>107</v>
      </c>
      <c r="B122" s="466"/>
      <c r="C122" s="466"/>
      <c r="D122" s="466"/>
      <c r="E122" s="466"/>
      <c r="F122" s="467"/>
      <c r="G122" s="74">
        <f>G112+G113+G121</f>
        <v>0.2404</v>
      </c>
      <c r="H122" s="75">
        <f>SUM(H112:H121)</f>
        <v>848.7817369125795</v>
      </c>
    </row>
    <row r="123" spans="1:11" ht="45.6" customHeight="1" x14ac:dyDescent="0.3">
      <c r="A123" s="398" t="s">
        <v>154</v>
      </c>
      <c r="B123" s="366"/>
      <c r="C123" s="366"/>
      <c r="D123" s="366"/>
      <c r="E123" s="366"/>
      <c r="F123" s="366"/>
      <c r="G123" s="366"/>
      <c r="H123" s="367"/>
    </row>
    <row r="124" spans="1:11" x14ac:dyDescent="0.3">
      <c r="A124" s="380" t="s">
        <v>155</v>
      </c>
      <c r="B124" s="381"/>
      <c r="C124" s="381"/>
      <c r="D124" s="381"/>
      <c r="E124" s="381"/>
      <c r="F124" s="381"/>
      <c r="G124" s="381"/>
      <c r="H124" s="382"/>
    </row>
    <row r="125" spans="1:11" x14ac:dyDescent="0.3">
      <c r="A125" s="59" t="s">
        <v>39</v>
      </c>
      <c r="B125" s="377" t="s">
        <v>156</v>
      </c>
      <c r="C125" s="378"/>
      <c r="D125" s="378"/>
      <c r="E125" s="378"/>
      <c r="F125" s="378"/>
      <c r="G125" s="379"/>
      <c r="H125" s="30">
        <f>H34</f>
        <v>1162</v>
      </c>
      <c r="K125" s="151"/>
    </row>
    <row r="126" spans="1:11" x14ac:dyDescent="0.3">
      <c r="A126" s="59" t="s">
        <v>41</v>
      </c>
      <c r="B126" s="377" t="s">
        <v>157</v>
      </c>
      <c r="C126" s="378"/>
      <c r="D126" s="378"/>
      <c r="E126" s="378"/>
      <c r="F126" s="378"/>
      <c r="G126" s="379"/>
      <c r="H126" s="30">
        <f>H68</f>
        <v>1049.8538840000001</v>
      </c>
      <c r="K126" s="151"/>
    </row>
    <row r="127" spans="1:11" x14ac:dyDescent="0.3">
      <c r="A127" s="59" t="s">
        <v>44</v>
      </c>
      <c r="B127" s="377" t="s">
        <v>158</v>
      </c>
      <c r="C127" s="378"/>
      <c r="D127" s="378"/>
      <c r="E127" s="378"/>
      <c r="F127" s="378"/>
      <c r="G127" s="379"/>
      <c r="H127" s="30">
        <f>H77</f>
        <v>83.122740399999998</v>
      </c>
      <c r="K127" s="151"/>
    </row>
    <row r="128" spans="1:11" x14ac:dyDescent="0.3">
      <c r="A128" s="59" t="s">
        <v>46</v>
      </c>
      <c r="B128" s="377" t="s">
        <v>159</v>
      </c>
      <c r="C128" s="378"/>
      <c r="D128" s="378"/>
      <c r="E128" s="378"/>
      <c r="F128" s="378"/>
      <c r="G128" s="379"/>
      <c r="H128" s="30">
        <f>H100</f>
        <v>206.96070457084002</v>
      </c>
      <c r="K128" s="151"/>
    </row>
    <row r="129" spans="1:11" x14ac:dyDescent="0.3">
      <c r="A129" s="59" t="s">
        <v>70</v>
      </c>
      <c r="B129" s="377" t="s">
        <v>160</v>
      </c>
      <c r="C129" s="378"/>
      <c r="D129" s="378"/>
      <c r="E129" s="378"/>
      <c r="F129" s="378"/>
      <c r="G129" s="379"/>
      <c r="H129" s="30">
        <f>H108</f>
        <v>500.20483333333334</v>
      </c>
      <c r="K129" s="151"/>
    </row>
    <row r="130" spans="1:11" x14ac:dyDescent="0.3">
      <c r="A130" s="401" t="s">
        <v>161</v>
      </c>
      <c r="B130" s="402"/>
      <c r="C130" s="402"/>
      <c r="D130" s="402"/>
      <c r="E130" s="402"/>
      <c r="F130" s="402"/>
      <c r="G130" s="431"/>
      <c r="H130" s="60">
        <f>SUM(H125:H129)</f>
        <v>3002.1421623041733</v>
      </c>
      <c r="K130" s="153"/>
    </row>
    <row r="131" spans="1:11" x14ac:dyDescent="0.3">
      <c r="A131" s="59" t="s">
        <v>72</v>
      </c>
      <c r="B131" s="377" t="s">
        <v>162</v>
      </c>
      <c r="C131" s="378"/>
      <c r="D131" s="378"/>
      <c r="E131" s="378"/>
      <c r="F131" s="378"/>
      <c r="G131" s="379"/>
      <c r="H131" s="30">
        <f>H122</f>
        <v>848.7817369125795</v>
      </c>
      <c r="K131" s="151"/>
    </row>
    <row r="132" spans="1:11" x14ac:dyDescent="0.3">
      <c r="A132" s="461" t="s">
        <v>163</v>
      </c>
      <c r="B132" s="462"/>
      <c r="C132" s="462"/>
      <c r="D132" s="462"/>
      <c r="E132" s="462"/>
      <c r="F132" s="462"/>
      <c r="G132" s="463"/>
      <c r="H132" s="61">
        <f>SUM(H130:H131)</f>
        <v>3850.9238992167529</v>
      </c>
      <c r="K132" s="177"/>
    </row>
    <row r="133" spans="1:11" x14ac:dyDescent="0.3">
      <c r="A133" s="166"/>
      <c r="B133" s="468" t="s">
        <v>317</v>
      </c>
      <c r="C133" s="468"/>
      <c r="D133" s="468"/>
      <c r="E133" s="468"/>
      <c r="F133" s="468"/>
      <c r="G133" s="468"/>
      <c r="H133" s="181">
        <v>1</v>
      </c>
    </row>
    <row r="134" spans="1:11" x14ac:dyDescent="0.3">
      <c r="A134" s="178"/>
      <c r="B134" s="469"/>
      <c r="C134" s="469"/>
      <c r="D134" s="469"/>
      <c r="E134" s="469"/>
      <c r="F134" s="469"/>
      <c r="G134" s="469"/>
      <c r="H134" s="179"/>
    </row>
    <row r="135" spans="1:11" x14ac:dyDescent="0.3">
      <c r="A135" s="178"/>
      <c r="B135" s="469"/>
      <c r="C135" s="469"/>
      <c r="D135" s="469"/>
      <c r="E135" s="469"/>
      <c r="F135" s="469"/>
      <c r="G135" s="469"/>
      <c r="H135" s="180"/>
    </row>
    <row r="136" spans="1:11" x14ac:dyDescent="0.3">
      <c r="A136" s="464"/>
      <c r="B136" s="464"/>
      <c r="C136" s="464"/>
      <c r="D136" s="94"/>
      <c r="E136" s="95"/>
      <c r="F136" s="96"/>
      <c r="G136" s="95"/>
      <c r="H136" s="96"/>
    </row>
  </sheetData>
  <mergeCells count="142">
    <mergeCell ref="B131:G131"/>
    <mergeCell ref="A132:G132"/>
    <mergeCell ref="A136:C136"/>
    <mergeCell ref="A122:F122"/>
    <mergeCell ref="A123:H123"/>
    <mergeCell ref="A124:H124"/>
    <mergeCell ref="B125:G125"/>
    <mergeCell ref="B126:G126"/>
    <mergeCell ref="B127:G127"/>
    <mergeCell ref="B128:G128"/>
    <mergeCell ref="B129:G129"/>
    <mergeCell ref="A130:G130"/>
    <mergeCell ref="B133:G133"/>
    <mergeCell ref="B134:G134"/>
    <mergeCell ref="B135:G135"/>
    <mergeCell ref="B113:F113"/>
    <mergeCell ref="B114:G114"/>
    <mergeCell ref="B115:G115"/>
    <mergeCell ref="B116:F116"/>
    <mergeCell ref="B117:F117"/>
    <mergeCell ref="B118:G118"/>
    <mergeCell ref="B119:G119"/>
    <mergeCell ref="B120:F120"/>
    <mergeCell ref="A121:F121"/>
    <mergeCell ref="A102:H102"/>
    <mergeCell ref="B103:G103"/>
    <mergeCell ref="B104:G104"/>
    <mergeCell ref="B105:G105"/>
    <mergeCell ref="A108:G108"/>
    <mergeCell ref="A109:H109"/>
    <mergeCell ref="A110:H110"/>
    <mergeCell ref="B111:F111"/>
    <mergeCell ref="B112:F112"/>
    <mergeCell ref="B106:G106"/>
    <mergeCell ref="A89:F89"/>
    <mergeCell ref="A94:G94"/>
    <mergeCell ref="A95:H95"/>
    <mergeCell ref="A96:H96"/>
    <mergeCell ref="B97:G97"/>
    <mergeCell ref="B98:G98"/>
    <mergeCell ref="A100:G100"/>
    <mergeCell ref="A90:H90"/>
    <mergeCell ref="A91:H91"/>
    <mergeCell ref="B93:F93"/>
    <mergeCell ref="B92:F92"/>
    <mergeCell ref="B99:G99"/>
    <mergeCell ref="A79:H79"/>
    <mergeCell ref="A80:H80"/>
    <mergeCell ref="A81:H81"/>
    <mergeCell ref="B83:F83"/>
    <mergeCell ref="B84:F84"/>
    <mergeCell ref="B85:F85"/>
    <mergeCell ref="B86:F86"/>
    <mergeCell ref="B87:F87"/>
    <mergeCell ref="B88:F88"/>
    <mergeCell ref="B67:G67"/>
    <mergeCell ref="A68:G68"/>
    <mergeCell ref="A70:H70"/>
    <mergeCell ref="B72:F72"/>
    <mergeCell ref="B73:F73"/>
    <mergeCell ref="B74:F74"/>
    <mergeCell ref="B75:F75"/>
    <mergeCell ref="A77:F77"/>
    <mergeCell ref="D78:H78"/>
    <mergeCell ref="B76:F76"/>
    <mergeCell ref="B65:G65"/>
    <mergeCell ref="B66:G66"/>
    <mergeCell ref="A64:H64"/>
    <mergeCell ref="B39:F39"/>
    <mergeCell ref="B28:G28"/>
    <mergeCell ref="B29:G29"/>
    <mergeCell ref="B30:G30"/>
    <mergeCell ref="B31:G31"/>
    <mergeCell ref="B32:G32"/>
    <mergeCell ref="A63:H63"/>
    <mergeCell ref="B57:G57"/>
    <mergeCell ref="B58:G58"/>
    <mergeCell ref="B59:G59"/>
    <mergeCell ref="B60:G60"/>
    <mergeCell ref="B61:G61"/>
    <mergeCell ref="A1:H1"/>
    <mergeCell ref="A3:B3"/>
    <mergeCell ref="A4:B4"/>
    <mergeCell ref="A5:B5"/>
    <mergeCell ref="E8:H8"/>
    <mergeCell ref="B9:D9"/>
    <mergeCell ref="E9:H9"/>
    <mergeCell ref="C3:H3"/>
    <mergeCell ref="C4:H4"/>
    <mergeCell ref="A6:H6"/>
    <mergeCell ref="A7:H7"/>
    <mergeCell ref="B8:D8"/>
    <mergeCell ref="A2:B2"/>
    <mergeCell ref="C2:H2"/>
    <mergeCell ref="G21:H21"/>
    <mergeCell ref="G22:H22"/>
    <mergeCell ref="A17:H17"/>
    <mergeCell ref="B27:G27"/>
    <mergeCell ref="A37:H37"/>
    <mergeCell ref="A35:H35"/>
    <mergeCell ref="A36:H36"/>
    <mergeCell ref="B82:F82"/>
    <mergeCell ref="B52:F52"/>
    <mergeCell ref="B53:F53"/>
    <mergeCell ref="A54:F54"/>
    <mergeCell ref="A55:H55"/>
    <mergeCell ref="A62:F62"/>
    <mergeCell ref="B41:F41"/>
    <mergeCell ref="A42:F42"/>
    <mergeCell ref="B45:F45"/>
    <mergeCell ref="A44:H44"/>
    <mergeCell ref="B40:F40"/>
    <mergeCell ref="B23:F23"/>
    <mergeCell ref="G23:H23"/>
    <mergeCell ref="A24:H24"/>
    <mergeCell ref="B33:G33"/>
    <mergeCell ref="A34:G34"/>
    <mergeCell ref="A56:H56"/>
    <mergeCell ref="B10:D10"/>
    <mergeCell ref="E10:H10"/>
    <mergeCell ref="B11:D11"/>
    <mergeCell ref="E11:H11"/>
    <mergeCell ref="A18:H18"/>
    <mergeCell ref="B21:F21"/>
    <mergeCell ref="B50:F50"/>
    <mergeCell ref="B51:F51"/>
    <mergeCell ref="G19:H19"/>
    <mergeCell ref="A38:H38"/>
    <mergeCell ref="A43:H43"/>
    <mergeCell ref="B19:F19"/>
    <mergeCell ref="B20:F20"/>
    <mergeCell ref="G20:H20"/>
    <mergeCell ref="B46:F46"/>
    <mergeCell ref="B47:F47"/>
    <mergeCell ref="B49:F49"/>
    <mergeCell ref="A16:H16"/>
    <mergeCell ref="A12:H12"/>
    <mergeCell ref="A13:E13"/>
    <mergeCell ref="G13:H13"/>
    <mergeCell ref="A14:E14"/>
    <mergeCell ref="G14:H14"/>
    <mergeCell ref="A15:H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0E-0293-4905-91B2-4BC3987E1E49}">
  <dimension ref="A1:L136"/>
  <sheetViews>
    <sheetView topLeftCell="A7" workbookViewId="0">
      <selection activeCell="A12" sqref="A12:H12"/>
    </sheetView>
  </sheetViews>
  <sheetFormatPr defaultRowHeight="14.4" x14ac:dyDescent="0.3"/>
  <cols>
    <col min="1" max="1" width="8.88671875" style="97"/>
    <col min="2" max="2" width="27.44140625" style="97" customWidth="1"/>
    <col min="3" max="3" width="8.88671875" style="97"/>
    <col min="4" max="4" width="24.33203125" style="97" customWidth="1"/>
    <col min="5" max="5" width="10.77734375" style="97" customWidth="1"/>
    <col min="6" max="6" width="11.6640625" style="97" bestFit="1" customWidth="1"/>
    <col min="7" max="7" width="11.88671875" style="97" bestFit="1" customWidth="1"/>
    <col min="8" max="8" width="31.21875" style="97" customWidth="1"/>
    <col min="9" max="10" width="8.88671875" style="97"/>
    <col min="11" max="11" width="12" style="97" bestFit="1" customWidth="1"/>
    <col min="12" max="16384" width="8.88671875" style="97"/>
  </cols>
  <sheetData>
    <row r="1" spans="1:8" x14ac:dyDescent="0.3">
      <c r="A1" s="418" t="s">
        <v>32</v>
      </c>
      <c r="B1" s="419"/>
      <c r="C1" s="419"/>
      <c r="D1" s="419"/>
      <c r="E1" s="419"/>
      <c r="F1" s="419"/>
      <c r="G1" s="419"/>
      <c r="H1" s="420"/>
    </row>
    <row r="2" spans="1:8" x14ac:dyDescent="0.3">
      <c r="A2" s="377" t="s">
        <v>33</v>
      </c>
      <c r="B2" s="379"/>
      <c r="C2" s="377"/>
      <c r="D2" s="378"/>
      <c r="E2" s="378"/>
      <c r="F2" s="378"/>
      <c r="G2" s="378"/>
      <c r="H2" s="379"/>
    </row>
    <row r="3" spans="1:8" x14ac:dyDescent="0.3">
      <c r="A3" s="377" t="s">
        <v>34</v>
      </c>
      <c r="B3" s="379"/>
      <c r="C3" s="425"/>
      <c r="D3" s="426"/>
      <c r="E3" s="426"/>
      <c r="F3" s="426"/>
      <c r="G3" s="426"/>
      <c r="H3" s="427"/>
    </row>
    <row r="4" spans="1:8" x14ac:dyDescent="0.3">
      <c r="A4" s="377" t="s">
        <v>35</v>
      </c>
      <c r="B4" s="379"/>
      <c r="C4" s="377" t="s">
        <v>36</v>
      </c>
      <c r="D4" s="378"/>
      <c r="E4" s="378"/>
      <c r="F4" s="378"/>
      <c r="G4" s="378"/>
      <c r="H4" s="379"/>
    </row>
    <row r="5" spans="1:8" x14ac:dyDescent="0.3">
      <c r="A5" s="421" t="s">
        <v>37</v>
      </c>
      <c r="B5" s="421"/>
      <c r="C5" s="194"/>
      <c r="D5" s="194"/>
      <c r="E5" s="194"/>
      <c r="F5" s="194"/>
      <c r="G5" s="194"/>
      <c r="H5" s="195"/>
    </row>
    <row r="6" spans="1:8" x14ac:dyDescent="0.3">
      <c r="A6" s="428" t="s">
        <v>189</v>
      </c>
      <c r="B6" s="429"/>
      <c r="C6" s="429"/>
      <c r="D6" s="429"/>
      <c r="E6" s="429"/>
      <c r="F6" s="429"/>
      <c r="G6" s="429"/>
      <c r="H6" s="430"/>
    </row>
    <row r="7" spans="1:8" x14ac:dyDescent="0.3">
      <c r="A7" s="401" t="s">
        <v>38</v>
      </c>
      <c r="B7" s="402"/>
      <c r="C7" s="402"/>
      <c r="D7" s="402"/>
      <c r="E7" s="402"/>
      <c r="F7" s="402"/>
      <c r="G7" s="402"/>
      <c r="H7" s="431"/>
    </row>
    <row r="8" spans="1:8" x14ac:dyDescent="0.3">
      <c r="A8" s="10" t="s">
        <v>39</v>
      </c>
      <c r="B8" s="377" t="s">
        <v>40</v>
      </c>
      <c r="C8" s="378"/>
      <c r="D8" s="379"/>
      <c r="E8" s="422"/>
      <c r="F8" s="423"/>
      <c r="G8" s="423"/>
      <c r="H8" s="424"/>
    </row>
    <row r="9" spans="1:8" x14ac:dyDescent="0.3">
      <c r="A9" s="80" t="s">
        <v>41</v>
      </c>
      <c r="B9" s="365" t="s">
        <v>42</v>
      </c>
      <c r="C9" s="366"/>
      <c r="D9" s="367"/>
      <c r="E9" s="386" t="s">
        <v>43</v>
      </c>
      <c r="F9" s="396"/>
      <c r="G9" s="396"/>
      <c r="H9" s="387"/>
    </row>
    <row r="10" spans="1:8" ht="14.4" customHeight="1" x14ac:dyDescent="0.3">
      <c r="A10" s="80" t="s">
        <v>44</v>
      </c>
      <c r="B10" s="365" t="s">
        <v>45</v>
      </c>
      <c r="C10" s="366"/>
      <c r="D10" s="367"/>
      <c r="E10" s="368" t="s">
        <v>345</v>
      </c>
      <c r="F10" s="369"/>
      <c r="G10" s="369"/>
      <c r="H10" s="370"/>
    </row>
    <row r="11" spans="1:8" x14ac:dyDescent="0.3">
      <c r="A11" s="81" t="s">
        <v>46</v>
      </c>
      <c r="B11" s="365" t="s">
        <v>47</v>
      </c>
      <c r="C11" s="366"/>
      <c r="D11" s="367"/>
      <c r="E11" s="371">
        <v>30</v>
      </c>
      <c r="F11" s="372"/>
      <c r="G11" s="372"/>
      <c r="H11" s="373"/>
    </row>
    <row r="12" spans="1:8" x14ac:dyDescent="0.3">
      <c r="A12" s="388" t="s">
        <v>48</v>
      </c>
      <c r="B12" s="389"/>
      <c r="C12" s="389"/>
      <c r="D12" s="389"/>
      <c r="E12" s="389"/>
      <c r="F12" s="389"/>
      <c r="G12" s="389"/>
      <c r="H12" s="390"/>
    </row>
    <row r="13" spans="1:8" x14ac:dyDescent="0.3">
      <c r="A13" s="391" t="s">
        <v>49</v>
      </c>
      <c r="B13" s="392"/>
      <c r="C13" s="392"/>
      <c r="D13" s="392"/>
      <c r="E13" s="393"/>
      <c r="F13" s="82" t="s">
        <v>50</v>
      </c>
      <c r="G13" s="394" t="s">
        <v>51</v>
      </c>
      <c r="H13" s="395"/>
    </row>
    <row r="14" spans="1:8" x14ac:dyDescent="0.3">
      <c r="A14" s="386" t="s">
        <v>187</v>
      </c>
      <c r="B14" s="396"/>
      <c r="C14" s="396"/>
      <c r="D14" s="396"/>
      <c r="E14" s="387"/>
      <c r="F14" s="34" t="s">
        <v>52</v>
      </c>
      <c r="G14" s="397">
        <v>2</v>
      </c>
      <c r="H14" s="387"/>
    </row>
    <row r="15" spans="1:8" ht="72.599999999999994" customHeight="1" x14ac:dyDescent="0.3">
      <c r="A15" s="398" t="s">
        <v>53</v>
      </c>
      <c r="B15" s="366"/>
      <c r="C15" s="366"/>
      <c r="D15" s="366"/>
      <c r="E15" s="366"/>
      <c r="F15" s="366"/>
      <c r="G15" s="366"/>
      <c r="H15" s="367"/>
    </row>
    <row r="16" spans="1:8" x14ac:dyDescent="0.3">
      <c r="A16" s="371"/>
      <c r="B16" s="372"/>
      <c r="C16" s="372"/>
      <c r="D16" s="372"/>
      <c r="E16" s="372"/>
      <c r="F16" s="372"/>
      <c r="G16" s="372"/>
      <c r="H16" s="373"/>
    </row>
    <row r="17" spans="1:8" x14ac:dyDescent="0.3">
      <c r="A17" s="374" t="s">
        <v>54</v>
      </c>
      <c r="B17" s="375"/>
      <c r="C17" s="375"/>
      <c r="D17" s="375"/>
      <c r="E17" s="375"/>
      <c r="F17" s="375"/>
      <c r="G17" s="375"/>
      <c r="H17" s="376"/>
    </row>
    <row r="18" spans="1:8" x14ac:dyDescent="0.3">
      <c r="A18" s="374" t="s">
        <v>55</v>
      </c>
      <c r="B18" s="375"/>
      <c r="C18" s="375"/>
      <c r="D18" s="375"/>
      <c r="E18" s="375"/>
      <c r="F18" s="375"/>
      <c r="G18" s="375"/>
      <c r="H18" s="376"/>
    </row>
    <row r="19" spans="1:8" x14ac:dyDescent="0.3">
      <c r="A19" s="79">
        <v>1</v>
      </c>
      <c r="B19" s="365" t="s">
        <v>56</v>
      </c>
      <c r="C19" s="366"/>
      <c r="D19" s="366"/>
      <c r="E19" s="366"/>
      <c r="F19" s="367"/>
      <c r="G19" s="371" t="s">
        <v>57</v>
      </c>
      <c r="H19" s="373"/>
    </row>
    <row r="20" spans="1:8" x14ac:dyDescent="0.3">
      <c r="A20" s="79">
        <v>2</v>
      </c>
      <c r="B20" s="365" t="s">
        <v>58</v>
      </c>
      <c r="C20" s="366"/>
      <c r="D20" s="366"/>
      <c r="E20" s="366"/>
      <c r="F20" s="367"/>
      <c r="G20" s="386" t="s">
        <v>192</v>
      </c>
      <c r="H20" s="387"/>
    </row>
    <row r="21" spans="1:8" x14ac:dyDescent="0.3">
      <c r="A21" s="79">
        <v>3</v>
      </c>
      <c r="B21" s="365" t="s">
        <v>59</v>
      </c>
      <c r="C21" s="366"/>
      <c r="D21" s="366"/>
      <c r="E21" s="366"/>
      <c r="F21" s="367"/>
      <c r="G21" s="399">
        <f>'1#IDENTIFICAÇÃO'!E38</f>
        <v>1162</v>
      </c>
      <c r="H21" s="400"/>
    </row>
    <row r="22" spans="1:8" x14ac:dyDescent="0.3">
      <c r="A22" s="79">
        <v>4</v>
      </c>
      <c r="B22" s="204" t="s">
        <v>60</v>
      </c>
      <c r="C22" s="197"/>
      <c r="D22" s="197"/>
      <c r="E22" s="197"/>
      <c r="F22" s="198"/>
      <c r="G22" s="399" t="s">
        <v>187</v>
      </c>
      <c r="H22" s="400"/>
    </row>
    <row r="23" spans="1:8" x14ac:dyDescent="0.3">
      <c r="A23" s="79">
        <v>5</v>
      </c>
      <c r="B23" s="365" t="s">
        <v>61</v>
      </c>
      <c r="C23" s="366"/>
      <c r="D23" s="366"/>
      <c r="E23" s="366"/>
      <c r="F23" s="367"/>
      <c r="G23" s="413" t="s">
        <v>343</v>
      </c>
      <c r="H23" s="414"/>
    </row>
    <row r="24" spans="1:8" ht="43.2" customHeight="1" x14ac:dyDescent="0.3">
      <c r="A24" s="398" t="s">
        <v>62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13" t="s">
        <v>63</v>
      </c>
      <c r="B25" s="14"/>
      <c r="C25" s="14"/>
      <c r="D25" s="14"/>
      <c r="E25" s="14"/>
      <c r="F25" s="15"/>
      <c r="G25" s="199"/>
      <c r="H25" s="200"/>
    </row>
    <row r="26" spans="1:8" x14ac:dyDescent="0.3">
      <c r="A26" s="18"/>
      <c r="B26" s="194"/>
      <c r="C26" s="194"/>
      <c r="D26" s="194"/>
      <c r="E26" s="194"/>
      <c r="F26" s="19"/>
      <c r="G26" s="201"/>
      <c r="H26" s="202"/>
    </row>
    <row r="27" spans="1:8" x14ac:dyDescent="0.3">
      <c r="A27" s="206">
        <v>1</v>
      </c>
      <c r="B27" s="380" t="s">
        <v>64</v>
      </c>
      <c r="C27" s="381"/>
      <c r="D27" s="381"/>
      <c r="E27" s="381"/>
      <c r="F27" s="381"/>
      <c r="G27" s="382"/>
      <c r="H27" s="23" t="s">
        <v>65</v>
      </c>
    </row>
    <row r="28" spans="1:8" x14ac:dyDescent="0.3">
      <c r="A28" s="24" t="s">
        <v>39</v>
      </c>
      <c r="B28" s="403" t="s">
        <v>66</v>
      </c>
      <c r="C28" s="384"/>
      <c r="D28" s="384"/>
      <c r="E28" s="384"/>
      <c r="F28" s="384"/>
      <c r="G28" s="385"/>
      <c r="H28" s="86">
        <f>G21</f>
        <v>1162</v>
      </c>
    </row>
    <row r="29" spans="1:8" x14ac:dyDescent="0.3">
      <c r="A29" s="24" t="s">
        <v>41</v>
      </c>
      <c r="B29" s="403" t="s">
        <v>67</v>
      </c>
      <c r="C29" s="384"/>
      <c r="D29" s="384"/>
      <c r="E29" s="384"/>
      <c r="F29" s="384"/>
      <c r="G29" s="385"/>
      <c r="H29" s="88"/>
    </row>
    <row r="30" spans="1:8" x14ac:dyDescent="0.3">
      <c r="A30" s="24" t="s">
        <v>44</v>
      </c>
      <c r="B30" s="403" t="s">
        <v>68</v>
      </c>
      <c r="C30" s="384"/>
      <c r="D30" s="384"/>
      <c r="E30" s="384"/>
      <c r="F30" s="384"/>
      <c r="G30" s="385"/>
      <c r="H30" s="25"/>
    </row>
    <row r="31" spans="1:8" x14ac:dyDescent="0.3">
      <c r="A31" s="24" t="s">
        <v>46</v>
      </c>
      <c r="B31" s="403" t="s">
        <v>69</v>
      </c>
      <c r="C31" s="384"/>
      <c r="D31" s="384"/>
      <c r="E31" s="384"/>
      <c r="F31" s="384"/>
      <c r="G31" s="385"/>
      <c r="H31" s="25"/>
    </row>
    <row r="32" spans="1:8" x14ac:dyDescent="0.3">
      <c r="A32" s="24" t="s">
        <v>70</v>
      </c>
      <c r="B32" s="403" t="s">
        <v>71</v>
      </c>
      <c r="C32" s="384"/>
      <c r="D32" s="384"/>
      <c r="E32" s="384"/>
      <c r="F32" s="384"/>
      <c r="G32" s="385"/>
      <c r="H32" s="25"/>
    </row>
    <row r="33" spans="1:11" x14ac:dyDescent="0.3">
      <c r="A33" s="24" t="s">
        <v>72</v>
      </c>
      <c r="B33" s="403" t="s">
        <v>73</v>
      </c>
      <c r="C33" s="384"/>
      <c r="D33" s="384"/>
      <c r="E33" s="384"/>
      <c r="F33" s="384"/>
      <c r="G33" s="385"/>
      <c r="H33" s="25"/>
    </row>
    <row r="34" spans="1:11" x14ac:dyDescent="0.3">
      <c r="A34" s="415" t="s">
        <v>74</v>
      </c>
      <c r="B34" s="416"/>
      <c r="C34" s="416"/>
      <c r="D34" s="416"/>
      <c r="E34" s="416"/>
      <c r="F34" s="416"/>
      <c r="G34" s="417"/>
      <c r="H34" s="26">
        <f>SUM(H28:H33)</f>
        <v>1162</v>
      </c>
    </row>
    <row r="35" spans="1:11" ht="25.8" customHeight="1" x14ac:dyDescent="0.3">
      <c r="A35" s="403" t="s">
        <v>75</v>
      </c>
      <c r="B35" s="384"/>
      <c r="C35" s="384"/>
      <c r="D35" s="384"/>
      <c r="E35" s="384"/>
      <c r="F35" s="384"/>
      <c r="G35" s="384"/>
      <c r="H35" s="385"/>
    </row>
    <row r="36" spans="1:11" x14ac:dyDescent="0.3">
      <c r="A36" s="380" t="s">
        <v>76</v>
      </c>
      <c r="B36" s="381"/>
      <c r="C36" s="381"/>
      <c r="D36" s="381"/>
      <c r="E36" s="381"/>
      <c r="F36" s="381"/>
      <c r="G36" s="381"/>
      <c r="H36" s="382"/>
    </row>
    <row r="37" spans="1:11" x14ac:dyDescent="0.3">
      <c r="A37" s="401"/>
      <c r="B37" s="402"/>
      <c r="C37" s="402"/>
      <c r="D37" s="402"/>
      <c r="E37" s="402"/>
      <c r="F37" s="402"/>
      <c r="G37" s="402"/>
      <c r="H37" s="402"/>
    </row>
    <row r="38" spans="1:11" x14ac:dyDescent="0.3">
      <c r="A38" s="380" t="s">
        <v>77</v>
      </c>
      <c r="B38" s="381"/>
      <c r="C38" s="381"/>
      <c r="D38" s="381"/>
      <c r="E38" s="381"/>
      <c r="F38" s="381"/>
      <c r="G38" s="381"/>
      <c r="H38" s="382"/>
    </row>
    <row r="39" spans="1:11" x14ac:dyDescent="0.3">
      <c r="A39" s="205" t="s">
        <v>78</v>
      </c>
      <c r="B39" s="374" t="s">
        <v>79</v>
      </c>
      <c r="C39" s="375"/>
      <c r="D39" s="375"/>
      <c r="E39" s="375"/>
      <c r="F39" s="376"/>
      <c r="G39" s="28" t="s">
        <v>80</v>
      </c>
      <c r="H39" s="205" t="s">
        <v>65</v>
      </c>
    </row>
    <row r="40" spans="1:11" ht="26.4" customHeight="1" x14ac:dyDescent="0.3">
      <c r="A40" s="11" t="s">
        <v>39</v>
      </c>
      <c r="B40" s="406" t="s">
        <v>81</v>
      </c>
      <c r="C40" s="407"/>
      <c r="D40" s="407"/>
      <c r="E40" s="407"/>
      <c r="F40" s="408"/>
      <c r="G40" s="29">
        <v>8.3333333333333329E-2</v>
      </c>
      <c r="H40" s="100">
        <f>H34*G40</f>
        <v>96.833333333333329</v>
      </c>
    </row>
    <row r="41" spans="1:11" ht="30" customHeight="1" x14ac:dyDescent="0.3">
      <c r="A41" s="11" t="s">
        <v>41</v>
      </c>
      <c r="B41" s="406" t="s">
        <v>82</v>
      </c>
      <c r="C41" s="407"/>
      <c r="D41" s="407"/>
      <c r="E41" s="407"/>
      <c r="F41" s="408"/>
      <c r="G41" s="64">
        <v>3.0249999999999999E-2</v>
      </c>
      <c r="H41" s="100">
        <f>H34*G41</f>
        <v>35.150500000000001</v>
      </c>
    </row>
    <row r="42" spans="1:11" x14ac:dyDescent="0.3">
      <c r="A42" s="409" t="s">
        <v>74</v>
      </c>
      <c r="B42" s="410"/>
      <c r="C42" s="410"/>
      <c r="D42" s="410"/>
      <c r="E42" s="410"/>
      <c r="F42" s="411"/>
      <c r="G42" s="31">
        <v>0.11358333333333333</v>
      </c>
      <c r="H42" s="32">
        <f>SUM(H40:H41)</f>
        <v>131.98383333333334</v>
      </c>
    </row>
    <row r="43" spans="1:11" ht="117" customHeight="1" x14ac:dyDescent="0.3">
      <c r="A43" s="383" t="s">
        <v>83</v>
      </c>
      <c r="B43" s="384"/>
      <c r="C43" s="384"/>
      <c r="D43" s="384"/>
      <c r="E43" s="384"/>
      <c r="F43" s="384"/>
      <c r="G43" s="384"/>
      <c r="H43" s="385"/>
    </row>
    <row r="44" spans="1:11" x14ac:dyDescent="0.3">
      <c r="A44" s="412" t="s">
        <v>84</v>
      </c>
      <c r="B44" s="412"/>
      <c r="C44" s="412"/>
      <c r="D44" s="412"/>
      <c r="E44" s="412"/>
      <c r="F44" s="412"/>
      <c r="G44" s="412"/>
      <c r="H44" s="412"/>
    </row>
    <row r="45" spans="1:11" x14ac:dyDescent="0.3">
      <c r="A45" s="205" t="s">
        <v>85</v>
      </c>
      <c r="B45" s="374" t="s">
        <v>86</v>
      </c>
      <c r="C45" s="375"/>
      <c r="D45" s="375"/>
      <c r="E45" s="375"/>
      <c r="F45" s="376"/>
      <c r="G45" s="28" t="s">
        <v>80</v>
      </c>
      <c r="H45" s="205" t="s">
        <v>65</v>
      </c>
    </row>
    <row r="46" spans="1:11" x14ac:dyDescent="0.3">
      <c r="A46" s="11" t="s">
        <v>39</v>
      </c>
      <c r="B46" s="377" t="s">
        <v>87</v>
      </c>
      <c r="C46" s="378"/>
      <c r="D46" s="378"/>
      <c r="E46" s="378"/>
      <c r="F46" s="379"/>
      <c r="G46" s="33">
        <v>0.2</v>
      </c>
      <c r="H46" s="100">
        <f>(H34+H42)*G46</f>
        <v>258.79676666666666</v>
      </c>
      <c r="K46" s="151"/>
    </row>
    <row r="47" spans="1:11" x14ac:dyDescent="0.3">
      <c r="A47" s="11" t="s">
        <v>41</v>
      </c>
      <c r="B47" s="377" t="s">
        <v>88</v>
      </c>
      <c r="C47" s="378"/>
      <c r="D47" s="378"/>
      <c r="E47" s="378"/>
      <c r="F47" s="379"/>
      <c r="G47" s="33">
        <v>2.5000000000000001E-2</v>
      </c>
      <c r="H47" s="100">
        <f>(H34+H42)*G47</f>
        <v>32.349595833333332</v>
      </c>
      <c r="K47" s="151"/>
    </row>
    <row r="48" spans="1:11" ht="42.6" customHeight="1" x14ac:dyDescent="0.3">
      <c r="A48" s="11" t="s">
        <v>44</v>
      </c>
      <c r="B48" s="71" t="s">
        <v>89</v>
      </c>
      <c r="C48" s="70" t="s">
        <v>90</v>
      </c>
      <c r="D48" s="70"/>
      <c r="E48" s="70" t="s">
        <v>91</v>
      </c>
      <c r="F48" s="70"/>
      <c r="G48" s="62">
        <f>'1#IDENTIFICAÇÃO'!F152</f>
        <v>0.03</v>
      </c>
      <c r="H48" s="100">
        <f>(H34+H42)*G48</f>
        <v>38.819514999999996</v>
      </c>
      <c r="K48" s="151"/>
    </row>
    <row r="49" spans="1:11" x14ac:dyDescent="0.3">
      <c r="A49" s="11" t="s">
        <v>46</v>
      </c>
      <c r="B49" s="377" t="s">
        <v>92</v>
      </c>
      <c r="C49" s="378"/>
      <c r="D49" s="378"/>
      <c r="E49" s="378"/>
      <c r="F49" s="379"/>
      <c r="G49" s="33">
        <v>1.4999999999999999E-2</v>
      </c>
      <c r="H49" s="100">
        <f>(H34+H42)*G49</f>
        <v>19.409757499999998</v>
      </c>
      <c r="K49" s="151"/>
    </row>
    <row r="50" spans="1:11" x14ac:dyDescent="0.3">
      <c r="A50" s="11" t="s">
        <v>70</v>
      </c>
      <c r="B50" s="377" t="s">
        <v>93</v>
      </c>
      <c r="C50" s="378"/>
      <c r="D50" s="378"/>
      <c r="E50" s="378"/>
      <c r="F50" s="379"/>
      <c r="G50" s="33">
        <v>0.01</v>
      </c>
      <c r="H50" s="100">
        <f>(H34+H42)*G50</f>
        <v>12.939838333333332</v>
      </c>
      <c r="K50" s="151"/>
    </row>
    <row r="51" spans="1:11" x14ac:dyDescent="0.3">
      <c r="A51" s="34" t="s">
        <v>72</v>
      </c>
      <c r="B51" s="365" t="s">
        <v>94</v>
      </c>
      <c r="C51" s="366"/>
      <c r="D51" s="366"/>
      <c r="E51" s="366"/>
      <c r="F51" s="367"/>
      <c r="G51" s="29">
        <v>6.0000000000000001E-3</v>
      </c>
      <c r="H51" s="100">
        <f>(H34+H42)*G51</f>
        <v>7.7639029999999991</v>
      </c>
      <c r="K51" s="151"/>
    </row>
    <row r="52" spans="1:11" x14ac:dyDescent="0.3">
      <c r="A52" s="11" t="s">
        <v>95</v>
      </c>
      <c r="B52" s="377" t="s">
        <v>96</v>
      </c>
      <c r="C52" s="378"/>
      <c r="D52" s="378"/>
      <c r="E52" s="378"/>
      <c r="F52" s="379"/>
      <c r="G52" s="33">
        <v>2E-3</v>
      </c>
      <c r="H52" s="100">
        <f>(H34+H42)*G52</f>
        <v>2.5879676666666667</v>
      </c>
      <c r="K52" s="151"/>
    </row>
    <row r="53" spans="1:11" x14ac:dyDescent="0.3">
      <c r="A53" s="11" t="s">
        <v>97</v>
      </c>
      <c r="B53" s="377" t="s">
        <v>98</v>
      </c>
      <c r="C53" s="378"/>
      <c r="D53" s="378"/>
      <c r="E53" s="378"/>
      <c r="F53" s="379"/>
      <c r="G53" s="33">
        <v>0.08</v>
      </c>
      <c r="H53" s="100">
        <f>(H34+H42)*G53</f>
        <v>103.51870666666666</v>
      </c>
      <c r="K53" s="151"/>
    </row>
    <row r="54" spans="1:11" x14ac:dyDescent="0.3">
      <c r="A54" s="374" t="s">
        <v>74</v>
      </c>
      <c r="B54" s="375"/>
      <c r="C54" s="375"/>
      <c r="D54" s="375"/>
      <c r="E54" s="375"/>
      <c r="F54" s="376"/>
      <c r="G54" s="35">
        <v>0.36800000000000005</v>
      </c>
      <c r="H54" s="36">
        <f>SUM(H46:H53)</f>
        <v>476.18605066666669</v>
      </c>
      <c r="K54" s="152"/>
    </row>
    <row r="55" spans="1:11" ht="88.2" customHeight="1" x14ac:dyDescent="0.3">
      <c r="A55" s="404" t="s">
        <v>99</v>
      </c>
      <c r="B55" s="405"/>
      <c r="C55" s="405"/>
      <c r="D55" s="405"/>
      <c r="E55" s="405"/>
      <c r="F55" s="405"/>
      <c r="G55" s="405"/>
      <c r="H55" s="405"/>
    </row>
    <row r="56" spans="1:11" x14ac:dyDescent="0.3">
      <c r="A56" s="380" t="s">
        <v>100</v>
      </c>
      <c r="B56" s="381"/>
      <c r="C56" s="381"/>
      <c r="D56" s="381"/>
      <c r="E56" s="381"/>
      <c r="F56" s="381"/>
      <c r="G56" s="381"/>
      <c r="H56" s="382"/>
    </row>
    <row r="57" spans="1:11" x14ac:dyDescent="0.3">
      <c r="A57" s="203" t="s">
        <v>101</v>
      </c>
      <c r="B57" s="374" t="s">
        <v>102</v>
      </c>
      <c r="C57" s="375"/>
      <c r="D57" s="375"/>
      <c r="E57" s="375"/>
      <c r="F57" s="375"/>
      <c r="G57" s="376"/>
      <c r="H57" s="210" t="s">
        <v>65</v>
      </c>
    </row>
    <row r="58" spans="1:11" x14ac:dyDescent="0.3">
      <c r="A58" s="39" t="s">
        <v>39</v>
      </c>
      <c r="B58" s="377" t="s">
        <v>103</v>
      </c>
      <c r="C58" s="378"/>
      <c r="D58" s="378"/>
      <c r="E58" s="378"/>
      <c r="F58" s="378"/>
      <c r="G58" s="379"/>
      <c r="H58" s="101">
        <f>(22*2*'1#IDENTIFICAÇÃO'!B47)-(H34*6%)</f>
        <v>119.47999999999999</v>
      </c>
    </row>
    <row r="59" spans="1:11" x14ac:dyDescent="0.3">
      <c r="A59" s="39" t="s">
        <v>41</v>
      </c>
      <c r="B59" s="377" t="s">
        <v>104</v>
      </c>
      <c r="C59" s="378"/>
      <c r="D59" s="378"/>
      <c r="E59" s="378"/>
      <c r="F59" s="378"/>
      <c r="G59" s="379"/>
      <c r="H59" s="101">
        <f>'1#IDENTIFICAÇÃO'!G57</f>
        <v>312.66399999999999</v>
      </c>
    </row>
    <row r="60" spans="1:11" x14ac:dyDescent="0.3">
      <c r="A60" s="39" t="s">
        <v>44</v>
      </c>
      <c r="B60" s="377" t="s">
        <v>105</v>
      </c>
      <c r="C60" s="378"/>
      <c r="D60" s="378"/>
      <c r="E60" s="378"/>
      <c r="F60" s="378"/>
      <c r="G60" s="379"/>
      <c r="H60" s="101">
        <f>'1#IDENTIFICAÇÃO'!M64</f>
        <v>7</v>
      </c>
    </row>
    <row r="61" spans="1:11" x14ac:dyDescent="0.3">
      <c r="A61" s="39" t="s">
        <v>46</v>
      </c>
      <c r="B61" s="365" t="s">
        <v>106</v>
      </c>
      <c r="C61" s="366"/>
      <c r="D61" s="366"/>
      <c r="E61" s="366"/>
      <c r="F61" s="366"/>
      <c r="G61" s="367"/>
      <c r="H61" s="101">
        <f>'1#IDENTIFICAÇÃO'!M65</f>
        <v>2.54</v>
      </c>
    </row>
    <row r="62" spans="1:11" x14ac:dyDescent="0.3">
      <c r="A62" s="374" t="s">
        <v>107</v>
      </c>
      <c r="B62" s="375"/>
      <c r="C62" s="375"/>
      <c r="D62" s="375"/>
      <c r="E62" s="375"/>
      <c r="F62" s="375"/>
      <c r="G62" s="41"/>
      <c r="H62" s="36">
        <f>SUM(H58:H61)</f>
        <v>441.68400000000003</v>
      </c>
    </row>
    <row r="63" spans="1:11" ht="60" customHeight="1" x14ac:dyDescent="0.3">
      <c r="A63" s="398" t="s">
        <v>108</v>
      </c>
      <c r="B63" s="366"/>
      <c r="C63" s="366"/>
      <c r="D63" s="366"/>
      <c r="E63" s="366"/>
      <c r="F63" s="366"/>
      <c r="G63" s="366"/>
      <c r="H63" s="367"/>
    </row>
    <row r="64" spans="1:11" x14ac:dyDescent="0.3">
      <c r="A64" s="380" t="s">
        <v>109</v>
      </c>
      <c r="B64" s="381"/>
      <c r="C64" s="381"/>
      <c r="D64" s="381"/>
      <c r="E64" s="381"/>
      <c r="F64" s="381"/>
      <c r="G64" s="381"/>
      <c r="H64" s="382"/>
    </row>
    <row r="65" spans="1:8" x14ac:dyDescent="0.3">
      <c r="A65" s="34" t="s">
        <v>39</v>
      </c>
      <c r="B65" s="365" t="s">
        <v>110</v>
      </c>
      <c r="C65" s="366"/>
      <c r="D65" s="366"/>
      <c r="E65" s="366"/>
      <c r="F65" s="366"/>
      <c r="G65" s="367"/>
      <c r="H65" s="40">
        <f>H42</f>
        <v>131.98383333333334</v>
      </c>
    </row>
    <row r="66" spans="1:8" x14ac:dyDescent="0.3">
      <c r="A66" s="34" t="s">
        <v>41</v>
      </c>
      <c r="B66" s="398" t="s">
        <v>84</v>
      </c>
      <c r="C66" s="432"/>
      <c r="D66" s="432"/>
      <c r="E66" s="432"/>
      <c r="F66" s="432"/>
      <c r="G66" s="433"/>
      <c r="H66" s="40">
        <f>H54</f>
        <v>476.18605066666669</v>
      </c>
    </row>
    <row r="67" spans="1:8" x14ac:dyDescent="0.3">
      <c r="A67" s="34" t="s">
        <v>44</v>
      </c>
      <c r="B67" s="365" t="s">
        <v>100</v>
      </c>
      <c r="C67" s="366"/>
      <c r="D67" s="366"/>
      <c r="E67" s="366"/>
      <c r="F67" s="366"/>
      <c r="G67" s="367"/>
      <c r="H67" s="40">
        <f>H62</f>
        <v>441.68400000000003</v>
      </c>
    </row>
    <row r="68" spans="1:8" x14ac:dyDescent="0.3">
      <c r="A68" s="380" t="s">
        <v>74</v>
      </c>
      <c r="B68" s="381"/>
      <c r="C68" s="381"/>
      <c r="D68" s="381"/>
      <c r="E68" s="381"/>
      <c r="F68" s="381"/>
      <c r="G68" s="382"/>
      <c r="H68" s="72">
        <f>SUM(H65:H67)</f>
        <v>1049.8538840000001</v>
      </c>
    </row>
    <row r="69" spans="1:8" x14ac:dyDescent="0.3">
      <c r="A69" s="209"/>
      <c r="B69" s="208"/>
      <c r="C69" s="208"/>
      <c r="D69" s="208"/>
      <c r="E69" s="208"/>
      <c r="F69" s="208"/>
      <c r="G69" s="208"/>
      <c r="H69" s="208"/>
    </row>
    <row r="70" spans="1:8" x14ac:dyDescent="0.3">
      <c r="A70" s="380" t="s">
        <v>111</v>
      </c>
      <c r="B70" s="381"/>
      <c r="C70" s="381"/>
      <c r="D70" s="381"/>
      <c r="E70" s="381"/>
      <c r="F70" s="381"/>
      <c r="G70" s="381"/>
      <c r="H70" s="382"/>
    </row>
    <row r="71" spans="1:8" x14ac:dyDescent="0.3">
      <c r="A71" s="205">
        <v>3</v>
      </c>
      <c r="B71" s="42" t="s">
        <v>112</v>
      </c>
      <c r="C71" s="43"/>
      <c r="D71" s="43"/>
      <c r="E71" s="43"/>
      <c r="F71" s="43"/>
      <c r="G71" s="28" t="s">
        <v>80</v>
      </c>
      <c r="H71" s="34" t="s">
        <v>65</v>
      </c>
    </row>
    <row r="72" spans="1:8" x14ac:dyDescent="0.3">
      <c r="A72" s="11" t="s">
        <v>39</v>
      </c>
      <c r="B72" s="406" t="s">
        <v>113</v>
      </c>
      <c r="C72" s="407"/>
      <c r="D72" s="407"/>
      <c r="E72" s="407"/>
      <c r="F72" s="408"/>
      <c r="G72" s="44">
        <v>4.6249999999999998E-3</v>
      </c>
      <c r="H72" s="45">
        <f>H34*G72</f>
        <v>5.37425</v>
      </c>
    </row>
    <row r="73" spans="1:8" ht="15.6" customHeight="1" x14ac:dyDescent="0.3">
      <c r="A73" s="11" t="s">
        <v>41</v>
      </c>
      <c r="B73" s="406" t="s">
        <v>114</v>
      </c>
      <c r="C73" s="407"/>
      <c r="D73" s="407"/>
      <c r="E73" s="407"/>
      <c r="F73" s="408"/>
      <c r="G73" s="44">
        <v>3.6999999999999999E-4</v>
      </c>
      <c r="H73" s="45">
        <f>H34*G73</f>
        <v>0.42993999999999999</v>
      </c>
    </row>
    <row r="74" spans="1:8" ht="30.6" customHeight="1" x14ac:dyDescent="0.3">
      <c r="A74" s="11" t="s">
        <v>46</v>
      </c>
      <c r="B74" s="406" t="s">
        <v>115</v>
      </c>
      <c r="C74" s="407"/>
      <c r="D74" s="407"/>
      <c r="E74" s="407"/>
      <c r="F74" s="408"/>
      <c r="G74" s="44">
        <v>1.9400000000000001E-2</v>
      </c>
      <c r="H74" s="45">
        <f>H34*G74</f>
        <v>22.5428</v>
      </c>
    </row>
    <row r="75" spans="1:8" x14ac:dyDescent="0.3">
      <c r="A75" s="11" t="s">
        <v>70</v>
      </c>
      <c r="B75" s="406" t="s">
        <v>116</v>
      </c>
      <c r="C75" s="407"/>
      <c r="D75" s="407"/>
      <c r="E75" s="407"/>
      <c r="F75" s="408"/>
      <c r="G75" s="44">
        <v>7.1392000000000009E-3</v>
      </c>
      <c r="H75" s="45">
        <f>H34*G75</f>
        <v>8.2957504000000011</v>
      </c>
    </row>
    <row r="76" spans="1:8" ht="55.8" customHeight="1" x14ac:dyDescent="0.3">
      <c r="A76" s="11" t="s">
        <v>72</v>
      </c>
      <c r="B76" s="434" t="s">
        <v>117</v>
      </c>
      <c r="C76" s="435"/>
      <c r="D76" s="435"/>
      <c r="E76" s="435"/>
      <c r="F76" s="436"/>
      <c r="G76" s="49">
        <v>0.04</v>
      </c>
      <c r="H76" s="45">
        <f>H34*G76</f>
        <v>46.480000000000004</v>
      </c>
    </row>
    <row r="77" spans="1:8" x14ac:dyDescent="0.3">
      <c r="A77" s="374" t="s">
        <v>74</v>
      </c>
      <c r="B77" s="375"/>
      <c r="C77" s="375"/>
      <c r="D77" s="375"/>
      <c r="E77" s="375"/>
      <c r="F77" s="376"/>
      <c r="G77" s="35"/>
      <c r="H77" s="36">
        <f>SUM(H72:H76)</f>
        <v>83.122740399999998</v>
      </c>
    </row>
    <row r="78" spans="1:8" x14ac:dyDescent="0.3">
      <c r="A78" s="46"/>
      <c r="B78" s="47"/>
      <c r="C78" s="47"/>
      <c r="D78" s="372"/>
      <c r="E78" s="372"/>
      <c r="F78" s="372"/>
      <c r="G78" s="372"/>
      <c r="H78" s="372"/>
    </row>
    <row r="79" spans="1:8" x14ac:dyDescent="0.3">
      <c r="A79" s="380" t="s">
        <v>118</v>
      </c>
      <c r="B79" s="381"/>
      <c r="C79" s="381"/>
      <c r="D79" s="381"/>
      <c r="E79" s="381"/>
      <c r="F79" s="381"/>
      <c r="G79" s="381"/>
      <c r="H79" s="382"/>
    </row>
    <row r="80" spans="1:8" ht="48.6" customHeight="1" x14ac:dyDescent="0.3">
      <c r="A80" s="437" t="s">
        <v>119</v>
      </c>
      <c r="B80" s="438"/>
      <c r="C80" s="438"/>
      <c r="D80" s="438"/>
      <c r="E80" s="438"/>
      <c r="F80" s="438"/>
      <c r="G80" s="438"/>
      <c r="H80" s="439"/>
    </row>
    <row r="81" spans="1:8" x14ac:dyDescent="0.3">
      <c r="A81" s="440" t="s">
        <v>120</v>
      </c>
      <c r="B81" s="440"/>
      <c r="C81" s="440"/>
      <c r="D81" s="440"/>
      <c r="E81" s="440"/>
      <c r="F81" s="440"/>
      <c r="G81" s="440"/>
      <c r="H81" s="440"/>
    </row>
    <row r="82" spans="1:8" x14ac:dyDescent="0.3">
      <c r="A82" s="206" t="s">
        <v>121</v>
      </c>
      <c r="B82" s="380" t="s">
        <v>122</v>
      </c>
      <c r="C82" s="381"/>
      <c r="D82" s="381"/>
      <c r="E82" s="381"/>
      <c r="F82" s="382"/>
      <c r="G82" s="48" t="s">
        <v>80</v>
      </c>
      <c r="H82" s="23" t="s">
        <v>65</v>
      </c>
    </row>
    <row r="83" spans="1:8" ht="28.2" customHeight="1" x14ac:dyDescent="0.3">
      <c r="A83" s="11" t="s">
        <v>39</v>
      </c>
      <c r="B83" s="398" t="s">
        <v>123</v>
      </c>
      <c r="C83" s="432"/>
      <c r="D83" s="432"/>
      <c r="E83" s="432"/>
      <c r="F83" s="433"/>
      <c r="G83" s="64">
        <v>9.0749999999999997E-2</v>
      </c>
      <c r="H83" s="102">
        <f>G83*(SUM($H$34,$H$42,$H$54,$H$60,$H$61,$H$77))</f>
        <v>169.0520606643</v>
      </c>
    </row>
    <row r="84" spans="1:8" ht="45" customHeight="1" x14ac:dyDescent="0.3">
      <c r="A84" s="11" t="s">
        <v>41</v>
      </c>
      <c r="B84" s="406" t="s">
        <v>124</v>
      </c>
      <c r="C84" s="407"/>
      <c r="D84" s="407"/>
      <c r="E84" s="407"/>
      <c r="F84" s="408"/>
      <c r="G84" s="62">
        <v>1.6299999999999999E-2</v>
      </c>
      <c r="H84" s="102">
        <f>G84*(SUM($H$34,$H$42,$H$54,$H$60,$H$61,$H$77))</f>
        <v>30.364171777719996</v>
      </c>
    </row>
    <row r="85" spans="1:8" ht="39.6" customHeight="1" x14ac:dyDescent="0.3">
      <c r="A85" s="11" t="s">
        <v>44</v>
      </c>
      <c r="B85" s="406" t="s">
        <v>125</v>
      </c>
      <c r="C85" s="407"/>
      <c r="D85" s="407"/>
      <c r="E85" s="407"/>
      <c r="F85" s="408"/>
      <c r="G85" s="62">
        <v>2.0000000000000001E-4</v>
      </c>
      <c r="H85" s="102">
        <f>G85*(SUM($H$34,$H$42,$H$54,$H$60,$H$61,$H$77))</f>
        <v>0.37256652488000003</v>
      </c>
    </row>
    <row r="86" spans="1:8" ht="38.4" customHeight="1" x14ac:dyDescent="0.3">
      <c r="A86" s="11" t="s">
        <v>46</v>
      </c>
      <c r="B86" s="406" t="s">
        <v>126</v>
      </c>
      <c r="C86" s="407"/>
      <c r="D86" s="407"/>
      <c r="E86" s="407"/>
      <c r="F86" s="408"/>
      <c r="G86" s="62">
        <v>3.3E-3</v>
      </c>
      <c r="H86" s="102">
        <f>G86*(SUM($H$34,$H$42,$H$54,$H$60,$H$61,$H$77))</f>
        <v>6.1473476605199995</v>
      </c>
    </row>
    <row r="87" spans="1:8" ht="43.2" customHeight="1" x14ac:dyDescent="0.3">
      <c r="A87" s="11" t="s">
        <v>70</v>
      </c>
      <c r="B87" s="406" t="s">
        <v>127</v>
      </c>
      <c r="C87" s="407"/>
      <c r="D87" s="407"/>
      <c r="E87" s="407"/>
      <c r="F87" s="408"/>
      <c r="G87" s="89">
        <v>5.5000000000000003E-4</v>
      </c>
      <c r="H87" s="102">
        <f>G87*(SUM($H$34,$H$42,$H$54,$H$60,$H$61,$H$77))</f>
        <v>1.0245579434200001</v>
      </c>
    </row>
    <row r="88" spans="1:8" x14ac:dyDescent="0.3">
      <c r="A88" s="11" t="s">
        <v>72</v>
      </c>
      <c r="B88" s="407" t="s">
        <v>128</v>
      </c>
      <c r="C88" s="407"/>
      <c r="D88" s="407"/>
      <c r="E88" s="407"/>
      <c r="F88" s="408"/>
      <c r="G88" s="62">
        <v>0</v>
      </c>
      <c r="H88" s="102">
        <v>0</v>
      </c>
    </row>
    <row r="89" spans="1:8" x14ac:dyDescent="0.3">
      <c r="A89" s="441" t="s">
        <v>74</v>
      </c>
      <c r="B89" s="441"/>
      <c r="C89" s="441"/>
      <c r="D89" s="441"/>
      <c r="E89" s="441"/>
      <c r="F89" s="441"/>
      <c r="G89" s="35">
        <v>0.11109999999999999</v>
      </c>
      <c r="H89" s="50">
        <f>SUM(H83:H88)</f>
        <v>206.96070457084002</v>
      </c>
    </row>
    <row r="90" spans="1:8" x14ac:dyDescent="0.3">
      <c r="A90" s="445" t="s">
        <v>129</v>
      </c>
      <c r="B90" s="445"/>
      <c r="C90" s="445"/>
      <c r="D90" s="445"/>
      <c r="E90" s="445"/>
      <c r="F90" s="445"/>
      <c r="G90" s="445"/>
      <c r="H90" s="445"/>
    </row>
    <row r="91" spans="1:8" x14ac:dyDescent="0.3">
      <c r="A91" s="440" t="s">
        <v>130</v>
      </c>
      <c r="B91" s="440"/>
      <c r="C91" s="440"/>
      <c r="D91" s="440"/>
      <c r="E91" s="440"/>
      <c r="F91" s="440"/>
      <c r="G91" s="440"/>
      <c r="H91" s="440"/>
    </row>
    <row r="92" spans="1:8" x14ac:dyDescent="0.3">
      <c r="A92" s="206" t="s">
        <v>131</v>
      </c>
      <c r="B92" s="380" t="s">
        <v>132</v>
      </c>
      <c r="C92" s="381"/>
      <c r="D92" s="381"/>
      <c r="E92" s="381"/>
      <c r="F92" s="382"/>
      <c r="G92" s="48" t="s">
        <v>80</v>
      </c>
      <c r="H92" s="23" t="s">
        <v>65</v>
      </c>
    </row>
    <row r="93" spans="1:8" x14ac:dyDescent="0.3">
      <c r="A93" s="11" t="s">
        <v>39</v>
      </c>
      <c r="B93" s="365" t="s">
        <v>133</v>
      </c>
      <c r="C93" s="366"/>
      <c r="D93" s="366"/>
      <c r="E93" s="366"/>
      <c r="F93" s="367"/>
      <c r="G93" s="29">
        <v>0</v>
      </c>
      <c r="H93" s="102">
        <v>0</v>
      </c>
    </row>
    <row r="94" spans="1:8" x14ac:dyDescent="0.3">
      <c r="A94" s="374" t="s">
        <v>74</v>
      </c>
      <c r="B94" s="375"/>
      <c r="C94" s="375"/>
      <c r="D94" s="375"/>
      <c r="E94" s="375"/>
      <c r="F94" s="375"/>
      <c r="G94" s="376"/>
      <c r="H94" s="102">
        <v>0</v>
      </c>
    </row>
    <row r="95" spans="1:8" x14ac:dyDescent="0.3">
      <c r="A95" s="442"/>
      <c r="B95" s="443"/>
      <c r="C95" s="443"/>
      <c r="D95" s="443"/>
      <c r="E95" s="443"/>
      <c r="F95" s="443"/>
      <c r="G95" s="443"/>
      <c r="H95" s="443"/>
    </row>
    <row r="96" spans="1:8" x14ac:dyDescent="0.3">
      <c r="A96" s="444" t="s">
        <v>134</v>
      </c>
      <c r="B96" s="444"/>
      <c r="C96" s="444"/>
      <c r="D96" s="444"/>
      <c r="E96" s="444"/>
      <c r="F96" s="444"/>
      <c r="G96" s="444"/>
      <c r="H96" s="444"/>
    </row>
    <row r="97" spans="1:12" x14ac:dyDescent="0.3">
      <c r="A97" s="206">
        <v>4</v>
      </c>
      <c r="B97" s="380" t="s">
        <v>135</v>
      </c>
      <c r="C97" s="381"/>
      <c r="D97" s="381"/>
      <c r="E97" s="381"/>
      <c r="F97" s="381"/>
      <c r="G97" s="382"/>
      <c r="H97" s="23" t="s">
        <v>65</v>
      </c>
    </row>
    <row r="98" spans="1:12" x14ac:dyDescent="0.3">
      <c r="A98" s="11" t="s">
        <v>39</v>
      </c>
      <c r="B98" s="365" t="s">
        <v>136</v>
      </c>
      <c r="C98" s="366"/>
      <c r="D98" s="366"/>
      <c r="E98" s="366"/>
      <c r="F98" s="366"/>
      <c r="G98" s="367"/>
      <c r="H98" s="102">
        <f>H89</f>
        <v>206.96070457084002</v>
      </c>
    </row>
    <row r="99" spans="1:12" x14ac:dyDescent="0.3">
      <c r="A99" s="11" t="s">
        <v>41</v>
      </c>
      <c r="B99" s="377" t="s">
        <v>132</v>
      </c>
      <c r="C99" s="378"/>
      <c r="D99" s="378"/>
      <c r="E99" s="378"/>
      <c r="F99" s="378"/>
      <c r="G99" s="379"/>
      <c r="H99" s="102">
        <v>0</v>
      </c>
    </row>
    <row r="100" spans="1:12" x14ac:dyDescent="0.3">
      <c r="A100" s="380" t="s">
        <v>74</v>
      </c>
      <c r="B100" s="381"/>
      <c r="C100" s="381"/>
      <c r="D100" s="381"/>
      <c r="E100" s="381"/>
      <c r="F100" s="381"/>
      <c r="G100" s="382"/>
      <c r="H100" s="73">
        <f>SUM(H98:H99)</f>
        <v>206.96070457084002</v>
      </c>
    </row>
    <row r="101" spans="1:12" x14ac:dyDescent="0.3">
      <c r="A101" s="196"/>
      <c r="B101" s="207"/>
      <c r="C101" s="207"/>
      <c r="D101" s="207"/>
      <c r="E101" s="207"/>
      <c r="F101" s="207"/>
      <c r="G101" s="207"/>
      <c r="H101" s="207"/>
    </row>
    <row r="102" spans="1:12" x14ac:dyDescent="0.3">
      <c r="A102" s="380" t="s">
        <v>137</v>
      </c>
      <c r="B102" s="381"/>
      <c r="C102" s="381"/>
      <c r="D102" s="381"/>
      <c r="E102" s="381"/>
      <c r="F102" s="381"/>
      <c r="G102" s="381"/>
      <c r="H102" s="382"/>
    </row>
    <row r="103" spans="1:12" x14ac:dyDescent="0.3">
      <c r="A103" s="51">
        <v>5</v>
      </c>
      <c r="B103" s="374" t="s">
        <v>138</v>
      </c>
      <c r="C103" s="375"/>
      <c r="D103" s="375"/>
      <c r="E103" s="375"/>
      <c r="F103" s="375"/>
      <c r="G103" s="376"/>
      <c r="H103" s="205" t="s">
        <v>65</v>
      </c>
    </row>
    <row r="104" spans="1:12" x14ac:dyDescent="0.3">
      <c r="A104" s="11" t="s">
        <v>39</v>
      </c>
      <c r="B104" s="377" t="s">
        <v>139</v>
      </c>
      <c r="C104" s="378"/>
      <c r="D104" s="378"/>
      <c r="E104" s="378"/>
      <c r="F104" s="378"/>
      <c r="G104" s="379"/>
      <c r="H104" s="85">
        <f>'1#IDENTIFICAÇÃO'!J76</f>
        <v>28.403333333333336</v>
      </c>
    </row>
    <row r="105" spans="1:12" x14ac:dyDescent="0.3">
      <c r="A105" s="11" t="s">
        <v>41</v>
      </c>
      <c r="B105" s="365" t="s">
        <v>140</v>
      </c>
      <c r="C105" s="366"/>
      <c r="D105" s="366"/>
      <c r="E105" s="366"/>
      <c r="F105" s="366"/>
      <c r="G105" s="367"/>
      <c r="H105" s="85">
        <f>'1#IDENTIFICAÇÃO'!J82</f>
        <v>1.78</v>
      </c>
    </row>
    <row r="106" spans="1:12" x14ac:dyDescent="0.3">
      <c r="A106" s="11" t="s">
        <v>44</v>
      </c>
      <c r="B106" s="365" t="s">
        <v>339</v>
      </c>
      <c r="C106" s="366"/>
      <c r="D106" s="366"/>
      <c r="E106" s="366"/>
      <c r="F106" s="366"/>
      <c r="G106" s="367"/>
      <c r="H106" s="85">
        <f>'1#IDENTIFICAÇÃO'!M136/'4#SERV. LIMP. SPU-GO'!G14</f>
        <v>546.87333333333333</v>
      </c>
    </row>
    <row r="107" spans="1:12" x14ac:dyDescent="0.3">
      <c r="A107" s="11" t="s">
        <v>46</v>
      </c>
      <c r="B107" s="197" t="s">
        <v>347</v>
      </c>
      <c r="C107" s="197"/>
      <c r="D107" s="197"/>
      <c r="E107" s="197"/>
      <c r="F107" s="197"/>
      <c r="G107" s="198"/>
      <c r="H107" s="85" cm="1">
        <f t="array" ref="H107:L107">('1#IDENTIFICAÇÃO'!M148:Q148)/G14</f>
        <v>23.799083333333332</v>
      </c>
      <c r="I107" s="97">
        <v>0</v>
      </c>
      <c r="J107" s="97">
        <v>0</v>
      </c>
      <c r="K107" s="97">
        <v>0</v>
      </c>
      <c r="L107" s="97">
        <v>0</v>
      </c>
    </row>
    <row r="108" spans="1:12" x14ac:dyDescent="0.3">
      <c r="A108" s="380" t="s">
        <v>107</v>
      </c>
      <c r="B108" s="381"/>
      <c r="C108" s="381"/>
      <c r="D108" s="381"/>
      <c r="E108" s="381"/>
      <c r="F108" s="381"/>
      <c r="G108" s="382"/>
      <c r="H108" s="52">
        <f>SUM(H104:H107)</f>
        <v>600.85574999999994</v>
      </c>
    </row>
    <row r="109" spans="1:12" ht="17.399999999999999" customHeight="1" x14ac:dyDescent="0.3">
      <c r="A109" s="365" t="s">
        <v>141</v>
      </c>
      <c r="B109" s="366"/>
      <c r="C109" s="366"/>
      <c r="D109" s="366"/>
      <c r="E109" s="366"/>
      <c r="F109" s="366"/>
      <c r="G109" s="366"/>
      <c r="H109" s="366"/>
    </row>
    <row r="110" spans="1:12" x14ac:dyDescent="0.3">
      <c r="A110" s="380" t="s">
        <v>142</v>
      </c>
      <c r="B110" s="381"/>
      <c r="C110" s="381"/>
      <c r="D110" s="381"/>
      <c r="E110" s="381"/>
      <c r="F110" s="381"/>
      <c r="G110" s="381"/>
      <c r="H110" s="382"/>
    </row>
    <row r="111" spans="1:12" x14ac:dyDescent="0.3">
      <c r="A111" s="205">
        <v>6</v>
      </c>
      <c r="B111" s="374" t="s">
        <v>143</v>
      </c>
      <c r="C111" s="375"/>
      <c r="D111" s="375"/>
      <c r="E111" s="375"/>
      <c r="F111" s="376"/>
      <c r="G111" s="28" t="s">
        <v>80</v>
      </c>
      <c r="H111" s="55" t="s">
        <v>144</v>
      </c>
    </row>
    <row r="112" spans="1:12" x14ac:dyDescent="0.3">
      <c r="A112" s="56" t="s">
        <v>39</v>
      </c>
      <c r="B112" s="446" t="s">
        <v>145</v>
      </c>
      <c r="C112" s="447"/>
      <c r="D112" s="447"/>
      <c r="E112" s="447"/>
      <c r="F112" s="448"/>
      <c r="G112" s="84">
        <f>'1#IDENTIFICAÇÃO'!C156</f>
        <v>0.03</v>
      </c>
      <c r="H112" s="98">
        <f>(H34+H68+H77+H100+H108)*G112</f>
        <v>93.083792369125192</v>
      </c>
    </row>
    <row r="113" spans="1:11" x14ac:dyDescent="0.3">
      <c r="A113" s="56" t="s">
        <v>41</v>
      </c>
      <c r="B113" s="446" t="s">
        <v>146</v>
      </c>
      <c r="C113" s="447"/>
      <c r="D113" s="447"/>
      <c r="E113" s="447"/>
      <c r="F113" s="448"/>
      <c r="G113" s="84">
        <f>'1#IDENTIFICAÇÃO'!C161</f>
        <v>6.7900000000000002E-2</v>
      </c>
      <c r="H113" s="98">
        <f>(H34+H68+H77+H100+H108+H112)*G113</f>
        <v>217.00003956398362</v>
      </c>
    </row>
    <row r="114" spans="1:11" x14ac:dyDescent="0.3">
      <c r="A114" s="56" t="s">
        <v>44</v>
      </c>
      <c r="B114" s="449" t="s">
        <v>147</v>
      </c>
      <c r="C114" s="450"/>
      <c r="D114" s="450"/>
      <c r="E114" s="450"/>
      <c r="F114" s="450"/>
      <c r="G114" s="451"/>
      <c r="H114" s="99"/>
    </row>
    <row r="115" spans="1:11" x14ac:dyDescent="0.3">
      <c r="A115" s="56"/>
      <c r="B115" s="452" t="s">
        <v>148</v>
      </c>
      <c r="C115" s="453"/>
      <c r="D115" s="453"/>
      <c r="E115" s="453"/>
      <c r="F115" s="453"/>
      <c r="G115" s="454"/>
      <c r="H115" s="99"/>
    </row>
    <row r="116" spans="1:11" x14ac:dyDescent="0.3">
      <c r="A116" s="56"/>
      <c r="B116" s="446" t="s">
        <v>149</v>
      </c>
      <c r="C116" s="447"/>
      <c r="D116" s="447"/>
      <c r="E116" s="447"/>
      <c r="F116" s="448"/>
      <c r="G116" s="87">
        <v>1.6500000000000001E-2</v>
      </c>
      <c r="H116" s="99">
        <f>SUM($H$34,$H$68,$H$77,$H$100,$H$108,$H$112,$H$113)/(1-$G$121)*G116</f>
        <v>65.670517819143043</v>
      </c>
    </row>
    <row r="117" spans="1:11" x14ac:dyDescent="0.3">
      <c r="A117" s="56"/>
      <c r="B117" s="446" t="s">
        <v>150</v>
      </c>
      <c r="C117" s="447"/>
      <c r="D117" s="447"/>
      <c r="E117" s="447"/>
      <c r="F117" s="448"/>
      <c r="G117" s="84">
        <v>7.5999999999999998E-2</v>
      </c>
      <c r="H117" s="99">
        <f>SUM($H$34,$H$68,$H$77,$H$100,$H$108,$H$112,$H$113)/(1-$G$121)*G117</f>
        <v>302.48238510635582</v>
      </c>
    </row>
    <row r="118" spans="1:11" x14ac:dyDescent="0.3">
      <c r="A118" s="56"/>
      <c r="B118" s="449" t="s">
        <v>151</v>
      </c>
      <c r="C118" s="450"/>
      <c r="D118" s="450"/>
      <c r="E118" s="450"/>
      <c r="F118" s="450"/>
      <c r="G118" s="451"/>
      <c r="H118" s="99"/>
    </row>
    <row r="119" spans="1:11" x14ac:dyDescent="0.3">
      <c r="A119" s="56"/>
      <c r="B119" s="455" t="s">
        <v>152</v>
      </c>
      <c r="C119" s="456"/>
      <c r="D119" s="456"/>
      <c r="E119" s="456"/>
      <c r="F119" s="456"/>
      <c r="G119" s="457"/>
      <c r="H119" s="99"/>
    </row>
    <row r="120" spans="1:11" x14ac:dyDescent="0.3">
      <c r="A120" s="56"/>
      <c r="B120" s="446" t="s">
        <v>153</v>
      </c>
      <c r="C120" s="447"/>
      <c r="D120" s="447"/>
      <c r="E120" s="447"/>
      <c r="F120" s="448"/>
      <c r="G120" s="84">
        <f>'1#IDENTIFICAÇÃO'!C165</f>
        <v>0.05</v>
      </c>
      <c r="H120" s="99">
        <f>SUM($H$34,$H$68,$H$77,$H$100,$H$108,$H$112,$H$113)/(1-$G$121)*G120</f>
        <v>199.00156914891829</v>
      </c>
    </row>
    <row r="121" spans="1:11" x14ac:dyDescent="0.3">
      <c r="A121" s="458"/>
      <c r="B121" s="459"/>
      <c r="C121" s="459"/>
      <c r="D121" s="459"/>
      <c r="E121" s="459"/>
      <c r="F121" s="460"/>
      <c r="G121" s="63">
        <f>G116+G117+G120</f>
        <v>0.14250000000000002</v>
      </c>
      <c r="H121" s="99"/>
    </row>
    <row r="122" spans="1:11" x14ac:dyDescent="0.3">
      <c r="A122" s="465" t="s">
        <v>107</v>
      </c>
      <c r="B122" s="466"/>
      <c r="C122" s="466"/>
      <c r="D122" s="466"/>
      <c r="E122" s="466"/>
      <c r="F122" s="467"/>
      <c r="G122" s="74">
        <f>G112+G113+G121</f>
        <v>0.2404</v>
      </c>
      <c r="H122" s="75">
        <f>SUM(H112:H121)</f>
        <v>877.23830400752593</v>
      </c>
    </row>
    <row r="123" spans="1:11" ht="45.6" customHeight="1" x14ac:dyDescent="0.3">
      <c r="A123" s="398" t="s">
        <v>154</v>
      </c>
      <c r="B123" s="366"/>
      <c r="C123" s="366"/>
      <c r="D123" s="366"/>
      <c r="E123" s="366"/>
      <c r="F123" s="366"/>
      <c r="G123" s="366"/>
      <c r="H123" s="367"/>
    </row>
    <row r="124" spans="1:11" x14ac:dyDescent="0.3">
      <c r="A124" s="380" t="s">
        <v>155</v>
      </c>
      <c r="B124" s="381"/>
      <c r="C124" s="381"/>
      <c r="D124" s="381"/>
      <c r="E124" s="381"/>
      <c r="F124" s="381"/>
      <c r="G124" s="381"/>
      <c r="H124" s="382"/>
    </row>
    <row r="125" spans="1:11" x14ac:dyDescent="0.3">
      <c r="A125" s="59" t="s">
        <v>39</v>
      </c>
      <c r="B125" s="377" t="s">
        <v>156</v>
      </c>
      <c r="C125" s="378"/>
      <c r="D125" s="378"/>
      <c r="E125" s="378"/>
      <c r="F125" s="378"/>
      <c r="G125" s="379"/>
      <c r="H125" s="100">
        <f>H34</f>
        <v>1162</v>
      </c>
      <c r="K125" s="151"/>
    </row>
    <row r="126" spans="1:11" x14ac:dyDescent="0.3">
      <c r="A126" s="59" t="s">
        <v>41</v>
      </c>
      <c r="B126" s="377" t="s">
        <v>157</v>
      </c>
      <c r="C126" s="378"/>
      <c r="D126" s="378"/>
      <c r="E126" s="378"/>
      <c r="F126" s="378"/>
      <c r="G126" s="379"/>
      <c r="H126" s="100">
        <f>H68</f>
        <v>1049.8538840000001</v>
      </c>
      <c r="K126" s="151"/>
    </row>
    <row r="127" spans="1:11" x14ac:dyDescent="0.3">
      <c r="A127" s="59" t="s">
        <v>44</v>
      </c>
      <c r="B127" s="377" t="s">
        <v>158</v>
      </c>
      <c r="C127" s="378"/>
      <c r="D127" s="378"/>
      <c r="E127" s="378"/>
      <c r="F127" s="378"/>
      <c r="G127" s="379"/>
      <c r="H127" s="100">
        <f>H77</f>
        <v>83.122740399999998</v>
      </c>
      <c r="K127" s="151"/>
    </row>
    <row r="128" spans="1:11" x14ac:dyDescent="0.3">
      <c r="A128" s="59" t="s">
        <v>46</v>
      </c>
      <c r="B128" s="377" t="s">
        <v>159</v>
      </c>
      <c r="C128" s="378"/>
      <c r="D128" s="378"/>
      <c r="E128" s="378"/>
      <c r="F128" s="378"/>
      <c r="G128" s="379"/>
      <c r="H128" s="100">
        <f>H100</f>
        <v>206.96070457084002</v>
      </c>
      <c r="K128" s="151"/>
    </row>
    <row r="129" spans="1:11" x14ac:dyDescent="0.3">
      <c r="A129" s="59" t="s">
        <v>70</v>
      </c>
      <c r="B129" s="377" t="s">
        <v>160</v>
      </c>
      <c r="C129" s="378"/>
      <c r="D129" s="378"/>
      <c r="E129" s="378"/>
      <c r="F129" s="378"/>
      <c r="G129" s="379"/>
      <c r="H129" s="100">
        <f>H108</f>
        <v>600.85574999999994</v>
      </c>
      <c r="K129" s="151"/>
    </row>
    <row r="130" spans="1:11" x14ac:dyDescent="0.3">
      <c r="A130" s="401" t="s">
        <v>161</v>
      </c>
      <c r="B130" s="402"/>
      <c r="C130" s="402"/>
      <c r="D130" s="402"/>
      <c r="E130" s="402"/>
      <c r="F130" s="402"/>
      <c r="G130" s="431"/>
      <c r="H130" s="60">
        <f>SUM(H125:H129)</f>
        <v>3102.7930789708398</v>
      </c>
      <c r="K130" s="153"/>
    </row>
    <row r="131" spans="1:11" x14ac:dyDescent="0.3">
      <c r="A131" s="59" t="s">
        <v>72</v>
      </c>
      <c r="B131" s="377" t="s">
        <v>162</v>
      </c>
      <c r="C131" s="378"/>
      <c r="D131" s="378"/>
      <c r="E131" s="378"/>
      <c r="F131" s="378"/>
      <c r="G131" s="379"/>
      <c r="H131" s="100">
        <f>H122</f>
        <v>877.23830400752593</v>
      </c>
      <c r="K131" s="151"/>
    </row>
    <row r="132" spans="1:11" x14ac:dyDescent="0.3">
      <c r="A132" s="461" t="s">
        <v>163</v>
      </c>
      <c r="B132" s="462"/>
      <c r="C132" s="462"/>
      <c r="D132" s="462"/>
      <c r="E132" s="462"/>
      <c r="F132" s="462"/>
      <c r="G132" s="463"/>
      <c r="H132" s="61">
        <f>SUM(H130:H131)</f>
        <v>3980.0313829783659</v>
      </c>
      <c r="K132" s="177"/>
    </row>
    <row r="133" spans="1:11" x14ac:dyDescent="0.3">
      <c r="A133" s="166"/>
      <c r="B133" s="468" t="s">
        <v>317</v>
      </c>
      <c r="C133" s="468"/>
      <c r="D133" s="468"/>
      <c r="E133" s="468"/>
      <c r="F133" s="468"/>
      <c r="G133" s="468"/>
      <c r="H133" s="181">
        <v>2</v>
      </c>
    </row>
    <row r="134" spans="1:11" x14ac:dyDescent="0.3">
      <c r="A134" s="178"/>
      <c r="B134" s="469"/>
      <c r="C134" s="469"/>
      <c r="D134" s="469"/>
      <c r="E134" s="469"/>
      <c r="F134" s="469"/>
      <c r="G134" s="469"/>
      <c r="H134" s="179"/>
    </row>
    <row r="135" spans="1:11" x14ac:dyDescent="0.3">
      <c r="A135" s="178"/>
      <c r="B135" s="469"/>
      <c r="C135" s="469"/>
      <c r="D135" s="469"/>
      <c r="E135" s="469"/>
      <c r="F135" s="469"/>
      <c r="G135" s="469"/>
      <c r="H135" s="180"/>
    </row>
    <row r="136" spans="1:11" x14ac:dyDescent="0.3">
      <c r="A136" s="464"/>
      <c r="B136" s="464"/>
      <c r="C136" s="464"/>
      <c r="D136" s="94"/>
      <c r="E136" s="95"/>
      <c r="F136" s="96"/>
      <c r="G136" s="95"/>
      <c r="H136" s="96"/>
    </row>
  </sheetData>
  <mergeCells count="142">
    <mergeCell ref="A136:C136"/>
    <mergeCell ref="A130:G130"/>
    <mergeCell ref="B131:G131"/>
    <mergeCell ref="A132:G132"/>
    <mergeCell ref="B133:G133"/>
    <mergeCell ref="B134:G134"/>
    <mergeCell ref="B135:G135"/>
    <mergeCell ref="A124:H124"/>
    <mergeCell ref="B125:G125"/>
    <mergeCell ref="B126:G126"/>
    <mergeCell ref="B127:G127"/>
    <mergeCell ref="B128:G128"/>
    <mergeCell ref="B129:G129"/>
    <mergeCell ref="B118:G118"/>
    <mergeCell ref="B119:G119"/>
    <mergeCell ref="B120:F120"/>
    <mergeCell ref="A121:F121"/>
    <mergeCell ref="A122:F122"/>
    <mergeCell ref="A123:H123"/>
    <mergeCell ref="B112:F112"/>
    <mergeCell ref="B113:F113"/>
    <mergeCell ref="B114:G114"/>
    <mergeCell ref="B115:G115"/>
    <mergeCell ref="B116:F116"/>
    <mergeCell ref="B117:F117"/>
    <mergeCell ref="B105:G105"/>
    <mergeCell ref="B106:G106"/>
    <mergeCell ref="A108:G108"/>
    <mergeCell ref="A109:H109"/>
    <mergeCell ref="A110:H110"/>
    <mergeCell ref="B111:F111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12B0-70D0-4FB4-BA1F-8C2619D9A549}">
  <dimension ref="A1:L136"/>
  <sheetViews>
    <sheetView workbookViewId="0">
      <selection activeCell="E10" sqref="E10:H10"/>
    </sheetView>
  </sheetViews>
  <sheetFormatPr defaultRowHeight="14.4" x14ac:dyDescent="0.3"/>
  <cols>
    <col min="1" max="1" width="8.88671875" style="97"/>
    <col min="2" max="2" width="27.44140625" style="97" customWidth="1"/>
    <col min="3" max="3" width="8.88671875" style="97"/>
    <col min="4" max="4" width="24.33203125" style="97" customWidth="1"/>
    <col min="5" max="5" width="10.77734375" style="97" customWidth="1"/>
    <col min="6" max="6" width="11.6640625" style="97" bestFit="1" customWidth="1"/>
    <col min="7" max="7" width="11.88671875" style="97" bestFit="1" customWidth="1"/>
    <col min="8" max="8" width="31.21875" style="97" customWidth="1"/>
    <col min="9" max="10" width="8.88671875" style="97"/>
    <col min="11" max="11" width="12" style="97" bestFit="1" customWidth="1"/>
    <col min="12" max="16384" width="8.88671875" style="97"/>
  </cols>
  <sheetData>
    <row r="1" spans="1:8" x14ac:dyDescent="0.3">
      <c r="A1" s="418" t="s">
        <v>32</v>
      </c>
      <c r="B1" s="419"/>
      <c r="C1" s="419"/>
      <c r="D1" s="419"/>
      <c r="E1" s="419"/>
      <c r="F1" s="419"/>
      <c r="G1" s="419"/>
      <c r="H1" s="420"/>
    </row>
    <row r="2" spans="1:8" x14ac:dyDescent="0.3">
      <c r="A2" s="377" t="s">
        <v>33</v>
      </c>
      <c r="B2" s="379"/>
      <c r="C2" s="377"/>
      <c r="D2" s="378"/>
      <c r="E2" s="378"/>
      <c r="F2" s="378"/>
      <c r="G2" s="378"/>
      <c r="H2" s="379"/>
    </row>
    <row r="3" spans="1:8" x14ac:dyDescent="0.3">
      <c r="A3" s="377" t="s">
        <v>34</v>
      </c>
      <c r="B3" s="379"/>
      <c r="C3" s="425"/>
      <c r="D3" s="426"/>
      <c r="E3" s="426"/>
      <c r="F3" s="426"/>
      <c r="G3" s="426"/>
      <c r="H3" s="427"/>
    </row>
    <row r="4" spans="1:8" x14ac:dyDescent="0.3">
      <c r="A4" s="377" t="s">
        <v>35</v>
      </c>
      <c r="B4" s="379"/>
      <c r="C4" s="377" t="s">
        <v>36</v>
      </c>
      <c r="D4" s="378"/>
      <c r="E4" s="378"/>
      <c r="F4" s="378"/>
      <c r="G4" s="378"/>
      <c r="H4" s="379"/>
    </row>
    <row r="5" spans="1:8" x14ac:dyDescent="0.3">
      <c r="A5" s="421" t="s">
        <v>37</v>
      </c>
      <c r="B5" s="421"/>
      <c r="C5" s="194"/>
      <c r="D5" s="194"/>
      <c r="E5" s="194"/>
      <c r="F5" s="194"/>
      <c r="G5" s="194"/>
      <c r="H5" s="195"/>
    </row>
    <row r="6" spans="1:8" x14ac:dyDescent="0.3">
      <c r="A6" s="428" t="s">
        <v>190</v>
      </c>
      <c r="B6" s="429"/>
      <c r="C6" s="429"/>
      <c r="D6" s="429"/>
      <c r="E6" s="429"/>
      <c r="F6" s="429"/>
      <c r="G6" s="429"/>
      <c r="H6" s="430"/>
    </row>
    <row r="7" spans="1:8" x14ac:dyDescent="0.3">
      <c r="A7" s="401" t="s">
        <v>38</v>
      </c>
      <c r="B7" s="402"/>
      <c r="C7" s="402"/>
      <c r="D7" s="402"/>
      <c r="E7" s="402"/>
      <c r="F7" s="402"/>
      <c r="G7" s="402"/>
      <c r="H7" s="431"/>
    </row>
    <row r="8" spans="1:8" x14ac:dyDescent="0.3">
      <c r="A8" s="10" t="s">
        <v>39</v>
      </c>
      <c r="B8" s="377" t="s">
        <v>40</v>
      </c>
      <c r="C8" s="378"/>
      <c r="D8" s="379"/>
      <c r="E8" s="422"/>
      <c r="F8" s="423"/>
      <c r="G8" s="423"/>
      <c r="H8" s="424"/>
    </row>
    <row r="9" spans="1:8" x14ac:dyDescent="0.3">
      <c r="A9" s="80" t="s">
        <v>41</v>
      </c>
      <c r="B9" s="365" t="s">
        <v>42</v>
      </c>
      <c r="C9" s="366"/>
      <c r="D9" s="367"/>
      <c r="E9" s="386" t="s">
        <v>43</v>
      </c>
      <c r="F9" s="396"/>
      <c r="G9" s="396"/>
      <c r="H9" s="387"/>
    </row>
    <row r="10" spans="1:8" ht="14.4" customHeight="1" x14ac:dyDescent="0.3">
      <c r="A10" s="80" t="s">
        <v>44</v>
      </c>
      <c r="B10" s="365" t="s">
        <v>45</v>
      </c>
      <c r="C10" s="366"/>
      <c r="D10" s="367"/>
      <c r="E10" s="368" t="s">
        <v>345</v>
      </c>
      <c r="F10" s="369"/>
      <c r="G10" s="369"/>
      <c r="H10" s="370"/>
    </row>
    <row r="11" spans="1:8" x14ac:dyDescent="0.3">
      <c r="A11" s="81" t="s">
        <v>46</v>
      </c>
      <c r="B11" s="365" t="s">
        <v>47</v>
      </c>
      <c r="C11" s="366"/>
      <c r="D11" s="367"/>
      <c r="E11" s="371">
        <v>30</v>
      </c>
      <c r="F11" s="372"/>
      <c r="G11" s="372"/>
      <c r="H11" s="373"/>
    </row>
    <row r="12" spans="1:8" x14ac:dyDescent="0.3">
      <c r="A12" s="388" t="s">
        <v>48</v>
      </c>
      <c r="B12" s="389"/>
      <c r="C12" s="389"/>
      <c r="D12" s="389"/>
      <c r="E12" s="389"/>
      <c r="F12" s="389"/>
      <c r="G12" s="389"/>
      <c r="H12" s="390"/>
    </row>
    <row r="13" spans="1:8" x14ac:dyDescent="0.3">
      <c r="A13" s="391" t="s">
        <v>49</v>
      </c>
      <c r="B13" s="392"/>
      <c r="C13" s="392"/>
      <c r="D13" s="392"/>
      <c r="E13" s="393"/>
      <c r="F13" s="82" t="s">
        <v>50</v>
      </c>
      <c r="G13" s="394" t="s">
        <v>51</v>
      </c>
      <c r="H13" s="395"/>
    </row>
    <row r="14" spans="1:8" x14ac:dyDescent="0.3">
      <c r="A14" s="386" t="s">
        <v>187</v>
      </c>
      <c r="B14" s="396"/>
      <c r="C14" s="396"/>
      <c r="D14" s="396"/>
      <c r="E14" s="387"/>
      <c r="F14" s="34" t="s">
        <v>52</v>
      </c>
      <c r="G14" s="397">
        <v>9</v>
      </c>
      <c r="H14" s="387"/>
    </row>
    <row r="15" spans="1:8" ht="72.599999999999994" customHeight="1" x14ac:dyDescent="0.3">
      <c r="A15" s="398" t="s">
        <v>53</v>
      </c>
      <c r="B15" s="366"/>
      <c r="C15" s="366"/>
      <c r="D15" s="366"/>
      <c r="E15" s="366"/>
      <c r="F15" s="366"/>
      <c r="G15" s="366"/>
      <c r="H15" s="367"/>
    </row>
    <row r="16" spans="1:8" x14ac:dyDescent="0.3">
      <c r="A16" s="371"/>
      <c r="B16" s="372"/>
      <c r="C16" s="372"/>
      <c r="D16" s="372"/>
      <c r="E16" s="372"/>
      <c r="F16" s="372"/>
      <c r="G16" s="372"/>
      <c r="H16" s="373"/>
    </row>
    <row r="17" spans="1:8" x14ac:dyDescent="0.3">
      <c r="A17" s="374" t="s">
        <v>54</v>
      </c>
      <c r="B17" s="375"/>
      <c r="C17" s="375"/>
      <c r="D17" s="375"/>
      <c r="E17" s="375"/>
      <c r="F17" s="375"/>
      <c r="G17" s="375"/>
      <c r="H17" s="376"/>
    </row>
    <row r="18" spans="1:8" x14ac:dyDescent="0.3">
      <c r="A18" s="374" t="s">
        <v>55</v>
      </c>
      <c r="B18" s="375"/>
      <c r="C18" s="375"/>
      <c r="D18" s="375"/>
      <c r="E18" s="375"/>
      <c r="F18" s="375"/>
      <c r="G18" s="375"/>
      <c r="H18" s="376"/>
    </row>
    <row r="19" spans="1:8" x14ac:dyDescent="0.3">
      <c r="A19" s="79">
        <v>1</v>
      </c>
      <c r="B19" s="365" t="s">
        <v>56</v>
      </c>
      <c r="C19" s="366"/>
      <c r="D19" s="366"/>
      <c r="E19" s="366"/>
      <c r="F19" s="367"/>
      <c r="G19" s="371" t="s">
        <v>57</v>
      </c>
      <c r="H19" s="373"/>
    </row>
    <row r="20" spans="1:8" x14ac:dyDescent="0.3">
      <c r="A20" s="79">
        <v>2</v>
      </c>
      <c r="B20" s="365" t="s">
        <v>58</v>
      </c>
      <c r="C20" s="366"/>
      <c r="D20" s="366"/>
      <c r="E20" s="366"/>
      <c r="F20" s="367"/>
      <c r="G20" s="386" t="s">
        <v>192</v>
      </c>
      <c r="H20" s="387"/>
    </row>
    <row r="21" spans="1:8" x14ac:dyDescent="0.3">
      <c r="A21" s="79">
        <v>3</v>
      </c>
      <c r="B21" s="365" t="s">
        <v>59</v>
      </c>
      <c r="C21" s="366"/>
      <c r="D21" s="366"/>
      <c r="E21" s="366"/>
      <c r="F21" s="367"/>
      <c r="G21" s="399">
        <f>'1#IDENTIFICAÇÃO'!E38</f>
        <v>1162</v>
      </c>
      <c r="H21" s="400"/>
    </row>
    <row r="22" spans="1:8" x14ac:dyDescent="0.3">
      <c r="A22" s="79">
        <v>4</v>
      </c>
      <c r="B22" s="204" t="s">
        <v>60</v>
      </c>
      <c r="C22" s="197"/>
      <c r="D22" s="197"/>
      <c r="E22" s="197"/>
      <c r="F22" s="198"/>
      <c r="G22" s="399" t="s">
        <v>187</v>
      </c>
      <c r="H22" s="400"/>
    </row>
    <row r="23" spans="1:8" x14ac:dyDescent="0.3">
      <c r="A23" s="79">
        <v>5</v>
      </c>
      <c r="B23" s="365" t="s">
        <v>61</v>
      </c>
      <c r="C23" s="366"/>
      <c r="D23" s="366"/>
      <c r="E23" s="366"/>
      <c r="F23" s="367"/>
      <c r="G23" s="413" t="s">
        <v>343</v>
      </c>
      <c r="H23" s="414"/>
    </row>
    <row r="24" spans="1:8" ht="43.2" customHeight="1" x14ac:dyDescent="0.3">
      <c r="A24" s="398" t="s">
        <v>62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13" t="s">
        <v>63</v>
      </c>
      <c r="B25" s="14"/>
      <c r="C25" s="14"/>
      <c r="D25" s="14"/>
      <c r="E25" s="14"/>
      <c r="F25" s="15"/>
      <c r="G25" s="199"/>
      <c r="H25" s="200"/>
    </row>
    <row r="26" spans="1:8" x14ac:dyDescent="0.3">
      <c r="A26" s="18"/>
      <c r="B26" s="194"/>
      <c r="C26" s="194"/>
      <c r="D26" s="194"/>
      <c r="E26" s="194"/>
      <c r="F26" s="19"/>
      <c r="G26" s="201"/>
      <c r="H26" s="202"/>
    </row>
    <row r="27" spans="1:8" x14ac:dyDescent="0.3">
      <c r="A27" s="206">
        <v>1</v>
      </c>
      <c r="B27" s="380" t="s">
        <v>64</v>
      </c>
      <c r="C27" s="381"/>
      <c r="D27" s="381"/>
      <c r="E27" s="381"/>
      <c r="F27" s="381"/>
      <c r="G27" s="382"/>
      <c r="H27" s="23" t="s">
        <v>65</v>
      </c>
    </row>
    <row r="28" spans="1:8" x14ac:dyDescent="0.3">
      <c r="A28" s="24" t="s">
        <v>39</v>
      </c>
      <c r="B28" s="403" t="s">
        <v>66</v>
      </c>
      <c r="C28" s="384"/>
      <c r="D28" s="384"/>
      <c r="E28" s="384"/>
      <c r="F28" s="384"/>
      <c r="G28" s="385"/>
      <c r="H28" s="86">
        <f>G21</f>
        <v>1162</v>
      </c>
    </row>
    <row r="29" spans="1:8" x14ac:dyDescent="0.3">
      <c r="A29" s="24" t="s">
        <v>41</v>
      </c>
      <c r="B29" s="403" t="s">
        <v>67</v>
      </c>
      <c r="C29" s="384"/>
      <c r="D29" s="384"/>
      <c r="E29" s="384"/>
      <c r="F29" s="384"/>
      <c r="G29" s="385"/>
      <c r="H29" s="88"/>
    </row>
    <row r="30" spans="1:8" x14ac:dyDescent="0.3">
      <c r="A30" s="24" t="s">
        <v>44</v>
      </c>
      <c r="B30" s="403" t="s">
        <v>68</v>
      </c>
      <c r="C30" s="384"/>
      <c r="D30" s="384"/>
      <c r="E30" s="384"/>
      <c r="F30" s="384"/>
      <c r="G30" s="385"/>
      <c r="H30" s="25"/>
    </row>
    <row r="31" spans="1:8" x14ac:dyDescent="0.3">
      <c r="A31" s="24" t="s">
        <v>46</v>
      </c>
      <c r="B31" s="403" t="s">
        <v>69</v>
      </c>
      <c r="C31" s="384"/>
      <c r="D31" s="384"/>
      <c r="E31" s="384"/>
      <c r="F31" s="384"/>
      <c r="G31" s="385"/>
      <c r="H31" s="25"/>
    </row>
    <row r="32" spans="1:8" x14ac:dyDescent="0.3">
      <c r="A32" s="24" t="s">
        <v>70</v>
      </c>
      <c r="B32" s="403" t="s">
        <v>71</v>
      </c>
      <c r="C32" s="384"/>
      <c r="D32" s="384"/>
      <c r="E32" s="384"/>
      <c r="F32" s="384"/>
      <c r="G32" s="385"/>
      <c r="H32" s="25"/>
    </row>
    <row r="33" spans="1:11" x14ac:dyDescent="0.3">
      <c r="A33" s="24" t="s">
        <v>72</v>
      </c>
      <c r="B33" s="403" t="s">
        <v>73</v>
      </c>
      <c r="C33" s="384"/>
      <c r="D33" s="384"/>
      <c r="E33" s="384"/>
      <c r="F33" s="384"/>
      <c r="G33" s="385"/>
      <c r="H33" s="25"/>
    </row>
    <row r="34" spans="1:11" x14ac:dyDescent="0.3">
      <c r="A34" s="415" t="s">
        <v>74</v>
      </c>
      <c r="B34" s="416"/>
      <c r="C34" s="416"/>
      <c r="D34" s="416"/>
      <c r="E34" s="416"/>
      <c r="F34" s="416"/>
      <c r="G34" s="417"/>
      <c r="H34" s="26">
        <f>SUM(H28:H33)</f>
        <v>1162</v>
      </c>
    </row>
    <row r="35" spans="1:11" ht="25.8" customHeight="1" x14ac:dyDescent="0.3">
      <c r="A35" s="403" t="s">
        <v>75</v>
      </c>
      <c r="B35" s="384"/>
      <c r="C35" s="384"/>
      <c r="D35" s="384"/>
      <c r="E35" s="384"/>
      <c r="F35" s="384"/>
      <c r="G35" s="384"/>
      <c r="H35" s="385"/>
    </row>
    <row r="36" spans="1:11" x14ac:dyDescent="0.3">
      <c r="A36" s="380" t="s">
        <v>76</v>
      </c>
      <c r="B36" s="381"/>
      <c r="C36" s="381"/>
      <c r="D36" s="381"/>
      <c r="E36" s="381"/>
      <c r="F36" s="381"/>
      <c r="G36" s="381"/>
      <c r="H36" s="382"/>
    </row>
    <row r="37" spans="1:11" x14ac:dyDescent="0.3">
      <c r="A37" s="401"/>
      <c r="B37" s="402"/>
      <c r="C37" s="402"/>
      <c r="D37" s="402"/>
      <c r="E37" s="402"/>
      <c r="F37" s="402"/>
      <c r="G37" s="402"/>
      <c r="H37" s="402"/>
    </row>
    <row r="38" spans="1:11" x14ac:dyDescent="0.3">
      <c r="A38" s="380" t="s">
        <v>77</v>
      </c>
      <c r="B38" s="381"/>
      <c r="C38" s="381"/>
      <c r="D38" s="381"/>
      <c r="E38" s="381"/>
      <c r="F38" s="381"/>
      <c r="G38" s="381"/>
      <c r="H38" s="382"/>
    </row>
    <row r="39" spans="1:11" x14ac:dyDescent="0.3">
      <c r="A39" s="205" t="s">
        <v>78</v>
      </c>
      <c r="B39" s="374" t="s">
        <v>79</v>
      </c>
      <c r="C39" s="375"/>
      <c r="D39" s="375"/>
      <c r="E39" s="375"/>
      <c r="F39" s="376"/>
      <c r="G39" s="28" t="s">
        <v>80</v>
      </c>
      <c r="H39" s="205" t="s">
        <v>65</v>
      </c>
    </row>
    <row r="40" spans="1:11" ht="26.4" customHeight="1" x14ac:dyDescent="0.3">
      <c r="A40" s="11" t="s">
        <v>39</v>
      </c>
      <c r="B40" s="406" t="s">
        <v>81</v>
      </c>
      <c r="C40" s="407"/>
      <c r="D40" s="407"/>
      <c r="E40" s="407"/>
      <c r="F40" s="408"/>
      <c r="G40" s="29">
        <v>8.3333333333333329E-2</v>
      </c>
      <c r="H40" s="100">
        <f>H34*G40</f>
        <v>96.833333333333329</v>
      </c>
    </row>
    <row r="41" spans="1:11" ht="30" customHeight="1" x14ac:dyDescent="0.3">
      <c r="A41" s="11" t="s">
        <v>41</v>
      </c>
      <c r="B41" s="406" t="s">
        <v>82</v>
      </c>
      <c r="C41" s="407"/>
      <c r="D41" s="407"/>
      <c r="E41" s="407"/>
      <c r="F41" s="408"/>
      <c r="G41" s="64">
        <v>3.0249999999999999E-2</v>
      </c>
      <c r="H41" s="100">
        <f>H34*G41</f>
        <v>35.150500000000001</v>
      </c>
    </row>
    <row r="42" spans="1:11" x14ac:dyDescent="0.3">
      <c r="A42" s="409" t="s">
        <v>74</v>
      </c>
      <c r="B42" s="410"/>
      <c r="C42" s="410"/>
      <c r="D42" s="410"/>
      <c r="E42" s="410"/>
      <c r="F42" s="411"/>
      <c r="G42" s="31">
        <v>0.11358333333333333</v>
      </c>
      <c r="H42" s="32">
        <f>SUM(H40:H41)</f>
        <v>131.98383333333334</v>
      </c>
    </row>
    <row r="43" spans="1:11" ht="117" customHeight="1" x14ac:dyDescent="0.3">
      <c r="A43" s="383" t="s">
        <v>83</v>
      </c>
      <c r="B43" s="384"/>
      <c r="C43" s="384"/>
      <c r="D43" s="384"/>
      <c r="E43" s="384"/>
      <c r="F43" s="384"/>
      <c r="G43" s="384"/>
      <c r="H43" s="385"/>
    </row>
    <row r="44" spans="1:11" x14ac:dyDescent="0.3">
      <c r="A44" s="412" t="s">
        <v>84</v>
      </c>
      <c r="B44" s="412"/>
      <c r="C44" s="412"/>
      <c r="D44" s="412"/>
      <c r="E44" s="412"/>
      <c r="F44" s="412"/>
      <c r="G44" s="412"/>
      <c r="H44" s="412"/>
    </row>
    <row r="45" spans="1:11" x14ac:dyDescent="0.3">
      <c r="A45" s="205" t="s">
        <v>85</v>
      </c>
      <c r="B45" s="374" t="s">
        <v>86</v>
      </c>
      <c r="C45" s="375"/>
      <c r="D45" s="375"/>
      <c r="E45" s="375"/>
      <c r="F45" s="376"/>
      <c r="G45" s="28" t="s">
        <v>80</v>
      </c>
      <c r="H45" s="205" t="s">
        <v>65</v>
      </c>
    </row>
    <row r="46" spans="1:11" x14ac:dyDescent="0.3">
      <c r="A46" s="11" t="s">
        <v>39</v>
      </c>
      <c r="B46" s="377" t="s">
        <v>87</v>
      </c>
      <c r="C46" s="378"/>
      <c r="D46" s="378"/>
      <c r="E46" s="378"/>
      <c r="F46" s="379"/>
      <c r="G46" s="33">
        <v>0.2</v>
      </c>
      <c r="H46" s="100">
        <f>(H34+H42)*G46</f>
        <v>258.79676666666666</v>
      </c>
      <c r="K46" s="151"/>
    </row>
    <row r="47" spans="1:11" x14ac:dyDescent="0.3">
      <c r="A47" s="11" t="s">
        <v>41</v>
      </c>
      <c r="B47" s="377" t="s">
        <v>88</v>
      </c>
      <c r="C47" s="378"/>
      <c r="D47" s="378"/>
      <c r="E47" s="378"/>
      <c r="F47" s="379"/>
      <c r="G47" s="33">
        <v>2.5000000000000001E-2</v>
      </c>
      <c r="H47" s="100">
        <f>(H34+H42)*G47</f>
        <v>32.349595833333332</v>
      </c>
      <c r="K47" s="151"/>
    </row>
    <row r="48" spans="1:11" ht="42.6" customHeight="1" x14ac:dyDescent="0.3">
      <c r="A48" s="11" t="s">
        <v>44</v>
      </c>
      <c r="B48" s="71" t="s">
        <v>89</v>
      </c>
      <c r="C48" s="70" t="s">
        <v>90</v>
      </c>
      <c r="D48" s="70"/>
      <c r="E48" s="70" t="s">
        <v>91</v>
      </c>
      <c r="F48" s="70"/>
      <c r="G48" s="62">
        <f>'1#IDENTIFICAÇÃO'!F152</f>
        <v>0.03</v>
      </c>
      <c r="H48" s="100">
        <f>(H34+H42)*G48</f>
        <v>38.819514999999996</v>
      </c>
      <c r="K48" s="151"/>
    </row>
    <row r="49" spans="1:11" x14ac:dyDescent="0.3">
      <c r="A49" s="11" t="s">
        <v>46</v>
      </c>
      <c r="B49" s="377" t="s">
        <v>92</v>
      </c>
      <c r="C49" s="378"/>
      <c r="D49" s="378"/>
      <c r="E49" s="378"/>
      <c r="F49" s="379"/>
      <c r="G49" s="33">
        <v>1.4999999999999999E-2</v>
      </c>
      <c r="H49" s="100">
        <f>(H34+H42)*G49</f>
        <v>19.409757499999998</v>
      </c>
      <c r="K49" s="151"/>
    </row>
    <row r="50" spans="1:11" x14ac:dyDescent="0.3">
      <c r="A50" s="11" t="s">
        <v>70</v>
      </c>
      <c r="B50" s="377" t="s">
        <v>93</v>
      </c>
      <c r="C50" s="378"/>
      <c r="D50" s="378"/>
      <c r="E50" s="378"/>
      <c r="F50" s="379"/>
      <c r="G50" s="33">
        <v>0.01</v>
      </c>
      <c r="H50" s="100">
        <f>(H34+H42)*G50</f>
        <v>12.939838333333332</v>
      </c>
      <c r="K50" s="151"/>
    </row>
    <row r="51" spans="1:11" x14ac:dyDescent="0.3">
      <c r="A51" s="34" t="s">
        <v>72</v>
      </c>
      <c r="B51" s="365" t="s">
        <v>94</v>
      </c>
      <c r="C51" s="366"/>
      <c r="D51" s="366"/>
      <c r="E51" s="366"/>
      <c r="F51" s="367"/>
      <c r="G51" s="29">
        <v>6.0000000000000001E-3</v>
      </c>
      <c r="H51" s="100">
        <f>(H34+H42)*G51</f>
        <v>7.7639029999999991</v>
      </c>
      <c r="K51" s="151"/>
    </row>
    <row r="52" spans="1:11" x14ac:dyDescent="0.3">
      <c r="A52" s="11" t="s">
        <v>95</v>
      </c>
      <c r="B52" s="377" t="s">
        <v>96</v>
      </c>
      <c r="C52" s="378"/>
      <c r="D52" s="378"/>
      <c r="E52" s="378"/>
      <c r="F52" s="379"/>
      <c r="G52" s="33">
        <v>2E-3</v>
      </c>
      <c r="H52" s="100">
        <f>(H34+H42)*G52</f>
        <v>2.5879676666666667</v>
      </c>
      <c r="K52" s="151"/>
    </row>
    <row r="53" spans="1:11" x14ac:dyDescent="0.3">
      <c r="A53" s="11" t="s">
        <v>97</v>
      </c>
      <c r="B53" s="377" t="s">
        <v>98</v>
      </c>
      <c r="C53" s="378"/>
      <c r="D53" s="378"/>
      <c r="E53" s="378"/>
      <c r="F53" s="379"/>
      <c r="G53" s="33">
        <v>0.08</v>
      </c>
      <c r="H53" s="100">
        <f>(H34+H42)*G53</f>
        <v>103.51870666666666</v>
      </c>
      <c r="K53" s="151"/>
    </row>
    <row r="54" spans="1:11" x14ac:dyDescent="0.3">
      <c r="A54" s="374" t="s">
        <v>74</v>
      </c>
      <c r="B54" s="375"/>
      <c r="C54" s="375"/>
      <c r="D54" s="375"/>
      <c r="E54" s="375"/>
      <c r="F54" s="376"/>
      <c r="G54" s="35">
        <v>0.36800000000000005</v>
      </c>
      <c r="H54" s="36">
        <f>SUM(H46:H53)</f>
        <v>476.18605066666669</v>
      </c>
      <c r="K54" s="152"/>
    </row>
    <row r="55" spans="1:11" ht="88.2" customHeight="1" x14ac:dyDescent="0.3">
      <c r="A55" s="404" t="s">
        <v>99</v>
      </c>
      <c r="B55" s="405"/>
      <c r="C55" s="405"/>
      <c r="D55" s="405"/>
      <c r="E55" s="405"/>
      <c r="F55" s="405"/>
      <c r="G55" s="405"/>
      <c r="H55" s="405"/>
    </row>
    <row r="56" spans="1:11" x14ac:dyDescent="0.3">
      <c r="A56" s="380" t="s">
        <v>100</v>
      </c>
      <c r="B56" s="381"/>
      <c r="C56" s="381"/>
      <c r="D56" s="381"/>
      <c r="E56" s="381"/>
      <c r="F56" s="381"/>
      <c r="G56" s="381"/>
      <c r="H56" s="382"/>
    </row>
    <row r="57" spans="1:11" x14ac:dyDescent="0.3">
      <c r="A57" s="203" t="s">
        <v>101</v>
      </c>
      <c r="B57" s="374" t="s">
        <v>102</v>
      </c>
      <c r="C57" s="375"/>
      <c r="D57" s="375"/>
      <c r="E57" s="375"/>
      <c r="F57" s="375"/>
      <c r="G57" s="376"/>
      <c r="H57" s="210" t="s">
        <v>65</v>
      </c>
    </row>
    <row r="58" spans="1:11" x14ac:dyDescent="0.3">
      <c r="A58" s="39" t="s">
        <v>39</v>
      </c>
      <c r="B58" s="377" t="s">
        <v>103</v>
      </c>
      <c r="C58" s="378"/>
      <c r="D58" s="378"/>
      <c r="E58" s="378"/>
      <c r="F58" s="378"/>
      <c r="G58" s="379"/>
      <c r="H58" s="101">
        <f>(22*2*'1#IDENTIFICAÇÃO'!B47)-(H34*6%)</f>
        <v>119.47999999999999</v>
      </c>
    </row>
    <row r="59" spans="1:11" x14ac:dyDescent="0.3">
      <c r="A59" s="39" t="s">
        <v>41</v>
      </c>
      <c r="B59" s="377" t="s">
        <v>104</v>
      </c>
      <c r="C59" s="378"/>
      <c r="D59" s="378"/>
      <c r="E59" s="378"/>
      <c r="F59" s="378"/>
      <c r="G59" s="379"/>
      <c r="H59" s="101">
        <f>'1#IDENTIFICAÇÃO'!G57</f>
        <v>312.66399999999999</v>
      </c>
    </row>
    <row r="60" spans="1:11" x14ac:dyDescent="0.3">
      <c r="A60" s="39" t="s">
        <v>44</v>
      </c>
      <c r="B60" s="377" t="s">
        <v>105</v>
      </c>
      <c r="C60" s="378"/>
      <c r="D60" s="378"/>
      <c r="E60" s="378"/>
      <c r="F60" s="378"/>
      <c r="G60" s="379"/>
      <c r="H60" s="101">
        <f>'1#IDENTIFICAÇÃO'!M64</f>
        <v>7</v>
      </c>
    </row>
    <row r="61" spans="1:11" x14ac:dyDescent="0.3">
      <c r="A61" s="39" t="s">
        <v>46</v>
      </c>
      <c r="B61" s="365" t="s">
        <v>106</v>
      </c>
      <c r="C61" s="366"/>
      <c r="D61" s="366"/>
      <c r="E61" s="366"/>
      <c r="F61" s="366"/>
      <c r="G61" s="367"/>
      <c r="H61" s="101">
        <f>'1#IDENTIFICAÇÃO'!M65</f>
        <v>2.54</v>
      </c>
    </row>
    <row r="62" spans="1:11" x14ac:dyDescent="0.3">
      <c r="A62" s="374" t="s">
        <v>107</v>
      </c>
      <c r="B62" s="375"/>
      <c r="C62" s="375"/>
      <c r="D62" s="375"/>
      <c r="E62" s="375"/>
      <c r="F62" s="375"/>
      <c r="G62" s="41"/>
      <c r="H62" s="36">
        <f>SUM(H58:H61)</f>
        <v>441.68400000000003</v>
      </c>
    </row>
    <row r="63" spans="1:11" ht="60" customHeight="1" x14ac:dyDescent="0.3">
      <c r="A63" s="398" t="s">
        <v>108</v>
      </c>
      <c r="B63" s="366"/>
      <c r="C63" s="366"/>
      <c r="D63" s="366"/>
      <c r="E63" s="366"/>
      <c r="F63" s="366"/>
      <c r="G63" s="366"/>
      <c r="H63" s="367"/>
    </row>
    <row r="64" spans="1:11" x14ac:dyDescent="0.3">
      <c r="A64" s="380" t="s">
        <v>109</v>
      </c>
      <c r="B64" s="381"/>
      <c r="C64" s="381"/>
      <c r="D64" s="381"/>
      <c r="E64" s="381"/>
      <c r="F64" s="381"/>
      <c r="G64" s="381"/>
      <c r="H64" s="382"/>
    </row>
    <row r="65" spans="1:8" x14ac:dyDescent="0.3">
      <c r="A65" s="34" t="s">
        <v>39</v>
      </c>
      <c r="B65" s="365" t="s">
        <v>110</v>
      </c>
      <c r="C65" s="366"/>
      <c r="D65" s="366"/>
      <c r="E65" s="366"/>
      <c r="F65" s="366"/>
      <c r="G65" s="367"/>
      <c r="H65" s="40">
        <f>H42</f>
        <v>131.98383333333334</v>
      </c>
    </row>
    <row r="66" spans="1:8" x14ac:dyDescent="0.3">
      <c r="A66" s="34" t="s">
        <v>41</v>
      </c>
      <c r="B66" s="398" t="s">
        <v>84</v>
      </c>
      <c r="C66" s="432"/>
      <c r="D66" s="432"/>
      <c r="E66" s="432"/>
      <c r="F66" s="432"/>
      <c r="G66" s="433"/>
      <c r="H66" s="40">
        <f>H54</f>
        <v>476.18605066666669</v>
      </c>
    </row>
    <row r="67" spans="1:8" x14ac:dyDescent="0.3">
      <c r="A67" s="34" t="s">
        <v>44</v>
      </c>
      <c r="B67" s="365" t="s">
        <v>100</v>
      </c>
      <c r="C67" s="366"/>
      <c r="D67" s="366"/>
      <c r="E67" s="366"/>
      <c r="F67" s="366"/>
      <c r="G67" s="367"/>
      <c r="H67" s="40">
        <f>H62</f>
        <v>441.68400000000003</v>
      </c>
    </row>
    <row r="68" spans="1:8" x14ac:dyDescent="0.3">
      <c r="A68" s="380" t="s">
        <v>74</v>
      </c>
      <c r="B68" s="381"/>
      <c r="C68" s="381"/>
      <c r="D68" s="381"/>
      <c r="E68" s="381"/>
      <c r="F68" s="381"/>
      <c r="G68" s="382"/>
      <c r="H68" s="72">
        <f>SUM(H65:H67)</f>
        <v>1049.8538840000001</v>
      </c>
    </row>
    <row r="69" spans="1:8" x14ac:dyDescent="0.3">
      <c r="A69" s="209"/>
      <c r="B69" s="208"/>
      <c r="C69" s="208"/>
      <c r="D69" s="208"/>
      <c r="E69" s="208"/>
      <c r="F69" s="208"/>
      <c r="G69" s="208"/>
      <c r="H69" s="208"/>
    </row>
    <row r="70" spans="1:8" x14ac:dyDescent="0.3">
      <c r="A70" s="380" t="s">
        <v>111</v>
      </c>
      <c r="B70" s="381"/>
      <c r="C70" s="381"/>
      <c r="D70" s="381"/>
      <c r="E70" s="381"/>
      <c r="F70" s="381"/>
      <c r="G70" s="381"/>
      <c r="H70" s="382"/>
    </row>
    <row r="71" spans="1:8" x14ac:dyDescent="0.3">
      <c r="A71" s="205">
        <v>3</v>
      </c>
      <c r="B71" s="42" t="s">
        <v>112</v>
      </c>
      <c r="C71" s="43"/>
      <c r="D71" s="43"/>
      <c r="E71" s="43"/>
      <c r="F71" s="43"/>
      <c r="G71" s="28" t="s">
        <v>80</v>
      </c>
      <c r="H71" s="34" t="s">
        <v>65</v>
      </c>
    </row>
    <row r="72" spans="1:8" x14ac:dyDescent="0.3">
      <c r="A72" s="11" t="s">
        <v>39</v>
      </c>
      <c r="B72" s="406" t="s">
        <v>113</v>
      </c>
      <c r="C72" s="407"/>
      <c r="D72" s="407"/>
      <c r="E72" s="407"/>
      <c r="F72" s="408"/>
      <c r="G72" s="44">
        <v>4.6249999999999998E-3</v>
      </c>
      <c r="H72" s="45">
        <f>H34*G72</f>
        <v>5.37425</v>
      </c>
    </row>
    <row r="73" spans="1:8" ht="15.6" customHeight="1" x14ac:dyDescent="0.3">
      <c r="A73" s="11" t="s">
        <v>41</v>
      </c>
      <c r="B73" s="406" t="s">
        <v>114</v>
      </c>
      <c r="C73" s="407"/>
      <c r="D73" s="407"/>
      <c r="E73" s="407"/>
      <c r="F73" s="408"/>
      <c r="G73" s="44">
        <v>3.6999999999999999E-4</v>
      </c>
      <c r="H73" s="45">
        <f>H34*G73</f>
        <v>0.42993999999999999</v>
      </c>
    </row>
    <row r="74" spans="1:8" ht="30.6" customHeight="1" x14ac:dyDescent="0.3">
      <c r="A74" s="11" t="s">
        <v>46</v>
      </c>
      <c r="B74" s="406" t="s">
        <v>115</v>
      </c>
      <c r="C74" s="407"/>
      <c r="D74" s="407"/>
      <c r="E74" s="407"/>
      <c r="F74" s="408"/>
      <c r="G74" s="44">
        <v>1.9400000000000001E-2</v>
      </c>
      <c r="H74" s="45">
        <f>H34*G74</f>
        <v>22.5428</v>
      </c>
    </row>
    <row r="75" spans="1:8" x14ac:dyDescent="0.3">
      <c r="A75" s="11" t="s">
        <v>70</v>
      </c>
      <c r="B75" s="406" t="s">
        <v>116</v>
      </c>
      <c r="C75" s="407"/>
      <c r="D75" s="407"/>
      <c r="E75" s="407"/>
      <c r="F75" s="408"/>
      <c r="G75" s="44">
        <v>7.1392000000000009E-3</v>
      </c>
      <c r="H75" s="45">
        <f>H34*G75</f>
        <v>8.2957504000000011</v>
      </c>
    </row>
    <row r="76" spans="1:8" ht="55.8" customHeight="1" x14ac:dyDescent="0.3">
      <c r="A76" s="11" t="s">
        <v>72</v>
      </c>
      <c r="B76" s="434" t="s">
        <v>117</v>
      </c>
      <c r="C76" s="435"/>
      <c r="D76" s="435"/>
      <c r="E76" s="435"/>
      <c r="F76" s="436"/>
      <c r="G76" s="49">
        <v>0.04</v>
      </c>
      <c r="H76" s="45">
        <f>H34*G76</f>
        <v>46.480000000000004</v>
      </c>
    </row>
    <row r="77" spans="1:8" x14ac:dyDescent="0.3">
      <c r="A77" s="374" t="s">
        <v>74</v>
      </c>
      <c r="B77" s="375"/>
      <c r="C77" s="375"/>
      <c r="D77" s="375"/>
      <c r="E77" s="375"/>
      <c r="F77" s="376"/>
      <c r="G77" s="35"/>
      <c r="H77" s="36">
        <f>SUM(H72:H76)</f>
        <v>83.122740399999998</v>
      </c>
    </row>
    <row r="78" spans="1:8" x14ac:dyDescent="0.3">
      <c r="A78" s="46"/>
      <c r="B78" s="47"/>
      <c r="C78" s="47"/>
      <c r="D78" s="372"/>
      <c r="E78" s="372"/>
      <c r="F78" s="372"/>
      <c r="G78" s="372"/>
      <c r="H78" s="372"/>
    </row>
    <row r="79" spans="1:8" x14ac:dyDescent="0.3">
      <c r="A79" s="380" t="s">
        <v>118</v>
      </c>
      <c r="B79" s="381"/>
      <c r="C79" s="381"/>
      <c r="D79" s="381"/>
      <c r="E79" s="381"/>
      <c r="F79" s="381"/>
      <c r="G79" s="381"/>
      <c r="H79" s="382"/>
    </row>
    <row r="80" spans="1:8" ht="48.6" customHeight="1" x14ac:dyDescent="0.3">
      <c r="A80" s="437" t="s">
        <v>119</v>
      </c>
      <c r="B80" s="438"/>
      <c r="C80" s="438"/>
      <c r="D80" s="438"/>
      <c r="E80" s="438"/>
      <c r="F80" s="438"/>
      <c r="G80" s="438"/>
      <c r="H80" s="439"/>
    </row>
    <row r="81" spans="1:8" x14ac:dyDescent="0.3">
      <c r="A81" s="440" t="s">
        <v>120</v>
      </c>
      <c r="B81" s="440"/>
      <c r="C81" s="440"/>
      <c r="D81" s="440"/>
      <c r="E81" s="440"/>
      <c r="F81" s="440"/>
      <c r="G81" s="440"/>
      <c r="H81" s="440"/>
    </row>
    <row r="82" spans="1:8" x14ac:dyDescent="0.3">
      <c r="A82" s="206" t="s">
        <v>121</v>
      </c>
      <c r="B82" s="380" t="s">
        <v>122</v>
      </c>
      <c r="C82" s="381"/>
      <c r="D82" s="381"/>
      <c r="E82" s="381"/>
      <c r="F82" s="382"/>
      <c r="G82" s="48" t="s">
        <v>80</v>
      </c>
      <c r="H82" s="23" t="s">
        <v>65</v>
      </c>
    </row>
    <row r="83" spans="1:8" ht="28.2" customHeight="1" x14ac:dyDescent="0.3">
      <c r="A83" s="11" t="s">
        <v>39</v>
      </c>
      <c r="B83" s="398" t="s">
        <v>123</v>
      </c>
      <c r="C83" s="432"/>
      <c r="D83" s="432"/>
      <c r="E83" s="432"/>
      <c r="F83" s="433"/>
      <c r="G83" s="64">
        <v>9.0749999999999997E-2</v>
      </c>
      <c r="H83" s="102">
        <f>G83*(SUM($H$34,$H$42,$H$54,$H$60,$H$61,$H$77))</f>
        <v>169.0520606643</v>
      </c>
    </row>
    <row r="84" spans="1:8" ht="45" customHeight="1" x14ac:dyDescent="0.3">
      <c r="A84" s="11" t="s">
        <v>41</v>
      </c>
      <c r="B84" s="406" t="s">
        <v>124</v>
      </c>
      <c r="C84" s="407"/>
      <c r="D84" s="407"/>
      <c r="E84" s="407"/>
      <c r="F84" s="408"/>
      <c r="G84" s="62">
        <v>1.6299999999999999E-2</v>
      </c>
      <c r="H84" s="102">
        <f>G84*(SUM($H$34,$H$42,$H$54,$H$60,$H$61,$H$77))</f>
        <v>30.364171777719996</v>
      </c>
    </row>
    <row r="85" spans="1:8" ht="39.6" customHeight="1" x14ac:dyDescent="0.3">
      <c r="A85" s="11" t="s">
        <v>44</v>
      </c>
      <c r="B85" s="406" t="s">
        <v>125</v>
      </c>
      <c r="C85" s="407"/>
      <c r="D85" s="407"/>
      <c r="E85" s="407"/>
      <c r="F85" s="408"/>
      <c r="G85" s="62">
        <v>2.0000000000000001E-4</v>
      </c>
      <c r="H85" s="102">
        <f>G85*(SUM($H$34,$H$42,$H$54,$H$60,$H$61,$H$77))</f>
        <v>0.37256652488000003</v>
      </c>
    </row>
    <row r="86" spans="1:8" ht="38.4" customHeight="1" x14ac:dyDescent="0.3">
      <c r="A86" s="11" t="s">
        <v>46</v>
      </c>
      <c r="B86" s="406" t="s">
        <v>126</v>
      </c>
      <c r="C86" s="407"/>
      <c r="D86" s="407"/>
      <c r="E86" s="407"/>
      <c r="F86" s="408"/>
      <c r="G86" s="62">
        <v>3.3E-3</v>
      </c>
      <c r="H86" s="102">
        <f>G86*(SUM($H$34,$H$42,$H$54,$H$60,$H$61,$H$77))</f>
        <v>6.1473476605199995</v>
      </c>
    </row>
    <row r="87" spans="1:8" ht="43.2" customHeight="1" x14ac:dyDescent="0.3">
      <c r="A87" s="11" t="s">
        <v>70</v>
      </c>
      <c r="B87" s="406" t="s">
        <v>127</v>
      </c>
      <c r="C87" s="407"/>
      <c r="D87" s="407"/>
      <c r="E87" s="407"/>
      <c r="F87" s="408"/>
      <c r="G87" s="89">
        <v>5.5000000000000003E-4</v>
      </c>
      <c r="H87" s="102">
        <f>G87*(SUM($H$34,$H$42,$H$54,$H$60,$H$61,$H$77))</f>
        <v>1.0245579434200001</v>
      </c>
    </row>
    <row r="88" spans="1:8" x14ac:dyDescent="0.3">
      <c r="A88" s="11" t="s">
        <v>72</v>
      </c>
      <c r="B88" s="407" t="s">
        <v>128</v>
      </c>
      <c r="C88" s="407"/>
      <c r="D88" s="407"/>
      <c r="E88" s="407"/>
      <c r="F88" s="408"/>
      <c r="G88" s="62">
        <v>0</v>
      </c>
      <c r="H88" s="102">
        <v>0</v>
      </c>
    </row>
    <row r="89" spans="1:8" x14ac:dyDescent="0.3">
      <c r="A89" s="441" t="s">
        <v>74</v>
      </c>
      <c r="B89" s="441"/>
      <c r="C89" s="441"/>
      <c r="D89" s="441"/>
      <c r="E89" s="441"/>
      <c r="F89" s="441"/>
      <c r="G89" s="35">
        <v>0.11109999999999999</v>
      </c>
      <c r="H89" s="50">
        <f>SUM(H83:H88)</f>
        <v>206.96070457084002</v>
      </c>
    </row>
    <row r="90" spans="1:8" x14ac:dyDescent="0.3">
      <c r="A90" s="445" t="s">
        <v>129</v>
      </c>
      <c r="B90" s="445"/>
      <c r="C90" s="445"/>
      <c r="D90" s="445"/>
      <c r="E90" s="445"/>
      <c r="F90" s="445"/>
      <c r="G90" s="445"/>
      <c r="H90" s="445"/>
    </row>
    <row r="91" spans="1:8" x14ac:dyDescent="0.3">
      <c r="A91" s="440" t="s">
        <v>130</v>
      </c>
      <c r="B91" s="440"/>
      <c r="C91" s="440"/>
      <c r="D91" s="440"/>
      <c r="E91" s="440"/>
      <c r="F91" s="440"/>
      <c r="G91" s="440"/>
      <c r="H91" s="440"/>
    </row>
    <row r="92" spans="1:8" x14ac:dyDescent="0.3">
      <c r="A92" s="206" t="s">
        <v>131</v>
      </c>
      <c r="B92" s="380" t="s">
        <v>132</v>
      </c>
      <c r="C92" s="381"/>
      <c r="D92" s="381"/>
      <c r="E92" s="381"/>
      <c r="F92" s="382"/>
      <c r="G92" s="48" t="s">
        <v>80</v>
      </c>
      <c r="H92" s="23" t="s">
        <v>65</v>
      </c>
    </row>
    <row r="93" spans="1:8" x14ac:dyDescent="0.3">
      <c r="A93" s="11" t="s">
        <v>39</v>
      </c>
      <c r="B93" s="365" t="s">
        <v>133</v>
      </c>
      <c r="C93" s="366"/>
      <c r="D93" s="366"/>
      <c r="E93" s="366"/>
      <c r="F93" s="367"/>
      <c r="G93" s="29">
        <v>0</v>
      </c>
      <c r="H93" s="102">
        <v>0</v>
      </c>
    </row>
    <row r="94" spans="1:8" x14ac:dyDescent="0.3">
      <c r="A94" s="374" t="s">
        <v>74</v>
      </c>
      <c r="B94" s="375"/>
      <c r="C94" s="375"/>
      <c r="D94" s="375"/>
      <c r="E94" s="375"/>
      <c r="F94" s="375"/>
      <c r="G94" s="376"/>
      <c r="H94" s="102">
        <v>0</v>
      </c>
    </row>
    <row r="95" spans="1:8" x14ac:dyDescent="0.3">
      <c r="A95" s="442"/>
      <c r="B95" s="443"/>
      <c r="C95" s="443"/>
      <c r="D95" s="443"/>
      <c r="E95" s="443"/>
      <c r="F95" s="443"/>
      <c r="G95" s="443"/>
      <c r="H95" s="443"/>
    </row>
    <row r="96" spans="1:8" x14ac:dyDescent="0.3">
      <c r="A96" s="444" t="s">
        <v>134</v>
      </c>
      <c r="B96" s="444"/>
      <c r="C96" s="444"/>
      <c r="D96" s="444"/>
      <c r="E96" s="444"/>
      <c r="F96" s="444"/>
      <c r="G96" s="444"/>
      <c r="H96" s="444"/>
    </row>
    <row r="97" spans="1:12" x14ac:dyDescent="0.3">
      <c r="A97" s="206">
        <v>4</v>
      </c>
      <c r="B97" s="380" t="s">
        <v>135</v>
      </c>
      <c r="C97" s="381"/>
      <c r="D97" s="381"/>
      <c r="E97" s="381"/>
      <c r="F97" s="381"/>
      <c r="G97" s="382"/>
      <c r="H97" s="23" t="s">
        <v>65</v>
      </c>
    </row>
    <row r="98" spans="1:12" x14ac:dyDescent="0.3">
      <c r="A98" s="11" t="s">
        <v>39</v>
      </c>
      <c r="B98" s="365" t="s">
        <v>136</v>
      </c>
      <c r="C98" s="366"/>
      <c r="D98" s="366"/>
      <c r="E98" s="366"/>
      <c r="F98" s="366"/>
      <c r="G98" s="367"/>
      <c r="H98" s="102">
        <f>H89</f>
        <v>206.96070457084002</v>
      </c>
    </row>
    <row r="99" spans="1:12" x14ac:dyDescent="0.3">
      <c r="A99" s="11" t="s">
        <v>41</v>
      </c>
      <c r="B99" s="377" t="s">
        <v>132</v>
      </c>
      <c r="C99" s="378"/>
      <c r="D99" s="378"/>
      <c r="E99" s="378"/>
      <c r="F99" s="378"/>
      <c r="G99" s="379"/>
      <c r="H99" s="102">
        <v>0</v>
      </c>
    </row>
    <row r="100" spans="1:12" x14ac:dyDescent="0.3">
      <c r="A100" s="380" t="s">
        <v>74</v>
      </c>
      <c r="B100" s="381"/>
      <c r="C100" s="381"/>
      <c r="D100" s="381"/>
      <c r="E100" s="381"/>
      <c r="F100" s="381"/>
      <c r="G100" s="382"/>
      <c r="H100" s="73">
        <f>SUM(H98:H99)</f>
        <v>206.96070457084002</v>
      </c>
    </row>
    <row r="101" spans="1:12" x14ac:dyDescent="0.3">
      <c r="A101" s="196"/>
      <c r="B101" s="207"/>
      <c r="C101" s="207"/>
      <c r="D101" s="207"/>
      <c r="E101" s="207"/>
      <c r="F101" s="207"/>
      <c r="G101" s="207"/>
      <c r="H101" s="207"/>
    </row>
    <row r="102" spans="1:12" x14ac:dyDescent="0.3">
      <c r="A102" s="380" t="s">
        <v>137</v>
      </c>
      <c r="B102" s="381"/>
      <c r="C102" s="381"/>
      <c r="D102" s="381"/>
      <c r="E102" s="381"/>
      <c r="F102" s="381"/>
      <c r="G102" s="381"/>
      <c r="H102" s="382"/>
    </row>
    <row r="103" spans="1:12" x14ac:dyDescent="0.3">
      <c r="A103" s="51">
        <v>5</v>
      </c>
      <c r="B103" s="374" t="s">
        <v>138</v>
      </c>
      <c r="C103" s="375"/>
      <c r="D103" s="375"/>
      <c r="E103" s="375"/>
      <c r="F103" s="375"/>
      <c r="G103" s="376"/>
      <c r="H103" s="205" t="s">
        <v>65</v>
      </c>
    </row>
    <row r="104" spans="1:12" x14ac:dyDescent="0.3">
      <c r="A104" s="11" t="s">
        <v>39</v>
      </c>
      <c r="B104" s="377" t="s">
        <v>139</v>
      </c>
      <c r="C104" s="378"/>
      <c r="D104" s="378"/>
      <c r="E104" s="378"/>
      <c r="F104" s="378"/>
      <c r="G104" s="379"/>
      <c r="H104" s="85">
        <f>'1#IDENTIFICAÇÃO'!J76</f>
        <v>28.403333333333336</v>
      </c>
    </row>
    <row r="105" spans="1:12" x14ac:dyDescent="0.3">
      <c r="A105" s="11" t="s">
        <v>41</v>
      </c>
      <c r="B105" s="365" t="s">
        <v>140</v>
      </c>
      <c r="C105" s="366"/>
      <c r="D105" s="366"/>
      <c r="E105" s="366"/>
      <c r="F105" s="366"/>
      <c r="G105" s="367"/>
      <c r="H105" s="85">
        <f>'1#IDENTIFICAÇÃO'!J82</f>
        <v>1.78</v>
      </c>
    </row>
    <row r="106" spans="1:12" x14ac:dyDescent="0.3">
      <c r="A106" s="11" t="s">
        <v>44</v>
      </c>
      <c r="B106" s="365" t="s">
        <v>339</v>
      </c>
      <c r="C106" s="366"/>
      <c r="D106" s="366"/>
      <c r="E106" s="366"/>
      <c r="F106" s="366"/>
      <c r="G106" s="367"/>
      <c r="H106" s="85">
        <f>'1#IDENTIFICAÇÃO'!O136/G14</f>
        <v>486.10962962962964</v>
      </c>
    </row>
    <row r="107" spans="1:12" x14ac:dyDescent="0.3">
      <c r="A107" s="11" t="s">
        <v>46</v>
      </c>
      <c r="B107" s="197" t="s">
        <v>346</v>
      </c>
      <c r="C107" s="197"/>
      <c r="D107" s="197"/>
      <c r="E107" s="197"/>
      <c r="F107" s="197"/>
      <c r="G107" s="198"/>
      <c r="H107" s="85" cm="1">
        <f t="array" ref="H107:L107">('1#IDENTIFICAÇÃO'!M148:Q148)/G14</f>
        <v>5.2886851851851846</v>
      </c>
      <c r="I107" s="97">
        <v>0</v>
      </c>
      <c r="J107" s="97">
        <v>0</v>
      </c>
      <c r="K107" s="97">
        <v>0</v>
      </c>
      <c r="L107" s="97">
        <v>0</v>
      </c>
    </row>
    <row r="108" spans="1:12" x14ac:dyDescent="0.3">
      <c r="A108" s="380" t="s">
        <v>107</v>
      </c>
      <c r="B108" s="381"/>
      <c r="C108" s="381"/>
      <c r="D108" s="381"/>
      <c r="E108" s="381"/>
      <c r="F108" s="381"/>
      <c r="G108" s="382"/>
      <c r="H108" s="52">
        <f>SUM(H104:H107)</f>
        <v>521.58164814814813</v>
      </c>
    </row>
    <row r="109" spans="1:12" ht="17.399999999999999" customHeight="1" x14ac:dyDescent="0.3">
      <c r="A109" s="365" t="s">
        <v>141</v>
      </c>
      <c r="B109" s="366"/>
      <c r="C109" s="366"/>
      <c r="D109" s="366"/>
      <c r="E109" s="366"/>
      <c r="F109" s="366"/>
      <c r="G109" s="366"/>
      <c r="H109" s="366"/>
    </row>
    <row r="110" spans="1:12" x14ac:dyDescent="0.3">
      <c r="A110" s="380" t="s">
        <v>142</v>
      </c>
      <c r="B110" s="381"/>
      <c r="C110" s="381"/>
      <c r="D110" s="381"/>
      <c r="E110" s="381"/>
      <c r="F110" s="381"/>
      <c r="G110" s="381"/>
      <c r="H110" s="382"/>
    </row>
    <row r="111" spans="1:12" x14ac:dyDescent="0.3">
      <c r="A111" s="205">
        <v>6</v>
      </c>
      <c r="B111" s="374" t="s">
        <v>143</v>
      </c>
      <c r="C111" s="375"/>
      <c r="D111" s="375"/>
      <c r="E111" s="375"/>
      <c r="F111" s="376"/>
      <c r="G111" s="28" t="s">
        <v>80</v>
      </c>
      <c r="H111" s="55" t="s">
        <v>144</v>
      </c>
    </row>
    <row r="112" spans="1:12" x14ac:dyDescent="0.3">
      <c r="A112" s="56" t="s">
        <v>39</v>
      </c>
      <c r="B112" s="446" t="s">
        <v>145</v>
      </c>
      <c r="C112" s="447"/>
      <c r="D112" s="447"/>
      <c r="E112" s="447"/>
      <c r="F112" s="448"/>
      <c r="G112" s="84">
        <f>'1#IDENTIFICAÇÃO'!C156</f>
        <v>0.03</v>
      </c>
      <c r="H112" s="98">
        <f>(H34+H68+H77+H100+H108)*G112</f>
        <v>90.70556931356964</v>
      </c>
    </row>
    <row r="113" spans="1:11" x14ac:dyDescent="0.3">
      <c r="A113" s="56" t="s">
        <v>41</v>
      </c>
      <c r="B113" s="446" t="s">
        <v>146</v>
      </c>
      <c r="C113" s="447"/>
      <c r="D113" s="447"/>
      <c r="E113" s="447"/>
      <c r="F113" s="448"/>
      <c r="G113" s="84">
        <f>'1#IDENTIFICAÇÃO'!C161</f>
        <v>6.7900000000000002E-2</v>
      </c>
      <c r="H113" s="98">
        <f>(H34+H68+H77+H100+H108+H112)*G113</f>
        <v>211.45584670277069</v>
      </c>
    </row>
    <row r="114" spans="1:11" x14ac:dyDescent="0.3">
      <c r="A114" s="56" t="s">
        <v>44</v>
      </c>
      <c r="B114" s="449" t="s">
        <v>147</v>
      </c>
      <c r="C114" s="450"/>
      <c r="D114" s="450"/>
      <c r="E114" s="450"/>
      <c r="F114" s="450"/>
      <c r="G114" s="451"/>
      <c r="H114" s="99"/>
    </row>
    <row r="115" spans="1:11" x14ac:dyDescent="0.3">
      <c r="A115" s="56"/>
      <c r="B115" s="452" t="s">
        <v>148</v>
      </c>
      <c r="C115" s="453"/>
      <c r="D115" s="453"/>
      <c r="E115" s="453"/>
      <c r="F115" s="453"/>
      <c r="G115" s="454"/>
      <c r="H115" s="99"/>
    </row>
    <row r="116" spans="1:11" x14ac:dyDescent="0.3">
      <c r="A116" s="56"/>
      <c r="B116" s="446" t="s">
        <v>149</v>
      </c>
      <c r="C116" s="447"/>
      <c r="D116" s="447"/>
      <c r="E116" s="447"/>
      <c r="F116" s="448"/>
      <c r="G116" s="87">
        <v>1.6500000000000001E-2</v>
      </c>
      <c r="H116" s="99">
        <f>SUM($H$34,$H$68,$H$77,$H$100,$H$108,$H$112,$H$113)/(1-$G$121)*G116</f>
        <v>63.992683949542766</v>
      </c>
    </row>
    <row r="117" spans="1:11" x14ac:dyDescent="0.3">
      <c r="A117" s="56"/>
      <c r="B117" s="446" t="s">
        <v>150</v>
      </c>
      <c r="C117" s="447"/>
      <c r="D117" s="447"/>
      <c r="E117" s="447"/>
      <c r="F117" s="448"/>
      <c r="G117" s="84">
        <v>7.5999999999999998E-2</v>
      </c>
      <c r="H117" s="99">
        <f>SUM($H$34,$H$68,$H$77,$H$100,$H$108,$H$112,$H$113)/(1-$G$121)*G117</f>
        <v>294.75418061607576</v>
      </c>
    </row>
    <row r="118" spans="1:11" x14ac:dyDescent="0.3">
      <c r="A118" s="56"/>
      <c r="B118" s="449" t="s">
        <v>151</v>
      </c>
      <c r="C118" s="450"/>
      <c r="D118" s="450"/>
      <c r="E118" s="450"/>
      <c r="F118" s="450"/>
      <c r="G118" s="451"/>
      <c r="H118" s="99"/>
    </row>
    <row r="119" spans="1:11" x14ac:dyDescent="0.3">
      <c r="A119" s="56"/>
      <c r="B119" s="455" t="s">
        <v>152</v>
      </c>
      <c r="C119" s="456"/>
      <c r="D119" s="456"/>
      <c r="E119" s="456"/>
      <c r="F119" s="456"/>
      <c r="G119" s="457"/>
      <c r="H119" s="99"/>
    </row>
    <row r="120" spans="1:11" x14ac:dyDescent="0.3">
      <c r="A120" s="56"/>
      <c r="B120" s="446" t="s">
        <v>153</v>
      </c>
      <c r="C120" s="447"/>
      <c r="D120" s="447"/>
      <c r="E120" s="447"/>
      <c r="F120" s="448"/>
      <c r="G120" s="84">
        <f>'1#IDENTIFICAÇÃO'!C165</f>
        <v>0.05</v>
      </c>
      <c r="H120" s="99">
        <f>SUM($H$34,$H$68,$H$77,$H$100,$H$108,$H$112,$H$113)/(1-$G$121)*G120</f>
        <v>193.91722408952353</v>
      </c>
    </row>
    <row r="121" spans="1:11" x14ac:dyDescent="0.3">
      <c r="A121" s="458"/>
      <c r="B121" s="459"/>
      <c r="C121" s="459"/>
      <c r="D121" s="459"/>
      <c r="E121" s="459"/>
      <c r="F121" s="460"/>
      <c r="G121" s="63">
        <f>G116+G117+G120</f>
        <v>0.14250000000000002</v>
      </c>
      <c r="H121" s="99"/>
    </row>
    <row r="122" spans="1:11" x14ac:dyDescent="0.3">
      <c r="A122" s="465" t="s">
        <v>107</v>
      </c>
      <c r="B122" s="466"/>
      <c r="C122" s="466"/>
      <c r="D122" s="466"/>
      <c r="E122" s="466"/>
      <c r="F122" s="467"/>
      <c r="G122" s="74">
        <f>G112+G113+G121</f>
        <v>0.2404</v>
      </c>
      <c r="H122" s="75">
        <f>SUM(H112:H121)</f>
        <v>854.82550467148246</v>
      </c>
    </row>
    <row r="123" spans="1:11" ht="45.6" customHeight="1" x14ac:dyDescent="0.3">
      <c r="A123" s="398" t="s">
        <v>154</v>
      </c>
      <c r="B123" s="366"/>
      <c r="C123" s="366"/>
      <c r="D123" s="366"/>
      <c r="E123" s="366"/>
      <c r="F123" s="366"/>
      <c r="G123" s="366"/>
      <c r="H123" s="367"/>
    </row>
    <row r="124" spans="1:11" x14ac:dyDescent="0.3">
      <c r="A124" s="380" t="s">
        <v>155</v>
      </c>
      <c r="B124" s="381"/>
      <c r="C124" s="381"/>
      <c r="D124" s="381"/>
      <c r="E124" s="381"/>
      <c r="F124" s="381"/>
      <c r="G124" s="381"/>
      <c r="H124" s="382"/>
    </row>
    <row r="125" spans="1:11" x14ac:dyDescent="0.3">
      <c r="A125" s="59" t="s">
        <v>39</v>
      </c>
      <c r="B125" s="377" t="s">
        <v>156</v>
      </c>
      <c r="C125" s="378"/>
      <c r="D125" s="378"/>
      <c r="E125" s="378"/>
      <c r="F125" s="378"/>
      <c r="G125" s="379"/>
      <c r="H125" s="100">
        <f>H34</f>
        <v>1162</v>
      </c>
      <c r="K125" s="151"/>
    </row>
    <row r="126" spans="1:11" x14ac:dyDescent="0.3">
      <c r="A126" s="59" t="s">
        <v>41</v>
      </c>
      <c r="B126" s="377" t="s">
        <v>157</v>
      </c>
      <c r="C126" s="378"/>
      <c r="D126" s="378"/>
      <c r="E126" s="378"/>
      <c r="F126" s="378"/>
      <c r="G126" s="379"/>
      <c r="H126" s="100">
        <f>H68</f>
        <v>1049.8538840000001</v>
      </c>
      <c r="K126" s="151"/>
    </row>
    <row r="127" spans="1:11" x14ac:dyDescent="0.3">
      <c r="A127" s="59" t="s">
        <v>44</v>
      </c>
      <c r="B127" s="377" t="s">
        <v>158</v>
      </c>
      <c r="C127" s="378"/>
      <c r="D127" s="378"/>
      <c r="E127" s="378"/>
      <c r="F127" s="378"/>
      <c r="G127" s="379"/>
      <c r="H127" s="100">
        <f>H77</f>
        <v>83.122740399999998</v>
      </c>
      <c r="K127" s="151"/>
    </row>
    <row r="128" spans="1:11" x14ac:dyDescent="0.3">
      <c r="A128" s="59" t="s">
        <v>46</v>
      </c>
      <c r="B128" s="377" t="s">
        <v>159</v>
      </c>
      <c r="C128" s="378"/>
      <c r="D128" s="378"/>
      <c r="E128" s="378"/>
      <c r="F128" s="378"/>
      <c r="G128" s="379"/>
      <c r="H128" s="100">
        <f>H100</f>
        <v>206.96070457084002</v>
      </c>
      <c r="K128" s="151"/>
    </row>
    <row r="129" spans="1:11" x14ac:dyDescent="0.3">
      <c r="A129" s="59" t="s">
        <v>70</v>
      </c>
      <c r="B129" s="377" t="s">
        <v>160</v>
      </c>
      <c r="C129" s="378"/>
      <c r="D129" s="378"/>
      <c r="E129" s="378"/>
      <c r="F129" s="378"/>
      <c r="G129" s="379"/>
      <c r="H129" s="100">
        <f>H108</f>
        <v>521.58164814814813</v>
      </c>
      <c r="K129" s="151"/>
    </row>
    <row r="130" spans="1:11" x14ac:dyDescent="0.3">
      <c r="A130" s="401" t="s">
        <v>161</v>
      </c>
      <c r="B130" s="402"/>
      <c r="C130" s="402"/>
      <c r="D130" s="402"/>
      <c r="E130" s="402"/>
      <c r="F130" s="402"/>
      <c r="G130" s="431"/>
      <c r="H130" s="60">
        <f>SUM(H125:H129)</f>
        <v>3023.518977118988</v>
      </c>
      <c r="K130" s="153"/>
    </row>
    <row r="131" spans="1:11" x14ac:dyDescent="0.3">
      <c r="A131" s="59" t="s">
        <v>72</v>
      </c>
      <c r="B131" s="377" t="s">
        <v>162</v>
      </c>
      <c r="C131" s="378"/>
      <c r="D131" s="378"/>
      <c r="E131" s="378"/>
      <c r="F131" s="378"/>
      <c r="G131" s="379"/>
      <c r="H131" s="100">
        <f>H122</f>
        <v>854.82550467148246</v>
      </c>
      <c r="K131" s="151"/>
    </row>
    <row r="132" spans="1:11" x14ac:dyDescent="0.3">
      <c r="A132" s="461" t="s">
        <v>163</v>
      </c>
      <c r="B132" s="462"/>
      <c r="C132" s="462"/>
      <c r="D132" s="462"/>
      <c r="E132" s="462"/>
      <c r="F132" s="462"/>
      <c r="G132" s="463"/>
      <c r="H132" s="61">
        <f>SUM(H130:H131)</f>
        <v>3878.3444817904706</v>
      </c>
      <c r="K132" s="177"/>
    </row>
    <row r="133" spans="1:11" x14ac:dyDescent="0.3">
      <c r="A133" s="166"/>
      <c r="B133" s="468" t="s">
        <v>317</v>
      </c>
      <c r="C133" s="468"/>
      <c r="D133" s="468"/>
      <c r="E133" s="468"/>
      <c r="F133" s="468"/>
      <c r="G133" s="468"/>
      <c r="H133" s="181">
        <v>9</v>
      </c>
    </row>
    <row r="134" spans="1:11" x14ac:dyDescent="0.3">
      <c r="A134" s="178"/>
      <c r="B134" s="469"/>
      <c r="C134" s="469"/>
      <c r="D134" s="469"/>
      <c r="E134" s="469"/>
      <c r="F134" s="469"/>
      <c r="G134" s="469"/>
      <c r="H134" s="179"/>
    </row>
    <row r="135" spans="1:11" x14ac:dyDescent="0.3">
      <c r="A135" s="178"/>
      <c r="B135" s="469"/>
      <c r="C135" s="469"/>
      <c r="D135" s="469"/>
      <c r="E135" s="469"/>
      <c r="F135" s="469"/>
      <c r="G135" s="469"/>
      <c r="H135" s="180"/>
    </row>
    <row r="136" spans="1:11" x14ac:dyDescent="0.3">
      <c r="A136" s="464"/>
      <c r="B136" s="464"/>
      <c r="C136" s="464"/>
      <c r="D136" s="94"/>
      <c r="E136" s="95"/>
      <c r="F136" s="96"/>
      <c r="G136" s="95"/>
      <c r="H136" s="96"/>
    </row>
  </sheetData>
  <mergeCells count="142">
    <mergeCell ref="A136:C136"/>
    <mergeCell ref="A130:G130"/>
    <mergeCell ref="B131:G131"/>
    <mergeCell ref="A132:G132"/>
    <mergeCell ref="B133:G133"/>
    <mergeCell ref="B134:G134"/>
    <mergeCell ref="B135:G135"/>
    <mergeCell ref="A124:H124"/>
    <mergeCell ref="B125:G125"/>
    <mergeCell ref="B126:G126"/>
    <mergeCell ref="B127:G127"/>
    <mergeCell ref="B128:G128"/>
    <mergeCell ref="B129:G129"/>
    <mergeCell ref="B118:G118"/>
    <mergeCell ref="B119:G119"/>
    <mergeCell ref="B120:F120"/>
    <mergeCell ref="A121:F121"/>
    <mergeCell ref="A122:F122"/>
    <mergeCell ref="A123:H123"/>
    <mergeCell ref="B112:F112"/>
    <mergeCell ref="B113:F113"/>
    <mergeCell ref="B114:G114"/>
    <mergeCell ref="B115:G115"/>
    <mergeCell ref="B116:F116"/>
    <mergeCell ref="B117:F117"/>
    <mergeCell ref="B105:G105"/>
    <mergeCell ref="B106:G106"/>
    <mergeCell ref="A108:G108"/>
    <mergeCell ref="A109:H109"/>
    <mergeCell ref="A110:H110"/>
    <mergeCell ref="B111:F111"/>
    <mergeCell ref="B98:G98"/>
    <mergeCell ref="B99:G99"/>
    <mergeCell ref="A100:G100"/>
    <mergeCell ref="A102:H102"/>
    <mergeCell ref="B103:G103"/>
    <mergeCell ref="B104:G104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A1:H1"/>
    <mergeCell ref="A2:B2"/>
    <mergeCell ref="C2:H2"/>
    <mergeCell ref="A3:B3"/>
    <mergeCell ref="C3:H3"/>
    <mergeCell ref="A4:B4"/>
    <mergeCell ref="C4:H4"/>
    <mergeCell ref="B10:D10"/>
    <mergeCell ref="E10:H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A9F6-82A1-4BE3-A4BD-94BF564B8880}">
  <dimension ref="A1:L136"/>
  <sheetViews>
    <sheetView workbookViewId="0">
      <selection activeCell="A12" sqref="A12:H12"/>
    </sheetView>
  </sheetViews>
  <sheetFormatPr defaultRowHeight="14.4" x14ac:dyDescent="0.3"/>
  <cols>
    <col min="1" max="1" width="8.88671875" style="97"/>
    <col min="2" max="2" width="27.44140625" style="97" customWidth="1"/>
    <col min="3" max="3" width="8.88671875" style="97"/>
    <col min="4" max="4" width="24.33203125" style="97" customWidth="1"/>
    <col min="5" max="5" width="10.77734375" style="97" customWidth="1"/>
    <col min="6" max="6" width="11.6640625" style="97" bestFit="1" customWidth="1"/>
    <col min="7" max="7" width="11.88671875" style="97" bestFit="1" customWidth="1"/>
    <col min="8" max="8" width="31.21875" style="97" customWidth="1"/>
    <col min="9" max="10" width="8.88671875" style="97"/>
    <col min="11" max="11" width="12" style="97" bestFit="1" customWidth="1"/>
    <col min="12" max="16384" width="8.88671875" style="97"/>
  </cols>
  <sheetData>
    <row r="1" spans="1:8" x14ac:dyDescent="0.3">
      <c r="A1" s="418" t="s">
        <v>32</v>
      </c>
      <c r="B1" s="419"/>
      <c r="C1" s="419"/>
      <c r="D1" s="419"/>
      <c r="E1" s="419"/>
      <c r="F1" s="419"/>
      <c r="G1" s="419"/>
      <c r="H1" s="420"/>
    </row>
    <row r="2" spans="1:8" x14ac:dyDescent="0.3">
      <c r="A2" s="377" t="s">
        <v>33</v>
      </c>
      <c r="B2" s="379"/>
      <c r="C2" s="377"/>
      <c r="D2" s="378"/>
      <c r="E2" s="378"/>
      <c r="F2" s="378"/>
      <c r="G2" s="378"/>
      <c r="H2" s="379"/>
    </row>
    <row r="3" spans="1:8" x14ac:dyDescent="0.3">
      <c r="A3" s="377" t="s">
        <v>34</v>
      </c>
      <c r="B3" s="379"/>
      <c r="C3" s="425"/>
      <c r="D3" s="426"/>
      <c r="E3" s="426"/>
      <c r="F3" s="426"/>
      <c r="G3" s="426"/>
      <c r="H3" s="427"/>
    </row>
    <row r="4" spans="1:8" x14ac:dyDescent="0.3">
      <c r="A4" s="377" t="s">
        <v>35</v>
      </c>
      <c r="B4" s="379"/>
      <c r="C4" s="377" t="s">
        <v>36</v>
      </c>
      <c r="D4" s="378"/>
      <c r="E4" s="378"/>
      <c r="F4" s="378"/>
      <c r="G4" s="378"/>
      <c r="H4" s="379"/>
    </row>
    <row r="5" spans="1:8" x14ac:dyDescent="0.3">
      <c r="A5" s="421" t="s">
        <v>37</v>
      </c>
      <c r="B5" s="421"/>
      <c r="C5" s="127"/>
      <c r="D5" s="127"/>
      <c r="E5" s="127"/>
      <c r="F5" s="127"/>
      <c r="G5" s="127"/>
      <c r="H5" s="128"/>
    </row>
    <row r="6" spans="1:8" x14ac:dyDescent="0.3">
      <c r="A6" s="428" t="s">
        <v>27</v>
      </c>
      <c r="B6" s="429"/>
      <c r="C6" s="429"/>
      <c r="D6" s="429"/>
      <c r="E6" s="429"/>
      <c r="F6" s="429"/>
      <c r="G6" s="429"/>
      <c r="H6" s="430"/>
    </row>
    <row r="7" spans="1:8" x14ac:dyDescent="0.3">
      <c r="A7" s="401" t="s">
        <v>38</v>
      </c>
      <c r="B7" s="402"/>
      <c r="C7" s="402"/>
      <c r="D7" s="402"/>
      <c r="E7" s="402"/>
      <c r="F7" s="402"/>
      <c r="G7" s="402"/>
      <c r="H7" s="431"/>
    </row>
    <row r="8" spans="1:8" x14ac:dyDescent="0.3">
      <c r="A8" s="10" t="s">
        <v>39</v>
      </c>
      <c r="B8" s="377" t="s">
        <v>40</v>
      </c>
      <c r="C8" s="378"/>
      <c r="D8" s="379"/>
      <c r="E8" s="422"/>
      <c r="F8" s="423"/>
      <c r="G8" s="423"/>
      <c r="H8" s="424"/>
    </row>
    <row r="9" spans="1:8" x14ac:dyDescent="0.3">
      <c r="A9" s="80" t="s">
        <v>41</v>
      </c>
      <c r="B9" s="365" t="s">
        <v>42</v>
      </c>
      <c r="C9" s="366"/>
      <c r="D9" s="367"/>
      <c r="E9" s="386" t="s">
        <v>185</v>
      </c>
      <c r="F9" s="396"/>
      <c r="G9" s="396"/>
      <c r="H9" s="387"/>
    </row>
    <row r="10" spans="1:8" ht="14.4" customHeight="1" x14ac:dyDescent="0.3">
      <c r="A10" s="80" t="s">
        <v>44</v>
      </c>
      <c r="B10" s="365" t="s">
        <v>45</v>
      </c>
      <c r="C10" s="366"/>
      <c r="D10" s="367"/>
      <c r="E10" s="368" t="s">
        <v>345</v>
      </c>
      <c r="F10" s="369"/>
      <c r="G10" s="369"/>
      <c r="H10" s="370"/>
    </row>
    <row r="11" spans="1:8" x14ac:dyDescent="0.3">
      <c r="A11" s="81" t="s">
        <v>46</v>
      </c>
      <c r="B11" s="365" t="s">
        <v>47</v>
      </c>
      <c r="C11" s="366"/>
      <c r="D11" s="367"/>
      <c r="E11" s="371">
        <v>30</v>
      </c>
      <c r="F11" s="372"/>
      <c r="G11" s="372"/>
      <c r="H11" s="373"/>
    </row>
    <row r="12" spans="1:8" x14ac:dyDescent="0.3">
      <c r="A12" s="388" t="s">
        <v>48</v>
      </c>
      <c r="B12" s="389"/>
      <c r="C12" s="389"/>
      <c r="D12" s="389"/>
      <c r="E12" s="389"/>
      <c r="F12" s="389"/>
      <c r="G12" s="389"/>
      <c r="H12" s="390"/>
    </row>
    <row r="13" spans="1:8" x14ac:dyDescent="0.3">
      <c r="A13" s="391" t="s">
        <v>49</v>
      </c>
      <c r="B13" s="392"/>
      <c r="C13" s="392"/>
      <c r="D13" s="392"/>
      <c r="E13" s="393"/>
      <c r="F13" s="82" t="s">
        <v>50</v>
      </c>
      <c r="G13" s="394" t="s">
        <v>51</v>
      </c>
      <c r="H13" s="395"/>
    </row>
    <row r="14" spans="1:8" x14ac:dyDescent="0.3">
      <c r="A14" s="386" t="s">
        <v>187</v>
      </c>
      <c r="B14" s="396"/>
      <c r="C14" s="396"/>
      <c r="D14" s="396"/>
      <c r="E14" s="387"/>
      <c r="F14" s="34" t="s">
        <v>52</v>
      </c>
      <c r="G14" s="397">
        <v>1</v>
      </c>
      <c r="H14" s="387"/>
    </row>
    <row r="15" spans="1:8" ht="73.2" customHeight="1" x14ac:dyDescent="0.3">
      <c r="A15" s="398" t="s">
        <v>53</v>
      </c>
      <c r="B15" s="366"/>
      <c r="C15" s="366"/>
      <c r="D15" s="366"/>
      <c r="E15" s="366"/>
      <c r="F15" s="366"/>
      <c r="G15" s="366"/>
      <c r="H15" s="367"/>
    </row>
    <row r="16" spans="1:8" x14ac:dyDescent="0.3">
      <c r="A16" s="371"/>
      <c r="B16" s="372"/>
      <c r="C16" s="372"/>
      <c r="D16" s="372"/>
      <c r="E16" s="372"/>
      <c r="F16" s="372"/>
      <c r="G16" s="372"/>
      <c r="H16" s="373"/>
    </row>
    <row r="17" spans="1:8" x14ac:dyDescent="0.3">
      <c r="A17" s="374" t="s">
        <v>54</v>
      </c>
      <c r="B17" s="375"/>
      <c r="C17" s="375"/>
      <c r="D17" s="375"/>
      <c r="E17" s="375"/>
      <c r="F17" s="375"/>
      <c r="G17" s="375"/>
      <c r="H17" s="376"/>
    </row>
    <row r="18" spans="1:8" x14ac:dyDescent="0.3">
      <c r="A18" s="374" t="s">
        <v>55</v>
      </c>
      <c r="B18" s="375"/>
      <c r="C18" s="375"/>
      <c r="D18" s="375"/>
      <c r="E18" s="375"/>
      <c r="F18" s="375"/>
      <c r="G18" s="375"/>
      <c r="H18" s="376"/>
    </row>
    <row r="19" spans="1:8" x14ac:dyDescent="0.3">
      <c r="A19" s="79">
        <v>1</v>
      </c>
      <c r="B19" s="365" t="s">
        <v>56</v>
      </c>
      <c r="C19" s="366"/>
      <c r="D19" s="366"/>
      <c r="E19" s="366"/>
      <c r="F19" s="367"/>
      <c r="G19" s="371" t="s">
        <v>57</v>
      </c>
      <c r="H19" s="373"/>
    </row>
    <row r="20" spans="1:8" x14ac:dyDescent="0.3">
      <c r="A20" s="79">
        <v>2</v>
      </c>
      <c r="B20" s="365" t="s">
        <v>58</v>
      </c>
      <c r="C20" s="366"/>
      <c r="D20" s="366"/>
      <c r="E20" s="366"/>
      <c r="F20" s="367"/>
      <c r="G20" s="386" t="s">
        <v>192</v>
      </c>
      <c r="H20" s="387"/>
    </row>
    <row r="21" spans="1:8" x14ac:dyDescent="0.3">
      <c r="A21" s="79">
        <v>3</v>
      </c>
      <c r="B21" s="365" t="s">
        <v>59</v>
      </c>
      <c r="C21" s="366"/>
      <c r="D21" s="366"/>
      <c r="E21" s="366"/>
      <c r="F21" s="367"/>
      <c r="G21" s="399">
        <v>1162</v>
      </c>
      <c r="H21" s="400"/>
    </row>
    <row r="22" spans="1:8" x14ac:dyDescent="0.3">
      <c r="A22" s="79">
        <v>4</v>
      </c>
      <c r="B22" s="137" t="s">
        <v>60</v>
      </c>
      <c r="C22" s="130"/>
      <c r="D22" s="130"/>
      <c r="E22" s="130"/>
      <c r="F22" s="131"/>
      <c r="G22" s="399" t="s">
        <v>187</v>
      </c>
      <c r="H22" s="400"/>
    </row>
    <row r="23" spans="1:8" x14ac:dyDescent="0.3">
      <c r="A23" s="79">
        <v>5</v>
      </c>
      <c r="B23" s="365" t="s">
        <v>61</v>
      </c>
      <c r="C23" s="366"/>
      <c r="D23" s="366"/>
      <c r="E23" s="366"/>
      <c r="F23" s="367"/>
      <c r="G23" s="413" t="s">
        <v>343</v>
      </c>
      <c r="H23" s="414"/>
    </row>
    <row r="24" spans="1:8" ht="28.8" customHeight="1" x14ac:dyDescent="0.3">
      <c r="A24" s="398" t="s">
        <v>62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13" t="s">
        <v>63</v>
      </c>
      <c r="B25" s="14"/>
      <c r="C25" s="14"/>
      <c r="D25" s="14"/>
      <c r="E25" s="14"/>
      <c r="F25" s="15"/>
      <c r="G25" s="132"/>
      <c r="H25" s="133"/>
    </row>
    <row r="26" spans="1:8" x14ac:dyDescent="0.3">
      <c r="A26" s="18"/>
      <c r="B26" s="127"/>
      <c r="C26" s="127"/>
      <c r="D26" s="127"/>
      <c r="E26" s="127"/>
      <c r="F26" s="19"/>
      <c r="G26" s="134"/>
      <c r="H26" s="135"/>
    </row>
    <row r="27" spans="1:8" x14ac:dyDescent="0.3">
      <c r="A27" s="139">
        <v>1</v>
      </c>
      <c r="B27" s="380" t="s">
        <v>64</v>
      </c>
      <c r="C27" s="381"/>
      <c r="D27" s="381"/>
      <c r="E27" s="381"/>
      <c r="F27" s="381"/>
      <c r="G27" s="382"/>
      <c r="H27" s="23" t="s">
        <v>65</v>
      </c>
    </row>
    <row r="28" spans="1:8" x14ac:dyDescent="0.3">
      <c r="A28" s="24" t="s">
        <v>39</v>
      </c>
      <c r="B28" s="403" t="s">
        <v>66</v>
      </c>
      <c r="C28" s="384"/>
      <c r="D28" s="384"/>
      <c r="E28" s="384"/>
      <c r="F28" s="384"/>
      <c r="G28" s="385"/>
      <c r="H28" s="86">
        <f>G21</f>
        <v>1162</v>
      </c>
    </row>
    <row r="29" spans="1:8" x14ac:dyDescent="0.3">
      <c r="A29" s="24" t="s">
        <v>41</v>
      </c>
      <c r="B29" s="403" t="s">
        <v>67</v>
      </c>
      <c r="C29" s="384"/>
      <c r="D29" s="384"/>
      <c r="E29" s="384"/>
      <c r="F29" s="384"/>
      <c r="G29" s="385"/>
      <c r="H29" s="88"/>
    </row>
    <row r="30" spans="1:8" x14ac:dyDescent="0.3">
      <c r="A30" s="24" t="s">
        <v>44</v>
      </c>
      <c r="B30" s="403" t="s">
        <v>68</v>
      </c>
      <c r="C30" s="384"/>
      <c r="D30" s="384"/>
      <c r="E30" s="384"/>
      <c r="F30" s="384"/>
      <c r="G30" s="385"/>
      <c r="H30" s="25"/>
    </row>
    <row r="31" spans="1:8" x14ac:dyDescent="0.3">
      <c r="A31" s="24" t="s">
        <v>46</v>
      </c>
      <c r="B31" s="403" t="s">
        <v>69</v>
      </c>
      <c r="C31" s="384"/>
      <c r="D31" s="384"/>
      <c r="E31" s="384"/>
      <c r="F31" s="384"/>
      <c r="G31" s="385"/>
      <c r="H31" s="25"/>
    </row>
    <row r="32" spans="1:8" x14ac:dyDescent="0.3">
      <c r="A32" s="24" t="s">
        <v>70</v>
      </c>
      <c r="B32" s="403" t="s">
        <v>71</v>
      </c>
      <c r="C32" s="384"/>
      <c r="D32" s="384"/>
      <c r="E32" s="384"/>
      <c r="F32" s="384"/>
      <c r="G32" s="385"/>
      <c r="H32" s="25"/>
    </row>
    <row r="33" spans="1:11" x14ac:dyDescent="0.3">
      <c r="A33" s="24" t="s">
        <v>72</v>
      </c>
      <c r="B33" s="403" t="s">
        <v>73</v>
      </c>
      <c r="C33" s="384"/>
      <c r="D33" s="384"/>
      <c r="E33" s="384"/>
      <c r="F33" s="384"/>
      <c r="G33" s="385"/>
      <c r="H33" s="25"/>
    </row>
    <row r="34" spans="1:11" x14ac:dyDescent="0.3">
      <c r="A34" s="415" t="s">
        <v>74</v>
      </c>
      <c r="B34" s="416"/>
      <c r="C34" s="416"/>
      <c r="D34" s="416"/>
      <c r="E34" s="416"/>
      <c r="F34" s="416"/>
      <c r="G34" s="417"/>
      <c r="H34" s="26">
        <f>SUM(H28:H33)</f>
        <v>1162</v>
      </c>
    </row>
    <row r="35" spans="1:11" x14ac:dyDescent="0.3">
      <c r="A35" s="403" t="s">
        <v>75</v>
      </c>
      <c r="B35" s="384"/>
      <c r="C35" s="384"/>
      <c r="D35" s="384"/>
      <c r="E35" s="384"/>
      <c r="F35" s="384"/>
      <c r="G35" s="384"/>
      <c r="H35" s="385"/>
    </row>
    <row r="36" spans="1:11" x14ac:dyDescent="0.3">
      <c r="A36" s="380" t="s">
        <v>76</v>
      </c>
      <c r="B36" s="381"/>
      <c r="C36" s="381"/>
      <c r="D36" s="381"/>
      <c r="E36" s="381"/>
      <c r="F36" s="381"/>
      <c r="G36" s="381"/>
      <c r="H36" s="382"/>
    </row>
    <row r="37" spans="1:11" x14ac:dyDescent="0.3">
      <c r="A37" s="401"/>
      <c r="B37" s="402"/>
      <c r="C37" s="402"/>
      <c r="D37" s="402"/>
      <c r="E37" s="402"/>
      <c r="F37" s="402"/>
      <c r="G37" s="402"/>
      <c r="H37" s="402"/>
    </row>
    <row r="38" spans="1:11" x14ac:dyDescent="0.3">
      <c r="A38" s="380" t="s">
        <v>77</v>
      </c>
      <c r="B38" s="381"/>
      <c r="C38" s="381"/>
      <c r="D38" s="381"/>
      <c r="E38" s="381"/>
      <c r="F38" s="381"/>
      <c r="G38" s="381"/>
      <c r="H38" s="382"/>
    </row>
    <row r="39" spans="1:11" x14ac:dyDescent="0.3">
      <c r="A39" s="138" t="s">
        <v>78</v>
      </c>
      <c r="B39" s="374" t="s">
        <v>79</v>
      </c>
      <c r="C39" s="375"/>
      <c r="D39" s="375"/>
      <c r="E39" s="375"/>
      <c r="F39" s="376"/>
      <c r="G39" s="28" t="s">
        <v>80</v>
      </c>
      <c r="H39" s="138" t="s">
        <v>65</v>
      </c>
    </row>
    <row r="40" spans="1:11" ht="30" customHeight="1" x14ac:dyDescent="0.3">
      <c r="A40" s="11" t="s">
        <v>39</v>
      </c>
      <c r="B40" s="406" t="s">
        <v>81</v>
      </c>
      <c r="C40" s="407"/>
      <c r="D40" s="407"/>
      <c r="E40" s="407"/>
      <c r="F40" s="408"/>
      <c r="G40" s="29">
        <v>8.3333333333333329E-2</v>
      </c>
      <c r="H40" s="100">
        <f>H34*G40</f>
        <v>96.833333333333329</v>
      </c>
    </row>
    <row r="41" spans="1:11" ht="27.6" customHeight="1" x14ac:dyDescent="0.3">
      <c r="A41" s="11" t="s">
        <v>41</v>
      </c>
      <c r="B41" s="406" t="s">
        <v>82</v>
      </c>
      <c r="C41" s="407"/>
      <c r="D41" s="407"/>
      <c r="E41" s="407"/>
      <c r="F41" s="408"/>
      <c r="G41" s="64">
        <v>3.0249999999999999E-2</v>
      </c>
      <c r="H41" s="100">
        <f>H34*G41</f>
        <v>35.150500000000001</v>
      </c>
    </row>
    <row r="42" spans="1:11" x14ac:dyDescent="0.3">
      <c r="A42" s="409" t="s">
        <v>74</v>
      </c>
      <c r="B42" s="410"/>
      <c r="C42" s="410"/>
      <c r="D42" s="410"/>
      <c r="E42" s="410"/>
      <c r="F42" s="411"/>
      <c r="G42" s="31">
        <v>0.11358333333333333</v>
      </c>
      <c r="H42" s="32">
        <f>SUM(H40:H41)</f>
        <v>131.98383333333334</v>
      </c>
    </row>
    <row r="43" spans="1:11" ht="115.8" customHeight="1" x14ac:dyDescent="0.3">
      <c r="A43" s="383" t="s">
        <v>83</v>
      </c>
      <c r="B43" s="384"/>
      <c r="C43" s="384"/>
      <c r="D43" s="384"/>
      <c r="E43" s="384"/>
      <c r="F43" s="384"/>
      <c r="G43" s="384"/>
      <c r="H43" s="385"/>
    </row>
    <row r="44" spans="1:11" x14ac:dyDescent="0.3">
      <c r="A44" s="412" t="s">
        <v>84</v>
      </c>
      <c r="B44" s="412"/>
      <c r="C44" s="412"/>
      <c r="D44" s="412"/>
      <c r="E44" s="412"/>
      <c r="F44" s="412"/>
      <c r="G44" s="412"/>
      <c r="H44" s="412"/>
    </row>
    <row r="45" spans="1:11" x14ac:dyDescent="0.3">
      <c r="A45" s="138" t="s">
        <v>85</v>
      </c>
      <c r="B45" s="374" t="s">
        <v>86</v>
      </c>
      <c r="C45" s="375"/>
      <c r="D45" s="375"/>
      <c r="E45" s="375"/>
      <c r="F45" s="376"/>
      <c r="G45" s="28" t="s">
        <v>80</v>
      </c>
      <c r="H45" s="138" t="s">
        <v>65</v>
      </c>
    </row>
    <row r="46" spans="1:11" x14ac:dyDescent="0.3">
      <c r="A46" s="11" t="s">
        <v>39</v>
      </c>
      <c r="B46" s="377" t="s">
        <v>87</v>
      </c>
      <c r="C46" s="378"/>
      <c r="D46" s="378"/>
      <c r="E46" s="378"/>
      <c r="F46" s="379"/>
      <c r="G46" s="33">
        <v>0.2</v>
      </c>
      <c r="H46" s="100">
        <f>(H34+H42)*G46</f>
        <v>258.79676666666666</v>
      </c>
      <c r="K46" s="151"/>
    </row>
    <row r="47" spans="1:11" x14ac:dyDescent="0.3">
      <c r="A47" s="11" t="s">
        <v>41</v>
      </c>
      <c r="B47" s="377" t="s">
        <v>88</v>
      </c>
      <c r="C47" s="378"/>
      <c r="D47" s="378"/>
      <c r="E47" s="378"/>
      <c r="F47" s="379"/>
      <c r="G47" s="33">
        <v>2.5000000000000001E-2</v>
      </c>
      <c r="H47" s="100">
        <f>(H34+H42)*G47</f>
        <v>32.349595833333332</v>
      </c>
      <c r="K47" s="151"/>
    </row>
    <row r="48" spans="1:11" ht="42.6" customHeight="1" x14ac:dyDescent="0.3">
      <c r="A48" s="11" t="s">
        <v>44</v>
      </c>
      <c r="B48" s="71" t="s">
        <v>89</v>
      </c>
      <c r="C48" s="70" t="s">
        <v>90</v>
      </c>
      <c r="D48" s="70"/>
      <c r="E48" s="70" t="s">
        <v>91</v>
      </c>
      <c r="F48" s="70"/>
      <c r="G48" s="62">
        <f>'1#IDENTIFICAÇÃO'!F152</f>
        <v>0.03</v>
      </c>
      <c r="H48" s="100">
        <f>(H34+H42)*G48</f>
        <v>38.819514999999996</v>
      </c>
      <c r="K48" s="151"/>
    </row>
    <row r="49" spans="1:11" x14ac:dyDescent="0.3">
      <c r="A49" s="11" t="s">
        <v>46</v>
      </c>
      <c r="B49" s="377" t="s">
        <v>92</v>
      </c>
      <c r="C49" s="378"/>
      <c r="D49" s="378"/>
      <c r="E49" s="378"/>
      <c r="F49" s="379"/>
      <c r="G49" s="33">
        <v>1.4999999999999999E-2</v>
      </c>
      <c r="H49" s="100">
        <f>(H34+H42)*G49</f>
        <v>19.409757499999998</v>
      </c>
      <c r="K49" s="151"/>
    </row>
    <row r="50" spans="1:11" x14ac:dyDescent="0.3">
      <c r="A50" s="11" t="s">
        <v>70</v>
      </c>
      <c r="B50" s="377" t="s">
        <v>93</v>
      </c>
      <c r="C50" s="378"/>
      <c r="D50" s="378"/>
      <c r="E50" s="378"/>
      <c r="F50" s="379"/>
      <c r="G50" s="33">
        <v>0.01</v>
      </c>
      <c r="H50" s="100">
        <f>(H34+H42)*G50</f>
        <v>12.939838333333332</v>
      </c>
      <c r="K50" s="151"/>
    </row>
    <row r="51" spans="1:11" x14ac:dyDescent="0.3">
      <c r="A51" s="34" t="s">
        <v>72</v>
      </c>
      <c r="B51" s="365" t="s">
        <v>94</v>
      </c>
      <c r="C51" s="366"/>
      <c r="D51" s="366"/>
      <c r="E51" s="366"/>
      <c r="F51" s="367"/>
      <c r="G51" s="29">
        <v>6.0000000000000001E-3</v>
      </c>
      <c r="H51" s="100">
        <f>(H34+H42)*G51</f>
        <v>7.7639029999999991</v>
      </c>
      <c r="K51" s="151"/>
    </row>
    <row r="52" spans="1:11" x14ac:dyDescent="0.3">
      <c r="A52" s="11" t="s">
        <v>95</v>
      </c>
      <c r="B52" s="377" t="s">
        <v>96</v>
      </c>
      <c r="C52" s="378"/>
      <c r="D52" s="378"/>
      <c r="E52" s="378"/>
      <c r="F52" s="379"/>
      <c r="G52" s="33">
        <v>2E-3</v>
      </c>
      <c r="H52" s="100">
        <f>(H34+H42)*G52</f>
        <v>2.5879676666666667</v>
      </c>
      <c r="K52" s="151"/>
    </row>
    <row r="53" spans="1:11" x14ac:dyDescent="0.3">
      <c r="A53" s="11" t="s">
        <v>97</v>
      </c>
      <c r="B53" s="377" t="s">
        <v>98</v>
      </c>
      <c r="C53" s="378"/>
      <c r="D53" s="378"/>
      <c r="E53" s="378"/>
      <c r="F53" s="379"/>
      <c r="G53" s="33">
        <v>0.08</v>
      </c>
      <c r="H53" s="100">
        <f>(H34+H42)*G53</f>
        <v>103.51870666666666</v>
      </c>
      <c r="K53" s="151"/>
    </row>
    <row r="54" spans="1:11" x14ac:dyDescent="0.3">
      <c r="A54" s="374" t="s">
        <v>74</v>
      </c>
      <c r="B54" s="375"/>
      <c r="C54" s="375"/>
      <c r="D54" s="375"/>
      <c r="E54" s="375"/>
      <c r="F54" s="376"/>
      <c r="G54" s="35">
        <v>0.36800000000000005</v>
      </c>
      <c r="H54" s="36">
        <f>SUM(H46:H53)</f>
        <v>476.18605066666669</v>
      </c>
      <c r="K54" s="152"/>
    </row>
    <row r="55" spans="1:11" x14ac:dyDescent="0.3">
      <c r="A55" s="404" t="s">
        <v>99</v>
      </c>
      <c r="B55" s="405"/>
      <c r="C55" s="405"/>
      <c r="D55" s="405"/>
      <c r="E55" s="405"/>
      <c r="F55" s="405"/>
      <c r="G55" s="405"/>
      <c r="H55" s="405"/>
    </row>
    <row r="56" spans="1:11" x14ac:dyDescent="0.3">
      <c r="A56" s="380" t="s">
        <v>100</v>
      </c>
      <c r="B56" s="381"/>
      <c r="C56" s="381"/>
      <c r="D56" s="381"/>
      <c r="E56" s="381"/>
      <c r="F56" s="381"/>
      <c r="G56" s="381"/>
      <c r="H56" s="382"/>
    </row>
    <row r="57" spans="1:11" x14ac:dyDescent="0.3">
      <c r="A57" s="136" t="s">
        <v>101</v>
      </c>
      <c r="B57" s="374" t="s">
        <v>102</v>
      </c>
      <c r="C57" s="375"/>
      <c r="D57" s="375"/>
      <c r="E57" s="375"/>
      <c r="F57" s="375"/>
      <c r="G57" s="376"/>
      <c r="H57" s="143" t="s">
        <v>65</v>
      </c>
    </row>
    <row r="58" spans="1:11" x14ac:dyDescent="0.3">
      <c r="A58" s="39" t="s">
        <v>39</v>
      </c>
      <c r="B58" s="377" t="s">
        <v>103</v>
      </c>
      <c r="C58" s="378"/>
      <c r="D58" s="378"/>
      <c r="E58" s="378"/>
      <c r="F58" s="378"/>
      <c r="G58" s="379"/>
      <c r="H58" s="101">
        <f>(22*2*'1#IDENTIFICAÇÃO'!B48)-(H34*6%)</f>
        <v>117.28</v>
      </c>
    </row>
    <row r="59" spans="1:11" x14ac:dyDescent="0.3">
      <c r="A59" s="39" t="s">
        <v>41</v>
      </c>
      <c r="B59" s="377" t="s">
        <v>104</v>
      </c>
      <c r="C59" s="378"/>
      <c r="D59" s="378"/>
      <c r="E59" s="378"/>
      <c r="F59" s="378"/>
      <c r="G59" s="379"/>
      <c r="H59" s="101">
        <f>'1#IDENTIFICAÇÃO'!G57</f>
        <v>312.66399999999999</v>
      </c>
    </row>
    <row r="60" spans="1:11" x14ac:dyDescent="0.3">
      <c r="A60" s="39" t="s">
        <v>44</v>
      </c>
      <c r="B60" s="377" t="s">
        <v>105</v>
      </c>
      <c r="C60" s="378"/>
      <c r="D60" s="378"/>
      <c r="E60" s="378"/>
      <c r="F60" s="378"/>
      <c r="G60" s="379"/>
      <c r="H60" s="101">
        <f>'1#IDENTIFICAÇÃO'!M64</f>
        <v>7</v>
      </c>
    </row>
    <row r="61" spans="1:11" x14ac:dyDescent="0.3">
      <c r="A61" s="39" t="s">
        <v>46</v>
      </c>
      <c r="B61" s="365" t="s">
        <v>106</v>
      </c>
      <c r="C61" s="366"/>
      <c r="D61" s="366"/>
      <c r="E61" s="366"/>
      <c r="F61" s="366"/>
      <c r="G61" s="367"/>
      <c r="H61" s="101">
        <f>'1#IDENTIFICAÇÃO'!M65</f>
        <v>2.54</v>
      </c>
    </row>
    <row r="62" spans="1:11" x14ac:dyDescent="0.3">
      <c r="A62" s="374" t="s">
        <v>107</v>
      </c>
      <c r="B62" s="375"/>
      <c r="C62" s="375"/>
      <c r="D62" s="375"/>
      <c r="E62" s="375"/>
      <c r="F62" s="375"/>
      <c r="G62" s="41"/>
      <c r="H62" s="36">
        <f>SUM(H58:H61)</f>
        <v>439.48399999999998</v>
      </c>
    </row>
    <row r="63" spans="1:11" ht="75" customHeight="1" x14ac:dyDescent="0.3">
      <c r="A63" s="398" t="s">
        <v>108</v>
      </c>
      <c r="B63" s="366"/>
      <c r="C63" s="366"/>
      <c r="D63" s="366"/>
      <c r="E63" s="366"/>
      <c r="F63" s="366"/>
      <c r="G63" s="366"/>
      <c r="H63" s="367"/>
    </row>
    <row r="64" spans="1:11" x14ac:dyDescent="0.3">
      <c r="A64" s="380" t="s">
        <v>109</v>
      </c>
      <c r="B64" s="381"/>
      <c r="C64" s="381"/>
      <c r="D64" s="381"/>
      <c r="E64" s="381"/>
      <c r="F64" s="381"/>
      <c r="G64" s="381"/>
      <c r="H64" s="382"/>
    </row>
    <row r="65" spans="1:8" x14ac:dyDescent="0.3">
      <c r="A65" s="34" t="s">
        <v>39</v>
      </c>
      <c r="B65" s="365" t="s">
        <v>110</v>
      </c>
      <c r="C65" s="366"/>
      <c r="D65" s="366"/>
      <c r="E65" s="366"/>
      <c r="F65" s="366"/>
      <c r="G65" s="367"/>
      <c r="H65" s="40">
        <f>H42</f>
        <v>131.98383333333334</v>
      </c>
    </row>
    <row r="66" spans="1:8" x14ac:dyDescent="0.3">
      <c r="A66" s="34" t="s">
        <v>41</v>
      </c>
      <c r="B66" s="398" t="s">
        <v>84</v>
      </c>
      <c r="C66" s="432"/>
      <c r="D66" s="432"/>
      <c r="E66" s="432"/>
      <c r="F66" s="432"/>
      <c r="G66" s="433"/>
      <c r="H66" s="40">
        <f>H54</f>
        <v>476.18605066666669</v>
      </c>
    </row>
    <row r="67" spans="1:8" x14ac:dyDescent="0.3">
      <c r="A67" s="34" t="s">
        <v>44</v>
      </c>
      <c r="B67" s="365" t="s">
        <v>100</v>
      </c>
      <c r="C67" s="366"/>
      <c r="D67" s="366"/>
      <c r="E67" s="366"/>
      <c r="F67" s="366"/>
      <c r="G67" s="367"/>
      <c r="H67" s="40">
        <f>H62</f>
        <v>439.48399999999998</v>
      </c>
    </row>
    <row r="68" spans="1:8" x14ac:dyDescent="0.3">
      <c r="A68" s="380" t="s">
        <v>74</v>
      </c>
      <c r="B68" s="381"/>
      <c r="C68" s="381"/>
      <c r="D68" s="381"/>
      <c r="E68" s="381"/>
      <c r="F68" s="381"/>
      <c r="G68" s="382"/>
      <c r="H68" s="72">
        <f>SUM(H65:H67)</f>
        <v>1047.6538840000001</v>
      </c>
    </row>
    <row r="69" spans="1:8" x14ac:dyDescent="0.3">
      <c r="A69" s="142"/>
      <c r="B69" s="141"/>
      <c r="C69" s="141"/>
      <c r="D69" s="141"/>
      <c r="E69" s="141"/>
      <c r="F69" s="141"/>
      <c r="G69" s="141"/>
      <c r="H69" s="141"/>
    </row>
    <row r="70" spans="1:8" x14ac:dyDescent="0.3">
      <c r="A70" s="380" t="s">
        <v>111</v>
      </c>
      <c r="B70" s="381"/>
      <c r="C70" s="381"/>
      <c r="D70" s="381"/>
      <c r="E70" s="381"/>
      <c r="F70" s="381"/>
      <c r="G70" s="381"/>
      <c r="H70" s="382"/>
    </row>
    <row r="71" spans="1:8" x14ac:dyDescent="0.3">
      <c r="A71" s="138">
        <v>3</v>
      </c>
      <c r="B71" s="42" t="s">
        <v>112</v>
      </c>
      <c r="C71" s="43"/>
      <c r="D71" s="43"/>
      <c r="E71" s="43"/>
      <c r="F71" s="43"/>
      <c r="G71" s="28" t="s">
        <v>80</v>
      </c>
      <c r="H71" s="34" t="s">
        <v>65</v>
      </c>
    </row>
    <row r="72" spans="1:8" ht="16.8" customHeight="1" x14ac:dyDescent="0.3">
      <c r="A72" s="11" t="s">
        <v>39</v>
      </c>
      <c r="B72" s="406" t="s">
        <v>113</v>
      </c>
      <c r="C72" s="407"/>
      <c r="D72" s="407"/>
      <c r="E72" s="407"/>
      <c r="F72" s="408"/>
      <c r="G72" s="44">
        <v>4.6249999999999998E-3</v>
      </c>
      <c r="H72" s="45">
        <f>H34*G72</f>
        <v>5.37425</v>
      </c>
    </row>
    <row r="73" spans="1:8" x14ac:dyDescent="0.3">
      <c r="A73" s="11" t="s">
        <v>41</v>
      </c>
      <c r="B73" s="406" t="s">
        <v>114</v>
      </c>
      <c r="C73" s="407"/>
      <c r="D73" s="407"/>
      <c r="E73" s="407"/>
      <c r="F73" s="408"/>
      <c r="G73" s="44">
        <v>3.6999999999999999E-4</v>
      </c>
      <c r="H73" s="45">
        <f>H34*G73</f>
        <v>0.42993999999999999</v>
      </c>
    </row>
    <row r="74" spans="1:8" ht="41.4" customHeight="1" x14ac:dyDescent="0.3">
      <c r="A74" s="11" t="s">
        <v>46</v>
      </c>
      <c r="B74" s="406" t="s">
        <v>115</v>
      </c>
      <c r="C74" s="407"/>
      <c r="D74" s="407"/>
      <c r="E74" s="407"/>
      <c r="F74" s="408"/>
      <c r="G74" s="44">
        <v>1.9400000000000001E-2</v>
      </c>
      <c r="H74" s="45">
        <f>H34*G74</f>
        <v>22.5428</v>
      </c>
    </row>
    <row r="75" spans="1:8" x14ac:dyDescent="0.3">
      <c r="A75" s="11" t="s">
        <v>70</v>
      </c>
      <c r="B75" s="406" t="s">
        <v>116</v>
      </c>
      <c r="C75" s="407"/>
      <c r="D75" s="407"/>
      <c r="E75" s="407"/>
      <c r="F75" s="408"/>
      <c r="G75" s="44">
        <v>7.1392000000000009E-3</v>
      </c>
      <c r="H75" s="45">
        <f>H34*G75</f>
        <v>8.2957504000000011</v>
      </c>
    </row>
    <row r="76" spans="1:8" ht="57" customHeight="1" x14ac:dyDescent="0.3">
      <c r="A76" s="11" t="s">
        <v>72</v>
      </c>
      <c r="B76" s="434" t="s">
        <v>117</v>
      </c>
      <c r="C76" s="435"/>
      <c r="D76" s="435"/>
      <c r="E76" s="435"/>
      <c r="F76" s="436"/>
      <c r="G76" s="49">
        <v>0.04</v>
      </c>
      <c r="H76" s="45">
        <f>H34*G76</f>
        <v>46.480000000000004</v>
      </c>
    </row>
    <row r="77" spans="1:8" x14ac:dyDescent="0.3">
      <c r="A77" s="374" t="s">
        <v>74</v>
      </c>
      <c r="B77" s="375"/>
      <c r="C77" s="375"/>
      <c r="D77" s="375"/>
      <c r="E77" s="375"/>
      <c r="F77" s="376"/>
      <c r="G77" s="35"/>
      <c r="H77" s="36">
        <f>SUM(H72:H76)</f>
        <v>83.122740399999998</v>
      </c>
    </row>
    <row r="78" spans="1:8" x14ac:dyDescent="0.3">
      <c r="A78" s="46"/>
      <c r="B78" s="47"/>
      <c r="C78" s="47"/>
      <c r="D78" s="372"/>
      <c r="E78" s="372"/>
      <c r="F78" s="372"/>
      <c r="G78" s="372"/>
      <c r="H78" s="372"/>
    </row>
    <row r="79" spans="1:8" x14ac:dyDescent="0.3">
      <c r="A79" s="380" t="s">
        <v>118</v>
      </c>
      <c r="B79" s="381"/>
      <c r="C79" s="381"/>
      <c r="D79" s="381"/>
      <c r="E79" s="381"/>
      <c r="F79" s="381"/>
      <c r="G79" s="381"/>
      <c r="H79" s="382"/>
    </row>
    <row r="80" spans="1:8" ht="44.4" customHeight="1" x14ac:dyDescent="0.3">
      <c r="A80" s="437" t="s">
        <v>119</v>
      </c>
      <c r="B80" s="438"/>
      <c r="C80" s="438"/>
      <c r="D80" s="438"/>
      <c r="E80" s="438"/>
      <c r="F80" s="438"/>
      <c r="G80" s="438"/>
      <c r="H80" s="439"/>
    </row>
    <row r="81" spans="1:8" x14ac:dyDescent="0.3">
      <c r="A81" s="440" t="s">
        <v>120</v>
      </c>
      <c r="B81" s="440"/>
      <c r="C81" s="440"/>
      <c r="D81" s="440"/>
      <c r="E81" s="440"/>
      <c r="F81" s="440"/>
      <c r="G81" s="440"/>
      <c r="H81" s="440"/>
    </row>
    <row r="82" spans="1:8" x14ac:dyDescent="0.3">
      <c r="A82" s="139" t="s">
        <v>121</v>
      </c>
      <c r="B82" s="380" t="s">
        <v>122</v>
      </c>
      <c r="C82" s="381"/>
      <c r="D82" s="381"/>
      <c r="E82" s="381"/>
      <c r="F82" s="382"/>
      <c r="G82" s="48" t="s">
        <v>80</v>
      </c>
      <c r="H82" s="23" t="s">
        <v>65</v>
      </c>
    </row>
    <row r="83" spans="1:8" ht="28.2" customHeight="1" x14ac:dyDescent="0.3">
      <c r="A83" s="11" t="s">
        <v>39</v>
      </c>
      <c r="B83" s="398" t="s">
        <v>123</v>
      </c>
      <c r="C83" s="432"/>
      <c r="D83" s="432"/>
      <c r="E83" s="432"/>
      <c r="F83" s="433"/>
      <c r="G83" s="64">
        <v>9.0749999999999997E-2</v>
      </c>
      <c r="H83" s="102">
        <f>G83*(SUM($H$34,$H$42,$H$54,$H$60,$H$61,$H$77))</f>
        <v>169.0520606643</v>
      </c>
    </row>
    <row r="84" spans="1:8" ht="45" customHeight="1" x14ac:dyDescent="0.3">
      <c r="A84" s="11" t="s">
        <v>41</v>
      </c>
      <c r="B84" s="406" t="s">
        <v>124</v>
      </c>
      <c r="C84" s="407"/>
      <c r="D84" s="407"/>
      <c r="E84" s="407"/>
      <c r="F84" s="408"/>
      <c r="G84" s="62">
        <v>1.6299999999999999E-2</v>
      </c>
      <c r="H84" s="102">
        <f>G84*(SUM($H$34,$H$42,$H$54,$H$60,$H$61,$H$77))</f>
        <v>30.364171777719996</v>
      </c>
    </row>
    <row r="85" spans="1:8" ht="39.6" customHeight="1" x14ac:dyDescent="0.3">
      <c r="A85" s="11" t="s">
        <v>44</v>
      </c>
      <c r="B85" s="406" t="s">
        <v>125</v>
      </c>
      <c r="C85" s="407"/>
      <c r="D85" s="407"/>
      <c r="E85" s="407"/>
      <c r="F85" s="408"/>
      <c r="G85" s="62">
        <v>2.0000000000000001E-4</v>
      </c>
      <c r="H85" s="102">
        <f t="shared" ref="H85" si="0">G85*(SUM($H$34,$H$42,$H$54,$H$60,$H$61,$H$77))</f>
        <v>0.37256652488000003</v>
      </c>
    </row>
    <row r="86" spans="1:8" ht="38.4" customHeight="1" x14ac:dyDescent="0.3">
      <c r="A86" s="11" t="s">
        <v>46</v>
      </c>
      <c r="B86" s="406" t="s">
        <v>126</v>
      </c>
      <c r="C86" s="407"/>
      <c r="D86" s="407"/>
      <c r="E86" s="407"/>
      <c r="F86" s="408"/>
      <c r="G86" s="62">
        <v>3.3E-3</v>
      </c>
      <c r="H86" s="102">
        <f>G86*(SUM($H$34,$H$42,$H$54,$H$60,$H$61,$H$77))</f>
        <v>6.1473476605199995</v>
      </c>
    </row>
    <row r="87" spans="1:8" ht="43.2" customHeight="1" x14ac:dyDescent="0.3">
      <c r="A87" s="11" t="s">
        <v>70</v>
      </c>
      <c r="B87" s="406" t="s">
        <v>127</v>
      </c>
      <c r="C87" s="407"/>
      <c r="D87" s="407"/>
      <c r="E87" s="407"/>
      <c r="F87" s="408"/>
      <c r="G87" s="89">
        <v>5.5000000000000003E-4</v>
      </c>
      <c r="H87" s="102">
        <f>G87*(SUM($H$34,$H$42,$H$54,$H$60,$H$61,$H$77))</f>
        <v>1.0245579434200001</v>
      </c>
    </row>
    <row r="88" spans="1:8" x14ac:dyDescent="0.3">
      <c r="A88" s="11" t="s">
        <v>72</v>
      </c>
      <c r="B88" s="407" t="s">
        <v>128</v>
      </c>
      <c r="C88" s="407"/>
      <c r="D88" s="407"/>
      <c r="E88" s="407"/>
      <c r="F88" s="408"/>
      <c r="G88" s="62">
        <v>0</v>
      </c>
      <c r="H88" s="102">
        <v>0</v>
      </c>
    </row>
    <row r="89" spans="1:8" x14ac:dyDescent="0.3">
      <c r="A89" s="441" t="s">
        <v>74</v>
      </c>
      <c r="B89" s="441"/>
      <c r="C89" s="441"/>
      <c r="D89" s="441"/>
      <c r="E89" s="441"/>
      <c r="F89" s="441"/>
      <c r="G89" s="35">
        <v>0.11109999999999999</v>
      </c>
      <c r="H89" s="50">
        <f>SUM(H83:H88)</f>
        <v>206.96070457084002</v>
      </c>
    </row>
    <row r="90" spans="1:8" x14ac:dyDescent="0.3">
      <c r="A90" s="445" t="s">
        <v>129</v>
      </c>
      <c r="B90" s="445"/>
      <c r="C90" s="445"/>
      <c r="D90" s="445"/>
      <c r="E90" s="445"/>
      <c r="F90" s="445"/>
      <c r="G90" s="445"/>
      <c r="H90" s="445"/>
    </row>
    <row r="91" spans="1:8" x14ac:dyDescent="0.3">
      <c r="A91" s="440" t="s">
        <v>130</v>
      </c>
      <c r="B91" s="440"/>
      <c r="C91" s="440"/>
      <c r="D91" s="440"/>
      <c r="E91" s="440"/>
      <c r="F91" s="440"/>
      <c r="G91" s="440"/>
      <c r="H91" s="440"/>
    </row>
    <row r="92" spans="1:8" x14ac:dyDescent="0.3">
      <c r="A92" s="139" t="s">
        <v>131</v>
      </c>
      <c r="B92" s="380" t="s">
        <v>132</v>
      </c>
      <c r="C92" s="381"/>
      <c r="D92" s="381"/>
      <c r="E92" s="381"/>
      <c r="F92" s="382"/>
      <c r="G92" s="48" t="s">
        <v>80</v>
      </c>
      <c r="H92" s="23" t="s">
        <v>65</v>
      </c>
    </row>
    <row r="93" spans="1:8" x14ac:dyDescent="0.3">
      <c r="A93" s="11" t="s">
        <v>39</v>
      </c>
      <c r="B93" s="365" t="s">
        <v>133</v>
      </c>
      <c r="C93" s="366"/>
      <c r="D93" s="366"/>
      <c r="E93" s="366"/>
      <c r="F93" s="367"/>
      <c r="G93" s="29">
        <v>0</v>
      </c>
      <c r="H93" s="102">
        <v>0</v>
      </c>
    </row>
    <row r="94" spans="1:8" x14ac:dyDescent="0.3">
      <c r="A94" s="374" t="s">
        <v>74</v>
      </c>
      <c r="B94" s="375"/>
      <c r="C94" s="375"/>
      <c r="D94" s="375"/>
      <c r="E94" s="375"/>
      <c r="F94" s="375"/>
      <c r="G94" s="376"/>
      <c r="H94" s="102">
        <v>0</v>
      </c>
    </row>
    <row r="95" spans="1:8" x14ac:dyDescent="0.3">
      <c r="A95" s="442"/>
      <c r="B95" s="443"/>
      <c r="C95" s="443"/>
      <c r="D95" s="443"/>
      <c r="E95" s="443"/>
      <c r="F95" s="443"/>
      <c r="G95" s="443"/>
      <c r="H95" s="443"/>
    </row>
    <row r="96" spans="1:8" x14ac:dyDescent="0.3">
      <c r="A96" s="444" t="s">
        <v>134</v>
      </c>
      <c r="B96" s="444"/>
      <c r="C96" s="444"/>
      <c r="D96" s="444"/>
      <c r="E96" s="444"/>
      <c r="F96" s="444"/>
      <c r="G96" s="444"/>
      <c r="H96" s="444"/>
    </row>
    <row r="97" spans="1:12" x14ac:dyDescent="0.3">
      <c r="A97" s="139">
        <v>4</v>
      </c>
      <c r="B97" s="380" t="s">
        <v>135</v>
      </c>
      <c r="C97" s="381"/>
      <c r="D97" s="381"/>
      <c r="E97" s="381"/>
      <c r="F97" s="381"/>
      <c r="G97" s="382"/>
      <c r="H97" s="23" t="s">
        <v>65</v>
      </c>
    </row>
    <row r="98" spans="1:12" x14ac:dyDescent="0.3">
      <c r="A98" s="11" t="s">
        <v>39</v>
      </c>
      <c r="B98" s="365" t="s">
        <v>136</v>
      </c>
      <c r="C98" s="366"/>
      <c r="D98" s="366"/>
      <c r="E98" s="366"/>
      <c r="F98" s="366"/>
      <c r="G98" s="367"/>
      <c r="H98" s="102">
        <f>H89</f>
        <v>206.96070457084002</v>
      </c>
    </row>
    <row r="99" spans="1:12" x14ac:dyDescent="0.3">
      <c r="A99" s="11" t="s">
        <v>41</v>
      </c>
      <c r="B99" s="377" t="s">
        <v>132</v>
      </c>
      <c r="C99" s="378"/>
      <c r="D99" s="378"/>
      <c r="E99" s="378"/>
      <c r="F99" s="378"/>
      <c r="G99" s="379"/>
      <c r="H99" s="102">
        <v>0</v>
      </c>
    </row>
    <row r="100" spans="1:12" x14ac:dyDescent="0.3">
      <c r="A100" s="380" t="s">
        <v>74</v>
      </c>
      <c r="B100" s="381"/>
      <c r="C100" s="381"/>
      <c r="D100" s="381"/>
      <c r="E100" s="381"/>
      <c r="F100" s="381"/>
      <c r="G100" s="382"/>
      <c r="H100" s="73">
        <f>SUM(H98:H99)</f>
        <v>206.96070457084002</v>
      </c>
    </row>
    <row r="101" spans="1:12" x14ac:dyDescent="0.3">
      <c r="A101" s="129"/>
      <c r="B101" s="140"/>
      <c r="C101" s="140"/>
      <c r="D101" s="140"/>
      <c r="E101" s="140"/>
      <c r="F101" s="140"/>
      <c r="G101" s="140"/>
      <c r="H101" s="140"/>
    </row>
    <row r="102" spans="1:12" x14ac:dyDescent="0.3">
      <c r="A102" s="380" t="s">
        <v>137</v>
      </c>
      <c r="B102" s="381"/>
      <c r="C102" s="381"/>
      <c r="D102" s="381"/>
      <c r="E102" s="381"/>
      <c r="F102" s="381"/>
      <c r="G102" s="381"/>
      <c r="H102" s="382"/>
    </row>
    <row r="103" spans="1:12" x14ac:dyDescent="0.3">
      <c r="A103" s="51">
        <v>5</v>
      </c>
      <c r="B103" s="374" t="s">
        <v>138</v>
      </c>
      <c r="C103" s="375"/>
      <c r="D103" s="375"/>
      <c r="E103" s="375"/>
      <c r="F103" s="375"/>
      <c r="G103" s="376"/>
      <c r="H103" s="138" t="s">
        <v>65</v>
      </c>
    </row>
    <row r="104" spans="1:12" x14ac:dyDescent="0.3">
      <c r="A104" s="11" t="s">
        <v>39</v>
      </c>
      <c r="B104" s="377" t="s">
        <v>139</v>
      </c>
      <c r="C104" s="378"/>
      <c r="D104" s="378"/>
      <c r="E104" s="378"/>
      <c r="F104" s="378"/>
      <c r="G104" s="379"/>
      <c r="H104" s="85">
        <f>'1#IDENTIFICAÇÃO'!J76</f>
        <v>28.403333333333336</v>
      </c>
    </row>
    <row r="105" spans="1:12" x14ac:dyDescent="0.3">
      <c r="A105" s="11" t="s">
        <v>41</v>
      </c>
      <c r="B105" s="365" t="s">
        <v>140</v>
      </c>
      <c r="C105" s="366"/>
      <c r="D105" s="366"/>
      <c r="E105" s="366"/>
      <c r="F105" s="366"/>
      <c r="G105" s="367"/>
      <c r="H105" s="85">
        <f>'1#IDENTIFICAÇÃO'!J82</f>
        <v>1.78</v>
      </c>
    </row>
    <row r="106" spans="1:12" x14ac:dyDescent="0.3">
      <c r="A106" s="11" t="s">
        <v>44</v>
      </c>
      <c r="B106" s="197" t="s">
        <v>339</v>
      </c>
      <c r="C106" s="197"/>
      <c r="D106" s="197"/>
      <c r="E106" s="197"/>
      <c r="F106" s="197"/>
      <c r="G106" s="198"/>
      <c r="H106" s="85">
        <f>'1#IDENTIFICAÇÃO'!Q136/G14</f>
        <v>826.55833333333339</v>
      </c>
    </row>
    <row r="107" spans="1:12" x14ac:dyDescent="0.3">
      <c r="A107" s="11" t="s">
        <v>46</v>
      </c>
      <c r="B107" s="197" t="s">
        <v>340</v>
      </c>
      <c r="C107" s="197"/>
      <c r="D107" s="197"/>
      <c r="E107" s="197"/>
      <c r="F107" s="197"/>
      <c r="G107" s="198"/>
      <c r="H107" s="85" cm="1">
        <f t="array" ref="H107:L107">'1#IDENTIFICAÇÃO'!M148:Q148</f>
        <v>47.598166666666664</v>
      </c>
      <c r="I107" s="97">
        <v>0</v>
      </c>
      <c r="J107" s="97">
        <v>0</v>
      </c>
      <c r="K107" s="97">
        <v>0</v>
      </c>
      <c r="L107" s="97">
        <v>0</v>
      </c>
    </row>
    <row r="108" spans="1:12" x14ac:dyDescent="0.3">
      <c r="A108" s="380" t="s">
        <v>107</v>
      </c>
      <c r="B108" s="381"/>
      <c r="C108" s="381"/>
      <c r="D108" s="381"/>
      <c r="E108" s="381"/>
      <c r="F108" s="381"/>
      <c r="G108" s="382"/>
      <c r="H108" s="52">
        <f>SUM(H104:H107)</f>
        <v>904.33983333333344</v>
      </c>
    </row>
    <row r="109" spans="1:12" x14ac:dyDescent="0.3">
      <c r="A109" s="365" t="s">
        <v>141</v>
      </c>
      <c r="B109" s="366"/>
      <c r="C109" s="366"/>
      <c r="D109" s="366"/>
      <c r="E109" s="366"/>
      <c r="F109" s="366"/>
      <c r="G109" s="366"/>
      <c r="H109" s="366"/>
    </row>
    <row r="110" spans="1:12" x14ac:dyDescent="0.3">
      <c r="A110" s="380" t="s">
        <v>142</v>
      </c>
      <c r="B110" s="381"/>
      <c r="C110" s="381"/>
      <c r="D110" s="381"/>
      <c r="E110" s="381"/>
      <c r="F110" s="381"/>
      <c r="G110" s="381"/>
      <c r="H110" s="382"/>
    </row>
    <row r="111" spans="1:12" x14ac:dyDescent="0.3">
      <c r="A111" s="138">
        <v>6</v>
      </c>
      <c r="B111" s="374" t="s">
        <v>143</v>
      </c>
      <c r="C111" s="375"/>
      <c r="D111" s="375"/>
      <c r="E111" s="375"/>
      <c r="F111" s="376"/>
      <c r="G111" s="28" t="s">
        <v>80</v>
      </c>
      <c r="H111" s="55" t="s">
        <v>144</v>
      </c>
    </row>
    <row r="112" spans="1:12" x14ac:dyDescent="0.3">
      <c r="A112" s="56" t="s">
        <v>39</v>
      </c>
      <c r="B112" s="446" t="s">
        <v>145</v>
      </c>
      <c r="C112" s="447"/>
      <c r="D112" s="447"/>
      <c r="E112" s="447"/>
      <c r="F112" s="448"/>
      <c r="G112" s="84">
        <f>'1#IDENTIFICAÇÃO'!C156</f>
        <v>0.03</v>
      </c>
      <c r="H112" s="98">
        <f>(H34+H68+H77+H100+H108)*G112</f>
        <v>102.1223148691252</v>
      </c>
    </row>
    <row r="113" spans="1:11" x14ac:dyDescent="0.3">
      <c r="A113" s="56" t="s">
        <v>41</v>
      </c>
      <c r="B113" s="446" t="s">
        <v>146</v>
      </c>
      <c r="C113" s="447"/>
      <c r="D113" s="447"/>
      <c r="E113" s="447"/>
      <c r="F113" s="448"/>
      <c r="G113" s="84">
        <f>'1#IDENTIFICAÇÃO'!C161</f>
        <v>6.7900000000000002E-2</v>
      </c>
      <c r="H113" s="98">
        <f>(H34+H68+H77+H100+H108+H112)*G113</f>
        <v>238.07094450006701</v>
      </c>
    </row>
    <row r="114" spans="1:11" x14ac:dyDescent="0.3">
      <c r="A114" s="56" t="s">
        <v>44</v>
      </c>
      <c r="B114" s="449" t="s">
        <v>147</v>
      </c>
      <c r="C114" s="450"/>
      <c r="D114" s="450"/>
      <c r="E114" s="450"/>
      <c r="F114" s="450"/>
      <c r="G114" s="451"/>
      <c r="H114" s="99"/>
    </row>
    <row r="115" spans="1:11" x14ac:dyDescent="0.3">
      <c r="A115" s="56"/>
      <c r="B115" s="452" t="s">
        <v>148</v>
      </c>
      <c r="C115" s="453"/>
      <c r="D115" s="453"/>
      <c r="E115" s="453"/>
      <c r="F115" s="453"/>
      <c r="G115" s="454"/>
      <c r="H115" s="99"/>
    </row>
    <row r="116" spans="1:11" x14ac:dyDescent="0.3">
      <c r="A116" s="56"/>
      <c r="B116" s="446" t="s">
        <v>149</v>
      </c>
      <c r="C116" s="447"/>
      <c r="D116" s="447"/>
      <c r="E116" s="447"/>
      <c r="F116" s="448"/>
      <c r="G116" s="87">
        <v>1.6500000000000001E-2</v>
      </c>
      <c r="H116" s="99">
        <f>SUM($H$34,$H$68,$H$77,$H$100,$H$108,$H$112,$H$113)/(1-$G$121)*G116</f>
        <v>72.047185956397129</v>
      </c>
    </row>
    <row r="117" spans="1:11" x14ac:dyDescent="0.3">
      <c r="A117" s="56"/>
      <c r="B117" s="446" t="s">
        <v>150</v>
      </c>
      <c r="C117" s="447"/>
      <c r="D117" s="447"/>
      <c r="E117" s="447"/>
      <c r="F117" s="448"/>
      <c r="G117" s="84">
        <v>7.5999999999999998E-2</v>
      </c>
      <c r="H117" s="99">
        <f>SUM($H$34,$H$68,$H$77,$H$100,$H$108,$H$112,$H$113)/(1-$G$121)*G117</f>
        <v>331.85370501128375</v>
      </c>
    </row>
    <row r="118" spans="1:11" x14ac:dyDescent="0.3">
      <c r="A118" s="56"/>
      <c r="B118" s="449" t="s">
        <v>151</v>
      </c>
      <c r="C118" s="450"/>
      <c r="D118" s="450"/>
      <c r="E118" s="450"/>
      <c r="F118" s="450"/>
      <c r="G118" s="451"/>
      <c r="H118" s="99"/>
    </row>
    <row r="119" spans="1:11" x14ac:dyDescent="0.3">
      <c r="A119" s="56"/>
      <c r="B119" s="455" t="s">
        <v>152</v>
      </c>
      <c r="C119" s="456"/>
      <c r="D119" s="456"/>
      <c r="E119" s="456"/>
      <c r="F119" s="456"/>
      <c r="G119" s="457"/>
      <c r="H119" s="99"/>
    </row>
    <row r="120" spans="1:11" x14ac:dyDescent="0.3">
      <c r="A120" s="56"/>
      <c r="B120" s="446" t="s">
        <v>153</v>
      </c>
      <c r="C120" s="447"/>
      <c r="D120" s="447"/>
      <c r="E120" s="447"/>
      <c r="F120" s="448"/>
      <c r="G120" s="84">
        <f>'1#IDENTIFICAÇÃO'!C166</f>
        <v>0.05</v>
      </c>
      <c r="H120" s="99">
        <f>SUM($H$34,$H$68,$H$77,$H$100,$H$108,$H$112,$H$113)/(1-$G$121)*G120</f>
        <v>218.32480592847617</v>
      </c>
    </row>
    <row r="121" spans="1:11" x14ac:dyDescent="0.3">
      <c r="A121" s="458"/>
      <c r="B121" s="459"/>
      <c r="C121" s="459"/>
      <c r="D121" s="459"/>
      <c r="E121" s="459"/>
      <c r="F121" s="460"/>
      <c r="G121" s="63">
        <f>G116+G117+G120</f>
        <v>0.14250000000000002</v>
      </c>
      <c r="H121" s="99"/>
    </row>
    <row r="122" spans="1:11" x14ac:dyDescent="0.3">
      <c r="A122" s="465" t="s">
        <v>107</v>
      </c>
      <c r="B122" s="466"/>
      <c r="C122" s="466"/>
      <c r="D122" s="466"/>
      <c r="E122" s="466"/>
      <c r="F122" s="467"/>
      <c r="G122" s="74">
        <f>G112+G113+G121</f>
        <v>0.2404</v>
      </c>
      <c r="H122" s="75">
        <f>SUM(H112:H121)</f>
        <v>962.41895626534927</v>
      </c>
    </row>
    <row r="123" spans="1:11" ht="44.4" customHeight="1" x14ac:dyDescent="0.3">
      <c r="A123" s="398" t="s">
        <v>154</v>
      </c>
      <c r="B123" s="366"/>
      <c r="C123" s="366"/>
      <c r="D123" s="366"/>
      <c r="E123" s="366"/>
      <c r="F123" s="366"/>
      <c r="G123" s="366"/>
      <c r="H123" s="367"/>
    </row>
    <row r="124" spans="1:11" x14ac:dyDescent="0.3">
      <c r="A124" s="380" t="s">
        <v>155</v>
      </c>
      <c r="B124" s="381"/>
      <c r="C124" s="381"/>
      <c r="D124" s="381"/>
      <c r="E124" s="381"/>
      <c r="F124" s="381"/>
      <c r="G124" s="381"/>
      <c r="H124" s="382"/>
    </row>
    <row r="125" spans="1:11" x14ac:dyDescent="0.3">
      <c r="A125" s="59" t="s">
        <v>39</v>
      </c>
      <c r="B125" s="377" t="s">
        <v>156</v>
      </c>
      <c r="C125" s="378"/>
      <c r="D125" s="378"/>
      <c r="E125" s="378"/>
      <c r="F125" s="378"/>
      <c r="G125" s="379"/>
      <c r="H125" s="100">
        <f>H34</f>
        <v>1162</v>
      </c>
      <c r="K125" s="151"/>
    </row>
    <row r="126" spans="1:11" x14ac:dyDescent="0.3">
      <c r="A126" s="59" t="s">
        <v>41</v>
      </c>
      <c r="B126" s="377" t="s">
        <v>157</v>
      </c>
      <c r="C126" s="378"/>
      <c r="D126" s="378"/>
      <c r="E126" s="378"/>
      <c r="F126" s="378"/>
      <c r="G126" s="379"/>
      <c r="H126" s="100">
        <f>H68</f>
        <v>1047.6538840000001</v>
      </c>
      <c r="K126" s="151"/>
    </row>
    <row r="127" spans="1:11" x14ac:dyDescent="0.3">
      <c r="A127" s="59" t="s">
        <v>44</v>
      </c>
      <c r="B127" s="377" t="s">
        <v>158</v>
      </c>
      <c r="C127" s="378"/>
      <c r="D127" s="378"/>
      <c r="E127" s="378"/>
      <c r="F127" s="378"/>
      <c r="G127" s="379"/>
      <c r="H127" s="100">
        <f>H77</f>
        <v>83.122740399999998</v>
      </c>
      <c r="K127" s="151"/>
    </row>
    <row r="128" spans="1:11" x14ac:dyDescent="0.3">
      <c r="A128" s="59" t="s">
        <v>46</v>
      </c>
      <c r="B128" s="377" t="s">
        <v>159</v>
      </c>
      <c r="C128" s="378"/>
      <c r="D128" s="378"/>
      <c r="E128" s="378"/>
      <c r="F128" s="378"/>
      <c r="G128" s="379"/>
      <c r="H128" s="100">
        <f>H100</f>
        <v>206.96070457084002</v>
      </c>
      <c r="K128" s="151"/>
    </row>
    <row r="129" spans="1:11" x14ac:dyDescent="0.3">
      <c r="A129" s="59" t="s">
        <v>70</v>
      </c>
      <c r="B129" s="377" t="s">
        <v>160</v>
      </c>
      <c r="C129" s="378"/>
      <c r="D129" s="378"/>
      <c r="E129" s="378"/>
      <c r="F129" s="378"/>
      <c r="G129" s="379"/>
      <c r="H129" s="100">
        <f>H108</f>
        <v>904.33983333333344</v>
      </c>
      <c r="K129" s="151"/>
    </row>
    <row r="130" spans="1:11" x14ac:dyDescent="0.3">
      <c r="A130" s="401" t="s">
        <v>161</v>
      </c>
      <c r="B130" s="402"/>
      <c r="C130" s="402"/>
      <c r="D130" s="402"/>
      <c r="E130" s="402"/>
      <c r="F130" s="402"/>
      <c r="G130" s="431"/>
      <c r="H130" s="60">
        <f>SUM(H125:H129)</f>
        <v>3404.0771623041737</v>
      </c>
      <c r="K130" s="153"/>
    </row>
    <row r="131" spans="1:11" x14ac:dyDescent="0.3">
      <c r="A131" s="59" t="s">
        <v>72</v>
      </c>
      <c r="B131" s="377" t="s">
        <v>162</v>
      </c>
      <c r="C131" s="378"/>
      <c r="D131" s="378"/>
      <c r="E131" s="378"/>
      <c r="F131" s="378"/>
      <c r="G131" s="379"/>
      <c r="H131" s="100">
        <f>H122</f>
        <v>962.41895626534927</v>
      </c>
      <c r="K131" s="151"/>
    </row>
    <row r="132" spans="1:11" x14ac:dyDescent="0.3">
      <c r="A132" s="461" t="s">
        <v>163</v>
      </c>
      <c r="B132" s="462"/>
      <c r="C132" s="462"/>
      <c r="D132" s="462"/>
      <c r="E132" s="462"/>
      <c r="F132" s="462"/>
      <c r="G132" s="463"/>
      <c r="H132" s="61">
        <f>SUM(H130:H131)</f>
        <v>4366.4961185695229</v>
      </c>
      <c r="K132" s="177"/>
    </row>
    <row r="133" spans="1:11" x14ac:dyDescent="0.3">
      <c r="A133" s="166"/>
      <c r="B133" s="468" t="s">
        <v>317</v>
      </c>
      <c r="C133" s="468"/>
      <c r="D133" s="468"/>
      <c r="E133" s="468"/>
      <c r="F133" s="468"/>
      <c r="G133" s="468"/>
      <c r="H133" s="181">
        <v>1</v>
      </c>
    </row>
    <row r="134" spans="1:11" x14ac:dyDescent="0.3">
      <c r="A134" s="178"/>
      <c r="B134" s="469"/>
      <c r="C134" s="469"/>
      <c r="D134" s="469"/>
      <c r="E134" s="469"/>
      <c r="F134" s="469"/>
      <c r="G134" s="469"/>
      <c r="H134" s="179"/>
    </row>
    <row r="135" spans="1:11" x14ac:dyDescent="0.3">
      <c r="A135" s="178"/>
      <c r="B135" s="469"/>
      <c r="C135" s="469"/>
      <c r="D135" s="469"/>
      <c r="E135" s="469"/>
      <c r="F135" s="469"/>
      <c r="G135" s="469"/>
      <c r="H135" s="180"/>
    </row>
    <row r="136" spans="1:11" x14ac:dyDescent="0.3">
      <c r="A136" s="464"/>
      <c r="B136" s="464"/>
      <c r="C136" s="464"/>
      <c r="D136" s="94"/>
      <c r="E136" s="95"/>
      <c r="F136" s="96"/>
      <c r="G136" s="95"/>
      <c r="H136" s="96"/>
    </row>
  </sheetData>
  <mergeCells count="141">
    <mergeCell ref="A1:H1"/>
    <mergeCell ref="A2:B2"/>
    <mergeCell ref="C2:H2"/>
    <mergeCell ref="A3:B3"/>
    <mergeCell ref="C3:H3"/>
    <mergeCell ref="A4:B4"/>
    <mergeCell ref="C4:H4"/>
    <mergeCell ref="B10:D10"/>
    <mergeCell ref="E10:H10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B105:G105"/>
    <mergeCell ref="A108:G108"/>
    <mergeCell ref="A109:H109"/>
    <mergeCell ref="A110:H110"/>
    <mergeCell ref="B111:F111"/>
    <mergeCell ref="B112:F112"/>
    <mergeCell ref="B98:G98"/>
    <mergeCell ref="B99:G99"/>
    <mergeCell ref="A100:G100"/>
    <mergeCell ref="A102:H102"/>
    <mergeCell ref="B103:G103"/>
    <mergeCell ref="B104:G104"/>
    <mergeCell ref="B119:G119"/>
    <mergeCell ref="B120:F120"/>
    <mergeCell ref="A121:F121"/>
    <mergeCell ref="A122:F122"/>
    <mergeCell ref="A123:H123"/>
    <mergeCell ref="A124:H124"/>
    <mergeCell ref="B113:F113"/>
    <mergeCell ref="B114:G114"/>
    <mergeCell ref="B115:G115"/>
    <mergeCell ref="B116:F116"/>
    <mergeCell ref="B117:F117"/>
    <mergeCell ref="B118:G118"/>
    <mergeCell ref="B131:G131"/>
    <mergeCell ref="A132:G132"/>
    <mergeCell ref="A136:C136"/>
    <mergeCell ref="B125:G125"/>
    <mergeCell ref="B126:G126"/>
    <mergeCell ref="B127:G127"/>
    <mergeCell ref="B128:G128"/>
    <mergeCell ref="B129:G129"/>
    <mergeCell ref="A130:G130"/>
    <mergeCell ref="B133:G133"/>
    <mergeCell ref="B134:G134"/>
    <mergeCell ref="B135:G13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1185-4C48-46FF-8534-E630AB81C3D6}">
  <dimension ref="A1:L136"/>
  <sheetViews>
    <sheetView topLeftCell="A43" workbookViewId="0">
      <selection activeCell="A12" sqref="A12:H12"/>
    </sheetView>
  </sheetViews>
  <sheetFormatPr defaultRowHeight="14.4" x14ac:dyDescent="0.3"/>
  <cols>
    <col min="1" max="1" width="8.88671875" style="97"/>
    <col min="2" max="2" width="27.44140625" style="97" customWidth="1"/>
    <col min="3" max="3" width="8.88671875" style="97"/>
    <col min="4" max="4" width="24.33203125" style="97" customWidth="1"/>
    <col min="5" max="5" width="10.77734375" style="97" customWidth="1"/>
    <col min="6" max="6" width="11.6640625" style="97" bestFit="1" customWidth="1"/>
    <col min="7" max="7" width="11.88671875" style="97" bestFit="1" customWidth="1"/>
    <col min="8" max="8" width="31.21875" style="97" customWidth="1"/>
    <col min="9" max="10" width="8.88671875" style="97"/>
    <col min="11" max="11" width="12" style="97" bestFit="1" customWidth="1"/>
    <col min="12" max="16384" width="8.88671875" style="97"/>
  </cols>
  <sheetData>
    <row r="1" spans="1:8" x14ac:dyDescent="0.3">
      <c r="A1" s="418" t="s">
        <v>32</v>
      </c>
      <c r="B1" s="419"/>
      <c r="C1" s="419"/>
      <c r="D1" s="419"/>
      <c r="E1" s="419"/>
      <c r="F1" s="419"/>
      <c r="G1" s="419"/>
      <c r="H1" s="420"/>
    </row>
    <row r="2" spans="1:8" x14ac:dyDescent="0.3">
      <c r="A2" s="377" t="s">
        <v>33</v>
      </c>
      <c r="B2" s="379"/>
      <c r="C2" s="377"/>
      <c r="D2" s="378"/>
      <c r="E2" s="378"/>
      <c r="F2" s="378"/>
      <c r="G2" s="378"/>
      <c r="H2" s="379"/>
    </row>
    <row r="3" spans="1:8" x14ac:dyDescent="0.3">
      <c r="A3" s="377" t="s">
        <v>34</v>
      </c>
      <c r="B3" s="379"/>
      <c r="C3" s="425"/>
      <c r="D3" s="426"/>
      <c r="E3" s="426"/>
      <c r="F3" s="426"/>
      <c r="G3" s="426"/>
      <c r="H3" s="427"/>
    </row>
    <row r="4" spans="1:8" x14ac:dyDescent="0.3">
      <c r="A4" s="377" t="s">
        <v>35</v>
      </c>
      <c r="B4" s="379"/>
      <c r="C4" s="377" t="s">
        <v>36</v>
      </c>
      <c r="D4" s="378"/>
      <c r="E4" s="378"/>
      <c r="F4" s="378"/>
      <c r="G4" s="378"/>
      <c r="H4" s="379"/>
    </row>
    <row r="5" spans="1:8" x14ac:dyDescent="0.3">
      <c r="A5" s="421" t="s">
        <v>37</v>
      </c>
      <c r="B5" s="421"/>
      <c r="C5" s="127"/>
      <c r="D5" s="127"/>
      <c r="E5" s="127"/>
      <c r="F5" s="127"/>
      <c r="G5" s="127"/>
      <c r="H5" s="128"/>
    </row>
    <row r="6" spans="1:8" x14ac:dyDescent="0.3">
      <c r="A6" s="428" t="s">
        <v>260</v>
      </c>
      <c r="B6" s="429"/>
      <c r="C6" s="429"/>
      <c r="D6" s="429"/>
      <c r="E6" s="429"/>
      <c r="F6" s="429"/>
      <c r="G6" s="429"/>
      <c r="H6" s="430"/>
    </row>
    <row r="7" spans="1:8" x14ac:dyDescent="0.3">
      <c r="A7" s="401" t="s">
        <v>38</v>
      </c>
      <c r="B7" s="402"/>
      <c r="C7" s="402"/>
      <c r="D7" s="402"/>
      <c r="E7" s="402"/>
      <c r="F7" s="402"/>
      <c r="G7" s="402"/>
      <c r="H7" s="431"/>
    </row>
    <row r="8" spans="1:8" x14ac:dyDescent="0.3">
      <c r="A8" s="10" t="s">
        <v>39</v>
      </c>
      <c r="B8" s="377" t="s">
        <v>40</v>
      </c>
      <c r="C8" s="378"/>
      <c r="D8" s="379"/>
      <c r="E8" s="422"/>
      <c r="F8" s="423"/>
      <c r="G8" s="423"/>
      <c r="H8" s="424"/>
    </row>
    <row r="9" spans="1:8" x14ac:dyDescent="0.3">
      <c r="A9" s="80" t="s">
        <v>41</v>
      </c>
      <c r="B9" s="365" t="s">
        <v>42</v>
      </c>
      <c r="C9" s="366"/>
      <c r="D9" s="367"/>
      <c r="E9" s="386" t="s">
        <v>186</v>
      </c>
      <c r="F9" s="396"/>
      <c r="G9" s="396"/>
      <c r="H9" s="387"/>
    </row>
    <row r="10" spans="1:8" ht="14.4" customHeight="1" x14ac:dyDescent="0.3">
      <c r="A10" s="80" t="s">
        <v>44</v>
      </c>
      <c r="B10" s="365" t="s">
        <v>45</v>
      </c>
      <c r="C10" s="366"/>
      <c r="D10" s="367"/>
      <c r="E10" s="368" t="s">
        <v>345</v>
      </c>
      <c r="F10" s="369"/>
      <c r="G10" s="369"/>
      <c r="H10" s="370"/>
    </row>
    <row r="11" spans="1:8" x14ac:dyDescent="0.3">
      <c r="A11" s="81" t="s">
        <v>46</v>
      </c>
      <c r="B11" s="365" t="s">
        <v>47</v>
      </c>
      <c r="C11" s="366"/>
      <c r="D11" s="367"/>
      <c r="E11" s="371">
        <v>30</v>
      </c>
      <c r="F11" s="372"/>
      <c r="G11" s="372"/>
      <c r="H11" s="373"/>
    </row>
    <row r="12" spans="1:8" x14ac:dyDescent="0.3">
      <c r="A12" s="388" t="s">
        <v>48</v>
      </c>
      <c r="B12" s="389"/>
      <c r="C12" s="389"/>
      <c r="D12" s="389"/>
      <c r="E12" s="389"/>
      <c r="F12" s="389"/>
      <c r="G12" s="389"/>
      <c r="H12" s="390"/>
    </row>
    <row r="13" spans="1:8" x14ac:dyDescent="0.3">
      <c r="A13" s="391" t="s">
        <v>49</v>
      </c>
      <c r="B13" s="392"/>
      <c r="C13" s="392"/>
      <c r="D13" s="392"/>
      <c r="E13" s="393"/>
      <c r="F13" s="82" t="s">
        <v>50</v>
      </c>
      <c r="G13" s="394" t="s">
        <v>51</v>
      </c>
      <c r="H13" s="395"/>
    </row>
    <row r="14" spans="1:8" x14ac:dyDescent="0.3">
      <c r="A14" s="386" t="s">
        <v>187</v>
      </c>
      <c r="B14" s="396"/>
      <c r="C14" s="396"/>
      <c r="D14" s="396"/>
      <c r="E14" s="387"/>
      <c r="F14" s="34" t="s">
        <v>52</v>
      </c>
      <c r="G14" s="397">
        <v>1</v>
      </c>
      <c r="H14" s="387"/>
    </row>
    <row r="15" spans="1:8" ht="68.400000000000006" customHeight="1" x14ac:dyDescent="0.3">
      <c r="A15" s="398" t="s">
        <v>53</v>
      </c>
      <c r="B15" s="366"/>
      <c r="C15" s="366"/>
      <c r="D15" s="366"/>
      <c r="E15" s="366"/>
      <c r="F15" s="366"/>
      <c r="G15" s="366"/>
      <c r="H15" s="367"/>
    </row>
    <row r="16" spans="1:8" x14ac:dyDescent="0.3">
      <c r="A16" s="371"/>
      <c r="B16" s="372"/>
      <c r="C16" s="372"/>
      <c r="D16" s="372"/>
      <c r="E16" s="372"/>
      <c r="F16" s="372"/>
      <c r="G16" s="372"/>
      <c r="H16" s="373"/>
    </row>
    <row r="17" spans="1:8" x14ac:dyDescent="0.3">
      <c r="A17" s="374" t="s">
        <v>54</v>
      </c>
      <c r="B17" s="375"/>
      <c r="C17" s="375"/>
      <c r="D17" s="375"/>
      <c r="E17" s="375"/>
      <c r="F17" s="375"/>
      <c r="G17" s="375"/>
      <c r="H17" s="376"/>
    </row>
    <row r="18" spans="1:8" x14ac:dyDescent="0.3">
      <c r="A18" s="374" t="s">
        <v>55</v>
      </c>
      <c r="B18" s="375"/>
      <c r="C18" s="375"/>
      <c r="D18" s="375"/>
      <c r="E18" s="375"/>
      <c r="F18" s="375"/>
      <c r="G18" s="375"/>
      <c r="H18" s="376"/>
    </row>
    <row r="19" spans="1:8" x14ac:dyDescent="0.3">
      <c r="A19" s="79">
        <v>1</v>
      </c>
      <c r="B19" s="365" t="s">
        <v>56</v>
      </c>
      <c r="C19" s="366"/>
      <c r="D19" s="366"/>
      <c r="E19" s="366"/>
      <c r="F19" s="367"/>
      <c r="G19" s="371" t="s">
        <v>57</v>
      </c>
      <c r="H19" s="373"/>
    </row>
    <row r="20" spans="1:8" x14ac:dyDescent="0.3">
      <c r="A20" s="79">
        <v>2</v>
      </c>
      <c r="B20" s="365" t="s">
        <v>58</v>
      </c>
      <c r="C20" s="366"/>
      <c r="D20" s="366"/>
      <c r="E20" s="366"/>
      <c r="F20" s="367"/>
      <c r="G20" s="386" t="s">
        <v>192</v>
      </c>
      <c r="H20" s="387"/>
    </row>
    <row r="21" spans="1:8" x14ac:dyDescent="0.3">
      <c r="A21" s="79">
        <v>3</v>
      </c>
      <c r="B21" s="365" t="s">
        <v>59</v>
      </c>
      <c r="C21" s="366"/>
      <c r="D21" s="366"/>
      <c r="E21" s="366"/>
      <c r="F21" s="367"/>
      <c r="G21" s="399">
        <f>'1#IDENTIFICAÇÃO'!E38</f>
        <v>1162</v>
      </c>
      <c r="H21" s="400"/>
    </row>
    <row r="22" spans="1:8" x14ac:dyDescent="0.3">
      <c r="A22" s="79">
        <v>4</v>
      </c>
      <c r="B22" s="137" t="s">
        <v>60</v>
      </c>
      <c r="C22" s="130"/>
      <c r="D22" s="130"/>
      <c r="E22" s="130"/>
      <c r="F22" s="131"/>
      <c r="G22" s="399" t="s">
        <v>187</v>
      </c>
      <c r="H22" s="400"/>
    </row>
    <row r="23" spans="1:8" x14ac:dyDescent="0.3">
      <c r="A23" s="79">
        <v>5</v>
      </c>
      <c r="B23" s="365" t="s">
        <v>61</v>
      </c>
      <c r="C23" s="366"/>
      <c r="D23" s="366"/>
      <c r="E23" s="366"/>
      <c r="F23" s="367"/>
      <c r="G23" s="413" t="s">
        <v>343</v>
      </c>
      <c r="H23" s="414"/>
    </row>
    <row r="24" spans="1:8" ht="30.6" customHeight="1" x14ac:dyDescent="0.3">
      <c r="A24" s="398" t="s">
        <v>62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13" t="s">
        <v>63</v>
      </c>
      <c r="B25" s="14"/>
      <c r="C25" s="14"/>
      <c r="D25" s="14"/>
      <c r="E25" s="14"/>
      <c r="F25" s="15"/>
      <c r="G25" s="132"/>
      <c r="H25" s="133"/>
    </row>
    <row r="26" spans="1:8" x14ac:dyDescent="0.3">
      <c r="A26" s="18"/>
      <c r="B26" s="127"/>
      <c r="C26" s="127"/>
      <c r="D26" s="127"/>
      <c r="E26" s="127"/>
      <c r="F26" s="19"/>
      <c r="G26" s="134"/>
      <c r="H26" s="135"/>
    </row>
    <row r="27" spans="1:8" x14ac:dyDescent="0.3">
      <c r="A27" s="139">
        <v>1</v>
      </c>
      <c r="B27" s="380" t="s">
        <v>64</v>
      </c>
      <c r="C27" s="381"/>
      <c r="D27" s="381"/>
      <c r="E27" s="381"/>
      <c r="F27" s="381"/>
      <c r="G27" s="382"/>
      <c r="H27" s="23" t="s">
        <v>65</v>
      </c>
    </row>
    <row r="28" spans="1:8" x14ac:dyDescent="0.3">
      <c r="A28" s="24" t="s">
        <v>39</v>
      </c>
      <c r="B28" s="403" t="s">
        <v>66</v>
      </c>
      <c r="C28" s="384"/>
      <c r="D28" s="384"/>
      <c r="E28" s="384"/>
      <c r="F28" s="384"/>
      <c r="G28" s="385"/>
      <c r="H28" s="86">
        <f>G21</f>
        <v>1162</v>
      </c>
    </row>
    <row r="29" spans="1:8" x14ac:dyDescent="0.3">
      <c r="A29" s="24" t="s">
        <v>41</v>
      </c>
      <c r="B29" s="403" t="s">
        <v>67</v>
      </c>
      <c r="C29" s="384"/>
      <c r="D29" s="384"/>
      <c r="E29" s="384"/>
      <c r="F29" s="384"/>
      <c r="G29" s="385"/>
      <c r="H29" s="88"/>
    </row>
    <row r="30" spans="1:8" x14ac:dyDescent="0.3">
      <c r="A30" s="24" t="s">
        <v>44</v>
      </c>
      <c r="B30" s="403" t="s">
        <v>68</v>
      </c>
      <c r="C30" s="384"/>
      <c r="D30" s="384"/>
      <c r="E30" s="384"/>
      <c r="F30" s="384"/>
      <c r="G30" s="385"/>
      <c r="H30" s="25"/>
    </row>
    <row r="31" spans="1:8" x14ac:dyDescent="0.3">
      <c r="A31" s="24" t="s">
        <v>46</v>
      </c>
      <c r="B31" s="403" t="s">
        <v>69</v>
      </c>
      <c r="C31" s="384"/>
      <c r="D31" s="384"/>
      <c r="E31" s="384"/>
      <c r="F31" s="384"/>
      <c r="G31" s="385"/>
      <c r="H31" s="25"/>
    </row>
    <row r="32" spans="1:8" x14ac:dyDescent="0.3">
      <c r="A32" s="24" t="s">
        <v>70</v>
      </c>
      <c r="B32" s="403" t="s">
        <v>71</v>
      </c>
      <c r="C32" s="384"/>
      <c r="D32" s="384"/>
      <c r="E32" s="384"/>
      <c r="F32" s="384"/>
      <c r="G32" s="385"/>
      <c r="H32" s="25"/>
    </row>
    <row r="33" spans="1:11" x14ac:dyDescent="0.3">
      <c r="A33" s="24" t="s">
        <v>72</v>
      </c>
      <c r="B33" s="403" t="s">
        <v>73</v>
      </c>
      <c r="C33" s="384"/>
      <c r="D33" s="384"/>
      <c r="E33" s="384"/>
      <c r="F33" s="384"/>
      <c r="G33" s="385"/>
      <c r="H33" s="25"/>
    </row>
    <row r="34" spans="1:11" x14ac:dyDescent="0.3">
      <c r="A34" s="415" t="s">
        <v>74</v>
      </c>
      <c r="B34" s="416"/>
      <c r="C34" s="416"/>
      <c r="D34" s="416"/>
      <c r="E34" s="416"/>
      <c r="F34" s="416"/>
      <c r="G34" s="417"/>
      <c r="H34" s="26">
        <f>SUM(H28:H33)</f>
        <v>1162</v>
      </c>
    </row>
    <row r="35" spans="1:11" x14ac:dyDescent="0.3">
      <c r="A35" s="403" t="s">
        <v>75</v>
      </c>
      <c r="B35" s="384"/>
      <c r="C35" s="384"/>
      <c r="D35" s="384"/>
      <c r="E35" s="384"/>
      <c r="F35" s="384"/>
      <c r="G35" s="384"/>
      <c r="H35" s="385"/>
    </row>
    <row r="36" spans="1:11" x14ac:dyDescent="0.3">
      <c r="A36" s="380" t="s">
        <v>76</v>
      </c>
      <c r="B36" s="381"/>
      <c r="C36" s="381"/>
      <c r="D36" s="381"/>
      <c r="E36" s="381"/>
      <c r="F36" s="381"/>
      <c r="G36" s="381"/>
      <c r="H36" s="382"/>
    </row>
    <row r="37" spans="1:11" x14ac:dyDescent="0.3">
      <c r="A37" s="401"/>
      <c r="B37" s="402"/>
      <c r="C37" s="402"/>
      <c r="D37" s="402"/>
      <c r="E37" s="402"/>
      <c r="F37" s="402"/>
      <c r="G37" s="402"/>
      <c r="H37" s="402"/>
    </row>
    <row r="38" spans="1:11" x14ac:dyDescent="0.3">
      <c r="A38" s="380" t="s">
        <v>77</v>
      </c>
      <c r="B38" s="381"/>
      <c r="C38" s="381"/>
      <c r="D38" s="381"/>
      <c r="E38" s="381"/>
      <c r="F38" s="381"/>
      <c r="G38" s="381"/>
      <c r="H38" s="382"/>
    </row>
    <row r="39" spans="1:11" x14ac:dyDescent="0.3">
      <c r="A39" s="138" t="s">
        <v>78</v>
      </c>
      <c r="B39" s="374" t="s">
        <v>79</v>
      </c>
      <c r="C39" s="375"/>
      <c r="D39" s="375"/>
      <c r="E39" s="375"/>
      <c r="F39" s="376"/>
      <c r="G39" s="28" t="s">
        <v>80</v>
      </c>
      <c r="H39" s="138" t="s">
        <v>65</v>
      </c>
    </row>
    <row r="40" spans="1:11" ht="28.8" customHeight="1" x14ac:dyDescent="0.3">
      <c r="A40" s="11" t="s">
        <v>39</v>
      </c>
      <c r="B40" s="406" t="s">
        <v>81</v>
      </c>
      <c r="C40" s="407"/>
      <c r="D40" s="407"/>
      <c r="E40" s="407"/>
      <c r="F40" s="408"/>
      <c r="G40" s="29">
        <v>8.3333333333333329E-2</v>
      </c>
      <c r="H40" s="100">
        <f>H34*G40</f>
        <v>96.833333333333329</v>
      </c>
    </row>
    <row r="41" spans="1:11" ht="29.4" customHeight="1" x14ac:dyDescent="0.3">
      <c r="A41" s="11" t="s">
        <v>41</v>
      </c>
      <c r="B41" s="406" t="s">
        <v>82</v>
      </c>
      <c r="C41" s="407"/>
      <c r="D41" s="407"/>
      <c r="E41" s="407"/>
      <c r="F41" s="408"/>
      <c r="G41" s="64">
        <v>3.0249999999999999E-2</v>
      </c>
      <c r="H41" s="100">
        <f>H34*G41</f>
        <v>35.150500000000001</v>
      </c>
    </row>
    <row r="42" spans="1:11" x14ac:dyDescent="0.3">
      <c r="A42" s="409" t="s">
        <v>74</v>
      </c>
      <c r="B42" s="410"/>
      <c r="C42" s="410"/>
      <c r="D42" s="410"/>
      <c r="E42" s="410"/>
      <c r="F42" s="411"/>
      <c r="G42" s="31">
        <v>0.11358333333333333</v>
      </c>
      <c r="H42" s="32">
        <f>SUM(H40:H41)</f>
        <v>131.98383333333334</v>
      </c>
    </row>
    <row r="43" spans="1:11" ht="115.2" customHeight="1" x14ac:dyDescent="0.3">
      <c r="A43" s="383" t="s">
        <v>83</v>
      </c>
      <c r="B43" s="384"/>
      <c r="C43" s="384"/>
      <c r="D43" s="384"/>
      <c r="E43" s="384"/>
      <c r="F43" s="384"/>
      <c r="G43" s="384"/>
      <c r="H43" s="385"/>
    </row>
    <row r="44" spans="1:11" x14ac:dyDescent="0.3">
      <c r="A44" s="412" t="s">
        <v>84</v>
      </c>
      <c r="B44" s="412"/>
      <c r="C44" s="412"/>
      <c r="D44" s="412"/>
      <c r="E44" s="412"/>
      <c r="F44" s="412"/>
      <c r="G44" s="412"/>
      <c r="H44" s="412"/>
    </row>
    <row r="45" spans="1:11" x14ac:dyDescent="0.3">
      <c r="A45" s="138" t="s">
        <v>85</v>
      </c>
      <c r="B45" s="374" t="s">
        <v>86</v>
      </c>
      <c r="C45" s="375"/>
      <c r="D45" s="375"/>
      <c r="E45" s="375"/>
      <c r="F45" s="376"/>
      <c r="G45" s="28" t="s">
        <v>80</v>
      </c>
      <c r="H45" s="138" t="s">
        <v>65</v>
      </c>
    </row>
    <row r="46" spans="1:11" x14ac:dyDescent="0.3">
      <c r="A46" s="11" t="s">
        <v>39</v>
      </c>
      <c r="B46" s="377" t="s">
        <v>87</v>
      </c>
      <c r="C46" s="378"/>
      <c r="D46" s="378"/>
      <c r="E46" s="378"/>
      <c r="F46" s="379"/>
      <c r="G46" s="33">
        <v>0.2</v>
      </c>
      <c r="H46" s="100">
        <f>(H34+H42)*G46</f>
        <v>258.79676666666666</v>
      </c>
      <c r="K46" s="151"/>
    </row>
    <row r="47" spans="1:11" x14ac:dyDescent="0.3">
      <c r="A47" s="11" t="s">
        <v>41</v>
      </c>
      <c r="B47" s="377" t="s">
        <v>88</v>
      </c>
      <c r="C47" s="378"/>
      <c r="D47" s="378"/>
      <c r="E47" s="378"/>
      <c r="F47" s="379"/>
      <c r="G47" s="33">
        <v>2.5000000000000001E-2</v>
      </c>
      <c r="H47" s="100">
        <f>(H34+H42)*G47</f>
        <v>32.349595833333332</v>
      </c>
      <c r="K47" s="151"/>
    </row>
    <row r="48" spans="1:11" ht="42.6" customHeight="1" x14ac:dyDescent="0.3">
      <c r="A48" s="11" t="s">
        <v>44</v>
      </c>
      <c r="B48" s="71" t="s">
        <v>89</v>
      </c>
      <c r="C48" s="70" t="s">
        <v>90</v>
      </c>
      <c r="D48" s="70"/>
      <c r="E48" s="70" t="s">
        <v>91</v>
      </c>
      <c r="F48" s="70"/>
      <c r="G48" s="62">
        <f>'1#IDENTIFICAÇÃO'!F152</f>
        <v>0.03</v>
      </c>
      <c r="H48" s="100">
        <f>(H34+H42)*G48</f>
        <v>38.819514999999996</v>
      </c>
      <c r="K48" s="151"/>
    </row>
    <row r="49" spans="1:11" x14ac:dyDescent="0.3">
      <c r="A49" s="11" t="s">
        <v>46</v>
      </c>
      <c r="B49" s="377" t="s">
        <v>92</v>
      </c>
      <c r="C49" s="378"/>
      <c r="D49" s="378"/>
      <c r="E49" s="378"/>
      <c r="F49" s="379"/>
      <c r="G49" s="33">
        <v>1.4999999999999999E-2</v>
      </c>
      <c r="H49" s="100">
        <f>(H34+H42)*G49</f>
        <v>19.409757499999998</v>
      </c>
      <c r="K49" s="151"/>
    </row>
    <row r="50" spans="1:11" x14ac:dyDescent="0.3">
      <c r="A50" s="11" t="s">
        <v>70</v>
      </c>
      <c r="B50" s="377" t="s">
        <v>93</v>
      </c>
      <c r="C50" s="378"/>
      <c r="D50" s="378"/>
      <c r="E50" s="378"/>
      <c r="F50" s="379"/>
      <c r="G50" s="33">
        <v>0.01</v>
      </c>
      <c r="H50" s="100">
        <f>(H34+H42)*G50</f>
        <v>12.939838333333332</v>
      </c>
      <c r="K50" s="151"/>
    </row>
    <row r="51" spans="1:11" x14ac:dyDescent="0.3">
      <c r="A51" s="34" t="s">
        <v>72</v>
      </c>
      <c r="B51" s="365" t="s">
        <v>94</v>
      </c>
      <c r="C51" s="366"/>
      <c r="D51" s="366"/>
      <c r="E51" s="366"/>
      <c r="F51" s="367"/>
      <c r="G51" s="29">
        <v>6.0000000000000001E-3</v>
      </c>
      <c r="H51" s="100">
        <f>(H34+H42)*G51</f>
        <v>7.7639029999999991</v>
      </c>
      <c r="K51" s="151"/>
    </row>
    <row r="52" spans="1:11" x14ac:dyDescent="0.3">
      <c r="A52" s="11" t="s">
        <v>95</v>
      </c>
      <c r="B52" s="377" t="s">
        <v>96</v>
      </c>
      <c r="C52" s="378"/>
      <c r="D52" s="378"/>
      <c r="E52" s="378"/>
      <c r="F52" s="379"/>
      <c r="G52" s="33">
        <v>2E-3</v>
      </c>
      <c r="H52" s="100">
        <f>(H34+H42)*G52</f>
        <v>2.5879676666666667</v>
      </c>
      <c r="K52" s="151"/>
    </row>
    <row r="53" spans="1:11" x14ac:dyDescent="0.3">
      <c r="A53" s="11" t="s">
        <v>97</v>
      </c>
      <c r="B53" s="377" t="s">
        <v>98</v>
      </c>
      <c r="C53" s="378"/>
      <c r="D53" s="378"/>
      <c r="E53" s="378"/>
      <c r="F53" s="379"/>
      <c r="G53" s="33">
        <v>0.08</v>
      </c>
      <c r="H53" s="100">
        <f>(H34+H42)*G53</f>
        <v>103.51870666666666</v>
      </c>
      <c r="K53" s="151"/>
    </row>
    <row r="54" spans="1:11" x14ac:dyDescent="0.3">
      <c r="A54" s="374" t="s">
        <v>74</v>
      </c>
      <c r="B54" s="375"/>
      <c r="C54" s="375"/>
      <c r="D54" s="375"/>
      <c r="E54" s="375"/>
      <c r="F54" s="376"/>
      <c r="G54" s="35">
        <v>0.36800000000000005</v>
      </c>
      <c r="H54" s="36">
        <f>SUM(H46:H53)</f>
        <v>476.18605066666669</v>
      </c>
      <c r="K54" s="152"/>
    </row>
    <row r="55" spans="1:11" ht="58.2" customHeight="1" x14ac:dyDescent="0.3">
      <c r="A55" s="404" t="s">
        <v>99</v>
      </c>
      <c r="B55" s="405"/>
      <c r="C55" s="405"/>
      <c r="D55" s="405"/>
      <c r="E55" s="405"/>
      <c r="F55" s="405"/>
      <c r="G55" s="405"/>
      <c r="H55" s="405"/>
    </row>
    <row r="56" spans="1:11" x14ac:dyDescent="0.3">
      <c r="A56" s="380" t="s">
        <v>100</v>
      </c>
      <c r="B56" s="381"/>
      <c r="C56" s="381"/>
      <c r="D56" s="381"/>
      <c r="E56" s="381"/>
      <c r="F56" s="381"/>
      <c r="G56" s="381"/>
      <c r="H56" s="382"/>
    </row>
    <row r="57" spans="1:11" x14ac:dyDescent="0.3">
      <c r="A57" s="136" t="s">
        <v>101</v>
      </c>
      <c r="B57" s="374" t="s">
        <v>102</v>
      </c>
      <c r="C57" s="375"/>
      <c r="D57" s="375"/>
      <c r="E57" s="375"/>
      <c r="F57" s="375"/>
      <c r="G57" s="376"/>
      <c r="H57" s="143" t="s">
        <v>65</v>
      </c>
    </row>
    <row r="58" spans="1:11" x14ac:dyDescent="0.3">
      <c r="A58" s="39" t="s">
        <v>39</v>
      </c>
      <c r="B58" s="377" t="s">
        <v>103</v>
      </c>
      <c r="C58" s="378"/>
      <c r="D58" s="378"/>
      <c r="E58" s="378"/>
      <c r="F58" s="378"/>
      <c r="G58" s="379"/>
      <c r="H58" s="101">
        <f>(22*2*'1#IDENTIFICAÇÃO'!B49)-(H34*6%)</f>
        <v>119.47999999999999</v>
      </c>
    </row>
    <row r="59" spans="1:11" x14ac:dyDescent="0.3">
      <c r="A59" s="39" t="s">
        <v>41</v>
      </c>
      <c r="B59" s="377" t="s">
        <v>104</v>
      </c>
      <c r="C59" s="378"/>
      <c r="D59" s="378"/>
      <c r="E59" s="378"/>
      <c r="F59" s="378"/>
      <c r="G59" s="379"/>
      <c r="H59" s="101">
        <f>'1#IDENTIFICAÇÃO'!G57</f>
        <v>312.66399999999999</v>
      </c>
    </row>
    <row r="60" spans="1:11" x14ac:dyDescent="0.3">
      <c r="A60" s="39" t="s">
        <v>44</v>
      </c>
      <c r="B60" s="377" t="s">
        <v>105</v>
      </c>
      <c r="C60" s="378"/>
      <c r="D60" s="378"/>
      <c r="E60" s="378"/>
      <c r="F60" s="378"/>
      <c r="G60" s="379"/>
      <c r="H60" s="101">
        <f>'1#IDENTIFICAÇÃO'!M64</f>
        <v>7</v>
      </c>
    </row>
    <row r="61" spans="1:11" x14ac:dyDescent="0.3">
      <c r="A61" s="39" t="s">
        <v>46</v>
      </c>
      <c r="B61" s="365" t="s">
        <v>106</v>
      </c>
      <c r="C61" s="366"/>
      <c r="D61" s="366"/>
      <c r="E61" s="366"/>
      <c r="F61" s="366"/>
      <c r="G61" s="367"/>
      <c r="H61" s="101">
        <f>'1#IDENTIFICAÇÃO'!M65</f>
        <v>2.54</v>
      </c>
    </row>
    <row r="62" spans="1:11" x14ac:dyDescent="0.3">
      <c r="A62" s="374" t="s">
        <v>107</v>
      </c>
      <c r="B62" s="375"/>
      <c r="C62" s="375"/>
      <c r="D62" s="375"/>
      <c r="E62" s="375"/>
      <c r="F62" s="375"/>
      <c r="G62" s="41"/>
      <c r="H62" s="36">
        <f>SUM(H58:H61)</f>
        <v>441.68400000000003</v>
      </c>
    </row>
    <row r="63" spans="1:11" ht="56.4" customHeight="1" x14ac:dyDescent="0.3">
      <c r="A63" s="398" t="s">
        <v>108</v>
      </c>
      <c r="B63" s="366"/>
      <c r="C63" s="366"/>
      <c r="D63" s="366"/>
      <c r="E63" s="366"/>
      <c r="F63" s="366"/>
      <c r="G63" s="366"/>
      <c r="H63" s="367"/>
    </row>
    <row r="64" spans="1:11" x14ac:dyDescent="0.3">
      <c r="A64" s="380" t="s">
        <v>109</v>
      </c>
      <c r="B64" s="381"/>
      <c r="C64" s="381"/>
      <c r="D64" s="381"/>
      <c r="E64" s="381"/>
      <c r="F64" s="381"/>
      <c r="G64" s="381"/>
      <c r="H64" s="382"/>
    </row>
    <row r="65" spans="1:8" x14ac:dyDescent="0.3">
      <c r="A65" s="34" t="s">
        <v>39</v>
      </c>
      <c r="B65" s="365" t="s">
        <v>110</v>
      </c>
      <c r="C65" s="366"/>
      <c r="D65" s="366"/>
      <c r="E65" s="366"/>
      <c r="F65" s="366"/>
      <c r="G65" s="367"/>
      <c r="H65" s="40">
        <f>H42</f>
        <v>131.98383333333334</v>
      </c>
    </row>
    <row r="66" spans="1:8" x14ac:dyDescent="0.3">
      <c r="A66" s="34" t="s">
        <v>41</v>
      </c>
      <c r="B66" s="398" t="s">
        <v>84</v>
      </c>
      <c r="C66" s="432"/>
      <c r="D66" s="432"/>
      <c r="E66" s="432"/>
      <c r="F66" s="432"/>
      <c r="G66" s="433"/>
      <c r="H66" s="40">
        <f>H54</f>
        <v>476.18605066666669</v>
      </c>
    </row>
    <row r="67" spans="1:8" x14ac:dyDescent="0.3">
      <c r="A67" s="34" t="s">
        <v>44</v>
      </c>
      <c r="B67" s="365" t="s">
        <v>100</v>
      </c>
      <c r="C67" s="366"/>
      <c r="D67" s="366"/>
      <c r="E67" s="366"/>
      <c r="F67" s="366"/>
      <c r="G67" s="367"/>
      <c r="H67" s="40">
        <f>H62</f>
        <v>441.68400000000003</v>
      </c>
    </row>
    <row r="68" spans="1:8" x14ac:dyDescent="0.3">
      <c r="A68" s="380" t="s">
        <v>74</v>
      </c>
      <c r="B68" s="381"/>
      <c r="C68" s="381"/>
      <c r="D68" s="381"/>
      <c r="E68" s="381"/>
      <c r="F68" s="381"/>
      <c r="G68" s="382"/>
      <c r="H68" s="72">
        <f>SUM(H65:H67)</f>
        <v>1049.8538840000001</v>
      </c>
    </row>
    <row r="69" spans="1:8" x14ac:dyDescent="0.3">
      <c r="A69" s="142"/>
      <c r="B69" s="141"/>
      <c r="C69" s="141"/>
      <c r="D69" s="141"/>
      <c r="E69" s="141"/>
      <c r="F69" s="141"/>
      <c r="G69" s="141"/>
      <c r="H69" s="141"/>
    </row>
    <row r="70" spans="1:8" x14ac:dyDescent="0.3">
      <c r="A70" s="380" t="s">
        <v>111</v>
      </c>
      <c r="B70" s="381"/>
      <c r="C70" s="381"/>
      <c r="D70" s="381"/>
      <c r="E70" s="381"/>
      <c r="F70" s="381"/>
      <c r="G70" s="381"/>
      <c r="H70" s="382"/>
    </row>
    <row r="71" spans="1:8" x14ac:dyDescent="0.3">
      <c r="A71" s="138">
        <v>3</v>
      </c>
      <c r="B71" s="42" t="s">
        <v>112</v>
      </c>
      <c r="C71" s="43"/>
      <c r="D71" s="43"/>
      <c r="E71" s="43"/>
      <c r="F71" s="43"/>
      <c r="G71" s="28" t="s">
        <v>80</v>
      </c>
      <c r="H71" s="34" t="s">
        <v>65</v>
      </c>
    </row>
    <row r="72" spans="1:8" x14ac:dyDescent="0.3">
      <c r="A72" s="11" t="s">
        <v>39</v>
      </c>
      <c r="B72" s="406" t="s">
        <v>113</v>
      </c>
      <c r="C72" s="407"/>
      <c r="D72" s="407"/>
      <c r="E72" s="407"/>
      <c r="F72" s="408"/>
      <c r="G72" s="44">
        <v>4.6249999999999998E-3</v>
      </c>
      <c r="H72" s="45">
        <f>H34*G72</f>
        <v>5.37425</v>
      </c>
    </row>
    <row r="73" spans="1:8" x14ac:dyDescent="0.3">
      <c r="A73" s="11" t="s">
        <v>41</v>
      </c>
      <c r="B73" s="406" t="s">
        <v>114</v>
      </c>
      <c r="C73" s="407"/>
      <c r="D73" s="407"/>
      <c r="E73" s="407"/>
      <c r="F73" s="408"/>
      <c r="G73" s="44">
        <v>3.6999999999999999E-4</v>
      </c>
      <c r="H73" s="45">
        <f>H34*G73</f>
        <v>0.42993999999999999</v>
      </c>
    </row>
    <row r="74" spans="1:8" ht="27.6" customHeight="1" x14ac:dyDescent="0.3">
      <c r="A74" s="11" t="s">
        <v>46</v>
      </c>
      <c r="B74" s="406" t="s">
        <v>115</v>
      </c>
      <c r="C74" s="407"/>
      <c r="D74" s="407"/>
      <c r="E74" s="407"/>
      <c r="F74" s="408"/>
      <c r="G74" s="44">
        <v>1.9400000000000001E-2</v>
      </c>
      <c r="H74" s="45">
        <f>H34*G74</f>
        <v>22.5428</v>
      </c>
    </row>
    <row r="75" spans="1:8" ht="28.8" customHeight="1" x14ac:dyDescent="0.3">
      <c r="A75" s="11" t="s">
        <v>70</v>
      </c>
      <c r="B75" s="406" t="s">
        <v>116</v>
      </c>
      <c r="C75" s="407"/>
      <c r="D75" s="407"/>
      <c r="E75" s="407"/>
      <c r="F75" s="408"/>
      <c r="G75" s="44">
        <v>7.1392000000000009E-3</v>
      </c>
      <c r="H75" s="45">
        <f>H34*G75</f>
        <v>8.2957504000000011</v>
      </c>
    </row>
    <row r="76" spans="1:8" ht="40.200000000000003" customHeight="1" x14ac:dyDescent="0.3">
      <c r="A76" s="11" t="s">
        <v>72</v>
      </c>
      <c r="B76" s="434" t="s">
        <v>117</v>
      </c>
      <c r="C76" s="435"/>
      <c r="D76" s="435"/>
      <c r="E76" s="435"/>
      <c r="F76" s="436"/>
      <c r="G76" s="49">
        <v>0.04</v>
      </c>
      <c r="H76" s="45">
        <f>H34*G76</f>
        <v>46.480000000000004</v>
      </c>
    </row>
    <row r="77" spans="1:8" x14ac:dyDescent="0.3">
      <c r="A77" s="374" t="s">
        <v>74</v>
      </c>
      <c r="B77" s="375"/>
      <c r="C77" s="375"/>
      <c r="D77" s="375"/>
      <c r="E77" s="375"/>
      <c r="F77" s="376"/>
      <c r="G77" s="35"/>
      <c r="H77" s="36">
        <f>SUM(H72:H76)</f>
        <v>83.122740399999998</v>
      </c>
    </row>
    <row r="78" spans="1:8" x14ac:dyDescent="0.3">
      <c r="A78" s="46"/>
      <c r="B78" s="47"/>
      <c r="C78" s="47"/>
      <c r="D78" s="372"/>
      <c r="E78" s="372"/>
      <c r="F78" s="372"/>
      <c r="G78" s="372"/>
      <c r="H78" s="372"/>
    </row>
    <row r="79" spans="1:8" x14ac:dyDescent="0.3">
      <c r="A79" s="380" t="s">
        <v>118</v>
      </c>
      <c r="B79" s="381"/>
      <c r="C79" s="381"/>
      <c r="D79" s="381"/>
      <c r="E79" s="381"/>
      <c r="F79" s="381"/>
      <c r="G79" s="381"/>
      <c r="H79" s="382"/>
    </row>
    <row r="80" spans="1:8" ht="42.6" customHeight="1" x14ac:dyDescent="0.3">
      <c r="A80" s="437" t="s">
        <v>119</v>
      </c>
      <c r="B80" s="438"/>
      <c r="C80" s="438"/>
      <c r="D80" s="438"/>
      <c r="E80" s="438"/>
      <c r="F80" s="438"/>
      <c r="G80" s="438"/>
      <c r="H80" s="439"/>
    </row>
    <row r="81" spans="1:8" x14ac:dyDescent="0.3">
      <c r="A81" s="440" t="s">
        <v>120</v>
      </c>
      <c r="B81" s="440"/>
      <c r="C81" s="440"/>
      <c r="D81" s="440"/>
      <c r="E81" s="440"/>
      <c r="F81" s="440"/>
      <c r="G81" s="440"/>
      <c r="H81" s="440"/>
    </row>
    <row r="82" spans="1:8" x14ac:dyDescent="0.3">
      <c r="A82" s="139" t="s">
        <v>121</v>
      </c>
      <c r="B82" s="380" t="s">
        <v>122</v>
      </c>
      <c r="C82" s="381"/>
      <c r="D82" s="381"/>
      <c r="E82" s="381"/>
      <c r="F82" s="382"/>
      <c r="G82" s="48" t="s">
        <v>80</v>
      </c>
      <c r="H82" s="23" t="s">
        <v>65</v>
      </c>
    </row>
    <row r="83" spans="1:8" ht="28.2" customHeight="1" x14ac:dyDescent="0.3">
      <c r="A83" s="11" t="s">
        <v>39</v>
      </c>
      <c r="B83" s="398" t="s">
        <v>123</v>
      </c>
      <c r="C83" s="432"/>
      <c r="D83" s="432"/>
      <c r="E83" s="432"/>
      <c r="F83" s="433"/>
      <c r="G83" s="64">
        <v>9.0749999999999997E-2</v>
      </c>
      <c r="H83" s="102">
        <f>G83*(SUM($H$34,$H$42,$H$54,$H$60,$H$61,$H$77))</f>
        <v>169.0520606643</v>
      </c>
    </row>
    <row r="84" spans="1:8" ht="45" customHeight="1" x14ac:dyDescent="0.3">
      <c r="A84" s="11" t="s">
        <v>41</v>
      </c>
      <c r="B84" s="406" t="s">
        <v>124</v>
      </c>
      <c r="C84" s="407"/>
      <c r="D84" s="407"/>
      <c r="E84" s="407"/>
      <c r="F84" s="408"/>
      <c r="G84" s="62">
        <v>1.6299999999999999E-2</v>
      </c>
      <c r="H84" s="102">
        <f>G84*(SUM($H$34,$H$42,$H$54,$H$60,$H$61,$H$77))</f>
        <v>30.364171777719996</v>
      </c>
    </row>
    <row r="85" spans="1:8" ht="39.6" customHeight="1" x14ac:dyDescent="0.3">
      <c r="A85" s="11" t="s">
        <v>44</v>
      </c>
      <c r="B85" s="406" t="s">
        <v>125</v>
      </c>
      <c r="C85" s="407"/>
      <c r="D85" s="407"/>
      <c r="E85" s="407"/>
      <c r="F85" s="408"/>
      <c r="G85" s="62">
        <v>2.0000000000000001E-4</v>
      </c>
      <c r="H85" s="102">
        <f t="shared" ref="H85" si="0">G85*(SUM($H$34,$H$42,$H$54,$H$60,$H$61,$H$77))</f>
        <v>0.37256652488000003</v>
      </c>
    </row>
    <row r="86" spans="1:8" ht="38.4" customHeight="1" x14ac:dyDescent="0.3">
      <c r="A86" s="11" t="s">
        <v>46</v>
      </c>
      <c r="B86" s="406" t="s">
        <v>126</v>
      </c>
      <c r="C86" s="407"/>
      <c r="D86" s="407"/>
      <c r="E86" s="407"/>
      <c r="F86" s="408"/>
      <c r="G86" s="62">
        <v>3.3E-3</v>
      </c>
      <c r="H86" s="102">
        <f>G86*(SUM($H$34,$H$42,$H$54,$H$60,$H$61,$H$77))</f>
        <v>6.1473476605199995</v>
      </c>
    </row>
    <row r="87" spans="1:8" ht="43.2" customHeight="1" x14ac:dyDescent="0.3">
      <c r="A87" s="11" t="s">
        <v>70</v>
      </c>
      <c r="B87" s="406" t="s">
        <v>127</v>
      </c>
      <c r="C87" s="407"/>
      <c r="D87" s="407"/>
      <c r="E87" s="407"/>
      <c r="F87" s="408"/>
      <c r="G87" s="89">
        <v>5.5000000000000003E-4</v>
      </c>
      <c r="H87" s="102">
        <f>G87*(SUM($H$34,$H$42,$H$54,$H$60,$H$61,$H$77))</f>
        <v>1.0245579434200001</v>
      </c>
    </row>
    <row r="88" spans="1:8" x14ac:dyDescent="0.3">
      <c r="A88" s="11" t="s">
        <v>72</v>
      </c>
      <c r="B88" s="407" t="s">
        <v>128</v>
      </c>
      <c r="C88" s="407"/>
      <c r="D88" s="407"/>
      <c r="E88" s="407"/>
      <c r="F88" s="408"/>
      <c r="G88" s="62">
        <v>0</v>
      </c>
      <c r="H88" s="102">
        <v>0</v>
      </c>
    </row>
    <row r="89" spans="1:8" x14ac:dyDescent="0.3">
      <c r="A89" s="441" t="s">
        <v>74</v>
      </c>
      <c r="B89" s="441"/>
      <c r="C89" s="441"/>
      <c r="D89" s="441"/>
      <c r="E89" s="441"/>
      <c r="F89" s="441"/>
      <c r="G89" s="35">
        <v>0.11109999999999999</v>
      </c>
      <c r="H89" s="50">
        <f>SUM(H83:H88)</f>
        <v>206.96070457084002</v>
      </c>
    </row>
    <row r="90" spans="1:8" x14ac:dyDescent="0.3">
      <c r="A90" s="445" t="s">
        <v>129</v>
      </c>
      <c r="B90" s="445"/>
      <c r="C90" s="445"/>
      <c r="D90" s="445"/>
      <c r="E90" s="445"/>
      <c r="F90" s="445"/>
      <c r="G90" s="445"/>
      <c r="H90" s="445"/>
    </row>
    <row r="91" spans="1:8" x14ac:dyDescent="0.3">
      <c r="A91" s="440" t="s">
        <v>130</v>
      </c>
      <c r="B91" s="440"/>
      <c r="C91" s="440"/>
      <c r="D91" s="440"/>
      <c r="E91" s="440"/>
      <c r="F91" s="440"/>
      <c r="G91" s="440"/>
      <c r="H91" s="440"/>
    </row>
    <row r="92" spans="1:8" x14ac:dyDescent="0.3">
      <c r="A92" s="139" t="s">
        <v>131</v>
      </c>
      <c r="B92" s="380" t="s">
        <v>132</v>
      </c>
      <c r="C92" s="381"/>
      <c r="D92" s="381"/>
      <c r="E92" s="381"/>
      <c r="F92" s="382"/>
      <c r="G92" s="48" t="s">
        <v>80</v>
      </c>
      <c r="H92" s="23" t="s">
        <v>65</v>
      </c>
    </row>
    <row r="93" spans="1:8" x14ac:dyDescent="0.3">
      <c r="A93" s="11" t="s">
        <v>39</v>
      </c>
      <c r="B93" s="365" t="s">
        <v>133</v>
      </c>
      <c r="C93" s="366"/>
      <c r="D93" s="366"/>
      <c r="E93" s="366"/>
      <c r="F93" s="367"/>
      <c r="G93" s="29">
        <v>0</v>
      </c>
      <c r="H93" s="102">
        <v>0</v>
      </c>
    </row>
    <row r="94" spans="1:8" x14ac:dyDescent="0.3">
      <c r="A94" s="374" t="s">
        <v>74</v>
      </c>
      <c r="B94" s="375"/>
      <c r="C94" s="375"/>
      <c r="D94" s="375"/>
      <c r="E94" s="375"/>
      <c r="F94" s="375"/>
      <c r="G94" s="376"/>
      <c r="H94" s="102">
        <v>0</v>
      </c>
    </row>
    <row r="95" spans="1:8" x14ac:dyDescent="0.3">
      <c r="A95" s="442"/>
      <c r="B95" s="443"/>
      <c r="C95" s="443"/>
      <c r="D95" s="443"/>
      <c r="E95" s="443"/>
      <c r="F95" s="443"/>
      <c r="G95" s="443"/>
      <c r="H95" s="443"/>
    </row>
    <row r="96" spans="1:8" x14ac:dyDescent="0.3">
      <c r="A96" s="444" t="s">
        <v>134</v>
      </c>
      <c r="B96" s="444"/>
      <c r="C96" s="444"/>
      <c r="D96" s="444"/>
      <c r="E96" s="444"/>
      <c r="F96" s="444"/>
      <c r="G96" s="444"/>
      <c r="H96" s="444"/>
    </row>
    <row r="97" spans="1:12" x14ac:dyDescent="0.3">
      <c r="A97" s="139">
        <v>4</v>
      </c>
      <c r="B97" s="380" t="s">
        <v>135</v>
      </c>
      <c r="C97" s="381"/>
      <c r="D97" s="381"/>
      <c r="E97" s="381"/>
      <c r="F97" s="381"/>
      <c r="G97" s="382"/>
      <c r="H97" s="23" t="s">
        <v>65</v>
      </c>
    </row>
    <row r="98" spans="1:12" x14ac:dyDescent="0.3">
      <c r="A98" s="11" t="s">
        <v>39</v>
      </c>
      <c r="B98" s="365" t="s">
        <v>136</v>
      </c>
      <c r="C98" s="366"/>
      <c r="D98" s="366"/>
      <c r="E98" s="366"/>
      <c r="F98" s="366"/>
      <c r="G98" s="367"/>
      <c r="H98" s="102">
        <f>H89</f>
        <v>206.96070457084002</v>
      </c>
    </row>
    <row r="99" spans="1:12" x14ac:dyDescent="0.3">
      <c r="A99" s="11" t="s">
        <v>41</v>
      </c>
      <c r="B99" s="377" t="s">
        <v>132</v>
      </c>
      <c r="C99" s="378"/>
      <c r="D99" s="378"/>
      <c r="E99" s="378"/>
      <c r="F99" s="378"/>
      <c r="G99" s="379"/>
      <c r="H99" s="102">
        <v>0</v>
      </c>
    </row>
    <row r="100" spans="1:12" x14ac:dyDescent="0.3">
      <c r="A100" s="380" t="s">
        <v>74</v>
      </c>
      <c r="B100" s="381"/>
      <c r="C100" s="381"/>
      <c r="D100" s="381"/>
      <c r="E100" s="381"/>
      <c r="F100" s="381"/>
      <c r="G100" s="382"/>
      <c r="H100" s="73">
        <f>SUM(H98:H99)</f>
        <v>206.96070457084002</v>
      </c>
    </row>
    <row r="101" spans="1:12" x14ac:dyDescent="0.3">
      <c r="A101" s="129"/>
      <c r="B101" s="140"/>
      <c r="C101" s="140"/>
      <c r="D101" s="140"/>
      <c r="E101" s="140"/>
      <c r="F101" s="140"/>
      <c r="G101" s="140"/>
      <c r="H101" s="140"/>
    </row>
    <row r="102" spans="1:12" x14ac:dyDescent="0.3">
      <c r="A102" s="380" t="s">
        <v>137</v>
      </c>
      <c r="B102" s="381"/>
      <c r="C102" s="381"/>
      <c r="D102" s="381"/>
      <c r="E102" s="381"/>
      <c r="F102" s="381"/>
      <c r="G102" s="381"/>
      <c r="H102" s="382"/>
    </row>
    <row r="103" spans="1:12" x14ac:dyDescent="0.3">
      <c r="A103" s="51">
        <v>5</v>
      </c>
      <c r="B103" s="374" t="s">
        <v>138</v>
      </c>
      <c r="C103" s="375"/>
      <c r="D103" s="375"/>
      <c r="E103" s="375"/>
      <c r="F103" s="375"/>
      <c r="G103" s="376"/>
      <c r="H103" s="138" t="s">
        <v>65</v>
      </c>
    </row>
    <row r="104" spans="1:12" x14ac:dyDescent="0.3">
      <c r="A104" s="11" t="s">
        <v>39</v>
      </c>
      <c r="B104" s="377" t="s">
        <v>139</v>
      </c>
      <c r="C104" s="378"/>
      <c r="D104" s="378"/>
      <c r="E104" s="378"/>
      <c r="F104" s="378"/>
      <c r="G104" s="379"/>
      <c r="H104" s="85">
        <f>'1#IDENTIFICAÇÃO'!J76</f>
        <v>28.403333333333336</v>
      </c>
    </row>
    <row r="105" spans="1:12" x14ac:dyDescent="0.3">
      <c r="A105" s="11" t="s">
        <v>41</v>
      </c>
      <c r="B105" s="365" t="s">
        <v>140</v>
      </c>
      <c r="C105" s="366"/>
      <c r="D105" s="366"/>
      <c r="E105" s="366"/>
      <c r="F105" s="366"/>
      <c r="G105" s="367"/>
      <c r="H105" s="85">
        <f>'1#IDENTIFICAÇÃO'!J82</f>
        <v>1.78</v>
      </c>
    </row>
    <row r="106" spans="1:12" x14ac:dyDescent="0.3">
      <c r="A106" s="11" t="s">
        <v>44</v>
      </c>
      <c r="B106" s="197" t="s">
        <v>339</v>
      </c>
      <c r="C106" s="197"/>
      <c r="D106" s="197"/>
      <c r="E106" s="197"/>
      <c r="F106" s="197"/>
      <c r="G106" s="198"/>
      <c r="H106" s="85">
        <f>'1#IDENTIFICAÇÃO'!S136/G14</f>
        <v>345.05166666666668</v>
      </c>
    </row>
    <row r="107" spans="1:12" x14ac:dyDescent="0.3">
      <c r="A107" s="11" t="s">
        <v>46</v>
      </c>
      <c r="B107" s="197" t="s">
        <v>340</v>
      </c>
      <c r="C107" s="197"/>
      <c r="D107" s="197"/>
      <c r="E107" s="197"/>
      <c r="F107" s="197"/>
      <c r="G107" s="198"/>
      <c r="H107" s="85" cm="1">
        <f t="array" ref="H107:L107">'1#IDENTIFICAÇÃO'!M148:Q148</f>
        <v>47.598166666666664</v>
      </c>
      <c r="I107" s="97">
        <v>0</v>
      </c>
      <c r="J107" s="97">
        <v>0</v>
      </c>
      <c r="K107" s="97">
        <v>0</v>
      </c>
      <c r="L107" s="97">
        <v>0</v>
      </c>
    </row>
    <row r="108" spans="1:12" x14ac:dyDescent="0.3">
      <c r="A108" s="380" t="s">
        <v>107</v>
      </c>
      <c r="B108" s="381"/>
      <c r="C108" s="381"/>
      <c r="D108" s="381"/>
      <c r="E108" s="381"/>
      <c r="F108" s="381"/>
      <c r="G108" s="382"/>
      <c r="H108" s="52">
        <f>SUM(H104:H107)</f>
        <v>422.83316666666667</v>
      </c>
    </row>
    <row r="109" spans="1:12" x14ac:dyDescent="0.3">
      <c r="A109" s="365" t="s">
        <v>141</v>
      </c>
      <c r="B109" s="366"/>
      <c r="C109" s="366"/>
      <c r="D109" s="366"/>
      <c r="E109" s="366"/>
      <c r="F109" s="366"/>
      <c r="G109" s="366"/>
      <c r="H109" s="366"/>
    </row>
    <row r="110" spans="1:12" x14ac:dyDescent="0.3">
      <c r="A110" s="380" t="s">
        <v>142</v>
      </c>
      <c r="B110" s="381"/>
      <c r="C110" s="381"/>
      <c r="D110" s="381"/>
      <c r="E110" s="381"/>
      <c r="F110" s="381"/>
      <c r="G110" s="381"/>
      <c r="H110" s="382"/>
    </row>
    <row r="111" spans="1:12" x14ac:dyDescent="0.3">
      <c r="A111" s="138">
        <v>6</v>
      </c>
      <c r="B111" s="374" t="s">
        <v>143</v>
      </c>
      <c r="C111" s="375"/>
      <c r="D111" s="375"/>
      <c r="E111" s="375"/>
      <c r="F111" s="376"/>
      <c r="G111" s="28" t="s">
        <v>80</v>
      </c>
      <c r="H111" s="55" t="s">
        <v>144</v>
      </c>
    </row>
    <row r="112" spans="1:12" x14ac:dyDescent="0.3">
      <c r="A112" s="56" t="s">
        <v>39</v>
      </c>
      <c r="B112" s="446" t="s">
        <v>145</v>
      </c>
      <c r="C112" s="447"/>
      <c r="D112" s="447"/>
      <c r="E112" s="447"/>
      <c r="F112" s="448"/>
      <c r="G112" s="84">
        <f>'1#IDENTIFICAÇÃO'!C156</f>
        <v>0.03</v>
      </c>
      <c r="H112" s="98">
        <f>(H34+H68+H77+H100+H108)*G112</f>
        <v>87.743114869125208</v>
      </c>
    </row>
    <row r="113" spans="1:11" x14ac:dyDescent="0.3">
      <c r="A113" s="56" t="s">
        <v>41</v>
      </c>
      <c r="B113" s="446" t="s">
        <v>146</v>
      </c>
      <c r="C113" s="447"/>
      <c r="D113" s="447"/>
      <c r="E113" s="447"/>
      <c r="F113" s="448"/>
      <c r="G113" s="84">
        <f>'1#IDENTIFICAÇÃO'!C161</f>
        <v>6.7900000000000002E-2</v>
      </c>
      <c r="H113" s="98">
        <f>(H34+H68+H77+H100+H108+H112)*G113</f>
        <v>204.54967415340033</v>
      </c>
    </row>
    <row r="114" spans="1:11" x14ac:dyDescent="0.3">
      <c r="A114" s="56" t="s">
        <v>44</v>
      </c>
      <c r="B114" s="449" t="s">
        <v>147</v>
      </c>
      <c r="C114" s="450"/>
      <c r="D114" s="450"/>
      <c r="E114" s="450"/>
      <c r="F114" s="450"/>
      <c r="G114" s="451"/>
      <c r="H114" s="99"/>
    </row>
    <row r="115" spans="1:11" x14ac:dyDescent="0.3">
      <c r="A115" s="56"/>
      <c r="B115" s="452" t="s">
        <v>148</v>
      </c>
      <c r="C115" s="453"/>
      <c r="D115" s="453"/>
      <c r="E115" s="453"/>
      <c r="F115" s="453"/>
      <c r="G115" s="454"/>
      <c r="H115" s="99"/>
    </row>
    <row r="116" spans="1:11" x14ac:dyDescent="0.3">
      <c r="A116" s="56"/>
      <c r="B116" s="446" t="s">
        <v>149</v>
      </c>
      <c r="C116" s="447"/>
      <c r="D116" s="447"/>
      <c r="E116" s="447"/>
      <c r="F116" s="448"/>
      <c r="G116" s="87">
        <v>1.6500000000000001E-2</v>
      </c>
      <c r="H116" s="99">
        <f>SUM($H$34,$H$68,$H$77,$H$100,$H$108,$H$112,$H$113)/(1-$G$121)*G116</f>
        <v>61.902675448268852</v>
      </c>
    </row>
    <row r="117" spans="1:11" x14ac:dyDescent="0.3">
      <c r="A117" s="56"/>
      <c r="B117" s="446" t="s">
        <v>150</v>
      </c>
      <c r="C117" s="447"/>
      <c r="D117" s="447"/>
      <c r="E117" s="447"/>
      <c r="F117" s="448"/>
      <c r="G117" s="84">
        <v>7.5999999999999998E-2</v>
      </c>
      <c r="H117" s="99">
        <f>SUM($H$34,$H$68,$H$77,$H$100,$H$108,$H$112,$H$113)/(1-$G$121)*G117</f>
        <v>285.12747479202619</v>
      </c>
    </row>
    <row r="118" spans="1:11" x14ac:dyDescent="0.3">
      <c r="A118" s="56"/>
      <c r="B118" s="449" t="s">
        <v>151</v>
      </c>
      <c r="C118" s="450"/>
      <c r="D118" s="450"/>
      <c r="E118" s="450"/>
      <c r="F118" s="450"/>
      <c r="G118" s="451"/>
      <c r="H118" s="99"/>
    </row>
    <row r="119" spans="1:11" x14ac:dyDescent="0.3">
      <c r="A119" s="56"/>
      <c r="B119" s="455" t="s">
        <v>152</v>
      </c>
      <c r="C119" s="456"/>
      <c r="D119" s="456"/>
      <c r="E119" s="456"/>
      <c r="F119" s="456"/>
      <c r="G119" s="457"/>
      <c r="H119" s="99"/>
    </row>
    <row r="120" spans="1:11" x14ac:dyDescent="0.3">
      <c r="A120" s="56"/>
      <c r="B120" s="446" t="s">
        <v>153</v>
      </c>
      <c r="C120" s="447"/>
      <c r="D120" s="447"/>
      <c r="E120" s="447"/>
      <c r="F120" s="448"/>
      <c r="G120" s="84">
        <f>'1#IDENTIFICAÇÃO'!C167</f>
        <v>0.05</v>
      </c>
      <c r="H120" s="99">
        <f>SUM($H$34,$H$68,$H$77,$H$100,$H$108,$H$112,$H$113)/(1-$G$121)*G120</f>
        <v>187.58386499475409</v>
      </c>
    </row>
    <row r="121" spans="1:11" x14ac:dyDescent="0.3">
      <c r="A121" s="458"/>
      <c r="B121" s="459"/>
      <c r="C121" s="459"/>
      <c r="D121" s="459"/>
      <c r="E121" s="459"/>
      <c r="F121" s="460"/>
      <c r="G121" s="63">
        <f>G116+G117+G120</f>
        <v>0.14250000000000002</v>
      </c>
      <c r="H121" s="99"/>
    </row>
    <row r="122" spans="1:11" x14ac:dyDescent="0.3">
      <c r="A122" s="465" t="s">
        <v>107</v>
      </c>
      <c r="B122" s="466"/>
      <c r="C122" s="466"/>
      <c r="D122" s="466"/>
      <c r="E122" s="466"/>
      <c r="F122" s="467"/>
      <c r="G122" s="74">
        <f>G112+G113+G121</f>
        <v>0.2404</v>
      </c>
      <c r="H122" s="75">
        <f>SUM(H112:H121)</f>
        <v>826.90680425757466</v>
      </c>
    </row>
    <row r="123" spans="1:11" ht="45" customHeight="1" x14ac:dyDescent="0.3">
      <c r="A123" s="398" t="s">
        <v>154</v>
      </c>
      <c r="B123" s="366"/>
      <c r="C123" s="366"/>
      <c r="D123" s="366"/>
      <c r="E123" s="366"/>
      <c r="F123" s="366"/>
      <c r="G123" s="366"/>
      <c r="H123" s="367"/>
    </row>
    <row r="124" spans="1:11" x14ac:dyDescent="0.3">
      <c r="A124" s="380" t="s">
        <v>155</v>
      </c>
      <c r="B124" s="381"/>
      <c r="C124" s="381"/>
      <c r="D124" s="381"/>
      <c r="E124" s="381"/>
      <c r="F124" s="381"/>
      <c r="G124" s="381"/>
      <c r="H124" s="382"/>
    </row>
    <row r="125" spans="1:11" x14ac:dyDescent="0.3">
      <c r="A125" s="59" t="s">
        <v>39</v>
      </c>
      <c r="B125" s="377" t="s">
        <v>156</v>
      </c>
      <c r="C125" s="378"/>
      <c r="D125" s="378"/>
      <c r="E125" s="378"/>
      <c r="F125" s="378"/>
      <c r="G125" s="379"/>
      <c r="H125" s="100">
        <f>H34</f>
        <v>1162</v>
      </c>
      <c r="K125" s="151"/>
    </row>
    <row r="126" spans="1:11" x14ac:dyDescent="0.3">
      <c r="A126" s="59" t="s">
        <v>41</v>
      </c>
      <c r="B126" s="377" t="s">
        <v>157</v>
      </c>
      <c r="C126" s="378"/>
      <c r="D126" s="378"/>
      <c r="E126" s="378"/>
      <c r="F126" s="378"/>
      <c r="G126" s="379"/>
      <c r="H126" s="100">
        <f>H68</f>
        <v>1049.8538840000001</v>
      </c>
      <c r="K126" s="151"/>
    </row>
    <row r="127" spans="1:11" x14ac:dyDescent="0.3">
      <c r="A127" s="59" t="s">
        <v>44</v>
      </c>
      <c r="B127" s="377" t="s">
        <v>158</v>
      </c>
      <c r="C127" s="378"/>
      <c r="D127" s="378"/>
      <c r="E127" s="378"/>
      <c r="F127" s="378"/>
      <c r="G127" s="379"/>
      <c r="H127" s="100">
        <f>H77</f>
        <v>83.122740399999998</v>
      </c>
      <c r="K127" s="151"/>
    </row>
    <row r="128" spans="1:11" x14ac:dyDescent="0.3">
      <c r="A128" s="59" t="s">
        <v>46</v>
      </c>
      <c r="B128" s="377" t="s">
        <v>159</v>
      </c>
      <c r="C128" s="378"/>
      <c r="D128" s="378"/>
      <c r="E128" s="378"/>
      <c r="F128" s="378"/>
      <c r="G128" s="379"/>
      <c r="H128" s="100">
        <f>H100</f>
        <v>206.96070457084002</v>
      </c>
      <c r="K128" s="151"/>
    </row>
    <row r="129" spans="1:11" x14ac:dyDescent="0.3">
      <c r="A129" s="59" t="s">
        <v>70</v>
      </c>
      <c r="B129" s="377" t="s">
        <v>160</v>
      </c>
      <c r="C129" s="378"/>
      <c r="D129" s="378"/>
      <c r="E129" s="378"/>
      <c r="F129" s="378"/>
      <c r="G129" s="379"/>
      <c r="H129" s="100">
        <f>H108</f>
        <v>422.83316666666667</v>
      </c>
      <c r="K129" s="151"/>
    </row>
    <row r="130" spans="1:11" x14ac:dyDescent="0.3">
      <c r="A130" s="401" t="s">
        <v>161</v>
      </c>
      <c r="B130" s="402"/>
      <c r="C130" s="402"/>
      <c r="D130" s="402"/>
      <c r="E130" s="402"/>
      <c r="F130" s="402"/>
      <c r="G130" s="431"/>
      <c r="H130" s="60">
        <f>SUM(H125:H129)</f>
        <v>2924.7704956375069</v>
      </c>
      <c r="K130" s="153"/>
    </row>
    <row r="131" spans="1:11" x14ac:dyDescent="0.3">
      <c r="A131" s="59" t="s">
        <v>72</v>
      </c>
      <c r="B131" s="377" t="s">
        <v>162</v>
      </c>
      <c r="C131" s="378"/>
      <c r="D131" s="378"/>
      <c r="E131" s="378"/>
      <c r="F131" s="378"/>
      <c r="G131" s="379"/>
      <c r="H131" s="100">
        <f>H122</f>
        <v>826.90680425757466</v>
      </c>
      <c r="K131" s="151"/>
    </row>
    <row r="132" spans="1:11" x14ac:dyDescent="0.3">
      <c r="A132" s="461" t="s">
        <v>163</v>
      </c>
      <c r="B132" s="462"/>
      <c r="C132" s="462"/>
      <c r="D132" s="462"/>
      <c r="E132" s="462"/>
      <c r="F132" s="462"/>
      <c r="G132" s="463"/>
      <c r="H132" s="61">
        <f>SUM(H130:H131)</f>
        <v>3751.6772998950814</v>
      </c>
      <c r="K132" s="177"/>
    </row>
    <row r="133" spans="1:11" x14ac:dyDescent="0.3">
      <c r="A133" s="166"/>
      <c r="B133" s="468" t="s">
        <v>317</v>
      </c>
      <c r="C133" s="468"/>
      <c r="D133" s="468"/>
      <c r="E133" s="468"/>
      <c r="F133" s="468"/>
      <c r="G133" s="468"/>
      <c r="H133" s="181">
        <v>1</v>
      </c>
    </row>
    <row r="134" spans="1:11" x14ac:dyDescent="0.3">
      <c r="A134" s="178"/>
      <c r="B134" s="469"/>
      <c r="C134" s="469"/>
      <c r="D134" s="469"/>
      <c r="E134" s="469"/>
      <c r="F134" s="469"/>
      <c r="G134" s="469"/>
      <c r="H134" s="179"/>
    </row>
    <row r="135" spans="1:11" x14ac:dyDescent="0.3">
      <c r="A135" s="178"/>
      <c r="B135" s="469"/>
      <c r="C135" s="469"/>
      <c r="D135" s="469"/>
      <c r="E135" s="469"/>
      <c r="F135" s="469"/>
      <c r="G135" s="469"/>
      <c r="H135" s="180"/>
    </row>
    <row r="136" spans="1:11" x14ac:dyDescent="0.3">
      <c r="A136" s="464"/>
      <c r="B136" s="464"/>
      <c r="C136" s="464"/>
      <c r="D136" s="94"/>
      <c r="E136" s="95"/>
      <c r="F136" s="96"/>
      <c r="G136" s="95"/>
      <c r="H136" s="96"/>
    </row>
  </sheetData>
  <mergeCells count="141">
    <mergeCell ref="A1:H1"/>
    <mergeCell ref="A2:B2"/>
    <mergeCell ref="C2:H2"/>
    <mergeCell ref="A3:B3"/>
    <mergeCell ref="C3:H3"/>
    <mergeCell ref="A4:B4"/>
    <mergeCell ref="C4:H4"/>
    <mergeCell ref="B10:D10"/>
    <mergeCell ref="E10:H10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B105:G105"/>
    <mergeCell ref="A108:G108"/>
    <mergeCell ref="A109:H109"/>
    <mergeCell ref="A110:H110"/>
    <mergeCell ref="B111:F111"/>
    <mergeCell ref="B112:F112"/>
    <mergeCell ref="B98:G98"/>
    <mergeCell ref="B99:G99"/>
    <mergeCell ref="A100:G100"/>
    <mergeCell ref="A102:H102"/>
    <mergeCell ref="B103:G103"/>
    <mergeCell ref="B104:G104"/>
    <mergeCell ref="B119:G119"/>
    <mergeCell ref="B120:F120"/>
    <mergeCell ref="A121:F121"/>
    <mergeCell ref="A122:F122"/>
    <mergeCell ref="A123:H123"/>
    <mergeCell ref="A124:H124"/>
    <mergeCell ref="B113:F113"/>
    <mergeCell ref="B114:G114"/>
    <mergeCell ref="B115:G115"/>
    <mergeCell ref="B116:F116"/>
    <mergeCell ref="B117:F117"/>
    <mergeCell ref="B118:G118"/>
    <mergeCell ref="B131:G131"/>
    <mergeCell ref="A132:G132"/>
    <mergeCell ref="A136:C136"/>
    <mergeCell ref="B125:G125"/>
    <mergeCell ref="B126:G126"/>
    <mergeCell ref="B127:G127"/>
    <mergeCell ref="B128:G128"/>
    <mergeCell ref="B129:G129"/>
    <mergeCell ref="A130:G130"/>
    <mergeCell ref="B133:G133"/>
    <mergeCell ref="B134:G134"/>
    <mergeCell ref="B135:G13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1#IDENTIFICAÇÃO</vt:lpstr>
      <vt:lpstr>2#CUSTO POR M²</vt:lpstr>
      <vt:lpstr>3#SERV. LIMP. GRA-GO-TO</vt:lpstr>
      <vt:lpstr>4#SERV. LIMP. SPU-GO</vt:lpstr>
      <vt:lpstr>5#SERV.LIMP.PFN-GO</vt:lpstr>
      <vt:lpstr>6#SERV.. LIMP. PSFN-ANA</vt:lpstr>
      <vt:lpstr>7#SERV. LIMP PSFN-RV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2021-01-18T19:52:54Z</dcterms:created>
  <dcterms:modified xsi:type="dcterms:W3CDTF">2021-05-13T17:25:58Z</dcterms:modified>
</cp:coreProperties>
</file>