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eu Drive\trabalhando\índices antonio\"/>
    </mc:Choice>
  </mc:AlternateContent>
  <xr:revisionPtr revIDLastSave="0" documentId="13_ncr:1_{DA63CEC9-F266-48DF-B2B8-AC2C09437129}" xr6:coauthVersionLast="47" xr6:coauthVersionMax="47" xr10:uidLastSave="{00000000-0000-0000-0000-000000000000}"/>
  <bookViews>
    <workbookView xWindow="-120" yWindow="-120" windowWidth="24240" windowHeight="13140" xr2:uid="{1E558E27-AD03-4550-80A0-94962E5C3DE9}"/>
  </bookViews>
  <sheets>
    <sheet name="Dados normalizados" sheetId="3" r:id="rId1"/>
    <sheet name="Dados absolutos" sheetId="1" r:id="rId2"/>
    <sheet name="Calculando outliers" sheetId="2" r:id="rId3"/>
  </sheets>
  <definedNames>
    <definedName name="_xlnm._FilterDatabase" localSheetId="0" hidden="1">'Dados normalizados'!$A$1:$R$28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3" l="1"/>
  <c r="P10" i="3"/>
  <c r="P7" i="3"/>
  <c r="P17" i="3"/>
  <c r="P14" i="3"/>
  <c r="P19" i="3"/>
  <c r="P28" i="3"/>
  <c r="P21" i="3"/>
  <c r="P22" i="3"/>
  <c r="P8" i="3"/>
  <c r="P5" i="3"/>
  <c r="P4" i="3"/>
  <c r="P9" i="3"/>
  <c r="P18" i="3"/>
  <c r="P6" i="3"/>
  <c r="P16" i="3"/>
  <c r="P13" i="3"/>
  <c r="P12" i="3"/>
  <c r="P11" i="3"/>
  <c r="P15" i="3"/>
  <c r="P20" i="3"/>
  <c r="P24" i="3"/>
  <c r="P27" i="3"/>
  <c r="P26" i="3"/>
  <c r="P23" i="3"/>
  <c r="P25" i="3"/>
  <c r="P2" i="3"/>
  <c r="N8" i="3" l="1"/>
  <c r="N3" i="3"/>
  <c r="N10" i="3"/>
  <c r="N5" i="3"/>
  <c r="N4" i="3"/>
  <c r="N9" i="3"/>
  <c r="N7" i="3"/>
  <c r="N18" i="3"/>
  <c r="N6" i="3"/>
  <c r="N16" i="3"/>
  <c r="N13" i="3"/>
  <c r="N12" i="3"/>
  <c r="N11" i="3"/>
  <c r="N14" i="3"/>
  <c r="N19" i="3"/>
  <c r="N15" i="3"/>
  <c r="N20" i="3"/>
  <c r="N17" i="3"/>
  <c r="N21" i="3"/>
  <c r="N24" i="3"/>
  <c r="N27" i="3"/>
  <c r="N22" i="3"/>
  <c r="N26" i="3"/>
  <c r="N23" i="3"/>
  <c r="N25" i="3"/>
  <c r="N28" i="3"/>
  <c r="N2" i="3"/>
  <c r="L8" i="3"/>
  <c r="L3" i="3"/>
  <c r="L10" i="3"/>
  <c r="L5" i="3"/>
  <c r="L4" i="3"/>
  <c r="L9" i="3"/>
  <c r="L7" i="3"/>
  <c r="L18" i="3"/>
  <c r="L6" i="3"/>
  <c r="L16" i="3"/>
  <c r="L13" i="3"/>
  <c r="L12" i="3"/>
  <c r="L11" i="3"/>
  <c r="L14" i="3"/>
  <c r="L19" i="3"/>
  <c r="L15" i="3"/>
  <c r="L20" i="3"/>
  <c r="L17" i="3"/>
  <c r="L21" i="3"/>
  <c r="L24" i="3"/>
  <c r="L27" i="3"/>
  <c r="L22" i="3"/>
  <c r="L26" i="3"/>
  <c r="L23" i="3"/>
  <c r="L25" i="3"/>
  <c r="M25" i="3" s="1"/>
  <c r="L28" i="3"/>
  <c r="L2" i="3"/>
  <c r="K5" i="3"/>
  <c r="K3" i="3"/>
  <c r="K4" i="3"/>
  <c r="K10" i="3"/>
  <c r="K9" i="3"/>
  <c r="K11" i="3"/>
  <c r="K12" i="3"/>
  <c r="K7" i="3"/>
  <c r="K16" i="3"/>
  <c r="K8" i="3"/>
  <c r="K18" i="3"/>
  <c r="K17" i="3"/>
  <c r="K13" i="3"/>
  <c r="K6" i="3"/>
  <c r="K14" i="3"/>
  <c r="K19" i="3"/>
  <c r="K20" i="3"/>
  <c r="K15" i="3"/>
  <c r="K28" i="3"/>
  <c r="K21" i="3"/>
  <c r="K27" i="3"/>
  <c r="K23" i="3"/>
  <c r="K25" i="3"/>
  <c r="K22" i="3"/>
  <c r="K26" i="3"/>
  <c r="K24" i="3"/>
  <c r="I5" i="3"/>
  <c r="I3" i="3"/>
  <c r="I4" i="3"/>
  <c r="I10" i="3"/>
  <c r="I9" i="3"/>
  <c r="I11" i="3"/>
  <c r="I12" i="3"/>
  <c r="I7" i="3"/>
  <c r="I16" i="3"/>
  <c r="I8" i="3"/>
  <c r="I18" i="3"/>
  <c r="I17" i="3"/>
  <c r="I13" i="3"/>
  <c r="I6" i="3"/>
  <c r="I14" i="3"/>
  <c r="I19" i="3"/>
  <c r="I20" i="3"/>
  <c r="I15" i="3"/>
  <c r="I28" i="3"/>
  <c r="I21" i="3"/>
  <c r="I27" i="3"/>
  <c r="I23" i="3"/>
  <c r="I25" i="3"/>
  <c r="I22" i="3"/>
  <c r="I26" i="3"/>
  <c r="I24" i="3"/>
  <c r="K2" i="3"/>
  <c r="I2" i="3"/>
  <c r="F5" i="3"/>
  <c r="F3" i="3"/>
  <c r="F4" i="3"/>
  <c r="F10" i="3"/>
  <c r="F9" i="3"/>
  <c r="F11" i="3"/>
  <c r="F12" i="3"/>
  <c r="F7" i="3"/>
  <c r="F16" i="3"/>
  <c r="F8" i="3"/>
  <c r="F18" i="3"/>
  <c r="F17" i="3"/>
  <c r="F13" i="3"/>
  <c r="F6" i="3"/>
  <c r="F14" i="3"/>
  <c r="F19" i="3"/>
  <c r="F20" i="3"/>
  <c r="F15" i="3"/>
  <c r="F28" i="3"/>
  <c r="F21" i="3"/>
  <c r="F27" i="3"/>
  <c r="F23" i="3"/>
  <c r="F25" i="3"/>
  <c r="F22" i="3"/>
  <c r="F26" i="3"/>
  <c r="F24" i="3"/>
  <c r="F2" i="3"/>
  <c r="M27" i="3" l="1"/>
  <c r="M11" i="3"/>
  <c r="M9" i="3"/>
  <c r="M23" i="3"/>
  <c r="M12" i="3"/>
  <c r="M18" i="3"/>
  <c r="M20" i="3"/>
  <c r="M6" i="3"/>
  <c r="M8" i="3"/>
  <c r="M24" i="3"/>
  <c r="M15" i="3"/>
  <c r="M5" i="3"/>
  <c r="O23" i="3"/>
  <c r="M2" i="3"/>
  <c r="M21" i="3"/>
  <c r="M13" i="3"/>
  <c r="M7" i="3"/>
  <c r="M28" i="3"/>
  <c r="M17" i="3"/>
  <c r="M16" i="3"/>
  <c r="M3" i="3"/>
  <c r="M4" i="3"/>
  <c r="M26" i="3"/>
  <c r="M19" i="3"/>
  <c r="M10" i="3"/>
  <c r="M22" i="3"/>
  <c r="M14" i="3"/>
  <c r="O24" i="3"/>
  <c r="Q24" i="3" s="1"/>
  <c r="O5" i="3"/>
  <c r="O2" i="3"/>
  <c r="Q2" i="3" s="1"/>
  <c r="O26" i="3"/>
  <c r="Q26" i="3" s="1"/>
  <c r="O21" i="3"/>
  <c r="O19" i="3"/>
  <c r="O13" i="3"/>
  <c r="O7" i="3"/>
  <c r="O10" i="3"/>
  <c r="O15" i="3"/>
  <c r="O18" i="3"/>
  <c r="Q18" i="3" s="1"/>
  <c r="O28" i="3"/>
  <c r="O22" i="3"/>
  <c r="O17" i="3"/>
  <c r="O14" i="3"/>
  <c r="O16" i="3"/>
  <c r="O9" i="3"/>
  <c r="Q9" i="3" s="1"/>
  <c r="O3" i="3"/>
  <c r="O12" i="3"/>
  <c r="Q12" i="3" s="1"/>
  <c r="O25" i="3"/>
  <c r="Q25" i="3" s="1"/>
  <c r="O27" i="3"/>
  <c r="Q27" i="3" s="1"/>
  <c r="O20" i="3"/>
  <c r="O11" i="3"/>
  <c r="Q11" i="3" s="1"/>
  <c r="O6" i="3"/>
  <c r="O4" i="3"/>
  <c r="O8" i="3"/>
  <c r="Q8" i="3" s="1"/>
  <c r="Q6" i="3" l="1"/>
  <c r="Q16" i="3"/>
  <c r="Q14" i="3"/>
  <c r="Q13" i="3"/>
  <c r="Q20" i="3"/>
  <c r="Q15" i="3"/>
  <c r="Q19" i="3"/>
  <c r="Q5" i="3"/>
  <c r="Q23" i="3"/>
  <c r="Q3" i="3"/>
  <c r="Q7" i="3"/>
  <c r="Q22" i="3"/>
  <c r="Q17" i="3"/>
  <c r="Q21" i="3"/>
  <c r="Q10" i="3"/>
  <c r="Q4" i="3"/>
  <c r="Q28" i="3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" i="1"/>
  <c r="I9" i="1" l="1"/>
  <c r="J9" i="1" s="1"/>
  <c r="I17" i="1"/>
  <c r="J17" i="1" s="1"/>
  <c r="I28" i="1"/>
  <c r="J28" i="1" s="1"/>
  <c r="I4" i="1"/>
  <c r="J4" i="1" s="1"/>
  <c r="I3" i="1"/>
  <c r="J3" i="1" s="1"/>
  <c r="I23" i="1"/>
  <c r="J23" i="1" s="1"/>
  <c r="I20" i="1"/>
  <c r="J20" i="1" s="1"/>
  <c r="I19" i="1"/>
  <c r="J19" i="1" s="1"/>
  <c r="I2" i="1"/>
  <c r="J2" i="1" s="1"/>
  <c r="I10" i="1"/>
  <c r="J10" i="1" s="1"/>
  <c r="I22" i="1"/>
  <c r="J22" i="1" s="1"/>
  <c r="I27" i="1"/>
  <c r="J27" i="1" s="1"/>
  <c r="I7" i="1"/>
  <c r="J7" i="1" s="1"/>
  <c r="I6" i="1"/>
  <c r="J6" i="1" s="1"/>
  <c r="I5" i="1"/>
  <c r="J5" i="1" s="1"/>
  <c r="I8" i="1"/>
  <c r="J8" i="1" s="1"/>
  <c r="I15" i="1"/>
  <c r="J15" i="1" s="1"/>
  <c r="I12" i="1"/>
  <c r="J12" i="1" s="1"/>
  <c r="I11" i="1"/>
  <c r="J11" i="1" s="1"/>
  <c r="I21" i="1"/>
  <c r="J21" i="1" s="1"/>
  <c r="I26" i="1"/>
  <c r="J26" i="1" s="1"/>
  <c r="I16" i="1"/>
  <c r="J16" i="1" s="1"/>
  <c r="I18" i="1"/>
  <c r="J18" i="1" s="1"/>
  <c r="I14" i="1"/>
  <c r="J14" i="1" s="1"/>
  <c r="I13" i="1"/>
  <c r="J13" i="1" s="1"/>
  <c r="I25" i="1"/>
  <c r="J25" i="1" s="1"/>
  <c r="I24" i="1"/>
  <c r="J24" i="1" s="1"/>
  <c r="B3" i="2" l="1"/>
  <c r="B5" i="2"/>
  <c r="A3" i="2"/>
  <c r="A5" i="2"/>
  <c r="B7" i="2" l="1"/>
  <c r="B9" i="2" s="1"/>
  <c r="A7" i="2"/>
  <c r="A9" i="2" s="1"/>
  <c r="B11" i="2" l="1"/>
  <c r="A11" i="2"/>
</calcChain>
</file>

<file path=xl/sharedStrings.xml><?xml version="1.0" encoding="utf-8"?>
<sst xmlns="http://schemas.openxmlformats.org/spreadsheetml/2006/main" count="233" uniqueCount="115">
  <si>
    <t>Código da UF</t>
  </si>
  <si>
    <t>UF</t>
  </si>
  <si>
    <t>Estado</t>
  </si>
  <si>
    <t>Região</t>
  </si>
  <si>
    <t>AC</t>
  </si>
  <si>
    <t>Acre</t>
  </si>
  <si>
    <t>Norte</t>
  </si>
  <si>
    <t>AL</t>
  </si>
  <si>
    <t>Alagoas</t>
  </si>
  <si>
    <t>Nordeste</t>
  </si>
  <si>
    <t>AM</t>
  </si>
  <si>
    <t>Amazonas</t>
  </si>
  <si>
    <t>AP</t>
  </si>
  <si>
    <t>Amapá</t>
  </si>
  <si>
    <t>BA</t>
  </si>
  <si>
    <t>Bahia</t>
  </si>
  <si>
    <t>CE</t>
  </si>
  <si>
    <t>Ceará</t>
  </si>
  <si>
    <t>DF</t>
  </si>
  <si>
    <t>Distrito Federal</t>
  </si>
  <si>
    <t>Centro-Oeste</t>
  </si>
  <si>
    <t>ES</t>
  </si>
  <si>
    <t>Espírito Santo</t>
  </si>
  <si>
    <t>Sudeste</t>
  </si>
  <si>
    <t>GO</t>
  </si>
  <si>
    <t>Goiás</t>
  </si>
  <si>
    <t>MA</t>
  </si>
  <si>
    <t>Maranhão</t>
  </si>
  <si>
    <t>MG</t>
  </si>
  <si>
    <t>Minas Gerais</t>
  </si>
  <si>
    <t>MS</t>
  </si>
  <si>
    <t>Mato Grosso do Sul</t>
  </si>
  <si>
    <t>MT</t>
  </si>
  <si>
    <t>Mato Grosso</t>
  </si>
  <si>
    <t>PA</t>
  </si>
  <si>
    <t>Pará</t>
  </si>
  <si>
    <t>PB</t>
  </si>
  <si>
    <t>Paraíba</t>
  </si>
  <si>
    <t>PE</t>
  </si>
  <si>
    <t>Pernambuco</t>
  </si>
  <si>
    <t>PI</t>
  </si>
  <si>
    <t>Piauí</t>
  </si>
  <si>
    <t>PR</t>
  </si>
  <si>
    <t>Paraná</t>
  </si>
  <si>
    <t>Sul</t>
  </si>
  <si>
    <t>RJ</t>
  </si>
  <si>
    <t>Rio de Janeiro</t>
  </si>
  <si>
    <t>RN</t>
  </si>
  <si>
    <t>Rio Grande do Norte</t>
  </si>
  <si>
    <t>RO</t>
  </si>
  <si>
    <t>Rondônia</t>
  </si>
  <si>
    <t>RR</t>
  </si>
  <si>
    <t>Roraima</t>
  </si>
  <si>
    <t>RS</t>
  </si>
  <si>
    <t>Rio Grande do Sul</t>
  </si>
  <si>
    <t>SC</t>
  </si>
  <si>
    <t>Santa Catarina</t>
  </si>
  <si>
    <t>SE</t>
  </si>
  <si>
    <t>Sergipe</t>
  </si>
  <si>
    <t>SP</t>
  </si>
  <si>
    <t>São Paulo</t>
  </si>
  <si>
    <t>TO</t>
  </si>
  <si>
    <t>Tocantins</t>
  </si>
  <si>
    <t>População CENSO 2022</t>
  </si>
  <si>
    <t>receita corrente bruta per capita 2023</t>
  </si>
  <si>
    <t>Primeiro quartil</t>
  </si>
  <si>
    <t>Terceiro quartil</t>
  </si>
  <si>
    <t>Intervalo interquartil</t>
  </si>
  <si>
    <t>Outlier inferior</t>
  </si>
  <si>
    <t>Outlier superior</t>
  </si>
  <si>
    <t>receita corrente bruta 2023</t>
  </si>
  <si>
    <t>receita corrente bruta per capita 2023(valores em branco foram substituídos pela média 5485)</t>
  </si>
  <si>
    <t>Índice de Vulnerabilidade Institucional dos Conselhos de Direitos - IVIC 2023</t>
  </si>
  <si>
    <t>População 2022 sem outliers (outliers acima de 18.136.000)</t>
  </si>
  <si>
    <t>IDHM 2021</t>
  </si>
  <si>
    <t>População 2022</t>
  </si>
  <si>
    <t>receita corrente bruta per capita 2023 sem outliers (outliers acima de 19415. Não há outliers)</t>
  </si>
  <si>
    <t>Total de pontos</t>
  </si>
  <si>
    <t>Ranqueamento</t>
  </si>
  <si>
    <t>População 2022 sem outliers normalizada</t>
  </si>
  <si>
    <t>receita corrente bruta per capita 2023 sem outliers normalizados</t>
  </si>
  <si>
    <t>Índice de Vulnerabilidade Institucional dos Conselhos de Direitos - IVIC 2023 - normalizados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</si>
  <si>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</si>
  <si>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</si>
  <si>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</si>
  <si>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</si>
  <si>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</si>
  <si>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</si>
  <si>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</si>
  <si>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</si>
  <si>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</si>
  <si>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</si>
  <si>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</si>
  <si>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</si>
  <si>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</si>
  <si>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</si>
  <si>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</si>
  <si>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</si>
  <si>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</si>
  <si>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</si>
  <si>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</si>
  <si>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</si>
  <si>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</si>
  <si>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22º</t>
  </si>
  <si>
    <t>23º</t>
  </si>
  <si>
    <t>24º</t>
  </si>
  <si>
    <t>25º</t>
  </si>
  <si>
    <t>26º</t>
  </si>
  <si>
    <t>27º</t>
  </si>
  <si>
    <t>Indicador de privação socioeconômica e desigualdade social</t>
  </si>
  <si>
    <t>Índice de envelhecimento</t>
  </si>
  <si>
    <t>ICI - PI</t>
  </si>
  <si>
    <t>Índice de envelhecimento - normalizado</t>
  </si>
  <si>
    <t>Indicador de privação socioeconômica e desigualdade social - normalizado</t>
  </si>
  <si>
    <t>ICI 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</si>
</sst>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00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2" borderId="0" xfId="0" applyFill="1"/>
    <xf numFmtId="2" fontId="0" fillId="0" borderId="0" xfId="0" applyNumberFormat="1"/>
    <xf numFmtId="43" fontId="0" fillId="0" borderId="0" xfId="1" applyFont="1"/>
    <xf numFmtId="164" fontId="0" fillId="0" borderId="0" xfId="1" applyNumberFormat="1" applyFont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165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A6B9F-FBC8-4772-A572-81F04EB7AED1}">
  <dimension ref="A1:R28"/>
  <sheetViews>
    <sheetView tabSelected="1" topLeftCell="L1" workbookViewId="0">
      <selection activeCell="N1" sqref="N1"/>
    </sheetView>
  </sheetViews>
  <sheetFormatPr defaultRowHeight="15" x14ac:dyDescent="0.25"/>
  <cols>
    <col min="1" max="1" width="13.42578125" customWidth="1"/>
    <col min="2" max="2" width="3.85546875" bestFit="1" customWidth="1"/>
    <col min="3" max="3" width="19.28515625" bestFit="1" customWidth="1"/>
    <col min="5" max="5" width="28" bestFit="1" customWidth="1"/>
    <col min="6" max="6" width="28" customWidth="1"/>
    <col min="7" max="7" width="10.42578125" bestFit="1" customWidth="1"/>
    <col min="8" max="8" width="47.28515625" bestFit="1" customWidth="1"/>
    <col min="9" max="9" width="47.28515625" customWidth="1"/>
    <col min="10" max="10" width="36.42578125" bestFit="1" customWidth="1"/>
    <col min="11" max="18" width="36.42578125" customWidth="1"/>
  </cols>
  <sheetData>
    <row r="1" spans="1:18" ht="39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73</v>
      </c>
      <c r="F1" s="1" t="s">
        <v>79</v>
      </c>
      <c r="G1" s="7" t="s">
        <v>74</v>
      </c>
      <c r="H1" s="1" t="s">
        <v>76</v>
      </c>
      <c r="I1" s="1" t="s">
        <v>80</v>
      </c>
      <c r="J1" s="1" t="s">
        <v>72</v>
      </c>
      <c r="K1" s="1" t="s">
        <v>81</v>
      </c>
      <c r="L1" s="1" t="s">
        <v>109</v>
      </c>
      <c r="M1" s="1" t="s">
        <v>113</v>
      </c>
      <c r="N1" s="8" t="s">
        <v>110</v>
      </c>
      <c r="O1" s="8" t="s">
        <v>112</v>
      </c>
      <c r="P1" s="1" t="s">
        <v>111</v>
      </c>
      <c r="Q1" s="1" t="s">
        <v>77</v>
      </c>
      <c r="R1" s="1" t="s">
        <v>78</v>
      </c>
    </row>
    <row r="2" spans="1:18" x14ac:dyDescent="0.25">
      <c r="A2">
        <v>21</v>
      </c>
      <c r="B2" t="s">
        <v>26</v>
      </c>
      <c r="C2" t="s">
        <v>27</v>
      </c>
      <c r="D2" t="s">
        <v>9</v>
      </c>
      <c r="E2" s="6">
        <v>6775805</v>
      </c>
      <c r="F2" s="5">
        <f t="shared" ref="F2:F28" si="0">(E2-MIN(E:E))/(MAX(E:E)-MIN(E:E))</f>
        <v>0.350819773118834</v>
      </c>
      <c r="G2">
        <v>0.67600000000000005</v>
      </c>
      <c r="H2" s="6">
        <v>4589.6118315816348</v>
      </c>
      <c r="I2" s="5">
        <f t="shared" ref="I2:I28" si="1">(H2-MIN(H:H))/(MAX(H:H)-MIN(H:H))</f>
        <v>0</v>
      </c>
      <c r="J2" s="9">
        <v>0.50555555555555565</v>
      </c>
      <c r="K2" s="5">
        <f t="shared" ref="K2:K28" si="2">(J2-MIN(J:J))/(MAX(J:J)-MIN(J:J))</f>
        <v>0.98113207547169823</v>
      </c>
      <c r="L2" s="5">
        <f>VLOOKUP(A2,'Dados absolutos'!A:L,12,FALSE)</f>
        <v>1.3164499999999999</v>
      </c>
      <c r="M2" s="5">
        <f t="shared" ref="M2:M28" si="3">(L2-MIN(L:L))/(MAX(L:L)-MIN(L:L))</f>
        <v>0.98174340382969649</v>
      </c>
      <c r="N2" s="5">
        <f>VLOOKUP(A2,'Dados absolutos'!A:N,13,FALSE)</f>
        <v>-0.78769999999999996</v>
      </c>
      <c r="O2" s="5">
        <f t="shared" ref="O2:O28" si="4">(N2-MIN(N:N))/(MAX(N:N)-MIN(N:N))</f>
        <v>0.28282438200723886</v>
      </c>
      <c r="P2" s="5">
        <f>VLOOKUP(A2,'Dados absolutos'!A:N,14,FALSE)</f>
        <v>0.875</v>
      </c>
      <c r="Q2" s="9">
        <f t="shared" ref="Q2:Q28" si="5">F2-G2-I2+K2+M2+O2+P2</f>
        <v>2.7955196344274675</v>
      </c>
      <c r="R2" s="9" t="s">
        <v>82</v>
      </c>
    </row>
    <row r="3" spans="1:18" x14ac:dyDescent="0.25">
      <c r="A3">
        <v>29</v>
      </c>
      <c r="B3" t="s">
        <v>14</v>
      </c>
      <c r="C3" t="s">
        <v>15</v>
      </c>
      <c r="D3" t="s">
        <v>9</v>
      </c>
      <c r="E3" s="6">
        <v>14141626</v>
      </c>
      <c r="F3" s="5">
        <f t="shared" si="0"/>
        <v>0.77174083547261019</v>
      </c>
      <c r="G3">
        <v>0.69099999999999995</v>
      </c>
      <c r="H3" s="6">
        <v>5559.4320971308398</v>
      </c>
      <c r="I3" s="5">
        <f t="shared" si="1"/>
        <v>9.1409552442983363E-2</v>
      </c>
      <c r="J3" s="9">
        <v>0.24166666666666664</v>
      </c>
      <c r="K3" s="5">
        <f t="shared" si="2"/>
        <v>0.46900269541778966</v>
      </c>
      <c r="L3" s="5">
        <f>VLOOKUP(A3,'Dados absolutos'!A:L,12,FALSE)</f>
        <v>0.96235999999999999</v>
      </c>
      <c r="M3" s="5">
        <f t="shared" si="3"/>
        <v>0.85388584572165183</v>
      </c>
      <c r="N3" s="5">
        <f>VLOOKUP(A3,'Dados absolutos'!A:N,13,FALSE)</f>
        <v>-0.12537999999999999</v>
      </c>
      <c r="O3" s="5">
        <f t="shared" si="4"/>
        <v>0.55492607093410673</v>
      </c>
      <c r="P3" s="5">
        <f>VLOOKUP(A3,'Dados absolutos'!A:N,14,FALSE)</f>
        <v>0.875</v>
      </c>
      <c r="Q3" s="9">
        <f t="shared" si="5"/>
        <v>2.742145895103175</v>
      </c>
      <c r="R3" s="9" t="s">
        <v>83</v>
      </c>
    </row>
    <row r="4" spans="1:18" x14ac:dyDescent="0.25">
      <c r="A4">
        <v>26</v>
      </c>
      <c r="B4" t="s">
        <v>38</v>
      </c>
      <c r="C4" t="s">
        <v>39</v>
      </c>
      <c r="D4" t="s">
        <v>9</v>
      </c>
      <c r="E4" s="6">
        <v>9058931</v>
      </c>
      <c r="F4" s="5">
        <f t="shared" si="0"/>
        <v>0.48128938694837559</v>
      </c>
      <c r="G4">
        <v>0.71899999999999997</v>
      </c>
      <c r="H4" s="6">
        <v>5742.0962794318675</v>
      </c>
      <c r="I4" s="5">
        <f t="shared" si="1"/>
        <v>0.10862640359018524</v>
      </c>
      <c r="J4" s="9">
        <v>0.36527777777777776</v>
      </c>
      <c r="K4" s="5">
        <f t="shared" si="2"/>
        <v>0.70889487870619938</v>
      </c>
      <c r="L4" s="5">
        <f>VLOOKUP(A4,'Dados absolutos'!A:L,12,FALSE)</f>
        <v>0.90527000000000002</v>
      </c>
      <c r="M4" s="5">
        <f t="shared" si="3"/>
        <v>0.8332713466045113</v>
      </c>
      <c r="N4" s="5">
        <f>VLOOKUP(A4,'Dados absolutos'!A:N,13,FALSE)</f>
        <v>-0.45377000000000001</v>
      </c>
      <c r="O4" s="5">
        <f t="shared" si="4"/>
        <v>0.42001322876311065</v>
      </c>
      <c r="P4" s="5">
        <f>VLOOKUP(A4,'Dados absolutos'!A:N,14,FALSE)</f>
        <v>1</v>
      </c>
      <c r="Q4" s="9">
        <f t="shared" si="5"/>
        <v>2.6158424374320117</v>
      </c>
      <c r="R4" s="9" t="s">
        <v>84</v>
      </c>
    </row>
    <row r="5" spans="1:18" x14ac:dyDescent="0.25">
      <c r="A5">
        <v>23</v>
      </c>
      <c r="B5" t="s">
        <v>16</v>
      </c>
      <c r="C5" t="s">
        <v>17</v>
      </c>
      <c r="D5" t="s">
        <v>9</v>
      </c>
      <c r="E5" s="6">
        <v>8794957</v>
      </c>
      <c r="F5" s="5">
        <f t="shared" si="0"/>
        <v>0.46620454894949187</v>
      </c>
      <c r="G5">
        <v>0.73399999999999999</v>
      </c>
      <c r="H5" s="6">
        <v>5051.8564158949275</v>
      </c>
      <c r="I5" s="5">
        <f t="shared" si="1"/>
        <v>4.3568454972780925E-2</v>
      </c>
      <c r="J5" s="9">
        <v>0.3527777777777778</v>
      </c>
      <c r="K5" s="5">
        <f t="shared" si="2"/>
        <v>0.68463611859838269</v>
      </c>
      <c r="L5" s="5">
        <f>VLOOKUP(A5,'Dados absolutos'!A:L,12,FALSE)</f>
        <v>0.89080999999999999</v>
      </c>
      <c r="M5" s="5">
        <f t="shared" si="3"/>
        <v>0.82805001787384314</v>
      </c>
      <c r="N5" s="5">
        <f>VLOOKUP(A5,'Dados absolutos'!A:N,13,FALSE)</f>
        <v>-0.16955999999999999</v>
      </c>
      <c r="O5" s="5">
        <f t="shared" si="4"/>
        <v>0.5367755506164521</v>
      </c>
      <c r="P5" s="5">
        <f>VLOOKUP(A5,'Dados absolutos'!A:N,14,FALSE)</f>
        <v>0.75</v>
      </c>
      <c r="Q5" s="9">
        <f t="shared" si="5"/>
        <v>2.488097781065389</v>
      </c>
      <c r="R5" s="9" t="s">
        <v>85</v>
      </c>
    </row>
    <row r="6" spans="1:18" x14ac:dyDescent="0.25">
      <c r="A6">
        <v>43</v>
      </c>
      <c r="B6" t="s">
        <v>53</v>
      </c>
      <c r="C6" t="s">
        <v>54</v>
      </c>
      <c r="D6" t="s">
        <v>44</v>
      </c>
      <c r="E6" s="6">
        <v>10882965</v>
      </c>
      <c r="F6" s="5">
        <f t="shared" si="0"/>
        <v>0.58552411231699475</v>
      </c>
      <c r="G6">
        <v>0.77100000000000002</v>
      </c>
      <c r="H6" s="6">
        <v>7689.7314092299303</v>
      </c>
      <c r="I6" s="5">
        <f t="shared" si="1"/>
        <v>0.29219903231459504</v>
      </c>
      <c r="J6" s="9">
        <v>0.40416666666666667</v>
      </c>
      <c r="K6" s="5">
        <f t="shared" si="2"/>
        <v>0.78436657681940691</v>
      </c>
      <c r="L6" s="5">
        <f>VLOOKUP(A6,'Dados absolutos'!A:L,12,FALSE)</f>
        <v>-1.17527</v>
      </c>
      <c r="M6" s="5">
        <f t="shared" si="3"/>
        <v>8.2013858547488466E-2</v>
      </c>
      <c r="N6" s="5">
        <f>VLOOKUP(A6,'Dados absolutos'!A:N,13,FALSE)</f>
        <v>0.95796999999999999</v>
      </c>
      <c r="O6" s="5">
        <f t="shared" si="4"/>
        <v>1</v>
      </c>
      <c r="P6" s="5">
        <f>VLOOKUP(A6,'Dados absolutos'!A:N,14,FALSE)</f>
        <v>1</v>
      </c>
      <c r="Q6" s="9">
        <f t="shared" si="5"/>
        <v>2.3887055153692951</v>
      </c>
      <c r="R6" s="9" t="s">
        <v>86</v>
      </c>
    </row>
    <row r="7" spans="1:18" x14ac:dyDescent="0.25">
      <c r="A7">
        <v>31</v>
      </c>
      <c r="B7" t="s">
        <v>28</v>
      </c>
      <c r="C7" t="s">
        <v>29</v>
      </c>
      <c r="D7" t="s">
        <v>23</v>
      </c>
      <c r="E7" s="6">
        <v>18136000</v>
      </c>
      <c r="F7" s="5">
        <f t="shared" si="0"/>
        <v>1</v>
      </c>
      <c r="G7">
        <v>0.77400000000000002</v>
      </c>
      <c r="H7" s="6">
        <v>6563.5317121990665</v>
      </c>
      <c r="I7" s="5">
        <f t="shared" si="1"/>
        <v>0.18605007469437335</v>
      </c>
      <c r="J7" s="9">
        <v>0.14583333333333334</v>
      </c>
      <c r="K7" s="5">
        <f t="shared" si="2"/>
        <v>0.28301886792452829</v>
      </c>
      <c r="L7" s="5">
        <f>VLOOKUP(A7,'Dados absolutos'!A:L,12,FALSE)</f>
        <v>-0.25341999999999998</v>
      </c>
      <c r="M7" s="5">
        <f t="shared" si="3"/>
        <v>0.41488259232110813</v>
      </c>
      <c r="N7" s="5">
        <f>VLOOKUP(A7,'Dados absolutos'!A:N,13,FALSE)</f>
        <v>0.32407999999999998</v>
      </c>
      <c r="O7" s="5">
        <f t="shared" si="4"/>
        <v>0.73957824073883871</v>
      </c>
      <c r="P7" s="5">
        <f>VLOOKUP(A7,'Dados absolutos'!A:N,14,FALSE)</f>
        <v>0.875</v>
      </c>
      <c r="Q7" s="9">
        <f t="shared" si="5"/>
        <v>2.3524296262901019</v>
      </c>
      <c r="R7" s="9" t="s">
        <v>87</v>
      </c>
    </row>
    <row r="8" spans="1:18" x14ac:dyDescent="0.25">
      <c r="A8">
        <v>33</v>
      </c>
      <c r="B8" t="s">
        <v>45</v>
      </c>
      <c r="C8" t="s">
        <v>46</v>
      </c>
      <c r="D8" t="s">
        <v>23</v>
      </c>
      <c r="E8" s="6">
        <v>16055174</v>
      </c>
      <c r="F8" s="5">
        <f t="shared" si="0"/>
        <v>0.88109085321332692</v>
      </c>
      <c r="G8">
        <v>0.76200000000000001</v>
      </c>
      <c r="H8" s="6">
        <v>7460.0388042994737</v>
      </c>
      <c r="I8" s="5">
        <f t="shared" si="1"/>
        <v>0.27054955873480135</v>
      </c>
      <c r="J8" s="9">
        <v>0.38472222222222224</v>
      </c>
      <c r="K8" s="5">
        <f t="shared" si="2"/>
        <v>0.74663072776280315</v>
      </c>
      <c r="L8" s="5">
        <f>VLOOKUP(A8,'Dados absolutos'!A:L,12,FALSE)</f>
        <v>-0.35539999999999999</v>
      </c>
      <c r="M8" s="5">
        <f t="shared" si="3"/>
        <v>0.37805886452349058</v>
      </c>
      <c r="N8" s="5">
        <f>VLOOKUP(A8,'Dados absolutos'!A:N,13,FALSE)</f>
        <v>0.13124</v>
      </c>
      <c r="O8" s="5">
        <f t="shared" si="4"/>
        <v>0.66035356128984546</v>
      </c>
      <c r="P8" s="5">
        <f>VLOOKUP(A8,'Dados absolutos'!A:N,14,FALSE)</f>
        <v>0.625</v>
      </c>
      <c r="Q8" s="9">
        <f t="shared" si="5"/>
        <v>2.2585844480546649</v>
      </c>
      <c r="R8" s="9" t="s">
        <v>88</v>
      </c>
    </row>
    <row r="9" spans="1:18" x14ac:dyDescent="0.25">
      <c r="A9">
        <v>15</v>
      </c>
      <c r="B9" t="s">
        <v>34</v>
      </c>
      <c r="C9" t="s">
        <v>35</v>
      </c>
      <c r="D9" t="s">
        <v>6</v>
      </c>
      <c r="E9" s="6">
        <v>8121025</v>
      </c>
      <c r="F9" s="5">
        <f t="shared" si="0"/>
        <v>0.42769259306647417</v>
      </c>
      <c r="G9">
        <v>0.69</v>
      </c>
      <c r="H9" s="6">
        <v>6214.9305162464098</v>
      </c>
      <c r="I9" s="5">
        <f t="shared" si="1"/>
        <v>0.15319297690514966</v>
      </c>
      <c r="J9" s="9">
        <v>0.39583333333333326</v>
      </c>
      <c r="K9" s="5">
        <f t="shared" si="2"/>
        <v>0.76819407008086227</v>
      </c>
      <c r="L9" s="5">
        <f>VLOOKUP(A9,'Dados absolutos'!A:L,12,FALSE)</f>
        <v>0.98407999999999995</v>
      </c>
      <c r="M9" s="5">
        <f t="shared" si="3"/>
        <v>0.86172867144987564</v>
      </c>
      <c r="N9" s="5">
        <f>VLOOKUP(A9,'Dados absolutos'!A:N,13,FALSE)</f>
        <v>-1.15602</v>
      </c>
      <c r="O9" s="5">
        <f t="shared" si="4"/>
        <v>0.13150705191673276</v>
      </c>
      <c r="P9" s="5">
        <f>VLOOKUP(A9,'Dados absolutos'!A:N,14,FALSE)</f>
        <v>0.875</v>
      </c>
      <c r="Q9" s="9">
        <f t="shared" si="5"/>
        <v>2.2209294096087953</v>
      </c>
      <c r="R9" s="9" t="s">
        <v>89</v>
      </c>
    </row>
    <row r="10" spans="1:18" x14ac:dyDescent="0.25">
      <c r="A10">
        <v>25</v>
      </c>
      <c r="B10" t="s">
        <v>36</v>
      </c>
      <c r="C10" t="s">
        <v>37</v>
      </c>
      <c r="D10" t="s">
        <v>9</v>
      </c>
      <c r="E10" s="6">
        <v>3974687</v>
      </c>
      <c r="F10" s="5">
        <f t="shared" si="0"/>
        <v>0.19074942056230501</v>
      </c>
      <c r="G10">
        <v>0.69799999999999995</v>
      </c>
      <c r="H10" s="6">
        <v>5760.164771807189</v>
      </c>
      <c r="I10" s="5">
        <f t="shared" si="1"/>
        <v>0.11032943337829994</v>
      </c>
      <c r="J10" s="9">
        <v>0.51527777777777783</v>
      </c>
      <c r="K10" s="5">
        <f t="shared" si="2"/>
        <v>1</v>
      </c>
      <c r="L10" s="5">
        <f>VLOOKUP(A10,'Dados absolutos'!A:L,12,FALSE)</f>
        <v>0.91859000000000002</v>
      </c>
      <c r="M10" s="5">
        <f t="shared" si="3"/>
        <v>0.83808103531077016</v>
      </c>
      <c r="N10" s="5">
        <f>VLOOKUP(A10,'Dados absolutos'!A:N,13,FALSE)</f>
        <v>-2.9600000000000001E-2</v>
      </c>
      <c r="O10" s="5">
        <f t="shared" si="4"/>
        <v>0.59427547872100039</v>
      </c>
      <c r="P10" s="5">
        <f>VLOOKUP(A10,'Dados absolutos'!A:N,14,FALSE)</f>
        <v>0.375</v>
      </c>
      <c r="Q10" s="9">
        <f t="shared" si="5"/>
        <v>2.1897765012157757</v>
      </c>
      <c r="R10" s="9" t="s">
        <v>90</v>
      </c>
    </row>
    <row r="11" spans="1:18" x14ac:dyDescent="0.25">
      <c r="A11">
        <v>22</v>
      </c>
      <c r="B11" t="s">
        <v>40</v>
      </c>
      <c r="C11" t="s">
        <v>41</v>
      </c>
      <c r="D11" t="s">
        <v>9</v>
      </c>
      <c r="E11" s="6">
        <v>3271199</v>
      </c>
      <c r="F11" s="5">
        <f t="shared" si="0"/>
        <v>0.15054848215867922</v>
      </c>
      <c r="G11">
        <v>0.69</v>
      </c>
      <c r="H11" s="6">
        <v>6308.4435769881311</v>
      </c>
      <c r="I11" s="5">
        <f t="shared" si="1"/>
        <v>0.16200696784102023</v>
      </c>
      <c r="J11" s="9">
        <v>0.26666666666666666</v>
      </c>
      <c r="K11" s="5">
        <f t="shared" si="2"/>
        <v>0.5175202156334231</v>
      </c>
      <c r="L11" s="5">
        <f>VLOOKUP(A11,'Dados absolutos'!A:L,12,FALSE)</f>
        <v>1.24213</v>
      </c>
      <c r="M11" s="5">
        <f t="shared" si="3"/>
        <v>0.9549073629401208</v>
      </c>
      <c r="N11" s="5">
        <f>VLOOKUP(A11,'Dados absolutos'!A:N,13,FALSE)</f>
        <v>-0.18673000000000001</v>
      </c>
      <c r="O11" s="5">
        <f t="shared" si="4"/>
        <v>0.52972157972794753</v>
      </c>
      <c r="P11" s="5">
        <f>VLOOKUP(A11,'Dados absolutos'!A:N,14,FALSE)</f>
        <v>0.625</v>
      </c>
      <c r="Q11" s="9">
        <f t="shared" si="5"/>
        <v>1.9256906726191505</v>
      </c>
      <c r="R11" s="9" t="s">
        <v>91</v>
      </c>
    </row>
    <row r="12" spans="1:18" x14ac:dyDescent="0.25">
      <c r="A12">
        <v>27</v>
      </c>
      <c r="B12" t="s">
        <v>7</v>
      </c>
      <c r="C12" t="s">
        <v>8</v>
      </c>
      <c r="D12" t="s">
        <v>9</v>
      </c>
      <c r="E12" s="6">
        <v>3127683</v>
      </c>
      <c r="F12" s="5">
        <f t="shared" si="0"/>
        <v>0.14234723654264203</v>
      </c>
      <c r="G12">
        <v>0.68400000000000005</v>
      </c>
      <c r="H12" s="6">
        <v>6325.8531139376973</v>
      </c>
      <c r="I12" s="5">
        <f t="shared" si="1"/>
        <v>0.16364788836756566</v>
      </c>
      <c r="J12" s="9">
        <v>0.34722222222222221</v>
      </c>
      <c r="K12" s="5">
        <f t="shared" si="2"/>
        <v>0.67385444743935297</v>
      </c>
      <c r="L12" s="5">
        <f>VLOOKUP(A12,'Dados absolutos'!A:L,12,FALSE)</f>
        <v>1.3670100000000001</v>
      </c>
      <c r="M12" s="5">
        <f t="shared" si="3"/>
        <v>1</v>
      </c>
      <c r="N12" s="5">
        <f>VLOOKUP(A12,'Dados absolutos'!A:N,13,FALSE)</f>
        <v>-0.73001000000000005</v>
      </c>
      <c r="O12" s="5">
        <f t="shared" si="4"/>
        <v>0.30652523119523106</v>
      </c>
      <c r="P12" s="5">
        <f>VLOOKUP(A12,'Dados absolutos'!A:N,14,FALSE)</f>
        <v>0.625</v>
      </c>
      <c r="Q12" s="9">
        <f t="shared" si="5"/>
        <v>1.9000790268096603</v>
      </c>
      <c r="R12" s="9" t="s">
        <v>92</v>
      </c>
    </row>
    <row r="13" spans="1:18" x14ac:dyDescent="0.25">
      <c r="A13">
        <v>41</v>
      </c>
      <c r="B13" t="s">
        <v>42</v>
      </c>
      <c r="C13" t="s">
        <v>43</v>
      </c>
      <c r="D13" t="s">
        <v>44</v>
      </c>
      <c r="E13" s="6">
        <v>11444380</v>
      </c>
      <c r="F13" s="5">
        <f t="shared" si="0"/>
        <v>0.61760626557884368</v>
      </c>
      <c r="G13">
        <v>0.76900000000000002</v>
      </c>
      <c r="H13" s="6">
        <v>7622.4912906072668</v>
      </c>
      <c r="I13" s="5">
        <f t="shared" si="1"/>
        <v>0.28586137433007136</v>
      </c>
      <c r="J13" s="9">
        <v>0.26111111111111118</v>
      </c>
      <c r="K13" s="5">
        <f t="shared" si="2"/>
        <v>0.50673854447439359</v>
      </c>
      <c r="L13" s="5">
        <f>VLOOKUP(A13,'Dados absolutos'!A:L,12,FALSE)</f>
        <v>-0.77234000000000003</v>
      </c>
      <c r="M13" s="5">
        <f t="shared" si="3"/>
        <v>0.22750694191181517</v>
      </c>
      <c r="N13" s="5">
        <f>VLOOKUP(A13,'Dados absolutos'!A:N,13,FALSE)</f>
        <v>0.11559</v>
      </c>
      <c r="O13" s="5">
        <f t="shared" si="4"/>
        <v>0.65392405375314799</v>
      </c>
      <c r="P13" s="5">
        <f>VLOOKUP(A13,'Dados absolutos'!A:N,14,FALSE)</f>
        <v>0.875</v>
      </c>
      <c r="Q13" s="9">
        <f t="shared" si="5"/>
        <v>1.825914431388129</v>
      </c>
      <c r="R13" s="9" t="s">
        <v>93</v>
      </c>
    </row>
    <row r="14" spans="1:18" x14ac:dyDescent="0.25">
      <c r="A14">
        <v>13</v>
      </c>
      <c r="B14" t="s">
        <v>10</v>
      </c>
      <c r="C14" t="s">
        <v>11</v>
      </c>
      <c r="D14" t="s">
        <v>6</v>
      </c>
      <c r="E14" s="6">
        <v>3941613</v>
      </c>
      <c r="F14" s="5">
        <f t="shared" si="0"/>
        <v>0.18885940134838591</v>
      </c>
      <c r="G14">
        <v>0.7</v>
      </c>
      <c r="H14" s="6">
        <v>7935.6609767600221</v>
      </c>
      <c r="I14" s="5">
        <f t="shared" si="1"/>
        <v>0.31537890646136968</v>
      </c>
      <c r="J14" s="9">
        <v>0.31388888888888894</v>
      </c>
      <c r="K14" s="5">
        <f t="shared" si="2"/>
        <v>0.60916442048517527</v>
      </c>
      <c r="L14" s="5">
        <f>VLOOKUP(A14,'Dados absolutos'!A:L,12,FALSE)</f>
        <v>1.34534</v>
      </c>
      <c r="M14" s="5">
        <f t="shared" si="3"/>
        <v>0.9921752286588118</v>
      </c>
      <c r="N14" s="5">
        <f>VLOOKUP(A14,'Dados absolutos'!A:N,13,FALSE)</f>
        <v>-1.4202999999999999</v>
      </c>
      <c r="O14" s="5">
        <f t="shared" si="4"/>
        <v>2.2932594932808647E-2</v>
      </c>
      <c r="P14" s="5">
        <f>VLOOKUP(A14,'Dados absolutos'!A:N,14,FALSE)</f>
        <v>1</v>
      </c>
      <c r="Q14" s="9">
        <f t="shared" si="5"/>
        <v>1.7977527389638119</v>
      </c>
      <c r="R14" s="9" t="s">
        <v>94</v>
      </c>
    </row>
    <row r="15" spans="1:18" x14ac:dyDescent="0.25">
      <c r="A15">
        <v>32</v>
      </c>
      <c r="B15" t="s">
        <v>21</v>
      </c>
      <c r="C15" t="s">
        <v>22</v>
      </c>
      <c r="D15" t="s">
        <v>23</v>
      </c>
      <c r="E15" s="6">
        <v>3833712</v>
      </c>
      <c r="F15" s="5">
        <f t="shared" si="0"/>
        <v>0.18269338081258482</v>
      </c>
      <c r="G15">
        <v>0.77100000000000002</v>
      </c>
      <c r="H15" s="6">
        <v>8474.3821844155227</v>
      </c>
      <c r="I15" s="5">
        <f t="shared" si="1"/>
        <v>0.36615559801199016</v>
      </c>
      <c r="J15" s="9">
        <v>0.35972222222222222</v>
      </c>
      <c r="K15" s="5">
        <f t="shared" si="2"/>
        <v>0.69811320754716977</v>
      </c>
      <c r="L15" s="5">
        <f>VLOOKUP(A15,'Dados absolutos'!A:L,12,FALSE)</f>
        <v>-0.38686999999999999</v>
      </c>
      <c r="M15" s="5">
        <f t="shared" si="3"/>
        <v>0.36669543332334326</v>
      </c>
      <c r="N15" s="5">
        <f>VLOOKUP(A15,'Dados absolutos'!A:N,13,FALSE)</f>
        <v>2.3550000000000001E-2</v>
      </c>
      <c r="O15" s="5">
        <f t="shared" si="4"/>
        <v>0.61611115447662157</v>
      </c>
      <c r="P15" s="5">
        <f>VLOOKUP(A15,'Dados absolutos'!A:N,14,FALSE)</f>
        <v>1</v>
      </c>
      <c r="Q15" s="9">
        <f t="shared" si="5"/>
        <v>1.7264575781477292</v>
      </c>
      <c r="R15" s="9" t="s">
        <v>95</v>
      </c>
    </row>
    <row r="16" spans="1:18" x14ac:dyDescent="0.25">
      <c r="A16">
        <v>24</v>
      </c>
      <c r="B16" t="s">
        <v>47</v>
      </c>
      <c r="C16" t="s">
        <v>48</v>
      </c>
      <c r="D16" t="s">
        <v>9</v>
      </c>
      <c r="E16" s="6">
        <v>3302729</v>
      </c>
      <c r="F16" s="5">
        <f t="shared" si="0"/>
        <v>0.15235026923659145</v>
      </c>
      <c r="G16">
        <v>0.72799999999999998</v>
      </c>
      <c r="H16" s="6">
        <v>6792.35447908684</v>
      </c>
      <c r="I16" s="5">
        <f t="shared" si="1"/>
        <v>0.20761756245782145</v>
      </c>
      <c r="J16" s="9">
        <v>0.44583333333333341</v>
      </c>
      <c r="K16" s="5">
        <f t="shared" si="2"/>
        <v>0.86522911051212947</v>
      </c>
      <c r="L16" s="5">
        <f>VLOOKUP(A16,'Dados absolutos'!A:L,12,FALSE)</f>
        <v>0.78056000000000003</v>
      </c>
      <c r="M16" s="5">
        <f t="shared" si="3"/>
        <v>0.78824009446055299</v>
      </c>
      <c r="N16" s="5">
        <f>VLOOKUP(A16,'Dados absolutos'!A:N,13,FALSE)</f>
        <v>-1.259E-2</v>
      </c>
      <c r="O16" s="5">
        <f t="shared" si="4"/>
        <v>0.60126371662510414</v>
      </c>
      <c r="P16" s="5">
        <f>VLOOKUP(A16,'Dados absolutos'!A:N,14,FALSE)</f>
        <v>0.25</v>
      </c>
      <c r="Q16" s="9">
        <f t="shared" si="5"/>
        <v>1.7214656283765566</v>
      </c>
      <c r="R16" s="9" t="s">
        <v>96</v>
      </c>
    </row>
    <row r="17" spans="1:18" x14ac:dyDescent="0.25">
      <c r="A17">
        <v>28</v>
      </c>
      <c r="B17" t="s">
        <v>57</v>
      </c>
      <c r="C17" t="s">
        <v>58</v>
      </c>
      <c r="D17" t="s">
        <v>9</v>
      </c>
      <c r="E17" s="6">
        <v>2210004</v>
      </c>
      <c r="F17" s="5">
        <f t="shared" si="0"/>
        <v>8.9906317929530064E-2</v>
      </c>
      <c r="G17">
        <v>0.70199999999999996</v>
      </c>
      <c r="H17" s="6">
        <v>7610.9003406011934</v>
      </c>
      <c r="I17" s="5">
        <f t="shared" si="1"/>
        <v>0.28476887957606234</v>
      </c>
      <c r="J17" s="9">
        <v>0.24722222222222223</v>
      </c>
      <c r="K17" s="5">
        <f t="shared" si="2"/>
        <v>0.47978436657681939</v>
      </c>
      <c r="L17" s="5">
        <f>VLOOKUP(A17,'Dados absolutos'!A:L,12,FALSE)</f>
        <v>0.92647999999999997</v>
      </c>
      <c r="M17" s="5">
        <f t="shared" si="3"/>
        <v>0.84093001758497288</v>
      </c>
      <c r="N17" s="5">
        <f>VLOOKUP(A17,'Dados absolutos'!A:N,13,FALSE)</f>
        <v>-0.51958000000000004</v>
      </c>
      <c r="O17" s="5">
        <f t="shared" si="4"/>
        <v>0.39297643061678078</v>
      </c>
      <c r="P17" s="5">
        <f>VLOOKUP(A17,'Dados absolutos'!A:N,14,FALSE)</f>
        <v>0.875</v>
      </c>
      <c r="Q17" s="9">
        <f t="shared" si="5"/>
        <v>1.6918282531320408</v>
      </c>
      <c r="R17" s="9" t="s">
        <v>97</v>
      </c>
    </row>
    <row r="18" spans="1:18" x14ac:dyDescent="0.25">
      <c r="A18">
        <v>35</v>
      </c>
      <c r="B18" t="s">
        <v>59</v>
      </c>
      <c r="C18" t="s">
        <v>60</v>
      </c>
      <c r="D18" t="s">
        <v>23</v>
      </c>
      <c r="E18" s="6">
        <v>18136000</v>
      </c>
      <c r="F18" s="5">
        <f t="shared" si="0"/>
        <v>1</v>
      </c>
      <c r="G18">
        <v>0.80600000000000005</v>
      </c>
      <c r="H18" s="6">
        <v>7572.5985762997643</v>
      </c>
      <c r="I18" s="5">
        <f t="shared" si="1"/>
        <v>0.28115878061552185</v>
      </c>
      <c r="J18" s="9">
        <v>0.20972222222222223</v>
      </c>
      <c r="K18" s="5">
        <f t="shared" si="2"/>
        <v>0.40700808625336926</v>
      </c>
      <c r="L18" s="5">
        <f>VLOOKUP(A18,'Dados absolutos'!A:L,12,FALSE)</f>
        <v>-1.0108999999999999</v>
      </c>
      <c r="M18" s="5">
        <f t="shared" si="3"/>
        <v>0.14136585048801015</v>
      </c>
      <c r="N18" s="5">
        <f>VLOOKUP(A18,'Dados absolutos'!A:N,13,FALSE)</f>
        <v>0.15817000000000001</v>
      </c>
      <c r="O18" s="5">
        <f t="shared" si="4"/>
        <v>0.67141724422679516</v>
      </c>
      <c r="P18" s="5">
        <f>VLOOKUP(A18,'Dados absolutos'!A:N,14,FALSE)</f>
        <v>0.5</v>
      </c>
      <c r="Q18" s="9">
        <f t="shared" si="5"/>
        <v>1.6326324003526527</v>
      </c>
      <c r="R18" s="9" t="s">
        <v>98</v>
      </c>
    </row>
    <row r="19" spans="1:18" x14ac:dyDescent="0.25">
      <c r="A19">
        <v>42</v>
      </c>
      <c r="B19" t="s">
        <v>55</v>
      </c>
      <c r="C19" t="s">
        <v>56</v>
      </c>
      <c r="D19" t="s">
        <v>44</v>
      </c>
      <c r="E19" s="6">
        <v>7610361</v>
      </c>
      <c r="F19" s="5">
        <f t="shared" si="0"/>
        <v>0.39851061411452449</v>
      </c>
      <c r="G19">
        <v>0.79200000000000004</v>
      </c>
      <c r="H19" s="6">
        <v>8053.3990812669726</v>
      </c>
      <c r="I19" s="5">
        <f t="shared" si="1"/>
        <v>0.32647620749824879</v>
      </c>
      <c r="J19" s="9">
        <v>0.24722222222222223</v>
      </c>
      <c r="K19" s="5">
        <f t="shared" si="2"/>
        <v>0.47978436657681939</v>
      </c>
      <c r="L19" s="5">
        <f>VLOOKUP(A19,'Dados absolutos'!A:L,12,FALSE)</f>
        <v>-1.4024000000000001</v>
      </c>
      <c r="M19" s="5">
        <f t="shared" si="3"/>
        <v>0</v>
      </c>
      <c r="N19" s="5">
        <f>VLOOKUP(A19,'Dados absolutos'!A:N,13,FALSE)</f>
        <v>5.9299999999999999E-2</v>
      </c>
      <c r="O19" s="5">
        <f t="shared" si="4"/>
        <v>0.63079836817866219</v>
      </c>
      <c r="P19" s="5">
        <f>VLOOKUP(A19,'Dados absolutos'!A:N,14,FALSE)</f>
        <v>0.875</v>
      </c>
      <c r="Q19" s="9">
        <f t="shared" si="5"/>
        <v>1.2656171413717572</v>
      </c>
      <c r="R19" s="9" t="s">
        <v>99</v>
      </c>
    </row>
    <row r="20" spans="1:18" x14ac:dyDescent="0.25">
      <c r="A20">
        <v>52</v>
      </c>
      <c r="B20" t="s">
        <v>24</v>
      </c>
      <c r="C20" t="s">
        <v>25</v>
      </c>
      <c r="D20" t="s">
        <v>20</v>
      </c>
      <c r="E20" s="6">
        <v>7056495</v>
      </c>
      <c r="F20" s="5">
        <f t="shared" si="0"/>
        <v>0.36685984970935681</v>
      </c>
      <c r="G20">
        <v>0.73699999999999999</v>
      </c>
      <c r="H20" s="6">
        <v>8168.365755051198</v>
      </c>
      <c r="I20" s="5">
        <f t="shared" si="1"/>
        <v>0.33731228978048822</v>
      </c>
      <c r="J20" s="9">
        <v>0.1902777777777778</v>
      </c>
      <c r="K20" s="5">
        <f t="shared" si="2"/>
        <v>0.3692722371967655</v>
      </c>
      <c r="L20" s="5">
        <f>VLOOKUP(A20,'Dados absolutos'!A:L,12,FALSE)</f>
        <v>-0.38545000000000001</v>
      </c>
      <c r="M20" s="5">
        <f t="shared" si="3"/>
        <v>0.36720817791515159</v>
      </c>
      <c r="N20" s="5">
        <f>VLOOKUP(A20,'Dados absolutos'!A:N,13,FALSE)</f>
        <v>-4.7820000000000001E-2</v>
      </c>
      <c r="O20" s="5">
        <f t="shared" si="4"/>
        <v>0.586790135122366</v>
      </c>
      <c r="P20" s="5">
        <f>VLOOKUP(A20,'Dados absolutos'!A:N,14,FALSE)</f>
        <v>0.625</v>
      </c>
      <c r="Q20" s="9">
        <f t="shared" si="5"/>
        <v>1.2408181101631517</v>
      </c>
      <c r="R20" s="9" t="s">
        <v>100</v>
      </c>
    </row>
    <row r="21" spans="1:18" x14ac:dyDescent="0.25">
      <c r="A21">
        <v>50</v>
      </c>
      <c r="B21" t="s">
        <v>30</v>
      </c>
      <c r="C21" t="s">
        <v>31</v>
      </c>
      <c r="D21" t="s">
        <v>20</v>
      </c>
      <c r="E21" s="6">
        <v>2757013</v>
      </c>
      <c r="F21" s="5">
        <f t="shared" si="0"/>
        <v>0.12116523793275534</v>
      </c>
      <c r="G21">
        <v>0.74199999999999999</v>
      </c>
      <c r="H21" s="6">
        <v>11905.335864216091</v>
      </c>
      <c r="I21" s="5">
        <f t="shared" si="1"/>
        <v>0.68953710638413579</v>
      </c>
      <c r="J21" s="9">
        <v>0.31527777777777777</v>
      </c>
      <c r="K21" s="5">
        <f t="shared" si="2"/>
        <v>0.61185983827493251</v>
      </c>
      <c r="L21" s="5">
        <f>VLOOKUP(A21,'Dados absolutos'!A:L,12,FALSE)</f>
        <v>-0.28778999999999999</v>
      </c>
      <c r="M21" s="5">
        <f t="shared" si="3"/>
        <v>0.40247200667290145</v>
      </c>
      <c r="N21" s="5">
        <f>VLOOKUP(A21,'Dados absolutos'!A:N,13,FALSE)</f>
        <v>-0.45158999999999999</v>
      </c>
      <c r="O21" s="5">
        <f t="shared" si="4"/>
        <v>0.42090884067557077</v>
      </c>
      <c r="P21" s="5">
        <f>VLOOKUP(A21,'Dados absolutos'!A:N,14,FALSE)</f>
        <v>0.875</v>
      </c>
      <c r="Q21" s="9">
        <f t="shared" si="5"/>
        <v>0.99986881717202425</v>
      </c>
      <c r="R21" s="9" t="s">
        <v>101</v>
      </c>
    </row>
    <row r="22" spans="1:18" x14ac:dyDescent="0.25">
      <c r="A22">
        <v>14</v>
      </c>
      <c r="B22" t="s">
        <v>51</v>
      </c>
      <c r="C22" t="s">
        <v>52</v>
      </c>
      <c r="D22" t="s">
        <v>6</v>
      </c>
      <c r="E22" s="6">
        <v>636707</v>
      </c>
      <c r="F22" s="5">
        <f t="shared" si="0"/>
        <v>0</v>
      </c>
      <c r="G22">
        <v>0.69899999999999995</v>
      </c>
      <c r="H22" s="6">
        <v>13893.600991931926</v>
      </c>
      <c r="I22" s="5">
        <f t="shared" si="1"/>
        <v>0.87693927967195984</v>
      </c>
      <c r="J22" s="9">
        <v>0.24444444444444446</v>
      </c>
      <c r="K22" s="5">
        <f t="shared" si="2"/>
        <v>0.47439353099730458</v>
      </c>
      <c r="L22" s="5">
        <f>VLOOKUP(A22,'Dados absolutos'!A:L,12,FALSE)</f>
        <v>1.3109299999999999</v>
      </c>
      <c r="M22" s="5">
        <f t="shared" si="3"/>
        <v>0.97975019950097675</v>
      </c>
      <c r="N22" s="5">
        <f>VLOOKUP(A22,'Dados absolutos'!A:N,13,FALSE)</f>
        <v>-1.4761200000000001</v>
      </c>
      <c r="O22" s="5">
        <f t="shared" si="4"/>
        <v>0</v>
      </c>
      <c r="P22" s="5">
        <f>VLOOKUP(A22,'Dados absolutos'!A:N,14,FALSE)</f>
        <v>1</v>
      </c>
      <c r="Q22" s="9">
        <f t="shared" si="5"/>
        <v>0.87820445082632159</v>
      </c>
      <c r="R22" s="9" t="s">
        <v>102</v>
      </c>
    </row>
    <row r="23" spans="1:18" x14ac:dyDescent="0.25">
      <c r="A23">
        <v>12</v>
      </c>
      <c r="B23" t="s">
        <v>4</v>
      </c>
      <c r="C23" t="s">
        <v>5</v>
      </c>
      <c r="D23" t="s">
        <v>6</v>
      </c>
      <c r="E23" s="6">
        <v>830018</v>
      </c>
      <c r="F23" s="5">
        <f t="shared" si="0"/>
        <v>1.1046789147424413E-2</v>
      </c>
      <c r="G23">
        <v>0.71</v>
      </c>
      <c r="H23" s="6">
        <v>13289.499794197234</v>
      </c>
      <c r="I23" s="5">
        <f t="shared" si="1"/>
        <v>0.82000025490954453</v>
      </c>
      <c r="J23" s="9">
        <v>0.17361111111111113</v>
      </c>
      <c r="K23" s="5">
        <f t="shared" si="2"/>
        <v>0.33692722371967654</v>
      </c>
      <c r="L23" s="5">
        <f>VLOOKUP(A23,'Dados absolutos'!A:L,12,FALSE)</f>
        <v>0.99704999999999999</v>
      </c>
      <c r="M23" s="5">
        <f t="shared" si="3"/>
        <v>0.86641197944688575</v>
      </c>
      <c r="N23" s="5">
        <f>VLOOKUP(A23,'Dados absolutos'!A:N,13,FALSE)</f>
        <v>-1.29759</v>
      </c>
      <c r="O23" s="5">
        <f t="shared" si="4"/>
        <v>7.334568565665199E-2</v>
      </c>
      <c r="P23" s="5">
        <f>VLOOKUP(A23,'Dados absolutos'!A:N,14,FALSE)</f>
        <v>1</v>
      </c>
      <c r="Q23" s="9">
        <f t="shared" si="5"/>
        <v>0.75773142306109409</v>
      </c>
      <c r="R23" s="9" t="s">
        <v>103</v>
      </c>
    </row>
    <row r="24" spans="1:18" x14ac:dyDescent="0.25">
      <c r="A24">
        <v>16</v>
      </c>
      <c r="B24" t="s">
        <v>12</v>
      </c>
      <c r="C24" t="s">
        <v>13</v>
      </c>
      <c r="D24" t="s">
        <v>6</v>
      </c>
      <c r="E24" s="6">
        <v>733759</v>
      </c>
      <c r="F24" s="5">
        <f t="shared" si="0"/>
        <v>5.5460526319549026E-3</v>
      </c>
      <c r="G24">
        <v>0.68799999999999994</v>
      </c>
      <c r="H24" s="6">
        <v>15199.22800002453</v>
      </c>
      <c r="I24" s="5">
        <f t="shared" si="1"/>
        <v>1</v>
      </c>
      <c r="J24" s="9">
        <v>0.41944444444444445</v>
      </c>
      <c r="K24" s="5">
        <f t="shared" si="2"/>
        <v>0.81401617250673852</v>
      </c>
      <c r="L24" s="5">
        <f>VLOOKUP(A24,'Dados absolutos'!A:L,12,FALSE)</f>
        <v>0.89980000000000004</v>
      </c>
      <c r="M24" s="5">
        <f t="shared" si="3"/>
        <v>0.83129619666282706</v>
      </c>
      <c r="N24" s="5">
        <f>VLOOKUP(A24,'Dados absolutos'!A:N,13,FALSE)</f>
        <v>-1.47556</v>
      </c>
      <c r="O24" s="5">
        <f t="shared" si="4"/>
        <v>2.3006544540264161E-4</v>
      </c>
      <c r="P24" s="5">
        <f>VLOOKUP(A24,'Dados absolutos'!A:N,14,FALSE)</f>
        <v>0.75</v>
      </c>
      <c r="Q24" s="9">
        <f t="shared" si="5"/>
        <v>0.71308848724692309</v>
      </c>
      <c r="R24" s="9" t="s">
        <v>104</v>
      </c>
    </row>
    <row r="25" spans="1:18" x14ac:dyDescent="0.25">
      <c r="A25">
        <v>17</v>
      </c>
      <c r="B25" t="s">
        <v>61</v>
      </c>
      <c r="C25" t="s">
        <v>62</v>
      </c>
      <c r="D25" t="s">
        <v>6</v>
      </c>
      <c r="E25" s="6">
        <v>1511460</v>
      </c>
      <c r="F25" s="5">
        <f t="shared" si="0"/>
        <v>4.9987905225656833E-2</v>
      </c>
      <c r="G25">
        <v>0.73099999999999998</v>
      </c>
      <c r="H25" s="6">
        <v>13410.599207713074</v>
      </c>
      <c r="I25" s="5">
        <f t="shared" si="1"/>
        <v>0.83141437315785938</v>
      </c>
      <c r="J25" s="9">
        <v>0.14861111111111114</v>
      </c>
      <c r="K25" s="5">
        <f t="shared" si="2"/>
        <v>0.28840970350404316</v>
      </c>
      <c r="L25" s="5">
        <f>VLOOKUP(A25,'Dados absolutos'!A:L,12,FALSE)</f>
        <v>0.58528999999999998</v>
      </c>
      <c r="M25" s="5">
        <f t="shared" si="3"/>
        <v>0.71773049133208877</v>
      </c>
      <c r="N25" s="5">
        <f>VLOOKUP(A25,'Dados absolutos'!A:N,13,FALSE)</f>
        <v>-0.45456000000000002</v>
      </c>
      <c r="O25" s="5">
        <f t="shared" si="4"/>
        <v>0.41968867215263195</v>
      </c>
      <c r="P25" s="5">
        <f>VLOOKUP(A25,'Dados absolutos'!A:N,14,FALSE)</f>
        <v>0.75</v>
      </c>
      <c r="Q25" s="9">
        <f t="shared" si="5"/>
        <v>0.66340239905656151</v>
      </c>
      <c r="R25" s="9" t="s">
        <v>105</v>
      </c>
    </row>
    <row r="26" spans="1:18" x14ac:dyDescent="0.25">
      <c r="A26">
        <v>51</v>
      </c>
      <c r="B26" t="s">
        <v>32</v>
      </c>
      <c r="C26" t="s">
        <v>33</v>
      </c>
      <c r="D26" t="s">
        <v>20</v>
      </c>
      <c r="E26" s="6">
        <v>3658649</v>
      </c>
      <c r="F26" s="5">
        <f t="shared" si="0"/>
        <v>0.17268937665081668</v>
      </c>
      <c r="G26">
        <v>0.73599999999999999</v>
      </c>
      <c r="H26" s="6">
        <v>14801.637873329746</v>
      </c>
      <c r="I26" s="5">
        <f t="shared" si="1"/>
        <v>0.96252549381782815</v>
      </c>
      <c r="J26" s="9">
        <v>0.18888888888888886</v>
      </c>
      <c r="K26" s="5">
        <f t="shared" si="2"/>
        <v>0.36657681940700798</v>
      </c>
      <c r="L26" s="5">
        <f>VLOOKUP(A26,'Dados absolutos'!A:L,12,FALSE)</f>
        <v>-0.18540000000000001</v>
      </c>
      <c r="M26" s="5">
        <f t="shared" si="3"/>
        <v>0.43944378044421012</v>
      </c>
      <c r="N26" s="5">
        <f>VLOOKUP(A26,'Dados absolutos'!A:N,13,FALSE)</f>
        <v>-0.79496</v>
      </c>
      <c r="O26" s="5">
        <f t="shared" si="4"/>
        <v>0.27984174784005522</v>
      </c>
      <c r="P26" s="5">
        <f>VLOOKUP(A26,'Dados absolutos'!A:N,14,FALSE)</f>
        <v>0.75</v>
      </c>
      <c r="Q26" s="9">
        <f t="shared" si="5"/>
        <v>0.31002623052426181</v>
      </c>
      <c r="R26" s="9" t="s">
        <v>106</v>
      </c>
    </row>
    <row r="27" spans="1:18" x14ac:dyDescent="0.25">
      <c r="A27">
        <v>53</v>
      </c>
      <c r="B27" t="s">
        <v>18</v>
      </c>
      <c r="C27" t="s">
        <v>19</v>
      </c>
      <c r="D27" t="s">
        <v>20</v>
      </c>
      <c r="E27" s="6">
        <v>2817381</v>
      </c>
      <c r="F27" s="5">
        <f t="shared" si="0"/>
        <v>0.12461497730222587</v>
      </c>
      <c r="G27">
        <v>0.81399999999999995</v>
      </c>
      <c r="H27" s="6">
        <v>12547.545002660272</v>
      </c>
      <c r="I27" s="5">
        <f t="shared" si="1"/>
        <v>0.75006796143564647</v>
      </c>
      <c r="J27" s="9">
        <v>0.27083333333333331</v>
      </c>
      <c r="K27" s="5">
        <f t="shared" si="2"/>
        <v>0.52560646900269536</v>
      </c>
      <c r="L27" s="5">
        <f>VLOOKUP(A27,'Dados absolutos'!A:L,12,FALSE)</f>
        <v>-1.22061</v>
      </c>
      <c r="M27" s="5">
        <f t="shared" si="3"/>
        <v>6.5642140383691872E-2</v>
      </c>
      <c r="N27" s="5">
        <f>VLOOKUP(A27,'Dados absolutos'!A:N,13,FALSE)</f>
        <v>-0.71101000000000003</v>
      </c>
      <c r="O27" s="5">
        <f t="shared" si="4"/>
        <v>0.31433102309281907</v>
      </c>
      <c r="P27" s="5">
        <f>VLOOKUP(A27,'Dados absolutos'!A:N,14,FALSE)</f>
        <v>0.75</v>
      </c>
      <c r="Q27" s="9">
        <f t="shared" si="5"/>
        <v>0.21612664834578577</v>
      </c>
      <c r="R27" s="9" t="s">
        <v>107</v>
      </c>
    </row>
    <row r="28" spans="1:18" x14ac:dyDescent="0.25">
      <c r="A28">
        <v>11</v>
      </c>
      <c r="B28" t="s">
        <v>49</v>
      </c>
      <c r="C28" t="s">
        <v>50</v>
      </c>
      <c r="D28" t="s">
        <v>6</v>
      </c>
      <c r="E28" s="6">
        <v>1581196</v>
      </c>
      <c r="F28" s="5">
        <f t="shared" si="0"/>
        <v>5.3972980508412538E-2</v>
      </c>
      <c r="G28">
        <v>0.7</v>
      </c>
      <c r="H28" s="6">
        <v>11207.414199523653</v>
      </c>
      <c r="I28" s="5">
        <f t="shared" si="1"/>
        <v>0.62375511638450443</v>
      </c>
      <c r="J28" s="9">
        <v>0</v>
      </c>
      <c r="K28" s="5">
        <f t="shared" si="2"/>
        <v>0</v>
      </c>
      <c r="L28" s="5">
        <f>VLOOKUP(A28,'Dados absolutos'!A:L,12,FALSE)</f>
        <v>4.0840000000000001E-2</v>
      </c>
      <c r="M28" s="5">
        <f t="shared" si="3"/>
        <v>0.52113627090246661</v>
      </c>
      <c r="N28" s="5">
        <f>VLOOKUP(A28,'Dados absolutos'!A:N,13,FALSE)</f>
        <v>-0.65115000000000001</v>
      </c>
      <c r="O28" s="5">
        <f t="shared" si="4"/>
        <v>0.33892337588174637</v>
      </c>
      <c r="P28" s="5">
        <f>VLOOKUP(A28,'Dados absolutos'!A:N,14,FALSE)</f>
        <v>0</v>
      </c>
      <c r="Q28" s="9">
        <f t="shared" si="5"/>
        <v>-0.40972248909187892</v>
      </c>
      <c r="R28" s="9" t="s">
        <v>108</v>
      </c>
    </row>
  </sheetData>
  <autoFilter ref="A1:R28" xr:uid="{EFDA6B9F-FBC8-4772-A572-81F04EB7AED1}"/>
  <sortState xmlns:xlrd2="http://schemas.microsoft.com/office/spreadsheetml/2017/richdata2" ref="A2:R28">
    <sortCondition descending="1" ref="Q2:Q28"/>
  </sortState>
  <phoneticPr fontId="3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829EB-39BE-401E-AED5-E6C07D9F9CDA}">
  <dimension ref="A1:N28"/>
  <sheetViews>
    <sheetView topLeftCell="F1" workbookViewId="0">
      <selection activeCell="N2" sqref="N2:N28"/>
    </sheetView>
  </sheetViews>
  <sheetFormatPr defaultRowHeight="15" x14ac:dyDescent="0.25"/>
  <cols>
    <col min="1" max="1" width="10.42578125" customWidth="1"/>
    <col min="2" max="2" width="3.85546875" bestFit="1" customWidth="1"/>
    <col min="3" max="3" width="19.28515625" bestFit="1" customWidth="1"/>
    <col min="5" max="5" width="17.42578125" customWidth="1"/>
    <col min="6" max="6" width="28" bestFit="1" customWidth="1"/>
    <col min="7" max="7" width="10.42578125" bestFit="1" customWidth="1"/>
    <col min="8" max="8" width="19" bestFit="1" customWidth="1"/>
    <col min="9" max="9" width="44.42578125" bestFit="1" customWidth="1"/>
    <col min="10" max="10" width="47.28515625" bestFit="1" customWidth="1"/>
    <col min="11" max="11" width="36.42578125" bestFit="1" customWidth="1"/>
    <col min="12" max="12" width="40.42578125" customWidth="1"/>
    <col min="13" max="13" width="20.140625" customWidth="1"/>
  </cols>
  <sheetData>
    <row r="1" spans="1:14" ht="39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63</v>
      </c>
      <c r="F1" s="1" t="s">
        <v>73</v>
      </c>
      <c r="G1" s="7" t="s">
        <v>74</v>
      </c>
      <c r="H1" s="1" t="s">
        <v>70</v>
      </c>
      <c r="I1" s="1" t="s">
        <v>71</v>
      </c>
      <c r="J1" s="1" t="s">
        <v>76</v>
      </c>
      <c r="K1" s="8" t="s">
        <v>72</v>
      </c>
      <c r="L1" s="1" t="s">
        <v>109</v>
      </c>
      <c r="M1" s="8" t="s">
        <v>110</v>
      </c>
      <c r="N1" s="1" t="s">
        <v>114</v>
      </c>
    </row>
    <row r="2" spans="1:14" x14ac:dyDescent="0.25">
      <c r="A2">
        <v>21</v>
      </c>
      <c r="B2" t="s">
        <v>26</v>
      </c>
      <c r="C2" t="s">
        <v>27</v>
      </c>
      <c r="D2" t="s">
        <v>9</v>
      </c>
      <c r="E2" s="6">
        <v>6775805</v>
      </c>
      <c r="F2" s="6">
        <f>IF(E2&gt;18136000,18136000, E2)</f>
        <v>6775805</v>
      </c>
      <c r="G2">
        <v>0.67600000000000005</v>
      </c>
      <c r="H2" s="5">
        <v>31098314796.490002</v>
      </c>
      <c r="I2" s="4">
        <f t="shared" ref="I2:I28" si="0">H2/E2</f>
        <v>4589.6118315816348</v>
      </c>
      <c r="J2" s="6">
        <f>IF(I2&gt;19415,19415, I2)</f>
        <v>4589.6118315816348</v>
      </c>
      <c r="K2" s="9">
        <v>0.50555555555555565</v>
      </c>
      <c r="L2">
        <v>1.3164499999999999</v>
      </c>
      <c r="M2">
        <v>-0.78769999999999996</v>
      </c>
      <c r="N2">
        <v>0.875</v>
      </c>
    </row>
    <row r="3" spans="1:14" x14ac:dyDescent="0.25">
      <c r="A3">
        <v>23</v>
      </c>
      <c r="B3" t="s">
        <v>16</v>
      </c>
      <c r="C3" t="s">
        <v>17</v>
      </c>
      <c r="D3" t="s">
        <v>9</v>
      </c>
      <c r="E3" s="6">
        <v>8794957</v>
      </c>
      <c r="F3" s="6">
        <f t="shared" ref="F3:F28" si="1">IF(E3&gt;18136000,18136000, E3)</f>
        <v>8794957</v>
      </c>
      <c r="G3">
        <v>0.73399999999999999</v>
      </c>
      <c r="H3" s="5">
        <v>44430859947.970001</v>
      </c>
      <c r="I3" s="4">
        <f t="shared" si="0"/>
        <v>5051.8564158949275</v>
      </c>
      <c r="J3" s="6">
        <f t="shared" ref="J3:J28" si="2">IF(I3&gt;19415,19415, I3)</f>
        <v>5051.8564158949275</v>
      </c>
      <c r="K3" s="9">
        <v>0.3527777777777778</v>
      </c>
      <c r="L3">
        <v>0.89080999999999999</v>
      </c>
      <c r="M3">
        <v>-0.16955999999999999</v>
      </c>
      <c r="N3">
        <v>0.75</v>
      </c>
    </row>
    <row r="4" spans="1:14" x14ac:dyDescent="0.25">
      <c r="A4">
        <v>29</v>
      </c>
      <c r="B4" t="s">
        <v>14</v>
      </c>
      <c r="C4" t="s">
        <v>15</v>
      </c>
      <c r="D4" t="s">
        <v>9</v>
      </c>
      <c r="E4" s="6">
        <v>14141626</v>
      </c>
      <c r="F4" s="6">
        <f t="shared" si="1"/>
        <v>14141626</v>
      </c>
      <c r="G4">
        <v>0.69099999999999995</v>
      </c>
      <c r="H4" s="5">
        <v>78619409490.020004</v>
      </c>
      <c r="I4" s="4">
        <f t="shared" si="0"/>
        <v>5559.4320971308398</v>
      </c>
      <c r="J4" s="6">
        <f t="shared" si="2"/>
        <v>5559.4320971308398</v>
      </c>
      <c r="K4" s="9">
        <v>0.24166666666666664</v>
      </c>
      <c r="L4">
        <v>0.96235999999999999</v>
      </c>
      <c r="M4">
        <v>-0.12537999999999999</v>
      </c>
      <c r="N4">
        <v>0.875</v>
      </c>
    </row>
    <row r="5" spans="1:14" x14ac:dyDescent="0.25">
      <c r="A5">
        <v>26</v>
      </c>
      <c r="B5" t="s">
        <v>38</v>
      </c>
      <c r="C5" t="s">
        <v>39</v>
      </c>
      <c r="D5" t="s">
        <v>9</v>
      </c>
      <c r="E5" s="6">
        <v>9058931</v>
      </c>
      <c r="F5" s="6">
        <f t="shared" si="1"/>
        <v>9058931</v>
      </c>
      <c r="G5">
        <v>0.71899999999999997</v>
      </c>
      <c r="H5" s="5">
        <v>52017253990.730003</v>
      </c>
      <c r="I5" s="4">
        <f t="shared" si="0"/>
        <v>5742.0962794318675</v>
      </c>
      <c r="J5" s="6">
        <f t="shared" si="2"/>
        <v>5742.0962794318675</v>
      </c>
      <c r="K5" s="9">
        <v>0.36527777777777776</v>
      </c>
      <c r="L5">
        <v>0.90527000000000002</v>
      </c>
      <c r="M5">
        <v>-0.45377000000000001</v>
      </c>
      <c r="N5">
        <v>1</v>
      </c>
    </row>
    <row r="6" spans="1:14" x14ac:dyDescent="0.25">
      <c r="A6">
        <v>25</v>
      </c>
      <c r="B6" t="s">
        <v>36</v>
      </c>
      <c r="C6" t="s">
        <v>37</v>
      </c>
      <c r="D6" t="s">
        <v>9</v>
      </c>
      <c r="E6" s="6">
        <v>3974687</v>
      </c>
      <c r="F6" s="6">
        <f t="shared" si="1"/>
        <v>3974687</v>
      </c>
      <c r="G6">
        <v>0.69799999999999995</v>
      </c>
      <c r="H6" s="5">
        <v>22894852036.360001</v>
      </c>
      <c r="I6" s="4">
        <f t="shared" si="0"/>
        <v>5760.164771807189</v>
      </c>
      <c r="J6" s="6">
        <f t="shared" si="2"/>
        <v>5760.164771807189</v>
      </c>
      <c r="K6" s="9">
        <v>0.51527777777777783</v>
      </c>
      <c r="L6">
        <v>0.91859000000000002</v>
      </c>
      <c r="M6">
        <v>-2.9600000000000001E-2</v>
      </c>
      <c r="N6">
        <v>0.375</v>
      </c>
    </row>
    <row r="7" spans="1:14" x14ac:dyDescent="0.25">
      <c r="A7">
        <v>15</v>
      </c>
      <c r="B7" t="s">
        <v>34</v>
      </c>
      <c r="C7" t="s">
        <v>35</v>
      </c>
      <c r="D7" t="s">
        <v>6</v>
      </c>
      <c r="E7" s="6">
        <v>8121025</v>
      </c>
      <c r="F7" s="6">
        <f t="shared" si="1"/>
        <v>8121025</v>
      </c>
      <c r="G7">
        <v>0.69</v>
      </c>
      <c r="H7" s="5">
        <v>50471606095.699997</v>
      </c>
      <c r="I7" s="4">
        <f t="shared" si="0"/>
        <v>6214.9305162464098</v>
      </c>
      <c r="J7" s="6">
        <f t="shared" si="2"/>
        <v>6214.9305162464098</v>
      </c>
      <c r="K7" s="9">
        <v>0.39583333333333326</v>
      </c>
      <c r="L7">
        <v>0.98407999999999995</v>
      </c>
      <c r="M7">
        <v>-1.15602</v>
      </c>
      <c r="N7">
        <v>0.875</v>
      </c>
    </row>
    <row r="8" spans="1:14" x14ac:dyDescent="0.25">
      <c r="A8">
        <v>22</v>
      </c>
      <c r="B8" t="s">
        <v>40</v>
      </c>
      <c r="C8" t="s">
        <v>41</v>
      </c>
      <c r="D8" t="s">
        <v>9</v>
      </c>
      <c r="E8" s="6">
        <v>3271199</v>
      </c>
      <c r="F8" s="6">
        <f t="shared" si="1"/>
        <v>3271199</v>
      </c>
      <c r="G8">
        <v>0.69</v>
      </c>
      <c r="H8" s="5">
        <v>20636174320.599998</v>
      </c>
      <c r="I8" s="4">
        <f t="shared" si="0"/>
        <v>6308.4435769881311</v>
      </c>
      <c r="J8" s="6">
        <f t="shared" si="2"/>
        <v>6308.4435769881311</v>
      </c>
      <c r="K8" s="9">
        <v>0.26666666666666666</v>
      </c>
      <c r="L8">
        <v>1.24213</v>
      </c>
      <c r="M8">
        <v>-0.18673000000000001</v>
      </c>
      <c r="N8">
        <v>0.625</v>
      </c>
    </row>
    <row r="9" spans="1:14" x14ac:dyDescent="0.25">
      <c r="A9">
        <v>27</v>
      </c>
      <c r="B9" t="s">
        <v>7</v>
      </c>
      <c r="C9" t="s">
        <v>8</v>
      </c>
      <c r="D9" t="s">
        <v>9</v>
      </c>
      <c r="E9" s="6">
        <v>3127683</v>
      </c>
      <c r="F9" s="6">
        <f t="shared" si="1"/>
        <v>3127683</v>
      </c>
      <c r="G9">
        <v>0.68400000000000005</v>
      </c>
      <c r="H9" s="5">
        <v>19785263244.959999</v>
      </c>
      <c r="I9" s="4">
        <f t="shared" si="0"/>
        <v>6325.8531139376973</v>
      </c>
      <c r="J9" s="6">
        <f t="shared" si="2"/>
        <v>6325.8531139376973</v>
      </c>
      <c r="K9" s="9">
        <v>0.34722222222222221</v>
      </c>
      <c r="L9">
        <v>1.3670100000000001</v>
      </c>
      <c r="M9">
        <v>-0.73001000000000005</v>
      </c>
      <c r="N9">
        <v>0.625</v>
      </c>
    </row>
    <row r="10" spans="1:14" x14ac:dyDescent="0.25">
      <c r="A10">
        <v>31</v>
      </c>
      <c r="B10" t="s">
        <v>28</v>
      </c>
      <c r="C10" t="s">
        <v>29</v>
      </c>
      <c r="D10" t="s">
        <v>23</v>
      </c>
      <c r="E10" s="6">
        <v>20539989</v>
      </c>
      <c r="F10" s="6">
        <f t="shared" si="1"/>
        <v>18136000</v>
      </c>
      <c r="G10">
        <v>0.77400000000000002</v>
      </c>
      <c r="H10" s="5">
        <v>134814869169.72</v>
      </c>
      <c r="I10" s="4">
        <f t="shared" si="0"/>
        <v>6563.5317121990665</v>
      </c>
      <c r="J10" s="6">
        <f t="shared" si="2"/>
        <v>6563.5317121990665</v>
      </c>
      <c r="K10" s="9">
        <v>0.14583333333333334</v>
      </c>
      <c r="L10">
        <v>-0.25341999999999998</v>
      </c>
      <c r="M10">
        <v>0.32407999999999998</v>
      </c>
      <c r="N10">
        <v>0.875</v>
      </c>
    </row>
    <row r="11" spans="1:14" x14ac:dyDescent="0.25">
      <c r="A11">
        <v>24</v>
      </c>
      <c r="B11" t="s">
        <v>47</v>
      </c>
      <c r="C11" t="s">
        <v>48</v>
      </c>
      <c r="D11" t="s">
        <v>9</v>
      </c>
      <c r="E11" s="6">
        <v>3302729</v>
      </c>
      <c r="F11" s="6">
        <f t="shared" si="1"/>
        <v>3302729</v>
      </c>
      <c r="G11">
        <v>0.72799999999999998</v>
      </c>
      <c r="H11" s="5">
        <v>22433306116.360001</v>
      </c>
      <c r="I11" s="4">
        <f t="shared" si="0"/>
        <v>6792.35447908684</v>
      </c>
      <c r="J11" s="6">
        <f t="shared" si="2"/>
        <v>6792.35447908684</v>
      </c>
      <c r="K11" s="9">
        <v>0.44583333333333341</v>
      </c>
      <c r="L11">
        <v>0.78056000000000003</v>
      </c>
      <c r="M11">
        <v>-1.259E-2</v>
      </c>
      <c r="N11">
        <v>0.25</v>
      </c>
    </row>
    <row r="12" spans="1:14" x14ac:dyDescent="0.25">
      <c r="A12">
        <v>33</v>
      </c>
      <c r="B12" t="s">
        <v>45</v>
      </c>
      <c r="C12" t="s">
        <v>46</v>
      </c>
      <c r="D12" t="s">
        <v>23</v>
      </c>
      <c r="E12" s="6">
        <v>16055174</v>
      </c>
      <c r="F12" s="6">
        <f t="shared" si="1"/>
        <v>16055174</v>
      </c>
      <c r="G12">
        <v>0.76200000000000001</v>
      </c>
      <c r="H12" s="5">
        <v>119772221049.78</v>
      </c>
      <c r="I12" s="4">
        <f t="shared" si="0"/>
        <v>7460.0388042994737</v>
      </c>
      <c r="J12" s="6">
        <f t="shared" si="2"/>
        <v>7460.0388042994737</v>
      </c>
      <c r="K12" s="9">
        <v>0.38472222222222224</v>
      </c>
      <c r="L12">
        <v>-0.35539999999999999</v>
      </c>
      <c r="M12">
        <v>0.13124</v>
      </c>
      <c r="N12">
        <v>0.625</v>
      </c>
    </row>
    <row r="13" spans="1:14" x14ac:dyDescent="0.25">
      <c r="A13">
        <v>35</v>
      </c>
      <c r="B13" t="s">
        <v>59</v>
      </c>
      <c r="C13" t="s">
        <v>60</v>
      </c>
      <c r="D13" t="s">
        <v>23</v>
      </c>
      <c r="E13" s="6">
        <v>44411238</v>
      </c>
      <c r="F13" s="6">
        <f t="shared" si="1"/>
        <v>18136000</v>
      </c>
      <c r="G13">
        <v>0.80600000000000005</v>
      </c>
      <c r="H13" s="5">
        <v>336308477650.51001</v>
      </c>
      <c r="I13" s="4">
        <f t="shared" si="0"/>
        <v>7572.5985762997643</v>
      </c>
      <c r="J13" s="6">
        <f t="shared" si="2"/>
        <v>7572.5985762997643</v>
      </c>
      <c r="K13" s="9">
        <v>0.20972222222222223</v>
      </c>
      <c r="L13">
        <v>-1.0108999999999999</v>
      </c>
      <c r="M13">
        <v>0.15817000000000001</v>
      </c>
      <c r="N13">
        <v>0.5</v>
      </c>
    </row>
    <row r="14" spans="1:14" x14ac:dyDescent="0.25">
      <c r="A14">
        <v>28</v>
      </c>
      <c r="B14" t="s">
        <v>57</v>
      </c>
      <c r="C14" t="s">
        <v>58</v>
      </c>
      <c r="D14" t="s">
        <v>9</v>
      </c>
      <c r="E14" s="6">
        <v>2210004</v>
      </c>
      <c r="F14" s="6">
        <f t="shared" si="1"/>
        <v>2210004</v>
      </c>
      <c r="G14">
        <v>0.70199999999999996</v>
      </c>
      <c r="H14" s="5">
        <v>16820120196.33</v>
      </c>
      <c r="I14" s="4">
        <f t="shared" si="0"/>
        <v>7610.9003406011934</v>
      </c>
      <c r="J14" s="6">
        <f t="shared" si="2"/>
        <v>7610.9003406011934</v>
      </c>
      <c r="K14" s="9">
        <v>0.24722222222222223</v>
      </c>
      <c r="L14">
        <v>0.92647999999999997</v>
      </c>
      <c r="M14">
        <v>-0.51958000000000004</v>
      </c>
      <c r="N14">
        <v>0.875</v>
      </c>
    </row>
    <row r="15" spans="1:14" x14ac:dyDescent="0.25">
      <c r="A15">
        <v>41</v>
      </c>
      <c r="B15" t="s">
        <v>42</v>
      </c>
      <c r="C15" t="s">
        <v>43</v>
      </c>
      <c r="D15" t="s">
        <v>44</v>
      </c>
      <c r="E15" s="6">
        <v>11444380</v>
      </c>
      <c r="F15" s="6">
        <f t="shared" si="1"/>
        <v>11444380</v>
      </c>
      <c r="G15">
        <v>0.76900000000000002</v>
      </c>
      <c r="H15" s="5">
        <v>87234686876.399994</v>
      </c>
      <c r="I15" s="4">
        <f t="shared" si="0"/>
        <v>7622.4912906072668</v>
      </c>
      <c r="J15" s="6">
        <f t="shared" si="2"/>
        <v>7622.4912906072668</v>
      </c>
      <c r="K15" s="9">
        <v>0.26111111111111118</v>
      </c>
      <c r="L15">
        <v>-0.77234000000000003</v>
      </c>
      <c r="M15">
        <v>0.11559</v>
      </c>
      <c r="N15">
        <v>0.875</v>
      </c>
    </row>
    <row r="16" spans="1:14" x14ac:dyDescent="0.25">
      <c r="A16">
        <v>43</v>
      </c>
      <c r="B16" t="s">
        <v>53</v>
      </c>
      <c r="C16" t="s">
        <v>54</v>
      </c>
      <c r="D16" t="s">
        <v>44</v>
      </c>
      <c r="E16" s="6">
        <v>10882965</v>
      </c>
      <c r="F16" s="6">
        <f t="shared" si="1"/>
        <v>10882965</v>
      </c>
      <c r="G16">
        <v>0.77100000000000002</v>
      </c>
      <c r="H16" s="5">
        <v>83687077786.050003</v>
      </c>
      <c r="I16" s="4">
        <f t="shared" si="0"/>
        <v>7689.7314092299303</v>
      </c>
      <c r="J16" s="6">
        <f t="shared" si="2"/>
        <v>7689.7314092299303</v>
      </c>
      <c r="K16" s="9">
        <v>0.40416666666666667</v>
      </c>
      <c r="L16">
        <v>-1.17527</v>
      </c>
      <c r="M16">
        <v>0.95796999999999999</v>
      </c>
      <c r="N16">
        <v>1</v>
      </c>
    </row>
    <row r="17" spans="1:14" x14ac:dyDescent="0.25">
      <c r="A17">
        <v>13</v>
      </c>
      <c r="B17" t="s">
        <v>10</v>
      </c>
      <c r="C17" t="s">
        <v>11</v>
      </c>
      <c r="D17" t="s">
        <v>6</v>
      </c>
      <c r="E17" s="6">
        <v>3941613</v>
      </c>
      <c r="F17" s="6">
        <f t="shared" si="1"/>
        <v>3941613</v>
      </c>
      <c r="G17">
        <v>0.7</v>
      </c>
      <c r="H17" s="5">
        <v>31279304469.59</v>
      </c>
      <c r="I17" s="4">
        <f t="shared" si="0"/>
        <v>7935.6609767600221</v>
      </c>
      <c r="J17" s="6">
        <f t="shared" si="2"/>
        <v>7935.6609767600221</v>
      </c>
      <c r="K17" s="9">
        <v>0.31388888888888894</v>
      </c>
      <c r="L17">
        <v>1.34534</v>
      </c>
      <c r="M17">
        <v>-1.4202999999999999</v>
      </c>
      <c r="N17">
        <v>1</v>
      </c>
    </row>
    <row r="18" spans="1:14" x14ac:dyDescent="0.25">
      <c r="A18">
        <v>42</v>
      </c>
      <c r="B18" t="s">
        <v>55</v>
      </c>
      <c r="C18" t="s">
        <v>56</v>
      </c>
      <c r="D18" t="s">
        <v>44</v>
      </c>
      <c r="E18" s="6">
        <v>7610361</v>
      </c>
      <c r="F18" s="6">
        <f t="shared" si="1"/>
        <v>7610361</v>
      </c>
      <c r="G18">
        <v>0.79200000000000004</v>
      </c>
      <c r="H18" s="5">
        <v>61289274285.510002</v>
      </c>
      <c r="I18" s="4">
        <f t="shared" si="0"/>
        <v>8053.3990812669726</v>
      </c>
      <c r="J18" s="6">
        <f t="shared" si="2"/>
        <v>8053.3990812669726</v>
      </c>
      <c r="K18" s="9">
        <v>0.24722222222222223</v>
      </c>
      <c r="L18">
        <v>-1.4024000000000001</v>
      </c>
      <c r="M18">
        <v>5.9299999999999999E-2</v>
      </c>
      <c r="N18">
        <v>0.875</v>
      </c>
    </row>
    <row r="19" spans="1:14" x14ac:dyDescent="0.25">
      <c r="A19">
        <v>52</v>
      </c>
      <c r="B19" t="s">
        <v>24</v>
      </c>
      <c r="C19" t="s">
        <v>25</v>
      </c>
      <c r="D19" t="s">
        <v>20</v>
      </c>
      <c r="E19" s="6">
        <v>7056495</v>
      </c>
      <c r="F19" s="6">
        <f t="shared" si="1"/>
        <v>7056495</v>
      </c>
      <c r="G19">
        <v>0.73699999999999999</v>
      </c>
      <c r="H19" s="5">
        <v>57640032108.690002</v>
      </c>
      <c r="I19" s="4">
        <f t="shared" si="0"/>
        <v>8168.365755051198</v>
      </c>
      <c r="J19" s="6">
        <f t="shared" si="2"/>
        <v>8168.365755051198</v>
      </c>
      <c r="K19" s="9">
        <v>0.1902777777777778</v>
      </c>
      <c r="L19">
        <v>-0.38545000000000001</v>
      </c>
      <c r="M19">
        <v>-4.7820000000000001E-2</v>
      </c>
      <c r="N19">
        <v>0.625</v>
      </c>
    </row>
    <row r="20" spans="1:14" x14ac:dyDescent="0.25">
      <c r="A20">
        <v>32</v>
      </c>
      <c r="B20" t="s">
        <v>21</v>
      </c>
      <c r="C20" t="s">
        <v>22</v>
      </c>
      <c r="D20" t="s">
        <v>23</v>
      </c>
      <c r="E20" s="6">
        <v>3833712</v>
      </c>
      <c r="F20" s="6">
        <f t="shared" si="1"/>
        <v>3833712</v>
      </c>
      <c r="G20">
        <v>0.77100000000000002</v>
      </c>
      <c r="H20" s="5">
        <v>32488340672.98</v>
      </c>
      <c r="I20" s="4">
        <f t="shared" si="0"/>
        <v>8474.3821844155227</v>
      </c>
      <c r="J20" s="6">
        <f t="shared" si="2"/>
        <v>8474.3821844155227</v>
      </c>
      <c r="K20" s="9">
        <v>0.35972222222222222</v>
      </c>
      <c r="L20">
        <v>-0.38686999999999999</v>
      </c>
      <c r="M20">
        <v>2.3550000000000001E-2</v>
      </c>
      <c r="N20">
        <v>1</v>
      </c>
    </row>
    <row r="21" spans="1:14" x14ac:dyDescent="0.25">
      <c r="A21">
        <v>11</v>
      </c>
      <c r="B21" t="s">
        <v>49</v>
      </c>
      <c r="C21" t="s">
        <v>50</v>
      </c>
      <c r="D21" t="s">
        <v>6</v>
      </c>
      <c r="E21" s="6">
        <v>1581196</v>
      </c>
      <c r="F21" s="6">
        <f t="shared" si="1"/>
        <v>1581196</v>
      </c>
      <c r="G21">
        <v>0.7</v>
      </c>
      <c r="H21" s="5">
        <v>17721118502.630001</v>
      </c>
      <c r="I21" s="4">
        <f t="shared" si="0"/>
        <v>11207.414199523653</v>
      </c>
      <c r="J21" s="6">
        <f t="shared" si="2"/>
        <v>11207.414199523653</v>
      </c>
      <c r="K21" s="9">
        <v>0</v>
      </c>
      <c r="L21">
        <v>4.0840000000000001E-2</v>
      </c>
      <c r="M21">
        <v>-0.65115000000000001</v>
      </c>
      <c r="N21">
        <v>0</v>
      </c>
    </row>
    <row r="22" spans="1:14" x14ac:dyDescent="0.25">
      <c r="A22">
        <v>50</v>
      </c>
      <c r="B22" t="s">
        <v>30</v>
      </c>
      <c r="C22" t="s">
        <v>31</v>
      </c>
      <c r="D22" t="s">
        <v>20</v>
      </c>
      <c r="E22" s="6">
        <v>2757013</v>
      </c>
      <c r="F22" s="6">
        <f t="shared" si="1"/>
        <v>2757013</v>
      </c>
      <c r="G22">
        <v>0.74199999999999999</v>
      </c>
      <c r="H22" s="5">
        <v>32823165747.009998</v>
      </c>
      <c r="I22" s="4">
        <f t="shared" si="0"/>
        <v>11905.335864216091</v>
      </c>
      <c r="J22" s="6">
        <f t="shared" si="2"/>
        <v>11905.335864216091</v>
      </c>
      <c r="K22" s="9">
        <v>0.31527777777777777</v>
      </c>
      <c r="L22">
        <v>-0.28778999999999999</v>
      </c>
      <c r="M22">
        <v>-0.45158999999999999</v>
      </c>
      <c r="N22">
        <v>0.875</v>
      </c>
    </row>
    <row r="23" spans="1:14" x14ac:dyDescent="0.25">
      <c r="A23">
        <v>53</v>
      </c>
      <c r="B23" t="s">
        <v>18</v>
      </c>
      <c r="C23" t="s">
        <v>19</v>
      </c>
      <c r="D23" t="s">
        <v>20</v>
      </c>
      <c r="E23" s="6">
        <v>2817381</v>
      </c>
      <c r="F23" s="6">
        <f t="shared" si="1"/>
        <v>2817381</v>
      </c>
      <c r="G23">
        <v>0.81399999999999995</v>
      </c>
      <c r="H23" s="5">
        <v>35351214887.139999</v>
      </c>
      <c r="I23" s="4">
        <f t="shared" si="0"/>
        <v>12547.545002660272</v>
      </c>
      <c r="J23" s="6">
        <f t="shared" si="2"/>
        <v>12547.545002660272</v>
      </c>
      <c r="K23" s="9">
        <v>0.27083333333333331</v>
      </c>
      <c r="L23">
        <v>-1.22061</v>
      </c>
      <c r="M23">
        <v>-0.71101000000000003</v>
      </c>
      <c r="N23">
        <v>0.75</v>
      </c>
    </row>
    <row r="24" spans="1:14" x14ac:dyDescent="0.25">
      <c r="A24">
        <v>12</v>
      </c>
      <c r="B24" t="s">
        <v>4</v>
      </c>
      <c r="C24" t="s">
        <v>5</v>
      </c>
      <c r="D24" t="s">
        <v>6</v>
      </c>
      <c r="E24" s="6">
        <v>830018</v>
      </c>
      <c r="F24" s="6">
        <f t="shared" si="1"/>
        <v>830018</v>
      </c>
      <c r="G24">
        <v>0.71</v>
      </c>
      <c r="H24" s="5">
        <v>11030524040.18</v>
      </c>
      <c r="I24" s="4">
        <f t="shared" si="0"/>
        <v>13289.499794197234</v>
      </c>
      <c r="J24" s="6">
        <f t="shared" si="2"/>
        <v>13289.499794197234</v>
      </c>
      <c r="K24" s="9">
        <v>0.17361111111111113</v>
      </c>
      <c r="L24">
        <v>0.99704999999999999</v>
      </c>
      <c r="M24">
        <v>-1.29759</v>
      </c>
      <c r="N24">
        <v>1</v>
      </c>
    </row>
    <row r="25" spans="1:14" x14ac:dyDescent="0.25">
      <c r="A25">
        <v>17</v>
      </c>
      <c r="B25" t="s">
        <v>61</v>
      </c>
      <c r="C25" t="s">
        <v>62</v>
      </c>
      <c r="D25" t="s">
        <v>6</v>
      </c>
      <c r="E25" s="6">
        <v>1511460</v>
      </c>
      <c r="F25" s="6">
        <f t="shared" si="1"/>
        <v>1511460</v>
      </c>
      <c r="G25">
        <v>0.73099999999999998</v>
      </c>
      <c r="H25" s="5">
        <v>20269584278.490002</v>
      </c>
      <c r="I25" s="4">
        <f t="shared" si="0"/>
        <v>13410.599207713074</v>
      </c>
      <c r="J25" s="6">
        <f t="shared" si="2"/>
        <v>13410.599207713074</v>
      </c>
      <c r="K25" s="9">
        <v>0.14861111111111114</v>
      </c>
      <c r="L25">
        <v>0.58528999999999998</v>
      </c>
      <c r="M25">
        <v>-0.45456000000000002</v>
      </c>
      <c r="N25">
        <v>0.75</v>
      </c>
    </row>
    <row r="26" spans="1:14" x14ac:dyDescent="0.25">
      <c r="A26">
        <v>14</v>
      </c>
      <c r="B26" t="s">
        <v>51</v>
      </c>
      <c r="C26" t="s">
        <v>52</v>
      </c>
      <c r="D26" t="s">
        <v>6</v>
      </c>
      <c r="E26" s="6">
        <v>636707</v>
      </c>
      <c r="F26" s="6">
        <f t="shared" si="1"/>
        <v>636707</v>
      </c>
      <c r="G26">
        <v>0.69899999999999995</v>
      </c>
      <c r="H26" s="5">
        <v>8846153006.7700005</v>
      </c>
      <c r="I26" s="4">
        <f t="shared" si="0"/>
        <v>13893.600991931926</v>
      </c>
      <c r="J26" s="6">
        <f t="shared" si="2"/>
        <v>13893.600991931926</v>
      </c>
      <c r="K26" s="9">
        <v>0.24444444444444446</v>
      </c>
      <c r="L26">
        <v>1.3109299999999999</v>
      </c>
      <c r="M26">
        <v>-1.4761200000000001</v>
      </c>
      <c r="N26">
        <v>1</v>
      </c>
    </row>
    <row r="27" spans="1:14" x14ac:dyDescent="0.25">
      <c r="A27">
        <v>51</v>
      </c>
      <c r="B27" t="s">
        <v>32</v>
      </c>
      <c r="C27" t="s">
        <v>33</v>
      </c>
      <c r="D27" t="s">
        <v>20</v>
      </c>
      <c r="E27" s="6">
        <v>3658649</v>
      </c>
      <c r="F27" s="6">
        <f t="shared" si="1"/>
        <v>3658649</v>
      </c>
      <c r="G27">
        <v>0.73599999999999999</v>
      </c>
      <c r="H27" s="5">
        <v>54153997603.620003</v>
      </c>
      <c r="I27" s="4">
        <f t="shared" si="0"/>
        <v>14801.637873329746</v>
      </c>
      <c r="J27" s="6">
        <f t="shared" si="2"/>
        <v>14801.637873329746</v>
      </c>
      <c r="K27" s="9">
        <v>0.18888888888888886</v>
      </c>
      <c r="L27">
        <v>-0.18540000000000001</v>
      </c>
      <c r="M27">
        <v>-0.79496</v>
      </c>
      <c r="N27">
        <v>0.75</v>
      </c>
    </row>
    <row r="28" spans="1:14" x14ac:dyDescent="0.25">
      <c r="A28">
        <v>16</v>
      </c>
      <c r="B28" t="s">
        <v>12</v>
      </c>
      <c r="C28" t="s">
        <v>13</v>
      </c>
      <c r="D28" t="s">
        <v>6</v>
      </c>
      <c r="E28" s="6">
        <v>733759</v>
      </c>
      <c r="F28" s="6">
        <f t="shared" si="1"/>
        <v>733759</v>
      </c>
      <c r="G28">
        <v>0.68799999999999994</v>
      </c>
      <c r="H28" s="5">
        <v>11152570338.07</v>
      </c>
      <c r="I28" s="4">
        <f t="shared" si="0"/>
        <v>15199.22800002453</v>
      </c>
      <c r="J28" s="6">
        <f t="shared" si="2"/>
        <v>15199.22800002453</v>
      </c>
      <c r="K28" s="9">
        <v>0.41944444444444445</v>
      </c>
      <c r="L28">
        <v>0.89980000000000004</v>
      </c>
      <c r="M28">
        <v>-1.47556</v>
      </c>
      <c r="N28">
        <v>0.75</v>
      </c>
    </row>
  </sheetData>
  <sortState xmlns:xlrd2="http://schemas.microsoft.com/office/spreadsheetml/2017/richdata2" ref="A2:K28">
    <sortCondition ref="I2:I28"/>
  </sortState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65D44-78B6-4756-802B-89797B88126C}">
  <dimension ref="A1:B11"/>
  <sheetViews>
    <sheetView workbookViewId="0">
      <selection activeCell="A9" sqref="A9"/>
    </sheetView>
  </sheetViews>
  <sheetFormatPr defaultRowHeight="15" x14ac:dyDescent="0.25"/>
  <cols>
    <col min="1" max="1" width="24.5703125" customWidth="1"/>
    <col min="2" max="2" width="18.42578125" customWidth="1"/>
  </cols>
  <sheetData>
    <row r="1" spans="1:2" ht="45" x14ac:dyDescent="0.25">
      <c r="A1" s="2" t="s">
        <v>75</v>
      </c>
      <c r="B1" s="2" t="s">
        <v>64</v>
      </c>
    </row>
    <row r="2" spans="1:2" x14ac:dyDescent="0.25">
      <c r="A2" s="3" t="s">
        <v>65</v>
      </c>
      <c r="B2" s="3" t="s">
        <v>65</v>
      </c>
    </row>
    <row r="3" spans="1:2" x14ac:dyDescent="0.25">
      <c r="A3" s="6">
        <f>_xlfn.QUARTILE.INC('Dados absolutos'!E:E,1)</f>
        <v>2787197</v>
      </c>
      <c r="B3" s="6">
        <f>_xlfn.QUARTILE.INC('Dados absolutos'!I:I,1)</f>
        <v>6317.1483454629142</v>
      </c>
    </row>
    <row r="4" spans="1:2" x14ac:dyDescent="0.25">
      <c r="A4" s="3" t="s">
        <v>66</v>
      </c>
      <c r="B4" s="3" t="s">
        <v>66</v>
      </c>
    </row>
    <row r="5" spans="1:2" x14ac:dyDescent="0.25">
      <c r="A5" s="6">
        <f>_xlfn.QUARTILE.INC('Dados absolutos'!E:E,3)</f>
        <v>8926944</v>
      </c>
      <c r="B5" s="6">
        <f>_xlfn.QUARTILE.INC('Dados absolutos'!I:I,3)</f>
        <v>11556.375031869873</v>
      </c>
    </row>
    <row r="6" spans="1:2" x14ac:dyDescent="0.25">
      <c r="A6" s="3" t="s">
        <v>67</v>
      </c>
      <c r="B6" s="3" t="s">
        <v>67</v>
      </c>
    </row>
    <row r="7" spans="1:2" x14ac:dyDescent="0.25">
      <c r="A7" s="5">
        <f>A5-A3</f>
        <v>6139747</v>
      </c>
      <c r="B7" s="5">
        <f>B5-B3</f>
        <v>5239.2266864069588</v>
      </c>
    </row>
    <row r="8" spans="1:2" x14ac:dyDescent="0.25">
      <c r="A8" s="3" t="s">
        <v>68</v>
      </c>
      <c r="B8" s="3" t="s">
        <v>68</v>
      </c>
    </row>
    <row r="9" spans="1:2" x14ac:dyDescent="0.25">
      <c r="A9" s="5">
        <f>A3-(1.5*A7)</f>
        <v>-6422423.5</v>
      </c>
      <c r="B9" s="5">
        <f>B3-(1.5*B7)</f>
        <v>-1541.691684147524</v>
      </c>
    </row>
    <row r="10" spans="1:2" x14ac:dyDescent="0.25">
      <c r="A10" s="3" t="s">
        <v>69</v>
      </c>
      <c r="B10" s="3" t="s">
        <v>69</v>
      </c>
    </row>
    <row r="11" spans="1:2" x14ac:dyDescent="0.25">
      <c r="A11" s="6">
        <f>A5+(1.5*A7)</f>
        <v>18136564.5</v>
      </c>
      <c r="B11" s="6">
        <f>B5+(1.5*B7)</f>
        <v>19415.21506148031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normalizados</vt:lpstr>
      <vt:lpstr>Dados absolutos</vt:lpstr>
      <vt:lpstr>Calculando outliers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Claudiomar Matias Rolim Filho</dc:creator>
  <cp:lastModifiedBy>Claudiomar Matias Rolim Filho</cp:lastModifiedBy>
  <dcterms:created xsi:type="dcterms:W3CDTF">2024-12-05T19:08:54Z</dcterms:created>
  <dcterms:modified xsi:type="dcterms:W3CDTF">2024-12-13T19:12:06Z</dcterms:modified>
</cp:coreProperties>
</file>