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500"/>
  </bookViews>
  <sheets>
    <sheet name="Modelo de Proposta" sheetId="13" r:id="rId1"/>
    <sheet name="MC" sheetId="1" r:id="rId2"/>
    <sheet name="Insumos" sheetId="2" r:id="rId3"/>
    <sheet name="Resumo Proposta" sheetId="3" r:id="rId4"/>
    <sheet name="Prod. GEXCAX" sheetId="4" r:id="rId5"/>
    <sheet name="GEXCAX Limp.Ord." sheetId="5" r:id="rId6"/>
    <sheet name="GEXCAX Covid" sheetId="6" r:id="rId7"/>
    <sheet name="Prod. GEXIJU" sheetId="7" r:id="rId8"/>
    <sheet name="GEXIJU Limp.Ord. " sheetId="8" r:id="rId9"/>
    <sheet name="GEXIJU Covid " sheetId="9" r:id="rId10"/>
    <sheet name="Prod. GEXPSF" sheetId="10" r:id="rId11"/>
    <sheet name="GEXPSF Limp. Ord." sheetId="11" r:id="rId12"/>
    <sheet name="GEX PSF Covid" sheetId="12" r:id="rId13"/>
  </sheets>
  <definedNames>
    <definedName name="_xlnm._FilterDatabase" localSheetId="7">'Prod. GEXPSF'!$A$2:$Y$2</definedName>
    <definedName name="_xlnm.Print_Area" localSheetId="0">'Modelo de Proposta'!$B$1:$H$30</definedName>
    <definedName name="Print_Area" localSheetId="6">MC!$A$1:$D$144</definedName>
    <definedName name="Print_Area" localSheetId="5">'GEXCAX Limp.Ord.'!$A$1:$E$198</definedName>
    <definedName name="Print_Area" localSheetId="9">'GEX PSF Covid'!$A$1:$D$139</definedName>
    <definedName name="Print_Area" localSheetId="8">'GEXPSF Limp. Ord.'!$A$1:$D$198</definedName>
    <definedName name="Print_Area" localSheetId="1">MC!$A$3:$W$22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7" i="2" l="1"/>
  <c r="G12" i="13"/>
  <c r="H12" i="13" s="1"/>
  <c r="AE52" i="3" l="1"/>
  <c r="E14" i="10" l="1"/>
  <c r="E13" i="10"/>
  <c r="E11" i="10"/>
  <c r="E15" i="4" l="1"/>
  <c r="AE50" i="3" l="1"/>
  <c r="AE36" i="3"/>
  <c r="AE18" i="3"/>
  <c r="E116" i="12"/>
  <c r="D116" i="12"/>
  <c r="C116" i="12"/>
  <c r="B107" i="12"/>
  <c r="B106" i="12"/>
  <c r="B104" i="12"/>
  <c r="B103" i="12" s="1"/>
  <c r="B101" i="12"/>
  <c r="B100" i="12"/>
  <c r="B98" i="12"/>
  <c r="B97" i="12"/>
  <c r="B95" i="12"/>
  <c r="B94" i="12"/>
  <c r="E86" i="12"/>
  <c r="D86" i="12"/>
  <c r="C86" i="12"/>
  <c r="E78" i="12"/>
  <c r="D78" i="12"/>
  <c r="C78" i="12"/>
  <c r="B78" i="12"/>
  <c r="B74" i="12"/>
  <c r="B79" i="12" s="1"/>
  <c r="C72" i="12"/>
  <c r="B67" i="12"/>
  <c r="B66" i="12"/>
  <c r="B64" i="12"/>
  <c r="B59" i="12"/>
  <c r="B57" i="12"/>
  <c r="B54" i="12"/>
  <c r="B55" i="12" s="1"/>
  <c r="C41" i="12"/>
  <c r="B41" i="12"/>
  <c r="D41" i="12" s="1"/>
  <c r="B40" i="12"/>
  <c r="B36" i="12"/>
  <c r="B58" i="12" s="1"/>
  <c r="B24" i="12"/>
  <c r="B23" i="12"/>
  <c r="B25" i="12" s="1"/>
  <c r="B46" i="12" s="1"/>
  <c r="E8" i="12"/>
  <c r="D8" i="12"/>
  <c r="C8" i="12"/>
  <c r="E7" i="12"/>
  <c r="D7" i="12"/>
  <c r="C7" i="12"/>
  <c r="E6" i="12"/>
  <c r="D6" i="12"/>
  <c r="C6" i="12"/>
  <c r="B195" i="11"/>
  <c r="B192" i="11"/>
  <c r="B189" i="11"/>
  <c r="B183" i="11"/>
  <c r="B180" i="11"/>
  <c r="B177" i="11"/>
  <c r="B171" i="11"/>
  <c r="B165" i="11"/>
  <c r="B166" i="11" s="1"/>
  <c r="B159" i="11"/>
  <c r="B153" i="11"/>
  <c r="B147" i="11"/>
  <c r="I121" i="11"/>
  <c r="H121" i="11"/>
  <c r="G121" i="11"/>
  <c r="F121" i="11"/>
  <c r="E121" i="11"/>
  <c r="D121" i="11"/>
  <c r="C121" i="11"/>
  <c r="B110" i="11"/>
  <c r="B109" i="11"/>
  <c r="B107" i="11"/>
  <c r="B106" i="11" s="1"/>
  <c r="B104" i="11"/>
  <c r="B103" i="11"/>
  <c r="B101" i="11"/>
  <c r="B100" i="11"/>
  <c r="B98" i="11"/>
  <c r="B97" i="11"/>
  <c r="B96" i="11"/>
  <c r="B95" i="11"/>
  <c r="B79" i="11"/>
  <c r="I78" i="11"/>
  <c r="F78" i="11"/>
  <c r="B78" i="11"/>
  <c r="B74" i="11"/>
  <c r="I72" i="11"/>
  <c r="H72" i="11"/>
  <c r="H78" i="11" s="1"/>
  <c r="G72" i="11"/>
  <c r="G78" i="11" s="1"/>
  <c r="F72" i="11"/>
  <c r="E72" i="11"/>
  <c r="E78" i="11" s="1"/>
  <c r="D72" i="11"/>
  <c r="D78" i="11" s="1"/>
  <c r="C72" i="11"/>
  <c r="C78" i="11" s="1"/>
  <c r="B67" i="11"/>
  <c r="B66" i="11"/>
  <c r="B64" i="11"/>
  <c r="B59" i="11"/>
  <c r="B57" i="11"/>
  <c r="B54" i="11"/>
  <c r="B55" i="11" s="1"/>
  <c r="B36" i="11"/>
  <c r="B47" i="11" s="1"/>
  <c r="B24" i="11"/>
  <c r="B23" i="11"/>
  <c r="B25" i="11" s="1"/>
  <c r="B46" i="11" s="1"/>
  <c r="I8" i="11"/>
  <c r="H8" i="11"/>
  <c r="G8" i="11"/>
  <c r="E8" i="11"/>
  <c r="C8" i="11"/>
  <c r="I7" i="11"/>
  <c r="H7" i="11"/>
  <c r="G7" i="11"/>
  <c r="E7" i="11"/>
  <c r="C7" i="11"/>
  <c r="I6" i="11"/>
  <c r="H6" i="11"/>
  <c r="G6" i="11"/>
  <c r="E6" i="11"/>
  <c r="C6" i="11"/>
  <c r="H5" i="11"/>
  <c r="H13" i="11" s="1"/>
  <c r="H19" i="11" s="1"/>
  <c r="L25" i="10"/>
  <c r="N25" i="10" s="1"/>
  <c r="D22" i="10"/>
  <c r="K21" i="10"/>
  <c r="K22" i="10" s="1"/>
  <c r="J21" i="10"/>
  <c r="J22" i="10" s="1"/>
  <c r="I21" i="10"/>
  <c r="I22" i="10" s="1"/>
  <c r="H21" i="10"/>
  <c r="G21" i="10"/>
  <c r="G22" i="10" s="1"/>
  <c r="F21" i="10"/>
  <c r="F22" i="10" s="1"/>
  <c r="D21" i="10"/>
  <c r="J19" i="10"/>
  <c r="I19" i="10"/>
  <c r="G19" i="10"/>
  <c r="U18" i="10"/>
  <c r="Y17" i="10"/>
  <c r="H22" i="10" s="1"/>
  <c r="X17" i="10"/>
  <c r="W17" i="10"/>
  <c r="V17" i="10"/>
  <c r="U17" i="10"/>
  <c r="T17" i="10"/>
  <c r="S17" i="10"/>
  <c r="R17" i="10"/>
  <c r="Q18" i="10" s="1"/>
  <c r="Q17" i="10"/>
  <c r="P17" i="10"/>
  <c r="N17" i="10"/>
  <c r="N19" i="10" s="1"/>
  <c r="K17" i="10"/>
  <c r="J17" i="10"/>
  <c r="I17" i="10"/>
  <c r="O16" i="10"/>
  <c r="E16" i="10"/>
  <c r="E15" i="10"/>
  <c r="O15" i="10" s="1"/>
  <c r="O14" i="10"/>
  <c r="O13" i="10"/>
  <c r="E12" i="10"/>
  <c r="O12" i="10" s="1"/>
  <c r="O11" i="10"/>
  <c r="L10" i="10"/>
  <c r="E10" i="10"/>
  <c r="D10" i="10" s="1"/>
  <c r="B10" i="10"/>
  <c r="N9" i="10"/>
  <c r="M9" i="10"/>
  <c r="M17" i="10" s="1"/>
  <c r="M19" i="10" s="1"/>
  <c r="L9" i="10"/>
  <c r="I9" i="10"/>
  <c r="H9" i="10"/>
  <c r="G9" i="10"/>
  <c r="G17" i="10" s="1"/>
  <c r="F9" i="10"/>
  <c r="F17" i="10" s="1"/>
  <c r="L8" i="10"/>
  <c r="E8" i="10"/>
  <c r="D8" i="10" s="1"/>
  <c r="E7" i="10"/>
  <c r="O7" i="10" s="1"/>
  <c r="L6" i="10"/>
  <c r="E6" i="10"/>
  <c r="D6" i="10" s="1"/>
  <c r="L5" i="10"/>
  <c r="E5" i="10"/>
  <c r="D5" i="10" s="1"/>
  <c r="E38" i="3" s="1"/>
  <c r="E4" i="10"/>
  <c r="O4" i="10" s="1"/>
  <c r="E116" i="9"/>
  <c r="D116" i="9"/>
  <c r="C116" i="9"/>
  <c r="B107" i="9"/>
  <c r="B106" i="9"/>
  <c r="B104" i="9"/>
  <c r="B103" i="9"/>
  <c r="B101" i="9"/>
  <c r="B100" i="9"/>
  <c r="B98" i="9"/>
  <c r="B97" i="9" s="1"/>
  <c r="B95" i="9"/>
  <c r="B94" i="9"/>
  <c r="B87" i="9"/>
  <c r="B85" i="9"/>
  <c r="B84" i="9"/>
  <c r="B79" i="9"/>
  <c r="E78" i="9"/>
  <c r="D78" i="9"/>
  <c r="B78" i="9"/>
  <c r="B74" i="9"/>
  <c r="C72" i="9"/>
  <c r="C78" i="9" s="1"/>
  <c r="B67" i="9"/>
  <c r="B66" i="9"/>
  <c r="B64" i="9"/>
  <c r="B59" i="9"/>
  <c r="B57" i="9"/>
  <c r="B54" i="9"/>
  <c r="B41" i="9"/>
  <c r="B40" i="9"/>
  <c r="B36" i="9"/>
  <c r="B25" i="9"/>
  <c r="B46" i="9" s="1"/>
  <c r="B24" i="9"/>
  <c r="B23" i="9"/>
  <c r="E8" i="9"/>
  <c r="D8" i="9"/>
  <c r="C8" i="9"/>
  <c r="E7" i="9"/>
  <c r="D7" i="9"/>
  <c r="C7" i="9"/>
  <c r="E6" i="9"/>
  <c r="D6" i="9"/>
  <c r="C6" i="9"/>
  <c r="D5" i="9"/>
  <c r="D13" i="9" s="1"/>
  <c r="B195" i="8"/>
  <c r="B192" i="8"/>
  <c r="B189" i="8"/>
  <c r="B184" i="8"/>
  <c r="B183" i="8"/>
  <c r="B180" i="8"/>
  <c r="B177" i="8"/>
  <c r="B171" i="8"/>
  <c r="B165" i="8"/>
  <c r="B159" i="8"/>
  <c r="B153" i="8"/>
  <c r="B147" i="8"/>
  <c r="I121" i="8"/>
  <c r="H121" i="8"/>
  <c r="G121" i="8"/>
  <c r="F121" i="8"/>
  <c r="E121" i="8"/>
  <c r="D121" i="8"/>
  <c r="C121" i="8"/>
  <c r="B110" i="8"/>
  <c r="B109" i="8" s="1"/>
  <c r="B107" i="8"/>
  <c r="B106" i="8"/>
  <c r="B104" i="8"/>
  <c r="B103" i="8"/>
  <c r="B101" i="8"/>
  <c r="B100" i="8"/>
  <c r="B98" i="8"/>
  <c r="B97" i="8" s="1"/>
  <c r="B96" i="8"/>
  <c r="B95" i="8"/>
  <c r="I78" i="8"/>
  <c r="E78" i="8"/>
  <c r="D78" i="8"/>
  <c r="B78" i="8"/>
  <c r="B74" i="8"/>
  <c r="B79" i="8" s="1"/>
  <c r="I72" i="8"/>
  <c r="H72" i="8"/>
  <c r="H78" i="8" s="1"/>
  <c r="G72" i="8"/>
  <c r="G78" i="8" s="1"/>
  <c r="F72" i="8"/>
  <c r="F78" i="8" s="1"/>
  <c r="E72" i="8"/>
  <c r="D72" i="8"/>
  <c r="C72" i="8"/>
  <c r="C78" i="8" s="1"/>
  <c r="B67" i="8"/>
  <c r="B66" i="8"/>
  <c r="B64" i="8"/>
  <c r="B59" i="8"/>
  <c r="B58" i="8"/>
  <c r="B57" i="8"/>
  <c r="B55" i="8"/>
  <c r="B54" i="8"/>
  <c r="B47" i="8"/>
  <c r="B36" i="8"/>
  <c r="B24" i="8"/>
  <c r="B23" i="8"/>
  <c r="I8" i="8"/>
  <c r="H8" i="8"/>
  <c r="G8" i="8"/>
  <c r="E8" i="8"/>
  <c r="C8" i="8"/>
  <c r="I7" i="8"/>
  <c r="H7" i="8"/>
  <c r="G7" i="8"/>
  <c r="E7" i="8"/>
  <c r="C7" i="8"/>
  <c r="I6" i="8"/>
  <c r="H6" i="8"/>
  <c r="G6" i="8"/>
  <c r="E6" i="8"/>
  <c r="C6" i="8"/>
  <c r="H5" i="8"/>
  <c r="H13" i="8" s="1"/>
  <c r="H19" i="8" s="1"/>
  <c r="N30" i="7"/>
  <c r="L25" i="7" s="1"/>
  <c r="N29" i="7"/>
  <c r="L29" i="7"/>
  <c r="L26" i="7"/>
  <c r="I26" i="7"/>
  <c r="H26" i="7"/>
  <c r="F26" i="7"/>
  <c r="D26" i="7"/>
  <c r="K25" i="7"/>
  <c r="K26" i="7" s="1"/>
  <c r="J25" i="7"/>
  <c r="J26" i="7" s="1"/>
  <c r="I25" i="7"/>
  <c r="H25" i="7"/>
  <c r="G25" i="7"/>
  <c r="G26" i="7" s="1"/>
  <c r="F25" i="7"/>
  <c r="D25" i="7"/>
  <c r="Q23" i="7"/>
  <c r="L23" i="7"/>
  <c r="K23" i="7"/>
  <c r="J23" i="7"/>
  <c r="H23" i="7"/>
  <c r="G23" i="7"/>
  <c r="F23" i="7"/>
  <c r="Z21" i="7"/>
  <c r="Y21" i="7"/>
  <c r="X21" i="7"/>
  <c r="W21" i="7"/>
  <c r="V21" i="7"/>
  <c r="U21" i="7"/>
  <c r="T21" i="7"/>
  <c r="U22" i="7" s="1"/>
  <c r="S21" i="7"/>
  <c r="Q22" i="7" s="1"/>
  <c r="B178" i="8" s="1"/>
  <c r="R21" i="7"/>
  <c r="Q21" i="7"/>
  <c r="P21" i="7"/>
  <c r="M21" i="7"/>
  <c r="M23" i="7" s="1"/>
  <c r="L21" i="7"/>
  <c r="K21" i="7"/>
  <c r="J21" i="7"/>
  <c r="I21" i="7"/>
  <c r="I23" i="7" s="1"/>
  <c r="H21" i="7"/>
  <c r="G21" i="7"/>
  <c r="F21" i="7"/>
  <c r="O20" i="7"/>
  <c r="E20" i="7"/>
  <c r="E19" i="7"/>
  <c r="O19" i="7" s="1"/>
  <c r="O18" i="7"/>
  <c r="E18" i="7"/>
  <c r="G33" i="3" s="1"/>
  <c r="E17" i="7"/>
  <c r="O17" i="7" s="1"/>
  <c r="N16" i="7"/>
  <c r="E16" i="7"/>
  <c r="D16" i="7"/>
  <c r="E31" i="3" s="1"/>
  <c r="E15" i="7"/>
  <c r="O15" i="7" s="1"/>
  <c r="O14" i="7"/>
  <c r="N14" i="7"/>
  <c r="E14" i="7"/>
  <c r="D14" i="7"/>
  <c r="N13" i="7"/>
  <c r="E13" i="7"/>
  <c r="D13" i="7"/>
  <c r="N12" i="7"/>
  <c r="E12" i="7"/>
  <c r="D12" i="7" s="1"/>
  <c r="O11" i="7"/>
  <c r="E11" i="7"/>
  <c r="N10" i="7"/>
  <c r="E10" i="7"/>
  <c r="N9" i="7"/>
  <c r="E9" i="7"/>
  <c r="D9" i="7"/>
  <c r="O9" i="7" s="1"/>
  <c r="N8" i="7"/>
  <c r="E8" i="7"/>
  <c r="D8" i="7" s="1"/>
  <c r="N7" i="7"/>
  <c r="Y22" i="3" s="1"/>
  <c r="E7" i="7"/>
  <c r="D7" i="7" s="1"/>
  <c r="E6" i="7"/>
  <c r="E5" i="7"/>
  <c r="O5" i="7" s="1"/>
  <c r="O4" i="7"/>
  <c r="N4" i="7"/>
  <c r="E4" i="7"/>
  <c r="D4" i="7"/>
  <c r="E116" i="6"/>
  <c r="D116" i="6"/>
  <c r="C116" i="6"/>
  <c r="B107" i="6"/>
  <c r="B106" i="6"/>
  <c r="B104" i="6"/>
  <c r="B103" i="6"/>
  <c r="B101" i="6"/>
  <c r="B100" i="6" s="1"/>
  <c r="B98" i="6"/>
  <c r="B97" i="6" s="1"/>
  <c r="B95" i="6"/>
  <c r="B94" i="6" s="1"/>
  <c r="E78" i="6"/>
  <c r="D78" i="6"/>
  <c r="B78" i="6"/>
  <c r="B74" i="6"/>
  <c r="B79" i="6" s="1"/>
  <c r="C72" i="6"/>
  <c r="C78" i="6" s="1"/>
  <c r="B67" i="6"/>
  <c r="B66" i="6"/>
  <c r="B64" i="6"/>
  <c r="B59" i="6"/>
  <c r="B57" i="6"/>
  <c r="B54" i="6"/>
  <c r="B55" i="6" s="1"/>
  <c r="B41" i="6"/>
  <c r="D41" i="6" s="1"/>
  <c r="B40" i="6"/>
  <c r="B36" i="6"/>
  <c r="B24" i="6"/>
  <c r="B25" i="6" s="1"/>
  <c r="B46" i="6" s="1"/>
  <c r="B23" i="6"/>
  <c r="E8" i="6"/>
  <c r="D8" i="6"/>
  <c r="C8" i="6"/>
  <c r="E7" i="6"/>
  <c r="D7" i="6"/>
  <c r="C7" i="6"/>
  <c r="E6" i="6"/>
  <c r="D6" i="6"/>
  <c r="C6" i="6"/>
  <c r="B195" i="5"/>
  <c r="B192" i="5"/>
  <c r="B189" i="5"/>
  <c r="B190" i="5" s="1"/>
  <c r="B183" i="5"/>
  <c r="B180" i="5"/>
  <c r="B181" i="5" s="1"/>
  <c r="B177" i="5"/>
  <c r="B178" i="5" s="1"/>
  <c r="B171" i="5"/>
  <c r="B165" i="5"/>
  <c r="B159" i="5"/>
  <c r="B153" i="5"/>
  <c r="B154" i="5" s="1"/>
  <c r="B147" i="5"/>
  <c r="I121" i="5"/>
  <c r="H121" i="5"/>
  <c r="G121" i="5"/>
  <c r="F121" i="5"/>
  <c r="E121" i="5"/>
  <c r="D121" i="5"/>
  <c r="C121" i="5"/>
  <c r="B110" i="5"/>
  <c r="B109" i="5" s="1"/>
  <c r="B107" i="5"/>
  <c r="B106" i="5" s="1"/>
  <c r="B104" i="5"/>
  <c r="B103" i="5"/>
  <c r="B101" i="5"/>
  <c r="B100" i="5"/>
  <c r="B98" i="5"/>
  <c r="B97" i="5"/>
  <c r="B96" i="5"/>
  <c r="B95" i="5"/>
  <c r="I78" i="5"/>
  <c r="H78" i="5"/>
  <c r="E78" i="5"/>
  <c r="D78" i="5"/>
  <c r="C78" i="5"/>
  <c r="B78" i="5"/>
  <c r="B74" i="5"/>
  <c r="B79" i="5" s="1"/>
  <c r="I72" i="5"/>
  <c r="H72" i="5"/>
  <c r="G72" i="5"/>
  <c r="G78" i="5" s="1"/>
  <c r="F72" i="5"/>
  <c r="F78" i="5" s="1"/>
  <c r="E72" i="5"/>
  <c r="D72" i="5"/>
  <c r="C72" i="5"/>
  <c r="B67" i="5"/>
  <c r="B66" i="5"/>
  <c r="B64" i="5"/>
  <c r="B59" i="5"/>
  <c r="B57" i="5"/>
  <c r="B55" i="5"/>
  <c r="B54" i="5"/>
  <c r="B36" i="5"/>
  <c r="B24" i="5"/>
  <c r="B23" i="5"/>
  <c r="H13" i="5"/>
  <c r="H19" i="5" s="1"/>
  <c r="I8" i="5"/>
  <c r="H8" i="5"/>
  <c r="G8" i="5"/>
  <c r="E8" i="5"/>
  <c r="C8" i="5"/>
  <c r="I7" i="5"/>
  <c r="H7" i="5"/>
  <c r="G7" i="5"/>
  <c r="E7" i="5"/>
  <c r="C7" i="5"/>
  <c r="I6" i="5"/>
  <c r="H6" i="5"/>
  <c r="G6" i="5"/>
  <c r="E6" i="5"/>
  <c r="C6" i="5"/>
  <c r="H5" i="5"/>
  <c r="N24" i="4"/>
  <c r="L24" i="4"/>
  <c r="K20" i="4"/>
  <c r="K21" i="4" s="1"/>
  <c r="J20" i="4"/>
  <c r="J21" i="4" s="1"/>
  <c r="I20" i="4"/>
  <c r="I21" i="4" s="1"/>
  <c r="H20" i="4"/>
  <c r="H21" i="4" s="1"/>
  <c r="G20" i="4"/>
  <c r="G21" i="4" s="1"/>
  <c r="F20" i="4"/>
  <c r="F21" i="4" s="1"/>
  <c r="D20" i="4"/>
  <c r="D21" i="4" s="1"/>
  <c r="K18" i="4"/>
  <c r="J18" i="4"/>
  <c r="G18" i="4"/>
  <c r="F18" i="4"/>
  <c r="Y16" i="4"/>
  <c r="X16" i="4"/>
  <c r="W16" i="4"/>
  <c r="V16" i="4"/>
  <c r="U16" i="4"/>
  <c r="T16" i="4"/>
  <c r="S16" i="4"/>
  <c r="R16" i="4"/>
  <c r="Q16" i="4"/>
  <c r="P16" i="4"/>
  <c r="Q17" i="4" s="1"/>
  <c r="N16" i="4"/>
  <c r="N18" i="4" s="1"/>
  <c r="M16" i="4"/>
  <c r="M18" i="4" s="1"/>
  <c r="L16" i="4"/>
  <c r="L18" i="4" s="1"/>
  <c r="K16" i="4"/>
  <c r="J16" i="4"/>
  <c r="I16" i="4"/>
  <c r="I18" i="4" s="1"/>
  <c r="H16" i="4"/>
  <c r="G16" i="4"/>
  <c r="F16" i="4"/>
  <c r="C16" i="4"/>
  <c r="O15" i="4"/>
  <c r="E14" i="4"/>
  <c r="O14" i="4" s="1"/>
  <c r="E13" i="4"/>
  <c r="E12" i="4"/>
  <c r="O12" i="4" s="1"/>
  <c r="E11" i="4"/>
  <c r="O11" i="4" s="1"/>
  <c r="H10" i="4"/>
  <c r="E9" i="4"/>
  <c r="O9" i="4" s="1"/>
  <c r="E8" i="4"/>
  <c r="O8" i="4" s="1"/>
  <c r="H7" i="4"/>
  <c r="E6" i="4"/>
  <c r="O6" i="4" s="1"/>
  <c r="E5" i="4"/>
  <c r="G7" i="3" s="1"/>
  <c r="E4" i="4"/>
  <c r="O4" i="4" s="1"/>
  <c r="Y49" i="3"/>
  <c r="W49" i="3"/>
  <c r="U49" i="3"/>
  <c r="S49" i="3"/>
  <c r="Q49" i="3"/>
  <c r="O49" i="3"/>
  <c r="M49" i="3"/>
  <c r="K49" i="3"/>
  <c r="I49" i="3"/>
  <c r="G49" i="3"/>
  <c r="E49" i="3"/>
  <c r="D49" i="3"/>
  <c r="B16" i="10" s="1"/>
  <c r="Y48" i="3"/>
  <c r="W48" i="3"/>
  <c r="U48" i="3"/>
  <c r="S48" i="3"/>
  <c r="Q48" i="3"/>
  <c r="O48" i="3"/>
  <c r="M48" i="3"/>
  <c r="K48" i="3"/>
  <c r="I48" i="3"/>
  <c r="G48" i="3"/>
  <c r="E48" i="3"/>
  <c r="D48" i="3"/>
  <c r="B15" i="10" s="1"/>
  <c r="Y47" i="3"/>
  <c r="W47" i="3"/>
  <c r="U47" i="3"/>
  <c r="S47" i="3"/>
  <c r="Q47" i="3"/>
  <c r="O47" i="3"/>
  <c r="M47" i="3"/>
  <c r="K47" i="3"/>
  <c r="I47" i="3"/>
  <c r="G47" i="3"/>
  <c r="E47" i="3"/>
  <c r="D47" i="3"/>
  <c r="B14" i="10" s="1"/>
  <c r="Y46" i="3"/>
  <c r="W46" i="3"/>
  <c r="U46" i="3"/>
  <c r="S46" i="3"/>
  <c r="Q46" i="3"/>
  <c r="O46" i="3"/>
  <c r="M46" i="3"/>
  <c r="K46" i="3"/>
  <c r="I46" i="3"/>
  <c r="G46" i="3"/>
  <c r="E46" i="3"/>
  <c r="D46" i="3"/>
  <c r="B13" i="10" s="1"/>
  <c r="Y45" i="3"/>
  <c r="W45" i="3"/>
  <c r="U45" i="3"/>
  <c r="S45" i="3"/>
  <c r="Q45" i="3"/>
  <c r="O45" i="3"/>
  <c r="M45" i="3"/>
  <c r="K45" i="3"/>
  <c r="I45" i="3"/>
  <c r="E45" i="3"/>
  <c r="D45" i="3"/>
  <c r="B12" i="10" s="1"/>
  <c r="Y44" i="3"/>
  <c r="W44" i="3"/>
  <c r="U44" i="3"/>
  <c r="S44" i="3"/>
  <c r="Q44" i="3"/>
  <c r="O44" i="3"/>
  <c r="M44" i="3"/>
  <c r="K44" i="3"/>
  <c r="I44" i="3"/>
  <c r="G44" i="3"/>
  <c r="E44" i="3"/>
  <c r="D44" i="3"/>
  <c r="B11" i="10" s="1"/>
  <c r="Y43" i="3"/>
  <c r="W43" i="3"/>
  <c r="U43" i="3"/>
  <c r="S43" i="3"/>
  <c r="Q43" i="3"/>
  <c r="O43" i="3"/>
  <c r="M43" i="3"/>
  <c r="K43" i="3"/>
  <c r="I43" i="3"/>
  <c r="D43" i="3"/>
  <c r="Y42" i="3"/>
  <c r="W42" i="3"/>
  <c r="U42" i="3"/>
  <c r="S42" i="3"/>
  <c r="Q42" i="3"/>
  <c r="O42" i="3"/>
  <c r="M42" i="3"/>
  <c r="K42" i="3"/>
  <c r="I42" i="3"/>
  <c r="D42" i="3"/>
  <c r="B9" i="10" s="1"/>
  <c r="Y41" i="3"/>
  <c r="W41" i="3"/>
  <c r="U41" i="3"/>
  <c r="S41" i="3"/>
  <c r="Q41" i="3"/>
  <c r="O41" i="3"/>
  <c r="O50" i="3" s="1"/>
  <c r="M41" i="3"/>
  <c r="K41" i="3"/>
  <c r="I41" i="3"/>
  <c r="D41" i="3"/>
  <c r="B8" i="10" s="1"/>
  <c r="Y40" i="3"/>
  <c r="W40" i="3"/>
  <c r="U40" i="3"/>
  <c r="S40" i="3"/>
  <c r="S50" i="3" s="1"/>
  <c r="Q40" i="3"/>
  <c r="O40" i="3"/>
  <c r="M40" i="3"/>
  <c r="K40" i="3"/>
  <c r="I40" i="3"/>
  <c r="E40" i="3"/>
  <c r="D40" i="3"/>
  <c r="B7" i="10" s="1"/>
  <c r="Y39" i="3"/>
  <c r="W39" i="3"/>
  <c r="U39" i="3"/>
  <c r="S39" i="3"/>
  <c r="Q39" i="3"/>
  <c r="O39" i="3"/>
  <c r="M39" i="3"/>
  <c r="K39" i="3"/>
  <c r="K50" i="3" s="1"/>
  <c r="I39" i="3"/>
  <c r="D39" i="3"/>
  <c r="B6" i="10" s="1"/>
  <c r="Y38" i="3"/>
  <c r="W38" i="3"/>
  <c r="U38" i="3"/>
  <c r="S38" i="3"/>
  <c r="Q38" i="3"/>
  <c r="O38" i="3"/>
  <c r="M38" i="3"/>
  <c r="K38" i="3"/>
  <c r="I38" i="3"/>
  <c r="D38" i="3"/>
  <c r="B5" i="10" s="1"/>
  <c r="AE37" i="3"/>
  <c r="Y37" i="3"/>
  <c r="W37" i="3"/>
  <c r="U37" i="3"/>
  <c r="U50" i="3" s="1"/>
  <c r="S37" i="3"/>
  <c r="Q37" i="3"/>
  <c r="O37" i="3"/>
  <c r="M37" i="3"/>
  <c r="K37" i="3"/>
  <c r="I37" i="3"/>
  <c r="G37" i="3"/>
  <c r="E37" i="3"/>
  <c r="D37" i="3"/>
  <c r="B4" i="10" s="1"/>
  <c r="Y35" i="3"/>
  <c r="W35" i="3"/>
  <c r="U35" i="3"/>
  <c r="S35" i="3"/>
  <c r="Q35" i="3"/>
  <c r="O35" i="3"/>
  <c r="M35" i="3"/>
  <c r="K35" i="3"/>
  <c r="I35" i="3"/>
  <c r="G35" i="3"/>
  <c r="E35" i="3"/>
  <c r="D35" i="3"/>
  <c r="B20" i="7" s="1"/>
  <c r="Y34" i="3"/>
  <c r="W34" i="3"/>
  <c r="U34" i="3"/>
  <c r="S34" i="3"/>
  <c r="Q34" i="3"/>
  <c r="O34" i="3"/>
  <c r="M34" i="3"/>
  <c r="K34" i="3"/>
  <c r="I34" i="3"/>
  <c r="G34" i="3"/>
  <c r="E34" i="3"/>
  <c r="D34" i="3"/>
  <c r="B19" i="7" s="1"/>
  <c r="Y33" i="3"/>
  <c r="W33" i="3"/>
  <c r="U33" i="3"/>
  <c r="S33" i="3"/>
  <c r="Q33" i="3"/>
  <c r="O33" i="3"/>
  <c r="M33" i="3"/>
  <c r="K33" i="3"/>
  <c r="I33" i="3"/>
  <c r="E33" i="3"/>
  <c r="D33" i="3"/>
  <c r="B18" i="7" s="1"/>
  <c r="Y32" i="3"/>
  <c r="W32" i="3"/>
  <c r="U32" i="3"/>
  <c r="S32" i="3"/>
  <c r="Q32" i="3"/>
  <c r="O32" i="3"/>
  <c r="M32" i="3"/>
  <c r="K32" i="3"/>
  <c r="I32" i="3"/>
  <c r="E32" i="3"/>
  <c r="D32" i="3"/>
  <c r="B17" i="7" s="1"/>
  <c r="Y31" i="3"/>
  <c r="W31" i="3"/>
  <c r="U31" i="3"/>
  <c r="S31" i="3"/>
  <c r="Q31" i="3"/>
  <c r="O31" i="3"/>
  <c r="M31" i="3"/>
  <c r="K31" i="3"/>
  <c r="I31" i="3"/>
  <c r="G31" i="3"/>
  <c r="D31" i="3"/>
  <c r="B16" i="7" s="1"/>
  <c r="Y30" i="3"/>
  <c r="W30" i="3"/>
  <c r="U30" i="3"/>
  <c r="S30" i="3"/>
  <c r="Q30" i="3"/>
  <c r="O30" i="3"/>
  <c r="M30" i="3"/>
  <c r="K30" i="3"/>
  <c r="I30" i="3"/>
  <c r="G30" i="3"/>
  <c r="E30" i="3"/>
  <c r="D30" i="3"/>
  <c r="B15" i="7" s="1"/>
  <c r="Y29" i="3"/>
  <c r="W29" i="3"/>
  <c r="U29" i="3"/>
  <c r="S29" i="3"/>
  <c r="Q29" i="3"/>
  <c r="O29" i="3"/>
  <c r="M29" i="3"/>
  <c r="K29" i="3"/>
  <c r="I29" i="3"/>
  <c r="G29" i="3"/>
  <c r="E29" i="3"/>
  <c r="D29" i="3"/>
  <c r="B14" i="7" s="1"/>
  <c r="Y28" i="3"/>
  <c r="W28" i="3"/>
  <c r="U28" i="3"/>
  <c r="S28" i="3"/>
  <c r="Q28" i="3"/>
  <c r="O28" i="3"/>
  <c r="M28" i="3"/>
  <c r="K28" i="3"/>
  <c r="I28" i="3"/>
  <c r="G28" i="3"/>
  <c r="E28" i="3"/>
  <c r="D28" i="3"/>
  <c r="B13" i="7" s="1"/>
  <c r="W27" i="3"/>
  <c r="U27" i="3"/>
  <c r="S27" i="3"/>
  <c r="Q27" i="3"/>
  <c r="O27" i="3"/>
  <c r="M27" i="3"/>
  <c r="K27" i="3"/>
  <c r="I27" i="3"/>
  <c r="G27" i="3"/>
  <c r="E27" i="3"/>
  <c r="D27" i="3"/>
  <c r="B12" i="7" s="1"/>
  <c r="Y26" i="3"/>
  <c r="W26" i="3"/>
  <c r="U26" i="3"/>
  <c r="S26" i="3"/>
  <c r="Q26" i="3"/>
  <c r="O26" i="3"/>
  <c r="M26" i="3"/>
  <c r="K26" i="3"/>
  <c r="I26" i="3"/>
  <c r="G26" i="3"/>
  <c r="E26" i="3"/>
  <c r="D26" i="3"/>
  <c r="B11" i="7" s="1"/>
  <c r="Y25" i="3"/>
  <c r="W25" i="3"/>
  <c r="U25" i="3"/>
  <c r="S25" i="3"/>
  <c r="Q25" i="3"/>
  <c r="O25" i="3"/>
  <c r="M25" i="3"/>
  <c r="K25" i="3"/>
  <c r="I25" i="3"/>
  <c r="D25" i="3"/>
  <c r="B10" i="7" s="1"/>
  <c r="Y24" i="3"/>
  <c r="W24" i="3"/>
  <c r="U24" i="3"/>
  <c r="S24" i="3"/>
  <c r="Q24" i="3"/>
  <c r="O24" i="3"/>
  <c r="M24" i="3"/>
  <c r="K24" i="3"/>
  <c r="I24" i="3"/>
  <c r="G24" i="3"/>
  <c r="E24" i="3"/>
  <c r="D24" i="3"/>
  <c r="B9" i="7" s="1"/>
  <c r="Y23" i="3"/>
  <c r="W23" i="3"/>
  <c r="U23" i="3"/>
  <c r="S23" i="3"/>
  <c r="Q23" i="3"/>
  <c r="O23" i="3"/>
  <c r="M23" i="3"/>
  <c r="K23" i="3"/>
  <c r="I23" i="3"/>
  <c r="G23" i="3"/>
  <c r="D23" i="3"/>
  <c r="B8" i="7" s="1"/>
  <c r="W22" i="3"/>
  <c r="W36" i="3" s="1"/>
  <c r="U22" i="3"/>
  <c r="S22" i="3"/>
  <c r="Q22" i="3"/>
  <c r="O22" i="3"/>
  <c r="O36" i="3" s="1"/>
  <c r="M22" i="3"/>
  <c r="K22" i="3"/>
  <c r="I22" i="3"/>
  <c r="G22" i="3"/>
  <c r="D22" i="3"/>
  <c r="B7" i="7" s="1"/>
  <c r="Y21" i="3"/>
  <c r="W21" i="3"/>
  <c r="U21" i="3"/>
  <c r="U36" i="3" s="1"/>
  <c r="S21" i="3"/>
  <c r="Q21" i="3"/>
  <c r="O21" i="3"/>
  <c r="M21" i="3"/>
  <c r="K21" i="3"/>
  <c r="I21" i="3"/>
  <c r="E21" i="3"/>
  <c r="D21" i="3"/>
  <c r="B6" i="7" s="1"/>
  <c r="Y20" i="3"/>
  <c r="W20" i="3"/>
  <c r="U20" i="3"/>
  <c r="S20" i="3"/>
  <c r="Q20" i="3"/>
  <c r="O20" i="3"/>
  <c r="M20" i="3"/>
  <c r="K20" i="3"/>
  <c r="I20" i="3"/>
  <c r="G20" i="3"/>
  <c r="E20" i="3"/>
  <c r="D20" i="3"/>
  <c r="B5" i="7" s="1"/>
  <c r="AE19" i="3"/>
  <c r="Y19" i="3"/>
  <c r="W19" i="3"/>
  <c r="U19" i="3"/>
  <c r="S19" i="3"/>
  <c r="S36" i="3" s="1"/>
  <c r="Q19" i="3"/>
  <c r="O19" i="3"/>
  <c r="M19" i="3"/>
  <c r="M36" i="3" s="1"/>
  <c r="K19" i="3"/>
  <c r="I19" i="3"/>
  <c r="I36" i="3" s="1"/>
  <c r="G19" i="3"/>
  <c r="E19" i="3"/>
  <c r="D19" i="3"/>
  <c r="B4" i="7" s="1"/>
  <c r="Y17" i="3"/>
  <c r="W17" i="3"/>
  <c r="U17" i="3"/>
  <c r="S17" i="3"/>
  <c r="Q17" i="3"/>
  <c r="O17" i="3"/>
  <c r="M17" i="3"/>
  <c r="K17" i="3"/>
  <c r="I17" i="3"/>
  <c r="G17" i="3"/>
  <c r="E17" i="3"/>
  <c r="D17" i="3"/>
  <c r="B15" i="4" s="1"/>
  <c r="Y16" i="3"/>
  <c r="W16" i="3"/>
  <c r="U16" i="3"/>
  <c r="S16" i="3"/>
  <c r="Q16" i="3"/>
  <c r="O16" i="3"/>
  <c r="O18" i="3" s="1"/>
  <c r="M16" i="3"/>
  <c r="K16" i="3"/>
  <c r="I16" i="3"/>
  <c r="E16" i="3"/>
  <c r="D16" i="3"/>
  <c r="B14" i="4" s="1"/>
  <c r="Y15" i="3"/>
  <c r="W15" i="3"/>
  <c r="U15" i="3"/>
  <c r="S15" i="3"/>
  <c r="Q15" i="3"/>
  <c r="O15" i="3"/>
  <c r="M15" i="3"/>
  <c r="K15" i="3"/>
  <c r="I15" i="3"/>
  <c r="E15" i="3"/>
  <c r="D15" i="3"/>
  <c r="B13" i="4" s="1"/>
  <c r="Y14" i="3"/>
  <c r="W14" i="3"/>
  <c r="U14" i="3"/>
  <c r="S14" i="3"/>
  <c r="Q14" i="3"/>
  <c r="O14" i="3"/>
  <c r="M14" i="3"/>
  <c r="K14" i="3"/>
  <c r="I14" i="3"/>
  <c r="E14" i="3"/>
  <c r="D14" i="3"/>
  <c r="B12" i="4" s="1"/>
  <c r="Y13" i="3"/>
  <c r="W13" i="3"/>
  <c r="U13" i="3"/>
  <c r="S13" i="3"/>
  <c r="Q13" i="3"/>
  <c r="O13" i="3"/>
  <c r="M13" i="3"/>
  <c r="K13" i="3"/>
  <c r="I13" i="3"/>
  <c r="G13" i="3"/>
  <c r="E13" i="3"/>
  <c r="D13" i="3"/>
  <c r="B11" i="4" s="1"/>
  <c r="Y12" i="3"/>
  <c r="W12" i="3"/>
  <c r="U12" i="3"/>
  <c r="S12" i="3"/>
  <c r="Q12" i="3"/>
  <c r="O12" i="3"/>
  <c r="K12" i="3"/>
  <c r="I12" i="3"/>
  <c r="D12" i="3"/>
  <c r="B10" i="4" s="1"/>
  <c r="Y11" i="3"/>
  <c r="W11" i="3"/>
  <c r="U11" i="3"/>
  <c r="S11" i="3"/>
  <c r="Q11" i="3"/>
  <c r="O11" i="3"/>
  <c r="M11" i="3"/>
  <c r="K11" i="3"/>
  <c r="I11" i="3"/>
  <c r="E11" i="3"/>
  <c r="D11" i="3"/>
  <c r="B9" i="4" s="1"/>
  <c r="Y10" i="3"/>
  <c r="W10" i="3"/>
  <c r="U10" i="3"/>
  <c r="S10" i="3"/>
  <c r="Q10" i="3"/>
  <c r="O10" i="3"/>
  <c r="M10" i="3"/>
  <c r="K10" i="3"/>
  <c r="I10" i="3"/>
  <c r="E10" i="3"/>
  <c r="D10" i="3"/>
  <c r="B8" i="4" s="1"/>
  <c r="Y9" i="3"/>
  <c r="W9" i="3"/>
  <c r="U9" i="3"/>
  <c r="S9" i="3"/>
  <c r="Q9" i="3"/>
  <c r="O9" i="3"/>
  <c r="K9" i="3"/>
  <c r="I9" i="3"/>
  <c r="D9" i="3"/>
  <c r="B7" i="4" s="1"/>
  <c r="Y8" i="3"/>
  <c r="W8" i="3"/>
  <c r="W18" i="3" s="1"/>
  <c r="U8" i="3"/>
  <c r="S8" i="3"/>
  <c r="Q8" i="3"/>
  <c r="O8" i="3"/>
  <c r="M8" i="3"/>
  <c r="K8" i="3"/>
  <c r="I8" i="3"/>
  <c r="E8" i="3"/>
  <c r="D8" i="3"/>
  <c r="B6" i="4" s="1"/>
  <c r="Y7" i="3"/>
  <c r="W7" i="3"/>
  <c r="U7" i="3"/>
  <c r="S7" i="3"/>
  <c r="Q7" i="3"/>
  <c r="O7" i="3"/>
  <c r="M7" i="3"/>
  <c r="K7" i="3"/>
  <c r="I7" i="3"/>
  <c r="D7" i="3"/>
  <c r="B5" i="4" s="1"/>
  <c r="AE6" i="3"/>
  <c r="Y6" i="3"/>
  <c r="Y18" i="3" s="1"/>
  <c r="W6" i="3"/>
  <c r="U6" i="3"/>
  <c r="U18" i="3" s="1"/>
  <c r="S6" i="3"/>
  <c r="S18" i="3" s="1"/>
  <c r="Q6" i="3"/>
  <c r="O6" i="3"/>
  <c r="M6" i="3"/>
  <c r="K6" i="3"/>
  <c r="I6" i="3"/>
  <c r="I18" i="3" s="1"/>
  <c r="E6" i="3"/>
  <c r="D6" i="3"/>
  <c r="B4" i="4" s="1"/>
  <c r="H147" i="2"/>
  <c r="H146" i="2" s="1"/>
  <c r="G134" i="2"/>
  <c r="G133" i="2"/>
  <c r="I133" i="2" s="1"/>
  <c r="D133" i="2"/>
  <c r="C133" i="2"/>
  <c r="G132" i="2"/>
  <c r="I131" i="2"/>
  <c r="G131" i="2"/>
  <c r="H131" i="2" s="1"/>
  <c r="G128" i="2"/>
  <c r="H128" i="2" s="1"/>
  <c r="D128" i="2"/>
  <c r="C128" i="2"/>
  <c r="G127" i="2"/>
  <c r="I127" i="2" s="1"/>
  <c r="D127" i="2"/>
  <c r="C127" i="2"/>
  <c r="G126" i="2"/>
  <c r="I126" i="2" s="1"/>
  <c r="D126" i="2"/>
  <c r="C126" i="2"/>
  <c r="H126" i="2" s="1"/>
  <c r="G125" i="2"/>
  <c r="D125" i="2"/>
  <c r="I125" i="2" s="1"/>
  <c r="C125" i="2"/>
  <c r="G124" i="2"/>
  <c r="H124" i="2" s="1"/>
  <c r="D124" i="2"/>
  <c r="C124" i="2"/>
  <c r="K117" i="2"/>
  <c r="H117" i="2"/>
  <c r="J117" i="2" s="1"/>
  <c r="K116" i="2"/>
  <c r="H116" i="2"/>
  <c r="J116" i="2" s="1"/>
  <c r="K115" i="2"/>
  <c r="K113" i="2" s="1"/>
  <c r="K119" i="2" s="1"/>
  <c r="H115" i="2"/>
  <c r="J115" i="2" s="1"/>
  <c r="K114" i="2"/>
  <c r="H114" i="2"/>
  <c r="J114" i="2" s="1"/>
  <c r="H112" i="2"/>
  <c r="H111" i="2"/>
  <c r="H110" i="2"/>
  <c r="H109" i="2"/>
  <c r="H108" i="2"/>
  <c r="H107" i="2"/>
  <c r="K97" i="2"/>
  <c r="J97" i="2"/>
  <c r="I97" i="2"/>
  <c r="K96" i="2"/>
  <c r="H96" i="2"/>
  <c r="E96" i="2"/>
  <c r="D96" i="2"/>
  <c r="C96" i="2"/>
  <c r="I96" i="2" s="1"/>
  <c r="H95" i="2"/>
  <c r="J95" i="2" s="1"/>
  <c r="E95" i="2"/>
  <c r="D95" i="2"/>
  <c r="C95" i="2"/>
  <c r="H94" i="2"/>
  <c r="E94" i="2"/>
  <c r="D94" i="2"/>
  <c r="C94" i="2"/>
  <c r="I94" i="2" s="1"/>
  <c r="H93" i="2"/>
  <c r="E93" i="2"/>
  <c r="D93" i="2"/>
  <c r="C93" i="2"/>
  <c r="I93" i="2" s="1"/>
  <c r="K92" i="2"/>
  <c r="H92" i="2"/>
  <c r="E92" i="2"/>
  <c r="D92" i="2"/>
  <c r="J92" i="2" s="1"/>
  <c r="C92" i="2"/>
  <c r="I92" i="2" s="1"/>
  <c r="H91" i="2"/>
  <c r="K91" i="2" s="1"/>
  <c r="E91" i="2"/>
  <c r="D91" i="2"/>
  <c r="C91" i="2"/>
  <c r="H90" i="2"/>
  <c r="E90" i="2"/>
  <c r="D90" i="2"/>
  <c r="J90" i="2" s="1"/>
  <c r="C90" i="2"/>
  <c r="H89" i="2"/>
  <c r="E89" i="2"/>
  <c r="D89" i="2"/>
  <c r="J89" i="2" s="1"/>
  <c r="C89" i="2"/>
  <c r="H88" i="2"/>
  <c r="J88" i="2" s="1"/>
  <c r="F69" i="2"/>
  <c r="C69" i="2"/>
  <c r="G69" i="2" s="1"/>
  <c r="F67" i="2"/>
  <c r="G67" i="2" s="1"/>
  <c r="C67" i="2"/>
  <c r="F66" i="2"/>
  <c r="G66" i="2" s="1"/>
  <c r="F65" i="2"/>
  <c r="C65" i="2"/>
  <c r="F64" i="2"/>
  <c r="C64" i="2"/>
  <c r="G64" i="2" s="1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G41" i="2"/>
  <c r="F41" i="2"/>
  <c r="F40" i="2"/>
  <c r="G40" i="2" s="1"/>
  <c r="F36" i="2"/>
  <c r="G36" i="2" s="1"/>
  <c r="F35" i="2"/>
  <c r="G35" i="2" s="1"/>
  <c r="F34" i="2"/>
  <c r="G34" i="2" s="1"/>
  <c r="F33" i="2"/>
  <c r="G33" i="2" s="1"/>
  <c r="G32" i="2"/>
  <c r="F32" i="2"/>
  <c r="F31" i="2"/>
  <c r="G31" i="2" s="1"/>
  <c r="G30" i="2"/>
  <c r="F30" i="2"/>
  <c r="F29" i="2"/>
  <c r="G29" i="2" s="1"/>
  <c r="F28" i="2"/>
  <c r="G28" i="2" s="1"/>
  <c r="F27" i="2"/>
  <c r="G27" i="2" s="1"/>
  <c r="F26" i="2"/>
  <c r="G26" i="2" s="1"/>
  <c r="F25" i="2"/>
  <c r="G25" i="2" s="1"/>
  <c r="G24" i="2"/>
  <c r="F24" i="2"/>
  <c r="F23" i="2"/>
  <c r="G23" i="2" s="1"/>
  <c r="G22" i="2"/>
  <c r="F22" i="2"/>
  <c r="F21" i="2"/>
  <c r="G21" i="2" s="1"/>
  <c r="F20" i="2"/>
  <c r="G20" i="2" s="1"/>
  <c r="F19" i="2"/>
  <c r="G19" i="2" s="1"/>
  <c r="F18" i="2"/>
  <c r="G18" i="2" s="1"/>
  <c r="F17" i="2"/>
  <c r="G17" i="2" s="1"/>
  <c r="G16" i="2"/>
  <c r="F16" i="2"/>
  <c r="F15" i="2"/>
  <c r="G15" i="2" s="1"/>
  <c r="G14" i="2"/>
  <c r="F14" i="2"/>
  <c r="F13" i="2"/>
  <c r="G13" i="2" s="1"/>
  <c r="F12" i="2"/>
  <c r="G12" i="2" s="1"/>
  <c r="F11" i="2"/>
  <c r="G11" i="2" s="1"/>
  <c r="F10" i="2"/>
  <c r="G10" i="2" s="1"/>
  <c r="F9" i="2"/>
  <c r="G9" i="2" s="1"/>
  <c r="G8" i="2"/>
  <c r="F8" i="2"/>
  <c r="F7" i="2"/>
  <c r="G7" i="2" s="1"/>
  <c r="G6" i="2"/>
  <c r="F6" i="2"/>
  <c r="F5" i="2"/>
  <c r="G5" i="2" s="1"/>
  <c r="F4" i="2"/>
  <c r="G4" i="2" s="1"/>
  <c r="F3" i="2"/>
  <c r="G3" i="2" s="1"/>
  <c r="D101" i="1"/>
  <c r="E100" i="1"/>
  <c r="E99" i="1"/>
  <c r="E98" i="1"/>
  <c r="E97" i="1"/>
  <c r="F97" i="1" s="1"/>
  <c r="E96" i="1"/>
  <c r="E95" i="1"/>
  <c r="E101" i="1" s="1"/>
  <c r="E94" i="1"/>
  <c r="F94" i="1" s="1"/>
  <c r="E93" i="1"/>
  <c r="F93" i="1" s="1"/>
  <c r="E92" i="1"/>
  <c r="F92" i="1" s="1"/>
  <c r="E91" i="1"/>
  <c r="F91" i="1" s="1"/>
  <c r="F90" i="1"/>
  <c r="E90" i="1"/>
  <c r="E89" i="1"/>
  <c r="F89" i="1" s="1"/>
  <c r="K88" i="1"/>
  <c r="E88" i="1"/>
  <c r="F88" i="1" s="1"/>
  <c r="L87" i="1"/>
  <c r="L86" i="1"/>
  <c r="L85" i="1"/>
  <c r="M85" i="1" s="1"/>
  <c r="L84" i="1"/>
  <c r="L83" i="1"/>
  <c r="M83" i="1" s="1"/>
  <c r="D83" i="1"/>
  <c r="M82" i="1"/>
  <c r="L82" i="1"/>
  <c r="F82" i="1"/>
  <c r="E82" i="1"/>
  <c r="M81" i="1"/>
  <c r="L81" i="1"/>
  <c r="F81" i="1"/>
  <c r="E81" i="1"/>
  <c r="M80" i="1"/>
  <c r="L80" i="1"/>
  <c r="F80" i="1"/>
  <c r="E80" i="1"/>
  <c r="M79" i="1"/>
  <c r="L79" i="1"/>
  <c r="F79" i="1"/>
  <c r="E79" i="1"/>
  <c r="M78" i="1"/>
  <c r="L78" i="1"/>
  <c r="E78" i="1"/>
  <c r="F78" i="1" s="1"/>
  <c r="M77" i="1"/>
  <c r="L77" i="1"/>
  <c r="F77" i="1"/>
  <c r="E77" i="1"/>
  <c r="M76" i="1"/>
  <c r="L76" i="1"/>
  <c r="F76" i="1"/>
  <c r="E76" i="1"/>
  <c r="L75" i="1"/>
  <c r="E75" i="1"/>
  <c r="F75" i="1" s="1"/>
  <c r="M74" i="1"/>
  <c r="L74" i="1"/>
  <c r="E74" i="1"/>
  <c r="F74" i="1" s="1"/>
  <c r="L73" i="1"/>
  <c r="F73" i="1"/>
  <c r="E73" i="1"/>
  <c r="L72" i="1"/>
  <c r="M72" i="1" s="1"/>
  <c r="F72" i="1"/>
  <c r="E72" i="1"/>
  <c r="L71" i="1"/>
  <c r="M71" i="1" s="1"/>
  <c r="F71" i="1"/>
  <c r="E71" i="1"/>
  <c r="E54" i="1"/>
  <c r="K27" i="1"/>
  <c r="E27" i="1"/>
  <c r="I20" i="1"/>
  <c r="K20" i="1"/>
  <c r="E20" i="1"/>
  <c r="D20" i="1"/>
  <c r="K19" i="1"/>
  <c r="E19" i="1"/>
  <c r="K13" i="1"/>
  <c r="J13" i="1"/>
  <c r="I13" i="1"/>
  <c r="F13" i="1"/>
  <c r="E13" i="1"/>
  <c r="D13" i="1"/>
  <c r="J12" i="1"/>
  <c r="I12" i="1"/>
  <c r="I5" i="11" s="1"/>
  <c r="I13" i="11" s="1"/>
  <c r="I19" i="11" s="1"/>
  <c r="K12" i="1"/>
  <c r="F12" i="1"/>
  <c r="K11" i="1"/>
  <c r="E5" i="12" s="1"/>
  <c r="E13" i="12" s="1"/>
  <c r="J11" i="1"/>
  <c r="I11" i="1"/>
  <c r="F11" i="1"/>
  <c r="E11" i="1"/>
  <c r="E5" i="8" s="1"/>
  <c r="D11" i="1"/>
  <c r="H133" i="2" l="1"/>
  <c r="H125" i="2"/>
  <c r="I128" i="2"/>
  <c r="H123" i="2"/>
  <c r="D87" i="9" s="1"/>
  <c r="I124" i="2"/>
  <c r="I123" i="2" s="1"/>
  <c r="H127" i="2"/>
  <c r="J113" i="2"/>
  <c r="J119" i="2" s="1"/>
  <c r="I114" i="2"/>
  <c r="I115" i="2"/>
  <c r="I116" i="2"/>
  <c r="I117" i="2"/>
  <c r="K89" i="2"/>
  <c r="K90" i="2"/>
  <c r="J93" i="2"/>
  <c r="J94" i="2"/>
  <c r="J96" i="2"/>
  <c r="K94" i="2"/>
  <c r="K95" i="2"/>
  <c r="I89" i="2"/>
  <c r="I90" i="2"/>
  <c r="M88" i="1"/>
  <c r="G5" i="11"/>
  <c r="E5" i="5"/>
  <c r="D5" i="6"/>
  <c r="D13" i="6" s="1"/>
  <c r="U17" i="4"/>
  <c r="E83" i="1"/>
  <c r="F83" i="1"/>
  <c r="D84" i="1" s="1"/>
  <c r="B38" i="6" s="1"/>
  <c r="G40" i="3"/>
  <c r="G6" i="3"/>
  <c r="G41" i="3"/>
  <c r="G14" i="3"/>
  <c r="D5" i="4"/>
  <c r="O5" i="4" s="1"/>
  <c r="O6" i="10"/>
  <c r="E39" i="3"/>
  <c r="O10" i="10"/>
  <c r="E43" i="3"/>
  <c r="G38" i="3"/>
  <c r="G39" i="3"/>
  <c r="G43" i="3"/>
  <c r="G45" i="3"/>
  <c r="G8" i="3"/>
  <c r="G11" i="3"/>
  <c r="G16" i="3"/>
  <c r="E87" i="12"/>
  <c r="D87" i="12"/>
  <c r="E87" i="9"/>
  <c r="E87" i="6"/>
  <c r="C39" i="12"/>
  <c r="I39" i="11"/>
  <c r="D39" i="11"/>
  <c r="C39" i="11"/>
  <c r="H39" i="11"/>
  <c r="G59" i="2"/>
  <c r="B38" i="5"/>
  <c r="F101" i="1"/>
  <c r="D102" i="1" s="1"/>
  <c r="G37" i="2"/>
  <c r="E5" i="9"/>
  <c r="E13" i="9" s="1"/>
  <c r="E5" i="6"/>
  <c r="E13" i="6" s="1"/>
  <c r="G5" i="5"/>
  <c r="I123" i="11"/>
  <c r="I59" i="11"/>
  <c r="I57" i="11"/>
  <c r="I24" i="11"/>
  <c r="I55" i="11"/>
  <c r="I23" i="11"/>
  <c r="I54" i="11"/>
  <c r="C39" i="9"/>
  <c r="H39" i="8"/>
  <c r="D39" i="8"/>
  <c r="H39" i="5"/>
  <c r="D39" i="5"/>
  <c r="I39" i="8"/>
  <c r="C39" i="8"/>
  <c r="C39" i="6"/>
  <c r="C39" i="5"/>
  <c r="B42" i="12"/>
  <c r="B42" i="11"/>
  <c r="B42" i="9"/>
  <c r="B42" i="8"/>
  <c r="B42" i="6"/>
  <c r="K108" i="2"/>
  <c r="J108" i="2"/>
  <c r="K110" i="2"/>
  <c r="J110" i="2"/>
  <c r="K112" i="2"/>
  <c r="J112" i="2"/>
  <c r="D84" i="5"/>
  <c r="F84" i="5"/>
  <c r="E84" i="5"/>
  <c r="I132" i="2"/>
  <c r="H132" i="2"/>
  <c r="H18" i="4"/>
  <c r="D177" i="10"/>
  <c r="D176" i="4"/>
  <c r="D181" i="7"/>
  <c r="B58" i="5"/>
  <c r="B47" i="5"/>
  <c r="D14" i="6"/>
  <c r="D19" i="6" s="1"/>
  <c r="Y27" i="3"/>
  <c r="Y36" i="3" s="1"/>
  <c r="O12" i="7"/>
  <c r="C5" i="12"/>
  <c r="C13" i="12" s="1"/>
  <c r="C5" i="11"/>
  <c r="D12" i="1"/>
  <c r="D39" i="9"/>
  <c r="E39" i="6"/>
  <c r="G39" i="5"/>
  <c r="E39" i="9"/>
  <c r="G39" i="8"/>
  <c r="F39" i="5"/>
  <c r="E39" i="8"/>
  <c r="F39" i="8"/>
  <c r="L88" i="1"/>
  <c r="K89" i="1" s="1"/>
  <c r="I91" i="2"/>
  <c r="J91" i="2"/>
  <c r="I108" i="2"/>
  <c r="I110" i="2"/>
  <c r="I112" i="2"/>
  <c r="I134" i="2"/>
  <c r="H134" i="2"/>
  <c r="Q50" i="3"/>
  <c r="W50" i="3"/>
  <c r="E10" i="4"/>
  <c r="M12" i="3"/>
  <c r="H123" i="5"/>
  <c r="H59" i="5"/>
  <c r="H57" i="5"/>
  <c r="H54" i="5"/>
  <c r="H24" i="5"/>
  <c r="E39" i="5"/>
  <c r="C84" i="5"/>
  <c r="G5" i="8"/>
  <c r="C5" i="8"/>
  <c r="C5" i="5"/>
  <c r="C5" i="6"/>
  <c r="C13" i="6" s="1"/>
  <c r="C5" i="9"/>
  <c r="C13" i="9" s="1"/>
  <c r="D5" i="12"/>
  <c r="D13" i="12" s="1"/>
  <c r="E5" i="11"/>
  <c r="E12" i="1"/>
  <c r="E39" i="12"/>
  <c r="E39" i="11"/>
  <c r="D39" i="12"/>
  <c r="F39" i="11"/>
  <c r="G39" i="11"/>
  <c r="B65" i="12"/>
  <c r="B65" i="11"/>
  <c r="B65" i="9"/>
  <c r="B65" i="6"/>
  <c r="B65" i="5"/>
  <c r="B65" i="8"/>
  <c r="I88" i="2"/>
  <c r="I95" i="2"/>
  <c r="K107" i="2"/>
  <c r="J107" i="2"/>
  <c r="K109" i="2"/>
  <c r="J109" i="2"/>
  <c r="K111" i="2"/>
  <c r="J111" i="2"/>
  <c r="I89" i="11"/>
  <c r="I89" i="5"/>
  <c r="I89" i="8"/>
  <c r="K18" i="3"/>
  <c r="Q18" i="3"/>
  <c r="K36" i="3"/>
  <c r="M50" i="3"/>
  <c r="O13" i="4"/>
  <c r="G15" i="3"/>
  <c r="M20" i="4"/>
  <c r="M21" i="4" s="1"/>
  <c r="N20" i="4"/>
  <c r="N21" i="4" s="1"/>
  <c r="N25" i="4"/>
  <c r="L20" i="4" s="1"/>
  <c r="L21" i="4" s="1"/>
  <c r="H23" i="5"/>
  <c r="B25" i="5"/>
  <c r="B46" i="5" s="1"/>
  <c r="I39" i="5"/>
  <c r="H55" i="5"/>
  <c r="B184" i="5"/>
  <c r="D39" i="6"/>
  <c r="H123" i="8"/>
  <c r="H59" i="8"/>
  <c r="H57" i="8"/>
  <c r="H54" i="8"/>
  <c r="H24" i="8"/>
  <c r="H55" i="8"/>
  <c r="B193" i="11"/>
  <c r="B196" i="11"/>
  <c r="B154" i="11"/>
  <c r="B181" i="11"/>
  <c r="B160" i="11"/>
  <c r="B184" i="11"/>
  <c r="E14" i="8"/>
  <c r="F13" i="8"/>
  <c r="E13" i="8"/>
  <c r="E19" i="8" s="1"/>
  <c r="E55" i="8" s="1"/>
  <c r="F14" i="8"/>
  <c r="G65" i="2"/>
  <c r="G70" i="2" s="1"/>
  <c r="K88" i="2"/>
  <c r="K98" i="2" s="1"/>
  <c r="K99" i="2" s="1"/>
  <c r="K100" i="2" s="1"/>
  <c r="K93" i="2"/>
  <c r="I107" i="2"/>
  <c r="I109" i="2"/>
  <c r="I111" i="2"/>
  <c r="D84" i="9"/>
  <c r="C84" i="9"/>
  <c r="H84" i="8"/>
  <c r="D84" i="8"/>
  <c r="G84" i="8"/>
  <c r="E84" i="9"/>
  <c r="F84" i="8"/>
  <c r="C84" i="8"/>
  <c r="E84" i="8"/>
  <c r="D84" i="12"/>
  <c r="C84" i="12"/>
  <c r="E84" i="12"/>
  <c r="E84" i="11"/>
  <c r="D84" i="11"/>
  <c r="F84" i="11"/>
  <c r="C84" i="11"/>
  <c r="H84" i="11"/>
  <c r="G84" i="11"/>
  <c r="Q36" i="3"/>
  <c r="I50" i="3"/>
  <c r="Y50" i="3"/>
  <c r="E7" i="4"/>
  <c r="M9" i="3"/>
  <c r="M18" i="3" s="1"/>
  <c r="E13" i="5"/>
  <c r="F14" i="5"/>
  <c r="B42" i="5"/>
  <c r="B69" i="5"/>
  <c r="B77" i="5" s="1"/>
  <c r="D19" i="9"/>
  <c r="D23" i="9" s="1"/>
  <c r="D14" i="9"/>
  <c r="B58" i="9"/>
  <c r="B47" i="9"/>
  <c r="F19" i="10"/>
  <c r="B196" i="5"/>
  <c r="B193" i="5"/>
  <c r="B148" i="5"/>
  <c r="Q18" i="4"/>
  <c r="B60" i="5"/>
  <c r="B172" i="5"/>
  <c r="B47" i="6"/>
  <c r="B58" i="6"/>
  <c r="O8" i="10"/>
  <c r="E41" i="3"/>
  <c r="N21" i="7"/>
  <c r="N23" i="7" s="1"/>
  <c r="O6" i="7"/>
  <c r="G21" i="3"/>
  <c r="O16" i="7"/>
  <c r="E21" i="7"/>
  <c r="B60" i="8"/>
  <c r="B154" i="8"/>
  <c r="B172" i="8"/>
  <c r="B181" i="8"/>
  <c r="B193" i="8"/>
  <c r="H54" i="11"/>
  <c r="H123" i="11"/>
  <c r="H59" i="11"/>
  <c r="H57" i="11"/>
  <c r="H23" i="11"/>
  <c r="H24" i="11"/>
  <c r="O7" i="7"/>
  <c r="E22" i="3"/>
  <c r="D10" i="7"/>
  <c r="D21" i="7" s="1"/>
  <c r="G25" i="3"/>
  <c r="H58" i="8"/>
  <c r="E58" i="8"/>
  <c r="B160" i="8"/>
  <c r="B196" i="8"/>
  <c r="C41" i="9"/>
  <c r="D41" i="9"/>
  <c r="K19" i="10"/>
  <c r="O8" i="7"/>
  <c r="E23" i="3"/>
  <c r="M25" i="7"/>
  <c r="M26" i="7" s="1"/>
  <c r="N25" i="7"/>
  <c r="N26" i="7" s="1"/>
  <c r="B55" i="9"/>
  <c r="B60" i="9"/>
  <c r="M21" i="10"/>
  <c r="M22" i="10" s="1"/>
  <c r="N26" i="10"/>
  <c r="L21" i="10" s="1"/>
  <c r="L22" i="10" s="1"/>
  <c r="N21" i="10"/>
  <c r="N22" i="10" s="1"/>
  <c r="B166" i="8"/>
  <c r="O13" i="7"/>
  <c r="B148" i="8"/>
  <c r="B190" i="8"/>
  <c r="O5" i="10"/>
  <c r="E14" i="12"/>
  <c r="E19" i="12" s="1"/>
  <c r="G10" i="3"/>
  <c r="G32" i="3"/>
  <c r="B160" i="5"/>
  <c r="B166" i="5"/>
  <c r="C41" i="6"/>
  <c r="H23" i="8"/>
  <c r="B25" i="8"/>
  <c r="B46" i="8" s="1"/>
  <c r="B69" i="8"/>
  <c r="B77" i="8" s="1"/>
  <c r="H17" i="10"/>
  <c r="E9" i="10"/>
  <c r="Q19" i="10"/>
  <c r="B58" i="11"/>
  <c r="B60" i="11" s="1"/>
  <c r="L17" i="10"/>
  <c r="L19" i="10" s="1"/>
  <c r="H55" i="11"/>
  <c r="B172" i="11"/>
  <c r="B190" i="11"/>
  <c r="B148" i="11"/>
  <c r="B69" i="12"/>
  <c r="B77" i="12" s="1"/>
  <c r="B178" i="11"/>
  <c r="B47" i="12"/>
  <c r="B60" i="12"/>
  <c r="D87" i="6" l="1"/>
  <c r="I113" i="2"/>
  <c r="I119" i="2" s="1"/>
  <c r="I84" i="5" s="1"/>
  <c r="I91" i="5"/>
  <c r="I127" i="5" s="1"/>
  <c r="I98" i="2"/>
  <c r="I99" i="2" s="1"/>
  <c r="I100" i="2" s="1"/>
  <c r="G86" i="5" s="1"/>
  <c r="J98" i="2"/>
  <c r="J99" i="2" s="1"/>
  <c r="J100" i="2" s="1"/>
  <c r="E86" i="8" s="1"/>
  <c r="G60" i="2"/>
  <c r="I25" i="11"/>
  <c r="I46" i="11" s="1"/>
  <c r="G14" i="11"/>
  <c r="G13" i="11"/>
  <c r="G19" i="11" s="1"/>
  <c r="H25" i="5"/>
  <c r="E19" i="5"/>
  <c r="E23" i="5" s="1"/>
  <c r="E25" i="5" s="1"/>
  <c r="F19" i="8"/>
  <c r="F123" i="8" s="1"/>
  <c r="F13" i="5"/>
  <c r="F19" i="5" s="1"/>
  <c r="E14" i="5"/>
  <c r="E16" i="4"/>
  <c r="E7" i="3"/>
  <c r="D23" i="7"/>
  <c r="O23" i="7" s="1"/>
  <c r="B38" i="9"/>
  <c r="B38" i="8"/>
  <c r="O21" i="7"/>
  <c r="E85" i="12"/>
  <c r="E88" i="12" s="1"/>
  <c r="E122" i="12" s="1"/>
  <c r="D85" i="12"/>
  <c r="C85" i="12"/>
  <c r="D85" i="9"/>
  <c r="D88" i="9" s="1"/>
  <c r="D122" i="9" s="1"/>
  <c r="E85" i="9"/>
  <c r="E88" i="9" s="1"/>
  <c r="E122" i="9" s="1"/>
  <c r="C85" i="6"/>
  <c r="E85" i="6"/>
  <c r="D85" i="6"/>
  <c r="C85" i="9"/>
  <c r="F86" i="8"/>
  <c r="G86" i="8"/>
  <c r="C86" i="8"/>
  <c r="D54" i="6"/>
  <c r="D24" i="6"/>
  <c r="D118" i="6"/>
  <c r="D57" i="6"/>
  <c r="D59" i="6"/>
  <c r="D55" i="6"/>
  <c r="D23" i="6"/>
  <c r="E118" i="12"/>
  <c r="E54" i="12"/>
  <c r="E24" i="12"/>
  <c r="E59" i="12"/>
  <c r="E57" i="12"/>
  <c r="E58" i="12"/>
  <c r="E55" i="12"/>
  <c r="E23" i="12"/>
  <c r="D58" i="9"/>
  <c r="H42" i="5"/>
  <c r="D42" i="5"/>
  <c r="E42" i="5"/>
  <c r="I42" i="5"/>
  <c r="C42" i="5"/>
  <c r="F42" i="5"/>
  <c r="G42" i="5"/>
  <c r="F23" i="8"/>
  <c r="H46" i="5"/>
  <c r="H31" i="5"/>
  <c r="C87" i="12"/>
  <c r="C87" i="9"/>
  <c r="C87" i="6"/>
  <c r="B69" i="9"/>
  <c r="B77" i="9" s="1"/>
  <c r="C14" i="6"/>
  <c r="C19" i="6"/>
  <c r="G13" i="8"/>
  <c r="G19" i="8" s="1"/>
  <c r="G14" i="8"/>
  <c r="E42" i="6"/>
  <c r="D42" i="6"/>
  <c r="C42" i="6"/>
  <c r="C42" i="12"/>
  <c r="E42" i="12"/>
  <c r="D42" i="12"/>
  <c r="I34" i="11"/>
  <c r="I32" i="11"/>
  <c r="E14" i="6"/>
  <c r="E19" i="6" s="1"/>
  <c r="B38" i="12"/>
  <c r="B38" i="11"/>
  <c r="F85" i="11"/>
  <c r="C85" i="11"/>
  <c r="E85" i="11"/>
  <c r="D85" i="11"/>
  <c r="G85" i="11"/>
  <c r="E85" i="8"/>
  <c r="E85" i="5"/>
  <c r="F85" i="8"/>
  <c r="D85" i="5"/>
  <c r="D85" i="8"/>
  <c r="C85" i="5"/>
  <c r="G85" i="8"/>
  <c r="F85" i="5"/>
  <c r="C85" i="8"/>
  <c r="G85" i="5"/>
  <c r="G42" i="3"/>
  <c r="G50" i="3" s="1"/>
  <c r="D9" i="10"/>
  <c r="E17" i="10"/>
  <c r="D55" i="9"/>
  <c r="E23" i="7"/>
  <c r="E24" i="7"/>
  <c r="D58" i="6"/>
  <c r="C58" i="6"/>
  <c r="E55" i="5"/>
  <c r="K148" i="5"/>
  <c r="L148" i="5" s="1"/>
  <c r="D7" i="4"/>
  <c r="G9" i="3"/>
  <c r="J106" i="2"/>
  <c r="J118" i="2" s="1"/>
  <c r="I84" i="8" s="1"/>
  <c r="I91" i="8" s="1"/>
  <c r="I127" i="8" s="1"/>
  <c r="B69" i="11"/>
  <c r="B77" i="11" s="1"/>
  <c r="F13" i="11"/>
  <c r="F14" i="11"/>
  <c r="E13" i="11"/>
  <c r="E14" i="11"/>
  <c r="D14" i="5"/>
  <c r="C13" i="5"/>
  <c r="C14" i="5"/>
  <c r="D13" i="5"/>
  <c r="I5" i="8"/>
  <c r="I13" i="8" s="1"/>
  <c r="I19" i="8" s="1"/>
  <c r="I5" i="5"/>
  <c r="I13" i="5" s="1"/>
  <c r="I19" i="5" s="1"/>
  <c r="H130" i="2"/>
  <c r="H42" i="8"/>
  <c r="D42" i="8"/>
  <c r="F42" i="8"/>
  <c r="E42" i="8"/>
  <c r="G42" i="8"/>
  <c r="C42" i="8"/>
  <c r="I42" i="8"/>
  <c r="I31" i="11"/>
  <c r="I30" i="11"/>
  <c r="E14" i="9"/>
  <c r="E19" i="9" s="1"/>
  <c r="D38" i="6"/>
  <c r="E38" i="6"/>
  <c r="E44" i="6" s="1"/>
  <c r="E48" i="6" s="1"/>
  <c r="C38" i="6"/>
  <c r="C44" i="6" s="1"/>
  <c r="C48" i="6" s="1"/>
  <c r="E86" i="11"/>
  <c r="C86" i="11"/>
  <c r="G86" i="11"/>
  <c r="F86" i="11"/>
  <c r="D86" i="11"/>
  <c r="H19" i="10"/>
  <c r="E18" i="4"/>
  <c r="D59" i="9"/>
  <c r="D57" i="9"/>
  <c r="D118" i="9"/>
  <c r="D54" i="9"/>
  <c r="D24" i="9"/>
  <c r="D25" i="9" s="1"/>
  <c r="D88" i="12"/>
  <c r="D122" i="12" s="1"/>
  <c r="I106" i="2"/>
  <c r="I118" i="2" s="1"/>
  <c r="H34" i="5"/>
  <c r="K106" i="2"/>
  <c r="K118" i="2" s="1"/>
  <c r="I84" i="11" s="1"/>
  <c r="I91" i="11" s="1"/>
  <c r="I127" i="11" s="1"/>
  <c r="D14" i="12"/>
  <c r="D19" i="12" s="1"/>
  <c r="D14" i="8"/>
  <c r="C13" i="8"/>
  <c r="C14" i="8"/>
  <c r="D13" i="8"/>
  <c r="H30" i="5"/>
  <c r="H35" i="5"/>
  <c r="H56" i="5" s="1"/>
  <c r="H29" i="5"/>
  <c r="H28" i="5"/>
  <c r="C14" i="11"/>
  <c r="C13" i="11"/>
  <c r="D14" i="11"/>
  <c r="D13" i="11"/>
  <c r="D19" i="11" s="1"/>
  <c r="B60" i="6"/>
  <c r="H58" i="5"/>
  <c r="E58" i="5"/>
  <c r="I130" i="2"/>
  <c r="D42" i="9"/>
  <c r="E42" i="9"/>
  <c r="C42" i="9"/>
  <c r="I28" i="11"/>
  <c r="I35" i="11"/>
  <c r="I56" i="11" s="1"/>
  <c r="I29" i="11"/>
  <c r="I33" i="11"/>
  <c r="G38" i="5"/>
  <c r="H38" i="5"/>
  <c r="H44" i="5" s="1"/>
  <c r="H48" i="5" s="1"/>
  <c r="E38" i="5"/>
  <c r="E44" i="5" s="1"/>
  <c r="E48" i="5" s="1"/>
  <c r="F38" i="5"/>
  <c r="I58" i="11"/>
  <c r="D58" i="11"/>
  <c r="H58" i="11"/>
  <c r="G58" i="11"/>
  <c r="H25" i="8"/>
  <c r="O10" i="7"/>
  <c r="E25" i="3"/>
  <c r="H25" i="11"/>
  <c r="G36" i="3"/>
  <c r="E123" i="5"/>
  <c r="E59" i="5"/>
  <c r="E57" i="5"/>
  <c r="E24" i="5"/>
  <c r="E54" i="5"/>
  <c r="E24" i="8"/>
  <c r="E123" i="8"/>
  <c r="E59" i="8"/>
  <c r="E23" i="8"/>
  <c r="E57" i="8"/>
  <c r="E54" i="8"/>
  <c r="B69" i="6"/>
  <c r="B77" i="6" s="1"/>
  <c r="C14" i="9"/>
  <c r="C19" i="9" s="1"/>
  <c r="H33" i="5"/>
  <c r="H32" i="5"/>
  <c r="G12" i="3"/>
  <c r="D10" i="4"/>
  <c r="C14" i="12"/>
  <c r="C19" i="12"/>
  <c r="I42" i="11"/>
  <c r="E42" i="11"/>
  <c r="G42" i="11"/>
  <c r="D42" i="11"/>
  <c r="H42" i="11"/>
  <c r="F42" i="11"/>
  <c r="C42" i="11"/>
  <c r="I60" i="11"/>
  <c r="I125" i="11" s="1"/>
  <c r="G13" i="5"/>
  <c r="G14" i="5"/>
  <c r="C86" i="5" l="1"/>
  <c r="E86" i="5"/>
  <c r="F86" i="5"/>
  <c r="D86" i="5"/>
  <c r="C88" i="12"/>
  <c r="C122" i="12" s="1"/>
  <c r="D86" i="8"/>
  <c r="C88" i="9"/>
  <c r="C122" i="9" s="1"/>
  <c r="G44" i="5"/>
  <c r="G48" i="5" s="1"/>
  <c r="G23" i="11"/>
  <c r="G123" i="11"/>
  <c r="G59" i="11"/>
  <c r="G54" i="11"/>
  <c r="G24" i="11"/>
  <c r="G25" i="11" s="1"/>
  <c r="G57" i="11"/>
  <c r="G55" i="11"/>
  <c r="G28" i="11"/>
  <c r="G31" i="11"/>
  <c r="C19" i="11"/>
  <c r="C58" i="11" s="1"/>
  <c r="G34" i="11"/>
  <c r="G29" i="11"/>
  <c r="E46" i="5"/>
  <c r="E30" i="5"/>
  <c r="E28" i="5"/>
  <c r="E35" i="5"/>
  <c r="E56" i="5" s="1"/>
  <c r="E60" i="5" s="1"/>
  <c r="E125" i="5" s="1"/>
  <c r="E33" i="5"/>
  <c r="F54" i="5"/>
  <c r="F23" i="5"/>
  <c r="F24" i="5"/>
  <c r="F123" i="5"/>
  <c r="F59" i="5"/>
  <c r="F55" i="5"/>
  <c r="F58" i="5"/>
  <c r="F57" i="5"/>
  <c r="D46" i="9"/>
  <c r="D31" i="9"/>
  <c r="D35" i="9"/>
  <c r="D56" i="9" s="1"/>
  <c r="D60" i="9" s="1"/>
  <c r="D120" i="9" s="1"/>
  <c r="D34" i="9"/>
  <c r="D28" i="9"/>
  <c r="D33" i="9"/>
  <c r="D29" i="9"/>
  <c r="D36" i="9" s="1"/>
  <c r="D30" i="9"/>
  <c r="F58" i="8"/>
  <c r="F57" i="8"/>
  <c r="F24" i="8"/>
  <c r="F25" i="8" s="1"/>
  <c r="F59" i="8"/>
  <c r="H60" i="5"/>
  <c r="H125" i="5" s="1"/>
  <c r="F55" i="8"/>
  <c r="D19" i="5"/>
  <c r="D123" i="5" s="1"/>
  <c r="F54" i="8"/>
  <c r="E59" i="6"/>
  <c r="E57" i="6"/>
  <c r="E118" i="6"/>
  <c r="E24" i="6"/>
  <c r="E54" i="6"/>
  <c r="E23" i="6"/>
  <c r="E25" i="6" s="1"/>
  <c r="E46" i="6" s="1"/>
  <c r="E55" i="6"/>
  <c r="E58" i="6"/>
  <c r="D118" i="12"/>
  <c r="D54" i="12"/>
  <c r="D24" i="12"/>
  <c r="D57" i="12"/>
  <c r="D32" i="12"/>
  <c r="D59" i="12"/>
  <c r="D58" i="12"/>
  <c r="D23" i="12"/>
  <c r="D25" i="12" s="1"/>
  <c r="D46" i="12" s="1"/>
  <c r="D55" i="12"/>
  <c r="E24" i="9"/>
  <c r="E54" i="9"/>
  <c r="E118" i="9"/>
  <c r="E57" i="9"/>
  <c r="E59" i="9"/>
  <c r="E23" i="9"/>
  <c r="E58" i="9"/>
  <c r="E55" i="9"/>
  <c r="C118" i="9"/>
  <c r="C54" i="9"/>
  <c r="C24" i="9"/>
  <c r="C59" i="9"/>
  <c r="C30" i="9"/>
  <c r="C57" i="9"/>
  <c r="C23" i="9"/>
  <c r="C25" i="9" s="1"/>
  <c r="C46" i="9" s="1"/>
  <c r="C58" i="9"/>
  <c r="C55" i="9"/>
  <c r="H46" i="11"/>
  <c r="H31" i="11"/>
  <c r="H29" i="11"/>
  <c r="H35" i="11"/>
  <c r="H56" i="11" s="1"/>
  <c r="H60" i="11" s="1"/>
  <c r="H125" i="11" s="1"/>
  <c r="H32" i="11"/>
  <c r="H28" i="11"/>
  <c r="H30" i="11"/>
  <c r="H33" i="11"/>
  <c r="H34" i="11"/>
  <c r="C123" i="11"/>
  <c r="C59" i="11"/>
  <c r="C57" i="11"/>
  <c r="C23" i="11"/>
  <c r="C54" i="11"/>
  <c r="C24" i="11"/>
  <c r="C55" i="11"/>
  <c r="I24" i="5"/>
  <c r="I123" i="5"/>
  <c r="I57" i="5"/>
  <c r="I59" i="5"/>
  <c r="I54" i="5"/>
  <c r="I55" i="5"/>
  <c r="I23" i="5"/>
  <c r="D24" i="5"/>
  <c r="G54" i="8"/>
  <c r="G24" i="8"/>
  <c r="G59" i="8"/>
  <c r="G57" i="8"/>
  <c r="G123" i="8"/>
  <c r="G58" i="8"/>
  <c r="G55" i="8"/>
  <c r="G23" i="8"/>
  <c r="L24" i="7"/>
  <c r="M24" i="7"/>
  <c r="F24" i="7"/>
  <c r="N24" i="7"/>
  <c r="J24" i="7"/>
  <c r="I24" i="7"/>
  <c r="G24" i="7"/>
  <c r="H24" i="7"/>
  <c r="K24" i="7"/>
  <c r="C59" i="12"/>
  <c r="C57" i="12"/>
  <c r="C54" i="12"/>
  <c r="C118" i="12"/>
  <c r="C31" i="12"/>
  <c r="C24" i="12"/>
  <c r="C55" i="12"/>
  <c r="C23" i="12"/>
  <c r="C25" i="12" s="1"/>
  <c r="C46" i="12" s="1"/>
  <c r="C58" i="12"/>
  <c r="E25" i="8"/>
  <c r="E31" i="5"/>
  <c r="D38" i="5"/>
  <c r="D44" i="5" s="1"/>
  <c r="D48" i="5" s="1"/>
  <c r="I36" i="11"/>
  <c r="D87" i="11"/>
  <c r="D91" i="11" s="1"/>
  <c r="D127" i="11" s="1"/>
  <c r="C87" i="11"/>
  <c r="C91" i="11" s="1"/>
  <c r="C127" i="11" s="1"/>
  <c r="C87" i="8"/>
  <c r="C91" i="8" s="1"/>
  <c r="C127" i="8" s="1"/>
  <c r="C87" i="5"/>
  <c r="C91" i="5" s="1"/>
  <c r="C127" i="5" s="1"/>
  <c r="D87" i="5"/>
  <c r="D87" i="8"/>
  <c r="D91" i="8" s="1"/>
  <c r="D127" i="8" s="1"/>
  <c r="C19" i="8"/>
  <c r="H84" i="5"/>
  <c r="C84" i="6"/>
  <c r="C88" i="6" s="1"/>
  <c r="C122" i="6" s="1"/>
  <c r="E84" i="6"/>
  <c r="E88" i="6" s="1"/>
  <c r="E122" i="6" s="1"/>
  <c r="D84" i="6"/>
  <c r="D88" i="6" s="1"/>
  <c r="D122" i="6" s="1"/>
  <c r="G84" i="5"/>
  <c r="I54" i="8"/>
  <c r="I24" i="8"/>
  <c r="I57" i="8"/>
  <c r="I59" i="8"/>
  <c r="I123" i="8"/>
  <c r="I23" i="8"/>
  <c r="I55" i="8"/>
  <c r="I58" i="8"/>
  <c r="E19" i="11"/>
  <c r="G18" i="3"/>
  <c r="H38" i="11"/>
  <c r="H44" i="11" s="1"/>
  <c r="H48" i="11" s="1"/>
  <c r="D38" i="11"/>
  <c r="D44" i="11" s="1"/>
  <c r="D48" i="11" s="1"/>
  <c r="F38" i="11"/>
  <c r="F44" i="11" s="1"/>
  <c r="F48" i="11" s="1"/>
  <c r="E38" i="11"/>
  <c r="E44" i="11" s="1"/>
  <c r="E48" i="11" s="1"/>
  <c r="C38" i="11"/>
  <c r="C44" i="11" s="1"/>
  <c r="C48" i="11" s="1"/>
  <c r="G38" i="11"/>
  <c r="G44" i="11" s="1"/>
  <c r="G48" i="11" s="1"/>
  <c r="I38" i="11"/>
  <c r="I44" i="11" s="1"/>
  <c r="I48" i="11" s="1"/>
  <c r="C118" i="6"/>
  <c r="C59" i="6"/>
  <c r="C24" i="6"/>
  <c r="C54" i="6"/>
  <c r="C57" i="6"/>
  <c r="C55" i="6"/>
  <c r="C23" i="6"/>
  <c r="C25" i="6" s="1"/>
  <c r="C46" i="6" s="1"/>
  <c r="E25" i="12"/>
  <c r="D24" i="7"/>
  <c r="E34" i="5"/>
  <c r="H46" i="8"/>
  <c r="H31" i="8"/>
  <c r="H33" i="8"/>
  <c r="H32" i="8"/>
  <c r="H30" i="8"/>
  <c r="H29" i="8"/>
  <c r="H34" i="8"/>
  <c r="H28" i="8"/>
  <c r="H35" i="8"/>
  <c r="H56" i="8" s="1"/>
  <c r="H60" i="8" s="1"/>
  <c r="H125" i="8" s="1"/>
  <c r="F44" i="5"/>
  <c r="F48" i="5" s="1"/>
  <c r="I38" i="5"/>
  <c r="I44" i="5" s="1"/>
  <c r="I48" i="5" s="1"/>
  <c r="I58" i="5"/>
  <c r="D54" i="11"/>
  <c r="D59" i="11"/>
  <c r="D24" i="11"/>
  <c r="D23" i="11"/>
  <c r="D57" i="11"/>
  <c r="D123" i="11"/>
  <c r="D55" i="11"/>
  <c r="H36" i="5"/>
  <c r="E36" i="3"/>
  <c r="D44" i="6"/>
  <c r="D48" i="6" s="1"/>
  <c r="C19" i="5"/>
  <c r="E9" i="3"/>
  <c r="O7" i="4"/>
  <c r="D16" i="4"/>
  <c r="E19" i="10"/>
  <c r="E38" i="12"/>
  <c r="E44" i="12" s="1"/>
  <c r="E48" i="12" s="1"/>
  <c r="D38" i="12"/>
  <c r="D44" i="12" s="1"/>
  <c r="D48" i="12" s="1"/>
  <c r="C38" i="12"/>
  <c r="C44" i="12" s="1"/>
  <c r="C48" i="12" s="1"/>
  <c r="G38" i="8"/>
  <c r="G44" i="8" s="1"/>
  <c r="G48" i="8" s="1"/>
  <c r="C38" i="8"/>
  <c r="C44" i="8" s="1"/>
  <c r="C48" i="8" s="1"/>
  <c r="E38" i="8"/>
  <c r="E44" i="8" s="1"/>
  <c r="E48" i="8" s="1"/>
  <c r="I38" i="8"/>
  <c r="I44" i="8" s="1"/>
  <c r="I48" i="8" s="1"/>
  <c r="D38" i="8"/>
  <c r="D44" i="8" s="1"/>
  <c r="D48" i="8" s="1"/>
  <c r="F38" i="8"/>
  <c r="F44" i="8" s="1"/>
  <c r="F48" i="8" s="1"/>
  <c r="H38" i="8"/>
  <c r="H44" i="8" s="1"/>
  <c r="H48" i="8" s="1"/>
  <c r="F25" i="5"/>
  <c r="G19" i="5"/>
  <c r="E12" i="3"/>
  <c r="O10" i="4"/>
  <c r="E32" i="5"/>
  <c r="E29" i="5"/>
  <c r="C38" i="5"/>
  <c r="C44" i="5" s="1"/>
  <c r="C48" i="5" s="1"/>
  <c r="D19" i="8"/>
  <c r="D32" i="9"/>
  <c r="G87" i="11"/>
  <c r="G91" i="11" s="1"/>
  <c r="G127" i="11" s="1"/>
  <c r="F87" i="11"/>
  <c r="F91" i="11" s="1"/>
  <c r="F127" i="11" s="1"/>
  <c r="G87" i="8"/>
  <c r="G91" i="8" s="1"/>
  <c r="G127" i="8" s="1"/>
  <c r="G87" i="5"/>
  <c r="F87" i="8"/>
  <c r="F91" i="8" s="1"/>
  <c r="F127" i="8" s="1"/>
  <c r="E87" i="5"/>
  <c r="E91" i="5" s="1"/>
  <c r="E127" i="5" s="1"/>
  <c r="E87" i="11"/>
  <c r="E91" i="11" s="1"/>
  <c r="E127" i="11" s="1"/>
  <c r="E87" i="8"/>
  <c r="E91" i="8" s="1"/>
  <c r="E127" i="8" s="1"/>
  <c r="F87" i="5"/>
  <c r="F91" i="5" s="1"/>
  <c r="F127" i="5" s="1"/>
  <c r="F19" i="11"/>
  <c r="O9" i="10"/>
  <c r="O17" i="10" s="1"/>
  <c r="E42" i="3"/>
  <c r="D17" i="10"/>
  <c r="D25" i="6"/>
  <c r="C38" i="9"/>
  <c r="C44" i="9" s="1"/>
  <c r="C48" i="9" s="1"/>
  <c r="D38" i="9"/>
  <c r="D44" i="9" s="1"/>
  <c r="D48" i="9" s="1"/>
  <c r="E38" i="9"/>
  <c r="E44" i="9" s="1"/>
  <c r="E48" i="9" s="1"/>
  <c r="D91" i="5" l="1"/>
  <c r="D127" i="5" s="1"/>
  <c r="H36" i="11"/>
  <c r="D34" i="12"/>
  <c r="C29" i="12"/>
  <c r="D31" i="12"/>
  <c r="G35" i="11"/>
  <c r="G56" i="11" s="1"/>
  <c r="G60" i="11" s="1"/>
  <c r="G125" i="11" s="1"/>
  <c r="G33" i="11"/>
  <c r="G46" i="11"/>
  <c r="G32" i="11"/>
  <c r="G30" i="11"/>
  <c r="G36" i="11" s="1"/>
  <c r="D58" i="5"/>
  <c r="D23" i="5"/>
  <c r="D57" i="5"/>
  <c r="C31" i="6"/>
  <c r="D55" i="5"/>
  <c r="D59" i="5"/>
  <c r="E35" i="6"/>
  <c r="E56" i="6" s="1"/>
  <c r="E36" i="5"/>
  <c r="E47" i="5" s="1"/>
  <c r="E49" i="5" s="1"/>
  <c r="C32" i="6"/>
  <c r="D54" i="5"/>
  <c r="C32" i="9"/>
  <c r="E30" i="6"/>
  <c r="E31" i="6"/>
  <c r="G54" i="5"/>
  <c r="G24" i="5"/>
  <c r="G59" i="5"/>
  <c r="G57" i="5"/>
  <c r="G123" i="5"/>
  <c r="G55" i="5"/>
  <c r="G23" i="5"/>
  <c r="G25" i="5" s="1"/>
  <c r="G46" i="5" s="1"/>
  <c r="G58" i="5"/>
  <c r="E46" i="12"/>
  <c r="E33" i="12"/>
  <c r="E35" i="12"/>
  <c r="E56" i="12" s="1"/>
  <c r="E60" i="12" s="1"/>
  <c r="E120" i="12" s="1"/>
  <c r="E34" i="12"/>
  <c r="E31" i="12"/>
  <c r="E32" i="12"/>
  <c r="E29" i="12"/>
  <c r="E30" i="12"/>
  <c r="E28" i="12"/>
  <c r="H47" i="11"/>
  <c r="H74" i="11"/>
  <c r="E60" i="6"/>
  <c r="E120" i="6" s="1"/>
  <c r="F46" i="8"/>
  <c r="F30" i="8"/>
  <c r="F29" i="8"/>
  <c r="F35" i="8"/>
  <c r="F56" i="8" s="1"/>
  <c r="F60" i="8" s="1"/>
  <c r="F125" i="8" s="1"/>
  <c r="F31" i="8"/>
  <c r="F32" i="8"/>
  <c r="F33" i="8"/>
  <c r="F34" i="8"/>
  <c r="F28" i="8"/>
  <c r="D18" i="4"/>
  <c r="O18" i="4" s="1"/>
  <c r="D19" i="4" s="1"/>
  <c r="H47" i="5"/>
  <c r="H49" i="5" s="1"/>
  <c r="H74" i="5"/>
  <c r="O24" i="7"/>
  <c r="C33" i="6"/>
  <c r="C28" i="6"/>
  <c r="C30" i="6"/>
  <c r="G91" i="5"/>
  <c r="G127" i="5" s="1"/>
  <c r="C35" i="12"/>
  <c r="C56" i="12" s="1"/>
  <c r="C60" i="12" s="1"/>
  <c r="C120" i="12" s="1"/>
  <c r="C33" i="12"/>
  <c r="C28" i="12"/>
  <c r="G25" i="8"/>
  <c r="I25" i="5"/>
  <c r="H49" i="11"/>
  <c r="C29" i="9"/>
  <c r="D35" i="12"/>
  <c r="D56" i="12" s="1"/>
  <c r="D29" i="12"/>
  <c r="E33" i="6"/>
  <c r="D46" i="6"/>
  <c r="D35" i="6"/>
  <c r="D56" i="6" s="1"/>
  <c r="D60" i="6" s="1"/>
  <c r="D120" i="6" s="1"/>
  <c r="D30" i="6"/>
  <c r="D31" i="6"/>
  <c r="D33" i="6"/>
  <c r="D32" i="6"/>
  <c r="D28" i="6"/>
  <c r="D29" i="6"/>
  <c r="D34" i="6"/>
  <c r="F46" i="5"/>
  <c r="F30" i="5"/>
  <c r="F31" i="5"/>
  <c r="F32" i="5"/>
  <c r="F29" i="5"/>
  <c r="F28" i="5"/>
  <c r="F34" i="5"/>
  <c r="F33" i="5"/>
  <c r="F35" i="5"/>
  <c r="F56" i="5" s="1"/>
  <c r="F60" i="5" s="1"/>
  <c r="F125" i="5" s="1"/>
  <c r="O16" i="4"/>
  <c r="H36" i="8"/>
  <c r="C29" i="6"/>
  <c r="C35" i="6"/>
  <c r="C56" i="6" s="1"/>
  <c r="C60" i="6" s="1"/>
  <c r="C120" i="6" s="1"/>
  <c r="C34" i="6"/>
  <c r="E123" i="11"/>
  <c r="E59" i="11"/>
  <c r="E57" i="11"/>
  <c r="E54" i="11"/>
  <c r="E24" i="11"/>
  <c r="E23" i="11"/>
  <c r="E25" i="11" s="1"/>
  <c r="E46" i="11" s="1"/>
  <c r="E55" i="11"/>
  <c r="E58" i="11"/>
  <c r="I25" i="8"/>
  <c r="I47" i="11"/>
  <c r="I49" i="11" s="1"/>
  <c r="I74" i="11"/>
  <c r="E46" i="8"/>
  <c r="E33" i="8"/>
  <c r="E34" i="8"/>
  <c r="E29" i="8"/>
  <c r="E35" i="8"/>
  <c r="E56" i="8" s="1"/>
  <c r="E60" i="8" s="1"/>
  <c r="E125" i="8" s="1"/>
  <c r="E31" i="8"/>
  <c r="E32" i="8"/>
  <c r="E28" i="8"/>
  <c r="E30" i="8"/>
  <c r="C30" i="12"/>
  <c r="C32" i="12"/>
  <c r="C33" i="9"/>
  <c r="C31" i="9"/>
  <c r="D28" i="12"/>
  <c r="D60" i="12"/>
  <c r="D120" i="12" s="1"/>
  <c r="D33" i="12"/>
  <c r="E28" i="6"/>
  <c r="C54" i="5"/>
  <c r="C24" i="5"/>
  <c r="C123" i="5"/>
  <c r="C59" i="5"/>
  <c r="C57" i="5"/>
  <c r="C55" i="5"/>
  <c r="C23" i="5"/>
  <c r="C58" i="5"/>
  <c r="D19" i="10"/>
  <c r="O19" i="10" s="1"/>
  <c r="E50" i="3"/>
  <c r="F24" i="11"/>
  <c r="F123" i="11"/>
  <c r="F57" i="11"/>
  <c r="F59" i="11"/>
  <c r="F54" i="11"/>
  <c r="F55" i="11"/>
  <c r="F23" i="11"/>
  <c r="F58" i="11"/>
  <c r="D123" i="8"/>
  <c r="D59" i="8"/>
  <c r="D57" i="8"/>
  <c r="D54" i="8"/>
  <c r="D24" i="8"/>
  <c r="D23" i="8"/>
  <c r="D58" i="8"/>
  <c r="D55" i="8"/>
  <c r="E18" i="3"/>
  <c r="D47" i="9"/>
  <c r="D49" i="9" s="1"/>
  <c r="D74" i="9"/>
  <c r="D79" i="9" s="1"/>
  <c r="D25" i="11"/>
  <c r="C54" i="8"/>
  <c r="C24" i="8"/>
  <c r="C57" i="8"/>
  <c r="C59" i="8"/>
  <c r="C123" i="8"/>
  <c r="C55" i="8"/>
  <c r="C23" i="8"/>
  <c r="C58" i="8"/>
  <c r="C34" i="12"/>
  <c r="D25" i="5"/>
  <c r="C25" i="11"/>
  <c r="C34" i="9"/>
  <c r="C28" i="9"/>
  <c r="C35" i="9"/>
  <c r="C56" i="9" s="1"/>
  <c r="C60" i="9" s="1"/>
  <c r="C120" i="9" s="1"/>
  <c r="E25" i="9"/>
  <c r="D30" i="12"/>
  <c r="E34" i="6"/>
  <c r="E29" i="6"/>
  <c r="E32" i="6"/>
  <c r="G47" i="11" l="1"/>
  <c r="G49" i="11" s="1"/>
  <c r="G74" i="11"/>
  <c r="G30" i="5"/>
  <c r="E74" i="5"/>
  <c r="E75" i="5" s="1"/>
  <c r="C36" i="6"/>
  <c r="C25" i="8"/>
  <c r="G35" i="5"/>
  <c r="G56" i="5" s="1"/>
  <c r="I124" i="11"/>
  <c r="I66" i="11"/>
  <c r="I64" i="11"/>
  <c r="I67" i="11"/>
  <c r="I65" i="11"/>
  <c r="E46" i="9"/>
  <c r="E33" i="9"/>
  <c r="E30" i="9"/>
  <c r="E29" i="9"/>
  <c r="E34" i="9"/>
  <c r="E31" i="9"/>
  <c r="E32" i="9"/>
  <c r="E28" i="9"/>
  <c r="E35" i="9"/>
  <c r="E56" i="9" s="1"/>
  <c r="E60" i="9" s="1"/>
  <c r="E120" i="9" s="1"/>
  <c r="C46" i="11"/>
  <c r="C30" i="11"/>
  <c r="C28" i="11"/>
  <c r="C33" i="11"/>
  <c r="C34" i="11"/>
  <c r="C32" i="11"/>
  <c r="C31" i="11"/>
  <c r="C29" i="11"/>
  <c r="C35" i="11"/>
  <c r="C56" i="11" s="1"/>
  <c r="C60" i="11" s="1"/>
  <c r="C125" i="11" s="1"/>
  <c r="D46" i="5"/>
  <c r="D29" i="5"/>
  <c r="D32" i="5"/>
  <c r="D34" i="5"/>
  <c r="D30" i="5"/>
  <c r="D28" i="5"/>
  <c r="D35" i="5"/>
  <c r="D56" i="5" s="1"/>
  <c r="D60" i="5" s="1"/>
  <c r="D125" i="5" s="1"/>
  <c r="D31" i="5"/>
  <c r="D33" i="5"/>
  <c r="N20" i="10"/>
  <c r="M20" i="10"/>
  <c r="L20" i="10"/>
  <c r="J20" i="10"/>
  <c r="K20" i="10"/>
  <c r="G20" i="10"/>
  <c r="F20" i="10"/>
  <c r="I20" i="10"/>
  <c r="H20" i="10"/>
  <c r="E20" i="10"/>
  <c r="C25" i="5"/>
  <c r="E36" i="6"/>
  <c r="D36" i="12"/>
  <c r="E36" i="8"/>
  <c r="I79" i="11"/>
  <c r="I75" i="11"/>
  <c r="E31" i="11"/>
  <c r="E34" i="11"/>
  <c r="F36" i="5"/>
  <c r="D36" i="6"/>
  <c r="H124" i="5"/>
  <c r="H64" i="5"/>
  <c r="H66" i="5"/>
  <c r="H67" i="5"/>
  <c r="H65" i="5"/>
  <c r="G79" i="11"/>
  <c r="G75" i="11"/>
  <c r="G32" i="5"/>
  <c r="G31" i="5"/>
  <c r="D119" i="9"/>
  <c r="D64" i="9"/>
  <c r="D66" i="9"/>
  <c r="D67" i="9"/>
  <c r="D65" i="9"/>
  <c r="C47" i="6"/>
  <c r="C49" i="6" s="1"/>
  <c r="C74" i="6"/>
  <c r="C79" i="6" s="1"/>
  <c r="F25" i="11"/>
  <c r="E33" i="11"/>
  <c r="E30" i="11"/>
  <c r="H47" i="8"/>
  <c r="H49" i="8" s="1"/>
  <c r="H74" i="8"/>
  <c r="I46" i="5"/>
  <c r="I33" i="5"/>
  <c r="I34" i="5"/>
  <c r="I29" i="5"/>
  <c r="I35" i="5"/>
  <c r="I56" i="5" s="1"/>
  <c r="I60" i="5" s="1"/>
  <c r="I125" i="5" s="1"/>
  <c r="I31" i="5"/>
  <c r="I32" i="5"/>
  <c r="I28" i="5"/>
  <c r="I30" i="5"/>
  <c r="C36" i="12"/>
  <c r="H79" i="11"/>
  <c r="H75" i="11"/>
  <c r="G34" i="5"/>
  <c r="G33" i="5"/>
  <c r="G60" i="5"/>
  <c r="G125" i="5" s="1"/>
  <c r="E79" i="5"/>
  <c r="H124" i="11"/>
  <c r="H66" i="11"/>
  <c r="H64" i="11"/>
  <c r="H67" i="11"/>
  <c r="H65" i="11"/>
  <c r="G46" i="8"/>
  <c r="G31" i="8"/>
  <c r="G33" i="8"/>
  <c r="G32" i="8"/>
  <c r="G30" i="8"/>
  <c r="G29" i="8"/>
  <c r="G35" i="8"/>
  <c r="G56" i="8" s="1"/>
  <c r="G60" i="8" s="1"/>
  <c r="G125" i="8" s="1"/>
  <c r="G34" i="8"/>
  <c r="G28" i="8"/>
  <c r="L19" i="4"/>
  <c r="N19" i="4"/>
  <c r="G19" i="4"/>
  <c r="M19" i="4"/>
  <c r="I19" i="4"/>
  <c r="H19" i="4"/>
  <c r="K19" i="4"/>
  <c r="F19" i="4"/>
  <c r="J19" i="4"/>
  <c r="E19" i="4"/>
  <c r="G124" i="11"/>
  <c r="G67" i="11"/>
  <c r="G66" i="11"/>
  <c r="G64" i="11"/>
  <c r="G65" i="11"/>
  <c r="C36" i="9"/>
  <c r="C29" i="8"/>
  <c r="D46" i="11"/>
  <c r="D29" i="11"/>
  <c r="D30" i="11"/>
  <c r="D33" i="11"/>
  <c r="D28" i="11"/>
  <c r="D34" i="11"/>
  <c r="D31" i="11"/>
  <c r="D35" i="11"/>
  <c r="D56" i="11" s="1"/>
  <c r="D60" i="11" s="1"/>
  <c r="D125" i="11" s="1"/>
  <c r="D32" i="11"/>
  <c r="D25" i="8"/>
  <c r="D20" i="10"/>
  <c r="I46" i="8"/>
  <c r="I31" i="8"/>
  <c r="I33" i="8"/>
  <c r="I35" i="8"/>
  <c r="I56" i="8" s="1"/>
  <c r="I60" i="8" s="1"/>
  <c r="I125" i="8" s="1"/>
  <c r="I34" i="8"/>
  <c r="I29" i="8"/>
  <c r="I32" i="8"/>
  <c r="I30" i="8"/>
  <c r="I28" i="8"/>
  <c r="E29" i="11"/>
  <c r="E35" i="11"/>
  <c r="E56" i="11" s="1"/>
  <c r="E60" i="11" s="1"/>
  <c r="E125" i="11" s="1"/>
  <c r="E28" i="11"/>
  <c r="E32" i="11"/>
  <c r="H75" i="5"/>
  <c r="H79" i="5"/>
  <c r="F36" i="8"/>
  <c r="E36" i="12"/>
  <c r="G28" i="5"/>
  <c r="G29" i="5"/>
  <c r="E124" i="5"/>
  <c r="E64" i="5"/>
  <c r="E66" i="5"/>
  <c r="E67" i="5"/>
  <c r="E65" i="5"/>
  <c r="E36" i="11" l="1"/>
  <c r="G69" i="11"/>
  <c r="G77" i="11" s="1"/>
  <c r="G80" i="11" s="1"/>
  <c r="G126" i="11" s="1"/>
  <c r="C46" i="8"/>
  <c r="C33" i="8"/>
  <c r="C28" i="8"/>
  <c r="C36" i="8" s="1"/>
  <c r="C35" i="8"/>
  <c r="C56" i="8" s="1"/>
  <c r="C60" i="8" s="1"/>
  <c r="C125" i="8" s="1"/>
  <c r="C30" i="8"/>
  <c r="C31" i="8"/>
  <c r="C32" i="8"/>
  <c r="C34" i="8"/>
  <c r="D36" i="5"/>
  <c r="E36" i="9"/>
  <c r="C46" i="5"/>
  <c r="C35" i="5"/>
  <c r="C56" i="5" s="1"/>
  <c r="C60" i="5" s="1"/>
  <c r="C125" i="5" s="1"/>
  <c r="C29" i="5"/>
  <c r="C30" i="5"/>
  <c r="C31" i="5"/>
  <c r="C33" i="5"/>
  <c r="C34" i="5"/>
  <c r="C32" i="5"/>
  <c r="C28" i="5"/>
  <c r="D47" i="5"/>
  <c r="D49" i="5" s="1"/>
  <c r="D74" i="5"/>
  <c r="E47" i="9"/>
  <c r="E49" i="9" s="1"/>
  <c r="E74" i="9"/>
  <c r="E79" i="9" s="1"/>
  <c r="G36" i="5"/>
  <c r="F47" i="8"/>
  <c r="F49" i="8" s="1"/>
  <c r="F74" i="8"/>
  <c r="I36" i="8"/>
  <c r="D36" i="11"/>
  <c r="G36" i="8"/>
  <c r="I36" i="5"/>
  <c r="F47" i="5"/>
  <c r="F49" i="5" s="1"/>
  <c r="F74" i="5"/>
  <c r="I69" i="11"/>
  <c r="E47" i="11"/>
  <c r="E49" i="11" s="1"/>
  <c r="E74" i="11"/>
  <c r="G95" i="11"/>
  <c r="G96" i="11" s="1"/>
  <c r="C119" i="6"/>
  <c r="C65" i="6"/>
  <c r="C64" i="6"/>
  <c r="C66" i="6"/>
  <c r="C67" i="6"/>
  <c r="E47" i="12"/>
  <c r="E49" i="12" s="1"/>
  <c r="E74" i="12"/>
  <c r="E79" i="12" s="1"/>
  <c r="O20" i="10"/>
  <c r="H69" i="11"/>
  <c r="H77" i="11" s="1"/>
  <c r="H80" i="11" s="1"/>
  <c r="H88" i="11"/>
  <c r="H91" i="11" s="1"/>
  <c r="H127" i="11" s="1"/>
  <c r="C47" i="12"/>
  <c r="C49" i="12" s="1"/>
  <c r="C74" i="12"/>
  <c r="C79" i="12" s="1"/>
  <c r="H124" i="8"/>
  <c r="H66" i="8"/>
  <c r="H64" i="8"/>
  <c r="H67" i="8"/>
  <c r="H65" i="8"/>
  <c r="F46" i="11"/>
  <c r="F33" i="11"/>
  <c r="F35" i="11"/>
  <c r="F56" i="11" s="1"/>
  <c r="F60" i="11" s="1"/>
  <c r="F125" i="11" s="1"/>
  <c r="F31" i="11"/>
  <c r="F30" i="11"/>
  <c r="F32" i="11"/>
  <c r="F29" i="11"/>
  <c r="F28" i="11"/>
  <c r="F34" i="11"/>
  <c r="D69" i="9"/>
  <c r="D77" i="9" s="1"/>
  <c r="D80" i="9" s="1"/>
  <c r="H69" i="5"/>
  <c r="H77" i="5" s="1"/>
  <c r="H80" i="5" s="1"/>
  <c r="H88" i="5"/>
  <c r="H91" i="5" s="1"/>
  <c r="H127" i="5" s="1"/>
  <c r="D47" i="12"/>
  <c r="D49" i="12" s="1"/>
  <c r="D74" i="12"/>
  <c r="D79" i="12" s="1"/>
  <c r="E69" i="5"/>
  <c r="E77" i="5" s="1"/>
  <c r="E80" i="5" s="1"/>
  <c r="G128" i="11"/>
  <c r="H75" i="8"/>
  <c r="H79" i="8"/>
  <c r="E47" i="8"/>
  <c r="E49" i="8" s="1"/>
  <c r="E74" i="8"/>
  <c r="C36" i="11"/>
  <c r="D46" i="8"/>
  <c r="D28" i="8"/>
  <c r="D29" i="8"/>
  <c r="D35" i="8"/>
  <c r="D56" i="8" s="1"/>
  <c r="D60" i="8" s="1"/>
  <c r="D125" i="8" s="1"/>
  <c r="D34" i="8"/>
  <c r="D30" i="8"/>
  <c r="D31" i="8"/>
  <c r="D32" i="8"/>
  <c r="D33" i="8"/>
  <c r="C47" i="9"/>
  <c r="C49" i="9" s="1"/>
  <c r="C74" i="9"/>
  <c r="C79" i="9" s="1"/>
  <c r="O19" i="4"/>
  <c r="D47" i="6"/>
  <c r="D49" i="6" s="1"/>
  <c r="D74" i="6"/>
  <c r="D79" i="6" s="1"/>
  <c r="E47" i="6"/>
  <c r="E49" i="6" s="1"/>
  <c r="E74" i="6"/>
  <c r="E79" i="6" s="1"/>
  <c r="G98" i="11" l="1"/>
  <c r="G100" i="11"/>
  <c r="G106" i="11"/>
  <c r="G115" i="11" s="1"/>
  <c r="G132" i="11" s="1"/>
  <c r="G137" i="11" s="1"/>
  <c r="G111" i="11"/>
  <c r="G99" i="11"/>
  <c r="G110" i="11"/>
  <c r="G101" i="11"/>
  <c r="F36" i="11"/>
  <c r="F47" i="11" s="1"/>
  <c r="F49" i="11" s="1"/>
  <c r="G104" i="11"/>
  <c r="G109" i="11"/>
  <c r="C74" i="8"/>
  <c r="C75" i="8" s="1"/>
  <c r="C47" i="8"/>
  <c r="C49" i="8" s="1"/>
  <c r="C66" i="8" s="1"/>
  <c r="E119" i="9"/>
  <c r="E67" i="9"/>
  <c r="E65" i="9"/>
  <c r="E64" i="9"/>
  <c r="E66" i="9"/>
  <c r="D124" i="5"/>
  <c r="D66" i="5"/>
  <c r="D65" i="5"/>
  <c r="D64" i="5"/>
  <c r="D67" i="5"/>
  <c r="I47" i="5"/>
  <c r="I49" i="5" s="1"/>
  <c r="I74" i="5"/>
  <c r="C47" i="11"/>
  <c r="C49" i="11" s="1"/>
  <c r="C74" i="11"/>
  <c r="E126" i="5"/>
  <c r="E128" i="5" s="1"/>
  <c r="E95" i="5"/>
  <c r="C119" i="12"/>
  <c r="C67" i="12"/>
  <c r="C66" i="12"/>
  <c r="C65" i="12"/>
  <c r="C64" i="12"/>
  <c r="G108" i="11"/>
  <c r="E124" i="11"/>
  <c r="E64" i="11"/>
  <c r="E67" i="11"/>
  <c r="E65" i="11"/>
  <c r="E66" i="11"/>
  <c r="F124" i="5"/>
  <c r="F67" i="5"/>
  <c r="F64" i="5"/>
  <c r="F65" i="5"/>
  <c r="F66" i="5"/>
  <c r="G103" i="11"/>
  <c r="G114" i="11" s="1"/>
  <c r="G131" i="11" s="1"/>
  <c r="G136" i="11" s="1"/>
  <c r="I47" i="8"/>
  <c r="I49" i="8" s="1"/>
  <c r="I74" i="8"/>
  <c r="C36" i="5"/>
  <c r="D119" i="6"/>
  <c r="D66" i="6"/>
  <c r="D65" i="6"/>
  <c r="D67" i="6"/>
  <c r="D64" i="6"/>
  <c r="E79" i="8"/>
  <c r="E75" i="8"/>
  <c r="F74" i="11"/>
  <c r="C119" i="9"/>
  <c r="C66" i="9"/>
  <c r="C67" i="9"/>
  <c r="C64" i="9"/>
  <c r="C65" i="9"/>
  <c r="D36" i="8"/>
  <c r="E124" i="8"/>
  <c r="E67" i="8"/>
  <c r="E64" i="8"/>
  <c r="E66" i="8"/>
  <c r="E65" i="8"/>
  <c r="H126" i="5"/>
  <c r="H128" i="5" s="1"/>
  <c r="H95" i="5"/>
  <c r="H88" i="8"/>
  <c r="H91" i="8" s="1"/>
  <c r="H127" i="8" s="1"/>
  <c r="G107" i="11"/>
  <c r="E119" i="12"/>
  <c r="E66" i="12"/>
  <c r="E67" i="12"/>
  <c r="E65" i="12"/>
  <c r="E64" i="12"/>
  <c r="G116" i="11"/>
  <c r="G133" i="11" s="1"/>
  <c r="G138" i="11" s="1"/>
  <c r="G113" i="11"/>
  <c r="G130" i="11" s="1"/>
  <c r="G135" i="11" s="1"/>
  <c r="G102" i="11"/>
  <c r="D47" i="11"/>
  <c r="D49" i="11" s="1"/>
  <c r="D74" i="11"/>
  <c r="F124" i="8"/>
  <c r="F66" i="8"/>
  <c r="F64" i="8"/>
  <c r="F65" i="8"/>
  <c r="F67" i="8"/>
  <c r="D79" i="5"/>
  <c r="D75" i="5"/>
  <c r="C79" i="8"/>
  <c r="I126" i="11"/>
  <c r="I128" i="11" s="1"/>
  <c r="I77" i="11"/>
  <c r="I80" i="11" s="1"/>
  <c r="F79" i="8"/>
  <c r="F75" i="8"/>
  <c r="E119" i="6"/>
  <c r="E66" i="6"/>
  <c r="E65" i="6"/>
  <c r="E67" i="6"/>
  <c r="E64" i="6"/>
  <c r="D119" i="12"/>
  <c r="D66" i="12"/>
  <c r="D67" i="12"/>
  <c r="D64" i="12"/>
  <c r="D65" i="12"/>
  <c r="D121" i="9"/>
  <c r="D123" i="9" s="1"/>
  <c r="D92" i="9"/>
  <c r="H69" i="8"/>
  <c r="H77" i="8" s="1"/>
  <c r="H80" i="8" s="1"/>
  <c r="H126" i="11"/>
  <c r="H128" i="11" s="1"/>
  <c r="H95" i="11"/>
  <c r="G105" i="11"/>
  <c r="C69" i="6"/>
  <c r="C77" i="6" s="1"/>
  <c r="C80" i="6" s="1"/>
  <c r="E75" i="11"/>
  <c r="E79" i="11"/>
  <c r="F79" i="5"/>
  <c r="F75" i="5"/>
  <c r="G47" i="8"/>
  <c r="G49" i="8" s="1"/>
  <c r="G74" i="8"/>
  <c r="G97" i="11"/>
  <c r="G112" i="11" s="1"/>
  <c r="G129" i="11" s="1"/>
  <c r="G134" i="11" s="1"/>
  <c r="G47" i="5"/>
  <c r="G49" i="5" s="1"/>
  <c r="G74" i="5"/>
  <c r="C64" i="8"/>
  <c r="C65" i="8" l="1"/>
  <c r="C124" i="8"/>
  <c r="C67" i="8"/>
  <c r="C69" i="8" s="1"/>
  <c r="C77" i="8" s="1"/>
  <c r="C80" i="8" s="1"/>
  <c r="C69" i="12"/>
  <c r="C77" i="12" s="1"/>
  <c r="C80" i="12" s="1"/>
  <c r="C121" i="12" s="1"/>
  <c r="C123" i="12" s="1"/>
  <c r="E69" i="6"/>
  <c r="E77" i="6" s="1"/>
  <c r="E80" i="6" s="1"/>
  <c r="E121" i="6" s="1"/>
  <c r="E92" i="6"/>
  <c r="E93" i="6" s="1"/>
  <c r="F69" i="8"/>
  <c r="F77" i="8" s="1"/>
  <c r="F80" i="8" s="1"/>
  <c r="E69" i="11"/>
  <c r="E77" i="11" s="1"/>
  <c r="E80" i="11" s="1"/>
  <c r="F124" i="11"/>
  <c r="F66" i="11"/>
  <c r="F65" i="11"/>
  <c r="F64" i="11"/>
  <c r="F67" i="11"/>
  <c r="D69" i="12"/>
  <c r="D77" i="12" s="1"/>
  <c r="D80" i="12" s="1"/>
  <c r="D124" i="11"/>
  <c r="D65" i="11"/>
  <c r="D64" i="11"/>
  <c r="D67" i="11"/>
  <c r="D66" i="11"/>
  <c r="H96" i="5"/>
  <c r="H108" i="5" s="1"/>
  <c r="D47" i="8"/>
  <c r="D49" i="8" s="1"/>
  <c r="D74" i="8"/>
  <c r="D69" i="6"/>
  <c r="D77" i="6" s="1"/>
  <c r="D80" i="6" s="1"/>
  <c r="I124" i="8"/>
  <c r="I64" i="8"/>
  <c r="I67" i="8"/>
  <c r="I66" i="8"/>
  <c r="I65" i="8"/>
  <c r="C79" i="11"/>
  <c r="C75" i="11"/>
  <c r="C124" i="11"/>
  <c r="C66" i="11"/>
  <c r="C65" i="11"/>
  <c r="C64" i="11"/>
  <c r="C67" i="11"/>
  <c r="G75" i="5"/>
  <c r="G79" i="5"/>
  <c r="E123" i="6"/>
  <c r="C47" i="5"/>
  <c r="C49" i="5" s="1"/>
  <c r="C74" i="5"/>
  <c r="I79" i="5"/>
  <c r="I75" i="5"/>
  <c r="D69" i="5"/>
  <c r="D77" i="5" s="1"/>
  <c r="D80" i="5" s="1"/>
  <c r="E69" i="9"/>
  <c r="E77" i="9" s="1"/>
  <c r="E80" i="9" s="1"/>
  <c r="G79" i="8"/>
  <c r="G75" i="8"/>
  <c r="I95" i="11"/>
  <c r="E69" i="8"/>
  <c r="E77" i="8" s="1"/>
  <c r="E80" i="8" s="1"/>
  <c r="E96" i="5"/>
  <c r="E111" i="5" s="1"/>
  <c r="G124" i="8"/>
  <c r="G65" i="8"/>
  <c r="G64" i="8"/>
  <c r="G67" i="8"/>
  <c r="G66" i="8"/>
  <c r="H96" i="11"/>
  <c r="H103" i="11" s="1"/>
  <c r="G124" i="5"/>
  <c r="G67" i="5"/>
  <c r="G65" i="5"/>
  <c r="G64" i="5"/>
  <c r="G66" i="5"/>
  <c r="C121" i="6"/>
  <c r="C123" i="6" s="1"/>
  <c r="C92" i="6"/>
  <c r="H126" i="8"/>
  <c r="H128" i="8" s="1"/>
  <c r="H95" i="8"/>
  <c r="D93" i="9"/>
  <c r="D94" i="9" s="1"/>
  <c r="D79" i="11"/>
  <c r="D75" i="11"/>
  <c r="E69" i="12"/>
  <c r="E77" i="12" s="1"/>
  <c r="E80" i="12" s="1"/>
  <c r="C69" i="9"/>
  <c r="C77" i="9" s="1"/>
  <c r="C80" i="9" s="1"/>
  <c r="F75" i="11"/>
  <c r="F79" i="11"/>
  <c r="I75" i="8"/>
  <c r="I79" i="8"/>
  <c r="F69" i="5"/>
  <c r="F77" i="5" s="1"/>
  <c r="F80" i="5" s="1"/>
  <c r="E105" i="5"/>
  <c r="E109" i="5"/>
  <c r="E106" i="5"/>
  <c r="E110" i="5"/>
  <c r="I124" i="5"/>
  <c r="I65" i="5"/>
  <c r="I67" i="5"/>
  <c r="I66" i="5"/>
  <c r="I64" i="5"/>
  <c r="E94" i="6" l="1"/>
  <c r="E96" i="6"/>
  <c r="D99" i="9"/>
  <c r="E95" i="6"/>
  <c r="E103" i="6"/>
  <c r="E108" i="6"/>
  <c r="E106" i="6"/>
  <c r="E113" i="6" s="1"/>
  <c r="E128" i="6" s="1"/>
  <c r="E133" i="6" s="1"/>
  <c r="E99" i="6"/>
  <c r="G69" i="8"/>
  <c r="G77" i="8" s="1"/>
  <c r="G80" i="8" s="1"/>
  <c r="G126" i="8" s="1"/>
  <c r="C92" i="12"/>
  <c r="H110" i="5"/>
  <c r="E102" i="5"/>
  <c r="E105" i="6"/>
  <c r="E97" i="6"/>
  <c r="G69" i="5"/>
  <c r="G77" i="5" s="1"/>
  <c r="G80" i="5" s="1"/>
  <c r="G126" i="5" s="1"/>
  <c r="G128" i="5" s="1"/>
  <c r="E104" i="5"/>
  <c r="E101" i="5"/>
  <c r="E99" i="5"/>
  <c r="I69" i="5"/>
  <c r="I126" i="5" s="1"/>
  <c r="I128" i="5" s="1"/>
  <c r="E107" i="6"/>
  <c r="E100" i="6"/>
  <c r="H111" i="11"/>
  <c r="H104" i="11"/>
  <c r="E126" i="8"/>
  <c r="E128" i="8" s="1"/>
  <c r="E95" i="8"/>
  <c r="E121" i="9"/>
  <c r="E123" i="9" s="1"/>
  <c r="E92" i="9"/>
  <c r="E93" i="9" s="1"/>
  <c r="E94" i="9" s="1"/>
  <c r="H105" i="5"/>
  <c r="C121" i="9"/>
  <c r="C123" i="9" s="1"/>
  <c r="C92" i="9"/>
  <c r="H103" i="5"/>
  <c r="H114" i="5" s="1"/>
  <c r="H131" i="5" s="1"/>
  <c r="H136" i="5" s="1"/>
  <c r="G189" i="5" s="1"/>
  <c r="H189" i="5" s="1"/>
  <c r="D100" i="9"/>
  <c r="D111" i="9" s="1"/>
  <c r="D126" i="9" s="1"/>
  <c r="D131" i="9" s="1"/>
  <c r="D107" i="9"/>
  <c r="D104" i="9"/>
  <c r="D102" i="9"/>
  <c r="D96" i="9"/>
  <c r="D98" i="9"/>
  <c r="D106" i="9"/>
  <c r="D113" i="9" s="1"/>
  <c r="D128" i="9" s="1"/>
  <c r="D133" i="9" s="1"/>
  <c r="D101" i="9"/>
  <c r="D103" i="9"/>
  <c r="D112" i="9" s="1"/>
  <c r="D127" i="9" s="1"/>
  <c r="D132" i="9" s="1"/>
  <c r="D108" i="9"/>
  <c r="D105" i="9"/>
  <c r="H108" i="11"/>
  <c r="G128" i="8"/>
  <c r="E98" i="5"/>
  <c r="C124" i="5"/>
  <c r="C66" i="5"/>
  <c r="C65" i="5"/>
  <c r="C67" i="5"/>
  <c r="C64" i="5"/>
  <c r="H99" i="5"/>
  <c r="E102" i="6"/>
  <c r="E100" i="5"/>
  <c r="E113" i="5" s="1"/>
  <c r="E130" i="5" s="1"/>
  <c r="E135" i="5" s="1"/>
  <c r="I69" i="8"/>
  <c r="D124" i="8"/>
  <c r="D64" i="8"/>
  <c r="D66" i="8"/>
  <c r="D67" i="8"/>
  <c r="D65" i="8"/>
  <c r="H111" i="5"/>
  <c r="E98" i="6"/>
  <c r="H105" i="11"/>
  <c r="E126" i="11"/>
  <c r="E128" i="11" s="1"/>
  <c r="E95" i="11"/>
  <c r="H106" i="11"/>
  <c r="H115" i="11" s="1"/>
  <c r="H132" i="11" s="1"/>
  <c r="H137" i="11" s="1"/>
  <c r="I189" i="11" s="1"/>
  <c r="J189" i="11" s="1"/>
  <c r="C126" i="8"/>
  <c r="C128" i="8" s="1"/>
  <c r="C95" i="8"/>
  <c r="C96" i="8" s="1"/>
  <c r="C104" i="8" s="1"/>
  <c r="D121" i="12"/>
  <c r="D123" i="12" s="1"/>
  <c r="D92" i="12"/>
  <c r="H97" i="11"/>
  <c r="H112" i="11" s="1"/>
  <c r="H129" i="11" s="1"/>
  <c r="H134" i="11" s="1"/>
  <c r="C189" i="11" s="1"/>
  <c r="D189" i="11" s="1"/>
  <c r="E121" i="12"/>
  <c r="E123" i="12" s="1"/>
  <c r="E92" i="12"/>
  <c r="E93" i="12" s="1"/>
  <c r="E99" i="12" s="1"/>
  <c r="H107" i="11"/>
  <c r="H101" i="11"/>
  <c r="H107" i="5"/>
  <c r="I96" i="11"/>
  <c r="I110" i="11" s="1"/>
  <c r="D126" i="5"/>
  <c r="D128" i="5" s="1"/>
  <c r="D95" i="5"/>
  <c r="E107" i="5"/>
  <c r="H100" i="5"/>
  <c r="H113" i="5" s="1"/>
  <c r="H130" i="5" s="1"/>
  <c r="H135" i="5" s="1"/>
  <c r="E189" i="5" s="1"/>
  <c r="F189" i="5" s="1"/>
  <c r="H102" i="11"/>
  <c r="C69" i="11"/>
  <c r="C77" i="11" s="1"/>
  <c r="C80" i="11" s="1"/>
  <c r="E116" i="5"/>
  <c r="E133" i="5" s="1"/>
  <c r="E138" i="5" s="1"/>
  <c r="D121" i="6"/>
  <c r="D123" i="6" s="1"/>
  <c r="D92" i="6"/>
  <c r="D93" i="6" s="1"/>
  <c r="D94" i="6" s="1"/>
  <c r="H102" i="5"/>
  <c r="D69" i="11"/>
  <c r="D77" i="11" s="1"/>
  <c r="D80" i="11" s="1"/>
  <c r="E104" i="6"/>
  <c r="D97" i="9"/>
  <c r="D110" i="9" s="1"/>
  <c r="D125" i="9" s="1"/>
  <c r="D130" i="9" s="1"/>
  <c r="H110" i="11"/>
  <c r="F126" i="8"/>
  <c r="F128" i="8" s="1"/>
  <c r="F95" i="8"/>
  <c r="E108" i="5"/>
  <c r="H114" i="11"/>
  <c r="H131" i="11" s="1"/>
  <c r="H136" i="11" s="1"/>
  <c r="G189" i="11" s="1"/>
  <c r="H189" i="11" s="1"/>
  <c r="H101" i="5"/>
  <c r="H97" i="5"/>
  <c r="H112" i="5" s="1"/>
  <c r="H129" i="5" s="1"/>
  <c r="H134" i="5" s="1"/>
  <c r="C189" i="5" s="1"/>
  <c r="D189" i="5" s="1"/>
  <c r="H106" i="5"/>
  <c r="H115" i="5" s="1"/>
  <c r="H132" i="5" s="1"/>
  <c r="H137" i="5" s="1"/>
  <c r="I189" i="5" s="1"/>
  <c r="J189" i="5" s="1"/>
  <c r="F126" i="5"/>
  <c r="F128" i="5" s="1"/>
  <c r="F95" i="5"/>
  <c r="H98" i="5"/>
  <c r="D95" i="9"/>
  <c r="H96" i="8"/>
  <c r="H103" i="8" s="1"/>
  <c r="H98" i="11"/>
  <c r="C93" i="6"/>
  <c r="C99" i="6" s="1"/>
  <c r="E103" i="5"/>
  <c r="E114" i="5" s="1"/>
  <c r="E131" i="5" s="1"/>
  <c r="E136" i="5" s="1"/>
  <c r="E97" i="5"/>
  <c r="E112" i="5" s="1"/>
  <c r="E129" i="5" s="1"/>
  <c r="E134" i="5" s="1"/>
  <c r="C75" i="5"/>
  <c r="C79" i="5"/>
  <c r="H109" i="5"/>
  <c r="H116" i="5" s="1"/>
  <c r="H133" i="5" s="1"/>
  <c r="H138" i="5" s="1"/>
  <c r="K189" i="5" s="1"/>
  <c r="L189" i="5" s="1"/>
  <c r="E101" i="6"/>
  <c r="E115" i="5"/>
  <c r="E132" i="5" s="1"/>
  <c r="E137" i="5" s="1"/>
  <c r="H99" i="11"/>
  <c r="D75" i="8"/>
  <c r="D79" i="8"/>
  <c r="H104" i="5"/>
  <c r="D109" i="9"/>
  <c r="D124" i="9" s="1"/>
  <c r="D129" i="9" s="1"/>
  <c r="H109" i="11"/>
  <c r="H116" i="11" s="1"/>
  <c r="H133" i="11" s="1"/>
  <c r="H138" i="11" s="1"/>
  <c r="K189" i="11" s="1"/>
  <c r="L189" i="11" s="1"/>
  <c r="F69" i="11"/>
  <c r="F77" i="11" s="1"/>
  <c r="F80" i="11" s="1"/>
  <c r="E109" i="6"/>
  <c r="E124" i="6" s="1"/>
  <c r="E129" i="6" s="1"/>
  <c r="E111" i="6"/>
  <c r="E126" i="6" s="1"/>
  <c r="E131" i="6" s="1"/>
  <c r="E110" i="6"/>
  <c r="E125" i="6" s="1"/>
  <c r="E130" i="6" s="1"/>
  <c r="E112" i="6"/>
  <c r="E127" i="6" s="1"/>
  <c r="E132" i="6" s="1"/>
  <c r="H100" i="11"/>
  <c r="H113" i="11" s="1"/>
  <c r="H130" i="11" s="1"/>
  <c r="H135" i="11" s="1"/>
  <c r="E189" i="11" s="1"/>
  <c r="F189" i="11" s="1"/>
  <c r="H97" i="8" l="1"/>
  <c r="C94" i="6"/>
  <c r="C109" i="6" s="1"/>
  <c r="C124" i="6" s="1"/>
  <c r="C129" i="6" s="1"/>
  <c r="C100" i="8"/>
  <c r="C113" i="8" s="1"/>
  <c r="C130" i="8" s="1"/>
  <c r="C135" i="8" s="1"/>
  <c r="I100" i="11"/>
  <c r="I113" i="11" s="1"/>
  <c r="I130" i="11" s="1"/>
  <c r="I135" i="11" s="1"/>
  <c r="C93" i="12"/>
  <c r="C95" i="12" s="1"/>
  <c r="I111" i="11"/>
  <c r="G95" i="5"/>
  <c r="H109" i="8"/>
  <c r="H116" i="8" s="1"/>
  <c r="H133" i="8" s="1"/>
  <c r="H138" i="8" s="1"/>
  <c r="K189" i="8" s="1"/>
  <c r="L189" i="8" s="1"/>
  <c r="I77" i="5"/>
  <c r="I80" i="5" s="1"/>
  <c r="I98" i="11"/>
  <c r="I97" i="11"/>
  <c r="I112" i="11" s="1"/>
  <c r="I129" i="11" s="1"/>
  <c r="I134" i="11" s="1"/>
  <c r="C196" i="11" s="1"/>
  <c r="G95" i="8"/>
  <c r="I106" i="11"/>
  <c r="I115" i="11" s="1"/>
  <c r="I132" i="11" s="1"/>
  <c r="I137" i="11" s="1"/>
  <c r="E96" i="11"/>
  <c r="E104" i="11" s="1"/>
  <c r="I107" i="11"/>
  <c r="I102" i="11"/>
  <c r="E102" i="12"/>
  <c r="D93" i="12"/>
  <c r="D100" i="12" s="1"/>
  <c r="D111" i="12" s="1"/>
  <c r="D126" i="12" s="1"/>
  <c r="D131" i="12" s="1"/>
  <c r="C101" i="6"/>
  <c r="C108" i="8"/>
  <c r="C106" i="8"/>
  <c r="C115" i="8" s="1"/>
  <c r="C132" i="8" s="1"/>
  <c r="C137" i="8" s="1"/>
  <c r="C107" i="8"/>
  <c r="C98" i="6"/>
  <c r="H101" i="8"/>
  <c r="C105" i="8"/>
  <c r="C103" i="8"/>
  <c r="C114" i="8" s="1"/>
  <c r="C131" i="8" s="1"/>
  <c r="C136" i="8" s="1"/>
  <c r="E96" i="8"/>
  <c r="E100" i="8" s="1"/>
  <c r="E113" i="8" s="1"/>
  <c r="E130" i="8" s="1"/>
  <c r="E135" i="8" s="1"/>
  <c r="C111" i="8"/>
  <c r="C97" i="8"/>
  <c r="C112" i="8" s="1"/>
  <c r="C129" i="8" s="1"/>
  <c r="C134" i="8" s="1"/>
  <c r="F96" i="8"/>
  <c r="F106" i="8" s="1"/>
  <c r="H111" i="8"/>
  <c r="C110" i="8"/>
  <c r="C98" i="8"/>
  <c r="C97" i="6"/>
  <c r="C110" i="6" s="1"/>
  <c r="C125" i="6" s="1"/>
  <c r="C130" i="6" s="1"/>
  <c r="C135" i="6" s="1"/>
  <c r="D98" i="6"/>
  <c r="D107" i="6"/>
  <c r="C69" i="5"/>
  <c r="C77" i="5" s="1"/>
  <c r="C80" i="5" s="1"/>
  <c r="C126" i="5" s="1"/>
  <c r="F96" i="5"/>
  <c r="F109" i="5" s="1"/>
  <c r="C107" i="6"/>
  <c r="D100" i="6"/>
  <c r="D111" i="6" s="1"/>
  <c r="D126" i="6" s="1"/>
  <c r="D131" i="6" s="1"/>
  <c r="C178" i="11"/>
  <c r="C134" i="6"/>
  <c r="E103" i="11"/>
  <c r="E114" i="11" s="1"/>
  <c r="E131" i="11" s="1"/>
  <c r="E136" i="11" s="1"/>
  <c r="C128" i="5"/>
  <c r="F126" i="11"/>
  <c r="F128" i="11" s="1"/>
  <c r="F95" i="11"/>
  <c r="H114" i="8"/>
  <c r="H131" i="8" s="1"/>
  <c r="H136" i="8" s="1"/>
  <c r="G189" i="8" s="1"/>
  <c r="H189" i="8" s="1"/>
  <c r="F102" i="8"/>
  <c r="D126" i="11"/>
  <c r="D128" i="11" s="1"/>
  <c r="D95" i="11"/>
  <c r="D96" i="6"/>
  <c r="D101" i="6"/>
  <c r="D104" i="6"/>
  <c r="D96" i="5"/>
  <c r="D101" i="5" s="1"/>
  <c r="C104" i="6"/>
  <c r="E96" i="12"/>
  <c r="E101" i="12"/>
  <c r="E106" i="12"/>
  <c r="E113" i="12" s="1"/>
  <c r="E128" i="12" s="1"/>
  <c r="E133" i="12" s="1"/>
  <c r="E108" i="12"/>
  <c r="D103" i="12"/>
  <c r="C106" i="6"/>
  <c r="C113" i="6" s="1"/>
  <c r="C128" i="6" s="1"/>
  <c r="C133" i="6" s="1"/>
  <c r="C138" i="6" s="1"/>
  <c r="E98" i="11"/>
  <c r="E105" i="11"/>
  <c r="I105" i="11"/>
  <c r="I99" i="11"/>
  <c r="C95" i="6"/>
  <c r="H100" i="8"/>
  <c r="H113" i="8" s="1"/>
  <c r="H130" i="8" s="1"/>
  <c r="H135" i="8" s="1"/>
  <c r="E189" i="8" s="1"/>
  <c r="F189" i="8" s="1"/>
  <c r="E103" i="9"/>
  <c r="E112" i="9" s="1"/>
  <c r="E127" i="9" s="1"/>
  <c r="E132" i="9" s="1"/>
  <c r="E106" i="9"/>
  <c r="E113" i="9" s="1"/>
  <c r="E128" i="9" s="1"/>
  <c r="E133" i="9" s="1"/>
  <c r="E102" i="9"/>
  <c r="E100" i="9"/>
  <c r="E111" i="9" s="1"/>
  <c r="E126" i="9" s="1"/>
  <c r="E131" i="9" s="1"/>
  <c r="I109" i="11"/>
  <c r="I116" i="11" s="1"/>
  <c r="I133" i="11" s="1"/>
  <c r="I138" i="11" s="1"/>
  <c r="C105" i="6"/>
  <c r="E103" i="12"/>
  <c r="E112" i="12" s="1"/>
  <c r="E127" i="12" s="1"/>
  <c r="E132" i="12" s="1"/>
  <c r="E96" i="9"/>
  <c r="D109" i="6"/>
  <c r="D124" i="6" s="1"/>
  <c r="D129" i="6" s="1"/>
  <c r="AB10" i="3" s="1"/>
  <c r="D105" i="6"/>
  <c r="D108" i="6"/>
  <c r="D95" i="6"/>
  <c r="D97" i="6"/>
  <c r="D110" i="6" s="1"/>
  <c r="D125" i="6" s="1"/>
  <c r="D130" i="6" s="1"/>
  <c r="C126" i="11"/>
  <c r="C128" i="11" s="1"/>
  <c r="C95" i="11"/>
  <c r="C96" i="11" s="1"/>
  <c r="C97" i="11" s="1"/>
  <c r="D99" i="5"/>
  <c r="C100" i="6"/>
  <c r="C111" i="6" s="1"/>
  <c r="C126" i="6" s="1"/>
  <c r="C131" i="6" s="1"/>
  <c r="H98" i="8"/>
  <c r="E97" i="12"/>
  <c r="E110" i="12" s="1"/>
  <c r="E125" i="12" s="1"/>
  <c r="E130" i="12" s="1"/>
  <c r="E107" i="12"/>
  <c r="E104" i="12"/>
  <c r="I101" i="11"/>
  <c r="I95" i="5"/>
  <c r="E99" i="11"/>
  <c r="E100" i="11"/>
  <c r="E113" i="11" s="1"/>
  <c r="E130" i="11" s="1"/>
  <c r="E135" i="11" s="1"/>
  <c r="D69" i="8"/>
  <c r="D77" i="8" s="1"/>
  <c r="D80" i="8" s="1"/>
  <c r="C95" i="5"/>
  <c r="C96" i="5" s="1"/>
  <c r="C101" i="5" s="1"/>
  <c r="I104" i="11"/>
  <c r="C108" i="6"/>
  <c r="H99" i="8"/>
  <c r="E98" i="9"/>
  <c r="E99" i="9"/>
  <c r="E101" i="9"/>
  <c r="E107" i="9"/>
  <c r="E105" i="9"/>
  <c r="E100" i="12"/>
  <c r="E111" i="12" s="1"/>
  <c r="E126" i="12" s="1"/>
  <c r="E131" i="12" s="1"/>
  <c r="E108" i="9"/>
  <c r="E104" i="9"/>
  <c r="H110" i="8"/>
  <c r="H102" i="8"/>
  <c r="H106" i="8"/>
  <c r="H115" i="8" s="1"/>
  <c r="H132" i="8" s="1"/>
  <c r="H137" i="8" s="1"/>
  <c r="I189" i="8" s="1"/>
  <c r="J189" i="8" s="1"/>
  <c r="H112" i="8"/>
  <c r="H129" i="8" s="1"/>
  <c r="H134" i="8" s="1"/>
  <c r="C189" i="8" s="1"/>
  <c r="D189" i="8" s="1"/>
  <c r="F107" i="8"/>
  <c r="H105" i="8"/>
  <c r="H107" i="8"/>
  <c r="C102" i="6"/>
  <c r="F105" i="8"/>
  <c r="D99" i="6"/>
  <c r="D102" i="6"/>
  <c r="D103" i="6"/>
  <c r="D112" i="6" s="1"/>
  <c r="D127" i="6" s="1"/>
  <c r="D132" i="6" s="1"/>
  <c r="D106" i="6"/>
  <c r="D113" i="6" s="1"/>
  <c r="D128" i="6" s="1"/>
  <c r="D133" i="6" s="1"/>
  <c r="D104" i="5"/>
  <c r="D111" i="5"/>
  <c r="D105" i="5"/>
  <c r="D102" i="5"/>
  <c r="D97" i="5"/>
  <c r="D112" i="5" s="1"/>
  <c r="D129" i="5" s="1"/>
  <c r="D134" i="5" s="1"/>
  <c r="I108" i="11"/>
  <c r="C103" i="6"/>
  <c r="C112" i="6" s="1"/>
  <c r="C127" i="6" s="1"/>
  <c r="C132" i="6" s="1"/>
  <c r="H108" i="8"/>
  <c r="E94" i="12"/>
  <c r="E109" i="12" s="1"/>
  <c r="E124" i="12" s="1"/>
  <c r="E129" i="12" s="1"/>
  <c r="E105" i="12"/>
  <c r="E95" i="12"/>
  <c r="E98" i="12"/>
  <c r="D105" i="12"/>
  <c r="D95" i="12"/>
  <c r="C109" i="8"/>
  <c r="C116" i="8" s="1"/>
  <c r="C133" i="8" s="1"/>
  <c r="C138" i="8" s="1"/>
  <c r="C101" i="8"/>
  <c r="C102" i="8"/>
  <c r="C99" i="8"/>
  <c r="E107" i="11"/>
  <c r="I126" i="8"/>
  <c r="I128" i="8" s="1"/>
  <c r="I77" i="8"/>
  <c r="I80" i="8" s="1"/>
  <c r="I103" i="11"/>
  <c r="I114" i="11" s="1"/>
  <c r="I131" i="11" s="1"/>
  <c r="I136" i="11" s="1"/>
  <c r="G96" i="5"/>
  <c r="G98" i="5" s="1"/>
  <c r="C96" i="6"/>
  <c r="H104" i="8"/>
  <c r="C93" i="9"/>
  <c r="C97" i="9" s="1"/>
  <c r="E109" i="9"/>
  <c r="E124" i="9" s="1"/>
  <c r="E129" i="9" s="1"/>
  <c r="E95" i="9"/>
  <c r="E97" i="9"/>
  <c r="E110" i="9" s="1"/>
  <c r="E125" i="9" s="1"/>
  <c r="E130" i="9" s="1"/>
  <c r="E108" i="8" l="1"/>
  <c r="D109" i="5"/>
  <c r="D116" i="5" s="1"/>
  <c r="D133" i="5" s="1"/>
  <c r="D138" i="5" s="1"/>
  <c r="D108" i="5"/>
  <c r="F103" i="8"/>
  <c r="F114" i="8" s="1"/>
  <c r="F131" i="8" s="1"/>
  <c r="F136" i="8" s="1"/>
  <c r="C100" i="9"/>
  <c r="C111" i="9" s="1"/>
  <c r="C126" i="9" s="1"/>
  <c r="C131" i="9" s="1"/>
  <c r="C96" i="9"/>
  <c r="E98" i="8"/>
  <c r="C103" i="12"/>
  <c r="C112" i="12" s="1"/>
  <c r="C127" i="12" s="1"/>
  <c r="C132" i="12" s="1"/>
  <c r="C100" i="12"/>
  <c r="C111" i="12" s="1"/>
  <c r="C126" i="12" s="1"/>
  <c r="C131" i="12" s="1"/>
  <c r="C136" i="12" s="1"/>
  <c r="AD41" i="3" s="1"/>
  <c r="C101" i="12"/>
  <c r="C94" i="12"/>
  <c r="C109" i="12" s="1"/>
  <c r="C124" i="12" s="1"/>
  <c r="C129" i="12" s="1"/>
  <c r="F98" i="8"/>
  <c r="E97" i="8"/>
  <c r="E112" i="8" s="1"/>
  <c r="E129" i="8" s="1"/>
  <c r="E134" i="8" s="1"/>
  <c r="E101" i="8"/>
  <c r="F111" i="8"/>
  <c r="E99" i="8"/>
  <c r="F108" i="8"/>
  <c r="E107" i="8"/>
  <c r="F115" i="8"/>
  <c r="F132" i="8" s="1"/>
  <c r="F137" i="8" s="1"/>
  <c r="F109" i="8"/>
  <c r="F116" i="8" s="1"/>
  <c r="F133" i="8" s="1"/>
  <c r="F138" i="8" s="1"/>
  <c r="E106" i="8"/>
  <c r="E115" i="8" s="1"/>
  <c r="E132" i="8" s="1"/>
  <c r="E137" i="8" s="1"/>
  <c r="F110" i="8"/>
  <c r="E109" i="8"/>
  <c r="E116" i="8" s="1"/>
  <c r="E133" i="8" s="1"/>
  <c r="E138" i="8" s="1"/>
  <c r="F100" i="8"/>
  <c r="F113" i="8" s="1"/>
  <c r="F130" i="8" s="1"/>
  <c r="F135" i="8" s="1"/>
  <c r="F99" i="8"/>
  <c r="E111" i="8"/>
  <c r="F97" i="8"/>
  <c r="F112" i="8" s="1"/>
  <c r="F129" i="8" s="1"/>
  <c r="F134" i="8" s="1"/>
  <c r="F104" i="8"/>
  <c r="C172" i="11"/>
  <c r="D172" i="11" s="1"/>
  <c r="E110" i="8"/>
  <c r="C111" i="11"/>
  <c r="G96" i="8"/>
  <c r="G102" i="8" s="1"/>
  <c r="C104" i="11"/>
  <c r="C102" i="11"/>
  <c r="C160" i="11"/>
  <c r="K160" i="11" s="1"/>
  <c r="L160" i="11" s="1"/>
  <c r="E106" i="11"/>
  <c r="E115" i="11" s="1"/>
  <c r="E132" i="11" s="1"/>
  <c r="E137" i="11" s="1"/>
  <c r="D94" i="12"/>
  <c r="D109" i="12" s="1"/>
  <c r="D124" i="12" s="1"/>
  <c r="D129" i="12" s="1"/>
  <c r="E111" i="11"/>
  <c r="C109" i="11"/>
  <c r="C116" i="11" s="1"/>
  <c r="C133" i="11" s="1"/>
  <c r="C138" i="11" s="1"/>
  <c r="E97" i="11"/>
  <c r="E112" i="11" s="1"/>
  <c r="E129" i="11" s="1"/>
  <c r="E134" i="11" s="1"/>
  <c r="D98" i="12"/>
  <c r="C166" i="11"/>
  <c r="K166" i="11" s="1"/>
  <c r="L166" i="11" s="1"/>
  <c r="C181" i="11"/>
  <c r="I181" i="11" s="1"/>
  <c r="J181" i="11" s="1"/>
  <c r="C193" i="11"/>
  <c r="I193" i="11" s="1"/>
  <c r="J193" i="11" s="1"/>
  <c r="C97" i="12"/>
  <c r="C110" i="12" s="1"/>
  <c r="C125" i="12" s="1"/>
  <c r="C130" i="12" s="1"/>
  <c r="C135" i="12" s="1"/>
  <c r="AD47" i="3" s="1"/>
  <c r="C98" i="12"/>
  <c r="C102" i="12"/>
  <c r="C107" i="12"/>
  <c r="C96" i="12"/>
  <c r="C104" i="12"/>
  <c r="C108" i="12"/>
  <c r="C105" i="12"/>
  <c r="C148" i="11"/>
  <c r="K148" i="11" s="1"/>
  <c r="L148" i="11" s="1"/>
  <c r="C190" i="11"/>
  <c r="E102" i="11"/>
  <c r="D97" i="12"/>
  <c r="D110" i="12" s="1"/>
  <c r="D125" i="12" s="1"/>
  <c r="D130" i="12" s="1"/>
  <c r="E108" i="11"/>
  <c r="D112" i="12"/>
  <c r="D127" i="12" s="1"/>
  <c r="D132" i="12" s="1"/>
  <c r="C101" i="11"/>
  <c r="E110" i="11"/>
  <c r="D96" i="12"/>
  <c r="D103" i="5"/>
  <c r="D114" i="5" s="1"/>
  <c r="D131" i="5" s="1"/>
  <c r="D136" i="5" s="1"/>
  <c r="G165" i="5" s="1"/>
  <c r="H165" i="5" s="1"/>
  <c r="C184" i="11"/>
  <c r="G184" i="11" s="1"/>
  <c r="H184" i="11" s="1"/>
  <c r="C154" i="11"/>
  <c r="K154" i="11" s="1"/>
  <c r="L154" i="11" s="1"/>
  <c r="C99" i="12"/>
  <c r="C106" i="12"/>
  <c r="C113" i="12" s="1"/>
  <c r="C128" i="12" s="1"/>
  <c r="C133" i="12" s="1"/>
  <c r="C138" i="12" s="1"/>
  <c r="C108" i="11"/>
  <c r="D108" i="12"/>
  <c r="D99" i="12"/>
  <c r="F96" i="11"/>
  <c r="F105" i="11" s="1"/>
  <c r="E109" i="11"/>
  <c r="E116" i="11" s="1"/>
  <c r="E133" i="11" s="1"/>
  <c r="E138" i="11" s="1"/>
  <c r="D101" i="12"/>
  <c r="D107" i="12"/>
  <c r="D102" i="12"/>
  <c r="D106" i="12"/>
  <c r="D113" i="12" s="1"/>
  <c r="D128" i="12" s="1"/>
  <c r="D133" i="12" s="1"/>
  <c r="D104" i="12"/>
  <c r="E101" i="11"/>
  <c r="C107" i="9"/>
  <c r="F116" i="5"/>
  <c r="F133" i="5" s="1"/>
  <c r="F138" i="5" s="1"/>
  <c r="C106" i="9"/>
  <c r="C110" i="9"/>
  <c r="C125" i="9" s="1"/>
  <c r="C130" i="9" s="1"/>
  <c r="C135" i="9" s="1"/>
  <c r="F101" i="8"/>
  <c r="E102" i="8"/>
  <c r="E105" i="8"/>
  <c r="E103" i="8"/>
  <c r="E114" i="8" s="1"/>
  <c r="E131" i="8" s="1"/>
  <c r="E136" i="8" s="1"/>
  <c r="E104" i="8"/>
  <c r="C97" i="5"/>
  <c r="C112" i="5" s="1"/>
  <c r="C129" i="5" s="1"/>
  <c r="C134" i="5" s="1"/>
  <c r="G108" i="5"/>
  <c r="F103" i="5"/>
  <c r="F114" i="5" s="1"/>
  <c r="F131" i="5" s="1"/>
  <c r="F136" i="5" s="1"/>
  <c r="F106" i="5"/>
  <c r="F115" i="5" s="1"/>
  <c r="F132" i="5" s="1"/>
  <c r="F137" i="5" s="1"/>
  <c r="F111" i="5"/>
  <c r="F105" i="5"/>
  <c r="G111" i="5"/>
  <c r="F97" i="5"/>
  <c r="F112" i="5" s="1"/>
  <c r="F129" i="5" s="1"/>
  <c r="F134" i="5" s="1"/>
  <c r="F98" i="5"/>
  <c r="G109" i="5"/>
  <c r="G116" i="5" s="1"/>
  <c r="G133" i="5" s="1"/>
  <c r="G138" i="5" s="1"/>
  <c r="G102" i="5"/>
  <c r="G107" i="5"/>
  <c r="I96" i="5"/>
  <c r="I111" i="5" s="1"/>
  <c r="G99" i="5"/>
  <c r="F107" i="5"/>
  <c r="F108" i="5"/>
  <c r="F110" i="5"/>
  <c r="F101" i="5"/>
  <c r="C102" i="5"/>
  <c r="C106" i="5"/>
  <c r="C115" i="5" s="1"/>
  <c r="C132" i="5" s="1"/>
  <c r="C137" i="5" s="1"/>
  <c r="C108" i="5"/>
  <c r="C110" i="5"/>
  <c r="C107" i="5"/>
  <c r="F100" i="5"/>
  <c r="F113" i="5" s="1"/>
  <c r="F130" i="5" s="1"/>
  <c r="F135" i="5" s="1"/>
  <c r="F102" i="5"/>
  <c r="F104" i="5"/>
  <c r="F99" i="5"/>
  <c r="C139" i="8"/>
  <c r="C153" i="8"/>
  <c r="D153" i="8" s="1"/>
  <c r="C171" i="8"/>
  <c r="D171" i="8" s="1"/>
  <c r="C192" i="5"/>
  <c r="D192" i="5" s="1"/>
  <c r="C177" i="5"/>
  <c r="D177" i="5" s="1"/>
  <c r="C147" i="5"/>
  <c r="D147" i="5" s="1"/>
  <c r="C183" i="5"/>
  <c r="D183" i="5" s="1"/>
  <c r="C180" i="5"/>
  <c r="D180" i="5" s="1"/>
  <c r="C195" i="5"/>
  <c r="D195" i="5" s="1"/>
  <c r="C165" i="5"/>
  <c r="D165" i="5" s="1"/>
  <c r="C159" i="5"/>
  <c r="D159" i="5" s="1"/>
  <c r="G153" i="8"/>
  <c r="H153" i="8" s="1"/>
  <c r="G171" i="8"/>
  <c r="H171" i="8" s="1"/>
  <c r="C141" i="8"/>
  <c r="AB6" i="3"/>
  <c r="C137" i="6"/>
  <c r="AB17" i="3"/>
  <c r="AB9" i="3"/>
  <c r="I171" i="8"/>
  <c r="J171" i="8" s="1"/>
  <c r="I153" i="8"/>
  <c r="J153" i="8" s="1"/>
  <c r="C142" i="8"/>
  <c r="AC26" i="3" s="1"/>
  <c r="AB45" i="3"/>
  <c r="K192" i="5"/>
  <c r="L192" i="5" s="1"/>
  <c r="K177" i="5"/>
  <c r="L177" i="5" s="1"/>
  <c r="K195" i="5"/>
  <c r="L195" i="5" s="1"/>
  <c r="K165" i="5"/>
  <c r="L165" i="5" s="1"/>
  <c r="K159" i="5"/>
  <c r="L159" i="5" s="1"/>
  <c r="K183" i="5"/>
  <c r="L183" i="5" s="1"/>
  <c r="K180" i="5"/>
  <c r="L180" i="5" s="1"/>
  <c r="K147" i="5"/>
  <c r="L147" i="5" s="1"/>
  <c r="L149" i="5" s="1"/>
  <c r="C143" i="8"/>
  <c r="K171" i="8"/>
  <c r="L171" i="8" s="1"/>
  <c r="K153" i="8"/>
  <c r="L153" i="8" s="1"/>
  <c r="E171" i="8"/>
  <c r="F171" i="8" s="1"/>
  <c r="C140" i="8"/>
  <c r="E153" i="8"/>
  <c r="F153" i="8" s="1"/>
  <c r="I97" i="5"/>
  <c r="C100" i="5"/>
  <c r="C113" i="5" s="1"/>
  <c r="C130" i="5" s="1"/>
  <c r="C135" i="5" s="1"/>
  <c r="G101" i="5"/>
  <c r="C98" i="11"/>
  <c r="C105" i="11"/>
  <c r="C99" i="11"/>
  <c r="C112" i="11"/>
  <c r="C129" i="11" s="1"/>
  <c r="C134" i="11" s="1"/>
  <c r="C101" i="9"/>
  <c r="C98" i="5"/>
  <c r="D96" i="11"/>
  <c r="D99" i="11" s="1"/>
  <c r="AB16" i="3"/>
  <c r="E166" i="11"/>
  <c r="F166" i="11" s="1"/>
  <c r="G166" i="11"/>
  <c r="H166" i="11" s="1"/>
  <c r="G181" i="11"/>
  <c r="H181" i="11" s="1"/>
  <c r="K196" i="11"/>
  <c r="L196" i="11" s="1"/>
  <c r="G196" i="11"/>
  <c r="H196" i="11" s="1"/>
  <c r="I196" i="11"/>
  <c r="J196" i="11" s="1"/>
  <c r="E196" i="11"/>
  <c r="F196" i="11" s="1"/>
  <c r="D196" i="11"/>
  <c r="C95" i="9"/>
  <c r="C98" i="9"/>
  <c r="C99" i="9"/>
  <c r="C104" i="9"/>
  <c r="C103" i="9"/>
  <c r="C112" i="9" s="1"/>
  <c r="C127" i="9" s="1"/>
  <c r="C132" i="9" s="1"/>
  <c r="C108" i="9"/>
  <c r="C104" i="5"/>
  <c r="C111" i="5"/>
  <c r="C105" i="9"/>
  <c r="G104" i="5"/>
  <c r="C103" i="11"/>
  <c r="C114" i="11" s="1"/>
  <c r="C131" i="11" s="1"/>
  <c r="C136" i="11" s="1"/>
  <c r="G100" i="5"/>
  <c r="G113" i="5" s="1"/>
  <c r="G130" i="5" s="1"/>
  <c r="G135" i="5" s="1"/>
  <c r="C99" i="5"/>
  <c r="C109" i="5"/>
  <c r="C116" i="5" s="1"/>
  <c r="C133" i="5" s="1"/>
  <c r="C138" i="5" s="1"/>
  <c r="E172" i="11"/>
  <c r="F172" i="11" s="1"/>
  <c r="K178" i="11"/>
  <c r="L178" i="11" s="1"/>
  <c r="G178" i="11"/>
  <c r="H178" i="11" s="1"/>
  <c r="E178" i="11"/>
  <c r="F178" i="11" s="1"/>
  <c r="I178" i="11"/>
  <c r="J178" i="11" s="1"/>
  <c r="D178" i="11"/>
  <c r="AD43" i="3"/>
  <c r="AD10" i="3"/>
  <c r="AD16" i="3"/>
  <c r="I154" i="11"/>
  <c r="J154" i="11" s="1"/>
  <c r="C103" i="5"/>
  <c r="C114" i="5" s="1"/>
  <c r="C131" i="5" s="1"/>
  <c r="C136" i="5" s="1"/>
  <c r="C94" i="9"/>
  <c r="C109" i="9" s="1"/>
  <c r="C124" i="9" s="1"/>
  <c r="C129" i="9" s="1"/>
  <c r="G103" i="5"/>
  <c r="G114" i="5" s="1"/>
  <c r="G131" i="5" s="1"/>
  <c r="G136" i="5" s="1"/>
  <c r="G105" i="5"/>
  <c r="G110" i="5"/>
  <c r="G97" i="5"/>
  <c r="G112" i="5" s="1"/>
  <c r="G129" i="5" s="1"/>
  <c r="G134" i="5" s="1"/>
  <c r="G106" i="5"/>
  <c r="G115" i="5" s="1"/>
  <c r="G132" i="5" s="1"/>
  <c r="G137" i="5" s="1"/>
  <c r="I95" i="8"/>
  <c r="C102" i="9"/>
  <c r="D126" i="8"/>
  <c r="D128" i="8" s="1"/>
  <c r="D95" i="8"/>
  <c r="D96" i="8" s="1"/>
  <c r="D106" i="8" s="1"/>
  <c r="C136" i="6"/>
  <c r="AB15" i="3"/>
  <c r="AB11" i="3"/>
  <c r="AB7" i="3"/>
  <c r="AB12" i="3"/>
  <c r="AB8" i="3"/>
  <c r="AB14" i="3"/>
  <c r="AB13" i="3"/>
  <c r="C106" i="11"/>
  <c r="C115" i="11" s="1"/>
  <c r="C132" i="11" s="1"/>
  <c r="C137" i="11" s="1"/>
  <c r="C110" i="11"/>
  <c r="C100" i="11"/>
  <c r="C113" i="11" s="1"/>
  <c r="C130" i="11" s="1"/>
  <c r="C135" i="11" s="1"/>
  <c r="C107" i="11"/>
  <c r="C113" i="9"/>
  <c r="C128" i="9" s="1"/>
  <c r="C133" i="9" s="1"/>
  <c r="C138" i="9" s="1"/>
  <c r="C105" i="5"/>
  <c r="D107" i="5"/>
  <c r="D110" i="5"/>
  <c r="D100" i="5"/>
  <c r="D113" i="5" s="1"/>
  <c r="D130" i="5" s="1"/>
  <c r="D135" i="5" s="1"/>
  <c r="D98" i="5"/>
  <c r="D148" i="11"/>
  <c r="E160" i="11"/>
  <c r="F160" i="11" s="1"/>
  <c r="I190" i="11"/>
  <c r="J190" i="11" s="1"/>
  <c r="J191" i="11" s="1"/>
  <c r="K190" i="11"/>
  <c r="L190" i="11" s="1"/>
  <c r="L191" i="11" s="1"/>
  <c r="G190" i="11"/>
  <c r="H190" i="11" s="1"/>
  <c r="H191" i="11" s="1"/>
  <c r="E190" i="11"/>
  <c r="F190" i="11" s="1"/>
  <c r="F191" i="11" s="1"/>
  <c r="V47" i="3" s="1"/>
  <c r="D190" i="11"/>
  <c r="D191" i="11" s="1"/>
  <c r="D106" i="5"/>
  <c r="D115" i="5" s="1"/>
  <c r="D132" i="5" s="1"/>
  <c r="D137" i="5" s="1"/>
  <c r="AD38" i="3" l="1"/>
  <c r="AB43" i="3"/>
  <c r="AB39" i="3"/>
  <c r="AB41" i="3"/>
  <c r="AD45" i="3"/>
  <c r="AD39" i="3"/>
  <c r="AB38" i="3"/>
  <c r="E148" i="11"/>
  <c r="F148" i="11" s="1"/>
  <c r="G172" i="11"/>
  <c r="H172" i="11" s="1"/>
  <c r="I172" i="11"/>
  <c r="J172" i="11" s="1"/>
  <c r="I148" i="11"/>
  <c r="J148" i="11" s="1"/>
  <c r="K172" i="11"/>
  <c r="L172" i="11" s="1"/>
  <c r="G148" i="11"/>
  <c r="H148" i="11" s="1"/>
  <c r="G183" i="5"/>
  <c r="H183" i="5" s="1"/>
  <c r="G195" i="5"/>
  <c r="H195" i="5" s="1"/>
  <c r="C134" i="12"/>
  <c r="AD42" i="3" s="1"/>
  <c r="AB44" i="3"/>
  <c r="G147" i="5"/>
  <c r="H147" i="5" s="1"/>
  <c r="G177" i="5"/>
  <c r="H177" i="5" s="1"/>
  <c r="G159" i="5"/>
  <c r="H159" i="5" s="1"/>
  <c r="G192" i="5"/>
  <c r="H192" i="5" s="1"/>
  <c r="F106" i="11"/>
  <c r="F115" i="11" s="1"/>
  <c r="F132" i="11" s="1"/>
  <c r="F137" i="11" s="1"/>
  <c r="G180" i="5"/>
  <c r="H180" i="5" s="1"/>
  <c r="G101" i="8"/>
  <c r="G97" i="8"/>
  <c r="G112" i="8" s="1"/>
  <c r="G129" i="8" s="1"/>
  <c r="G134" i="8" s="1"/>
  <c r="C137" i="12"/>
  <c r="AB49" i="3"/>
  <c r="G193" i="11"/>
  <c r="H193" i="11" s="1"/>
  <c r="AB48" i="3"/>
  <c r="I184" i="11"/>
  <c r="J184" i="11" s="1"/>
  <c r="K193" i="11"/>
  <c r="L193" i="11" s="1"/>
  <c r="D100" i="11"/>
  <c r="D113" i="11" s="1"/>
  <c r="D130" i="11" s="1"/>
  <c r="D135" i="11" s="1"/>
  <c r="E192" i="11" s="1"/>
  <c r="F192" i="11" s="1"/>
  <c r="D101" i="8"/>
  <c r="D184" i="11"/>
  <c r="E193" i="11"/>
  <c r="F193" i="11" s="1"/>
  <c r="D104" i="11"/>
  <c r="E184" i="11"/>
  <c r="F184" i="11" s="1"/>
  <c r="D193" i="11"/>
  <c r="D107" i="11"/>
  <c r="AB47" i="3"/>
  <c r="I160" i="11"/>
  <c r="J160" i="11" s="1"/>
  <c r="D181" i="11"/>
  <c r="K181" i="11"/>
  <c r="L181" i="11" s="1"/>
  <c r="AB42" i="3"/>
  <c r="G99" i="8"/>
  <c r="G98" i="8"/>
  <c r="G160" i="11"/>
  <c r="H160" i="11" s="1"/>
  <c r="D109" i="11"/>
  <c r="D116" i="11" s="1"/>
  <c r="D133" i="11" s="1"/>
  <c r="D138" i="11" s="1"/>
  <c r="K180" i="11" s="1"/>
  <c r="L180" i="11" s="1"/>
  <c r="I96" i="8"/>
  <c r="I111" i="8" s="1"/>
  <c r="G154" i="11"/>
  <c r="H154" i="11" s="1"/>
  <c r="D108" i="11"/>
  <c r="K184" i="11"/>
  <c r="L184" i="11" s="1"/>
  <c r="E181" i="11"/>
  <c r="F181" i="11" s="1"/>
  <c r="D166" i="11"/>
  <c r="I166" i="11"/>
  <c r="J166" i="11" s="1"/>
  <c r="I99" i="5"/>
  <c r="AB46" i="3"/>
  <c r="G100" i="8"/>
  <c r="G113" i="8" s="1"/>
  <c r="G130" i="8" s="1"/>
  <c r="G135" i="8" s="1"/>
  <c r="G108" i="8"/>
  <c r="G111" i="8"/>
  <c r="G109" i="8"/>
  <c r="G116" i="8" s="1"/>
  <c r="G133" i="8" s="1"/>
  <c r="G138" i="8" s="1"/>
  <c r="D154" i="11"/>
  <c r="G104" i="8"/>
  <c r="D160" i="11"/>
  <c r="D102" i="11"/>
  <c r="I108" i="5"/>
  <c r="E154" i="11"/>
  <c r="F154" i="11" s="1"/>
  <c r="D105" i="11"/>
  <c r="I109" i="5"/>
  <c r="I116" i="5" s="1"/>
  <c r="I133" i="5" s="1"/>
  <c r="I138" i="5" s="1"/>
  <c r="AB37" i="3"/>
  <c r="AB40" i="3"/>
  <c r="F97" i="11"/>
  <c r="F112" i="11" s="1"/>
  <c r="F129" i="11" s="1"/>
  <c r="F134" i="11" s="1"/>
  <c r="G110" i="8"/>
  <c r="G107" i="8"/>
  <c r="G106" i="8"/>
  <c r="G115" i="8" s="1"/>
  <c r="G132" i="8" s="1"/>
  <c r="G137" i="8" s="1"/>
  <c r="G105" i="8"/>
  <c r="G103" i="8"/>
  <c r="G114" i="8" s="1"/>
  <c r="G131" i="8" s="1"/>
  <c r="G136" i="8" s="1"/>
  <c r="F104" i="11"/>
  <c r="F102" i="11"/>
  <c r="F110" i="11"/>
  <c r="F111" i="11"/>
  <c r="F108" i="11"/>
  <c r="F99" i="11"/>
  <c r="F109" i="11"/>
  <c r="F116" i="11" s="1"/>
  <c r="F133" i="11" s="1"/>
  <c r="F138" i="11" s="1"/>
  <c r="F107" i="11"/>
  <c r="F103" i="11"/>
  <c r="F114" i="11" s="1"/>
  <c r="F131" i="11" s="1"/>
  <c r="F136" i="11" s="1"/>
  <c r="F101" i="11"/>
  <c r="F100" i="11"/>
  <c r="F113" i="11" s="1"/>
  <c r="F130" i="11" s="1"/>
  <c r="F135" i="11" s="1"/>
  <c r="F98" i="11"/>
  <c r="D108" i="8"/>
  <c r="D107" i="8"/>
  <c r="I105" i="5"/>
  <c r="I104" i="5"/>
  <c r="I100" i="5"/>
  <c r="I113" i="5" s="1"/>
  <c r="I130" i="5" s="1"/>
  <c r="I135" i="5" s="1"/>
  <c r="I107" i="5"/>
  <c r="I106" i="5"/>
  <c r="I115" i="5" s="1"/>
  <c r="I132" i="5" s="1"/>
  <c r="I137" i="5" s="1"/>
  <c r="C148" i="5" s="1"/>
  <c r="I101" i="5"/>
  <c r="I103" i="5"/>
  <c r="I114" i="5" s="1"/>
  <c r="I131" i="5" s="1"/>
  <c r="I136" i="5" s="1"/>
  <c r="I112" i="5"/>
  <c r="I129" i="5" s="1"/>
  <c r="I134" i="5" s="1"/>
  <c r="I102" i="5"/>
  <c r="I110" i="5"/>
  <c r="AB18" i="3"/>
  <c r="I98" i="5"/>
  <c r="E171" i="11"/>
  <c r="F171" i="11" s="1"/>
  <c r="F173" i="11" s="1"/>
  <c r="N47" i="3" s="1"/>
  <c r="E153" i="11"/>
  <c r="F153" i="11" s="1"/>
  <c r="C140" i="11"/>
  <c r="AC47" i="3" s="1"/>
  <c r="G171" i="11"/>
  <c r="H171" i="11" s="1"/>
  <c r="H173" i="11" s="1"/>
  <c r="C141" i="11"/>
  <c r="G153" i="11"/>
  <c r="H153" i="11" s="1"/>
  <c r="K153" i="5"/>
  <c r="L153" i="5" s="1"/>
  <c r="K171" i="5"/>
  <c r="L171" i="5" s="1"/>
  <c r="C143" i="5"/>
  <c r="C134" i="9"/>
  <c r="AB33" i="3"/>
  <c r="AB31" i="3"/>
  <c r="AB23" i="3"/>
  <c r="AB19" i="3"/>
  <c r="AB32" i="3"/>
  <c r="AB24" i="3"/>
  <c r="I171" i="11"/>
  <c r="J171" i="11" s="1"/>
  <c r="J173" i="11" s="1"/>
  <c r="I153" i="11"/>
  <c r="J153" i="11" s="1"/>
  <c r="J155" i="11" s="1"/>
  <c r="C142" i="11"/>
  <c r="G153" i="5"/>
  <c r="H153" i="5" s="1"/>
  <c r="C141" i="5"/>
  <c r="G171" i="5"/>
  <c r="H171" i="5" s="1"/>
  <c r="C139" i="11"/>
  <c r="C153" i="11"/>
  <c r="D153" i="11" s="1"/>
  <c r="D155" i="11" s="1"/>
  <c r="C171" i="11"/>
  <c r="D171" i="11" s="1"/>
  <c r="D173" i="11" s="1"/>
  <c r="E183" i="5"/>
  <c r="F183" i="5" s="1"/>
  <c r="E165" i="5"/>
  <c r="F165" i="5" s="1"/>
  <c r="E180" i="5"/>
  <c r="F180" i="5" s="1"/>
  <c r="E177" i="5"/>
  <c r="F177" i="5" s="1"/>
  <c r="E147" i="5"/>
  <c r="F147" i="5" s="1"/>
  <c r="E195" i="5"/>
  <c r="F195" i="5" s="1"/>
  <c r="E192" i="5"/>
  <c r="F192" i="5" s="1"/>
  <c r="E159" i="5"/>
  <c r="F159" i="5" s="1"/>
  <c r="V46" i="3"/>
  <c r="V42" i="3"/>
  <c r="V37" i="3"/>
  <c r="V44" i="3"/>
  <c r="V40" i="3"/>
  <c r="V48" i="3"/>
  <c r="V49" i="3"/>
  <c r="D98" i="8"/>
  <c r="D111" i="8"/>
  <c r="D105" i="8"/>
  <c r="C137" i="9"/>
  <c r="AD26" i="3" s="1"/>
  <c r="AB26" i="3"/>
  <c r="D102" i="8"/>
  <c r="D100" i="8"/>
  <c r="D113" i="8" s="1"/>
  <c r="D130" i="8" s="1"/>
  <c r="D135" i="8" s="1"/>
  <c r="D104" i="8"/>
  <c r="D99" i="8"/>
  <c r="D115" i="8"/>
  <c r="D132" i="8" s="1"/>
  <c r="D137" i="8" s="1"/>
  <c r="D98" i="11"/>
  <c r="D97" i="11"/>
  <c r="D112" i="11" s="1"/>
  <c r="D129" i="11" s="1"/>
  <c r="D134" i="11" s="1"/>
  <c r="D101" i="11"/>
  <c r="D106" i="11"/>
  <c r="D115" i="11" s="1"/>
  <c r="D132" i="11" s="1"/>
  <c r="D137" i="11" s="1"/>
  <c r="D110" i="11"/>
  <c r="D111" i="11"/>
  <c r="I171" i="5"/>
  <c r="J171" i="5" s="1"/>
  <c r="I153" i="5"/>
  <c r="J153" i="5" s="1"/>
  <c r="C142" i="5"/>
  <c r="AC34" i="3"/>
  <c r="AC30" i="3"/>
  <c r="AC22" i="3"/>
  <c r="AC35" i="3"/>
  <c r="AC27" i="3"/>
  <c r="AC25" i="3"/>
  <c r="AC20" i="3"/>
  <c r="AC28" i="3"/>
  <c r="AC21" i="3"/>
  <c r="AC29" i="3"/>
  <c r="V45" i="3"/>
  <c r="V41" i="3"/>
  <c r="V38" i="3"/>
  <c r="V43" i="3"/>
  <c r="V39" i="3"/>
  <c r="C153" i="5"/>
  <c r="D153" i="5" s="1"/>
  <c r="C139" i="5"/>
  <c r="C171" i="5"/>
  <c r="D171" i="5" s="1"/>
  <c r="C143" i="11"/>
  <c r="K153" i="11"/>
  <c r="L153" i="11" s="1"/>
  <c r="L155" i="11" s="1"/>
  <c r="K171" i="11"/>
  <c r="L171" i="11" s="1"/>
  <c r="L173" i="11" s="1"/>
  <c r="AD13" i="3"/>
  <c r="AD14" i="3"/>
  <c r="AD11" i="3"/>
  <c r="AD15" i="3"/>
  <c r="AD12" i="3"/>
  <c r="AD8" i="3"/>
  <c r="AD7" i="3"/>
  <c r="I183" i="5"/>
  <c r="J183" i="5" s="1"/>
  <c r="I165" i="5"/>
  <c r="J165" i="5" s="1"/>
  <c r="I180" i="5"/>
  <c r="J180" i="5" s="1"/>
  <c r="I177" i="5"/>
  <c r="J177" i="5" s="1"/>
  <c r="I195" i="5"/>
  <c r="J195" i="5" s="1"/>
  <c r="I192" i="5"/>
  <c r="J192" i="5" s="1"/>
  <c r="I147" i="5"/>
  <c r="J147" i="5" s="1"/>
  <c r="I159" i="5"/>
  <c r="J159" i="5" s="1"/>
  <c r="C140" i="5"/>
  <c r="E171" i="5"/>
  <c r="F171" i="5" s="1"/>
  <c r="E153" i="5"/>
  <c r="F153" i="5" s="1"/>
  <c r="D97" i="8"/>
  <c r="D112" i="8" s="1"/>
  <c r="D129" i="8" s="1"/>
  <c r="D134" i="8" s="1"/>
  <c r="D110" i="8"/>
  <c r="D109" i="8"/>
  <c r="D116" i="8" s="1"/>
  <c r="D133" i="8" s="1"/>
  <c r="D138" i="8" s="1"/>
  <c r="D103" i="8"/>
  <c r="D114" i="8" s="1"/>
  <c r="D131" i="8" s="1"/>
  <c r="D136" i="8" s="1"/>
  <c r="I108" i="8"/>
  <c r="AB29" i="3"/>
  <c r="AB25" i="3"/>
  <c r="AB21" i="3"/>
  <c r="AB34" i="3"/>
  <c r="AB30" i="3"/>
  <c r="AB22" i="3"/>
  <c r="C136" i="9"/>
  <c r="AB35" i="3"/>
  <c r="AB27" i="3"/>
  <c r="AB20" i="3"/>
  <c r="AB28" i="3"/>
  <c r="D103" i="11"/>
  <c r="D114" i="11" s="1"/>
  <c r="D131" i="11" s="1"/>
  <c r="D136" i="11" s="1"/>
  <c r="AD17" i="3"/>
  <c r="AD9" i="3"/>
  <c r="AD6" i="3"/>
  <c r="AC31" i="3"/>
  <c r="AC23" i="3"/>
  <c r="AC33" i="3"/>
  <c r="AC19" i="3"/>
  <c r="AC32" i="3"/>
  <c r="AC24" i="3"/>
  <c r="E165" i="11" l="1"/>
  <c r="F165" i="11" s="1"/>
  <c r="F167" i="11" s="1"/>
  <c r="L47" i="3" s="1"/>
  <c r="E177" i="11"/>
  <c r="F177" i="11" s="1"/>
  <c r="F179" i="11" s="1"/>
  <c r="P47" i="3" s="1"/>
  <c r="AD46" i="3"/>
  <c r="E183" i="11"/>
  <c r="F183" i="11" s="1"/>
  <c r="F185" i="11" s="1"/>
  <c r="T47" i="3" s="1"/>
  <c r="E147" i="11"/>
  <c r="F147" i="11" s="1"/>
  <c r="F149" i="11" s="1"/>
  <c r="F47" i="3" s="1"/>
  <c r="AD40" i="3"/>
  <c r="E159" i="11"/>
  <c r="F159" i="11" s="1"/>
  <c r="F161" i="11" s="1"/>
  <c r="J47" i="3" s="1"/>
  <c r="E195" i="11"/>
  <c r="F195" i="11" s="1"/>
  <c r="F197" i="11" s="1"/>
  <c r="Z47" i="3" s="1"/>
  <c r="E180" i="11"/>
  <c r="F180" i="11" s="1"/>
  <c r="F182" i="11" s="1"/>
  <c r="R47" i="3" s="1"/>
  <c r="L182" i="11"/>
  <c r="K147" i="11"/>
  <c r="L147" i="11" s="1"/>
  <c r="L149" i="11" s="1"/>
  <c r="AD44" i="3"/>
  <c r="AD37" i="3"/>
  <c r="K183" i="11"/>
  <c r="L183" i="11" s="1"/>
  <c r="L185" i="11" s="1"/>
  <c r="AB50" i="3"/>
  <c r="K195" i="11"/>
  <c r="L195" i="11" s="1"/>
  <c r="L197" i="11" s="1"/>
  <c r="K192" i="11"/>
  <c r="L192" i="11" s="1"/>
  <c r="L194" i="11" s="1"/>
  <c r="AD48" i="3"/>
  <c r="AD49" i="3"/>
  <c r="I98" i="8"/>
  <c r="I101" i="8"/>
  <c r="C196" i="5"/>
  <c r="K196" i="5" s="1"/>
  <c r="L196" i="5" s="1"/>
  <c r="L197" i="5" s="1"/>
  <c r="F194" i="11"/>
  <c r="X47" i="3" s="1"/>
  <c r="C184" i="5"/>
  <c r="G184" i="5" s="1"/>
  <c r="H184" i="5" s="1"/>
  <c r="H185" i="5" s="1"/>
  <c r="I106" i="8"/>
  <c r="I115" i="8" s="1"/>
  <c r="I132" i="8" s="1"/>
  <c r="I137" i="8" s="1"/>
  <c r="I105" i="8"/>
  <c r="I97" i="8"/>
  <c r="I112" i="8" s="1"/>
  <c r="I129" i="8" s="1"/>
  <c r="I134" i="8" s="1"/>
  <c r="C178" i="8" s="1"/>
  <c r="I99" i="8"/>
  <c r="I107" i="8"/>
  <c r="I109" i="8"/>
  <c r="I116" i="8" s="1"/>
  <c r="I133" i="8" s="1"/>
  <c r="I138" i="8" s="1"/>
  <c r="I102" i="8"/>
  <c r="C172" i="5"/>
  <c r="D172" i="5" s="1"/>
  <c r="D173" i="5" s="1"/>
  <c r="N16" i="3" s="1"/>
  <c r="I103" i="8"/>
  <c r="I114" i="8" s="1"/>
  <c r="I131" i="8" s="1"/>
  <c r="I136" i="8" s="1"/>
  <c r="K177" i="11"/>
  <c r="L177" i="11" s="1"/>
  <c r="L179" i="11" s="1"/>
  <c r="K159" i="11"/>
  <c r="L159" i="11" s="1"/>
  <c r="L161" i="11" s="1"/>
  <c r="I100" i="8"/>
  <c r="I113" i="8" s="1"/>
  <c r="I130" i="8" s="1"/>
  <c r="I135" i="8" s="1"/>
  <c r="I110" i="8"/>
  <c r="C154" i="5"/>
  <c r="K154" i="5" s="1"/>
  <c r="L154" i="5" s="1"/>
  <c r="L155" i="5" s="1"/>
  <c r="I104" i="8"/>
  <c r="K165" i="11"/>
  <c r="L165" i="11" s="1"/>
  <c r="L167" i="11" s="1"/>
  <c r="H155" i="11"/>
  <c r="H38" i="3" s="1"/>
  <c r="F155" i="11"/>
  <c r="H47" i="3" s="1"/>
  <c r="AC36" i="3"/>
  <c r="C160" i="5"/>
  <c r="I160" i="5" s="1"/>
  <c r="J160" i="5" s="1"/>
  <c r="J161" i="5" s="1"/>
  <c r="E166" i="5"/>
  <c r="F166" i="5" s="1"/>
  <c r="F167" i="5" s="1"/>
  <c r="E172" i="5"/>
  <c r="K172" i="5" s="1"/>
  <c r="L172" i="5" s="1"/>
  <c r="L173" i="5" s="1"/>
  <c r="C190" i="5"/>
  <c r="I190" i="5" s="1"/>
  <c r="J190" i="5" s="1"/>
  <c r="J191" i="5" s="1"/>
  <c r="C193" i="5"/>
  <c r="K193" i="5" s="1"/>
  <c r="L193" i="5" s="1"/>
  <c r="L194" i="5" s="1"/>
  <c r="C178" i="5"/>
  <c r="D178" i="5" s="1"/>
  <c r="D179" i="5" s="1"/>
  <c r="P10" i="3" s="1"/>
  <c r="E178" i="5"/>
  <c r="G178" i="5" s="1"/>
  <c r="H178" i="5" s="1"/>
  <c r="H179" i="5" s="1"/>
  <c r="AB36" i="3"/>
  <c r="C166" i="5"/>
  <c r="D166" i="5" s="1"/>
  <c r="D167" i="5" s="1"/>
  <c r="L16" i="3" s="1"/>
  <c r="C181" i="5"/>
  <c r="E181" i="5" s="1"/>
  <c r="F181" i="5" s="1"/>
  <c r="F182" i="5" s="1"/>
  <c r="AD18" i="3"/>
  <c r="G195" i="8"/>
  <c r="H195" i="8" s="1"/>
  <c r="G180" i="8"/>
  <c r="H180" i="8" s="1"/>
  <c r="G159" i="8"/>
  <c r="H159" i="8" s="1"/>
  <c r="G192" i="8"/>
  <c r="H192" i="8" s="1"/>
  <c r="G177" i="8"/>
  <c r="H177" i="8" s="1"/>
  <c r="G183" i="8"/>
  <c r="H183" i="8" s="1"/>
  <c r="G147" i="8"/>
  <c r="H147" i="8" s="1"/>
  <c r="G165" i="8"/>
  <c r="H165" i="8" s="1"/>
  <c r="C195" i="8"/>
  <c r="D195" i="8" s="1"/>
  <c r="C180" i="8"/>
  <c r="D180" i="8" s="1"/>
  <c r="C159" i="8"/>
  <c r="D159" i="8" s="1"/>
  <c r="C183" i="8"/>
  <c r="D183" i="8" s="1"/>
  <c r="C147" i="8"/>
  <c r="D147" i="8" s="1"/>
  <c r="C192" i="8"/>
  <c r="D192" i="8" s="1"/>
  <c r="C165" i="8"/>
  <c r="D165" i="8" s="1"/>
  <c r="C177" i="8"/>
  <c r="D177" i="8" s="1"/>
  <c r="E147" i="8"/>
  <c r="F147" i="8" s="1"/>
  <c r="E165" i="8"/>
  <c r="F165" i="8" s="1"/>
  <c r="E177" i="8"/>
  <c r="F177" i="8" s="1"/>
  <c r="E183" i="8"/>
  <c r="F183" i="8" s="1"/>
  <c r="E180" i="8"/>
  <c r="F180" i="8" s="1"/>
  <c r="E195" i="8"/>
  <c r="F195" i="8" s="1"/>
  <c r="E159" i="8"/>
  <c r="F159" i="8" s="1"/>
  <c r="E192" i="8"/>
  <c r="F192" i="8" s="1"/>
  <c r="K195" i="8"/>
  <c r="L195" i="8" s="1"/>
  <c r="K180" i="8"/>
  <c r="L180" i="8" s="1"/>
  <c r="K159" i="8"/>
  <c r="L159" i="8" s="1"/>
  <c r="K165" i="8"/>
  <c r="L165" i="8" s="1"/>
  <c r="K147" i="8"/>
  <c r="L147" i="8" s="1"/>
  <c r="K192" i="8"/>
  <c r="L192" i="8" s="1"/>
  <c r="K183" i="8"/>
  <c r="L183" i="8" s="1"/>
  <c r="K177" i="8"/>
  <c r="L177" i="8" s="1"/>
  <c r="I147" i="8"/>
  <c r="J147" i="8" s="1"/>
  <c r="I183" i="8"/>
  <c r="J183" i="8" s="1"/>
  <c r="I180" i="8"/>
  <c r="J180" i="8" s="1"/>
  <c r="I177" i="8"/>
  <c r="J177" i="8" s="1"/>
  <c r="I192" i="8"/>
  <c r="J192" i="8" s="1"/>
  <c r="I195" i="8"/>
  <c r="J195" i="8" s="1"/>
  <c r="I159" i="8"/>
  <c r="J159" i="8" s="1"/>
  <c r="I165" i="8"/>
  <c r="J165" i="8" s="1"/>
  <c r="G192" i="11"/>
  <c r="H192" i="11" s="1"/>
  <c r="H194" i="11" s="1"/>
  <c r="G180" i="11"/>
  <c r="H180" i="11" s="1"/>
  <c r="H182" i="11" s="1"/>
  <c r="G159" i="11"/>
  <c r="H159" i="11" s="1"/>
  <c r="H161" i="11" s="1"/>
  <c r="G183" i="11"/>
  <c r="H183" i="11" s="1"/>
  <c r="H185" i="11" s="1"/>
  <c r="G165" i="11"/>
  <c r="H165" i="11" s="1"/>
  <c r="H167" i="11" s="1"/>
  <c r="G147" i="11"/>
  <c r="H147" i="11" s="1"/>
  <c r="H149" i="11" s="1"/>
  <c r="G177" i="11"/>
  <c r="H177" i="11" s="1"/>
  <c r="H179" i="11" s="1"/>
  <c r="G195" i="11"/>
  <c r="H195" i="11" s="1"/>
  <c r="H197" i="11" s="1"/>
  <c r="AC16" i="3"/>
  <c r="AC10" i="3"/>
  <c r="C192" i="11"/>
  <c r="D192" i="11" s="1"/>
  <c r="D194" i="11" s="1"/>
  <c r="C180" i="11"/>
  <c r="D180" i="11" s="1"/>
  <c r="D182" i="11" s="1"/>
  <c r="C159" i="11"/>
  <c r="D159" i="11" s="1"/>
  <c r="D161" i="11" s="1"/>
  <c r="C183" i="11"/>
  <c r="D183" i="11" s="1"/>
  <c r="D185" i="11" s="1"/>
  <c r="C165" i="11"/>
  <c r="D165" i="11" s="1"/>
  <c r="D167" i="11" s="1"/>
  <c r="C177" i="11"/>
  <c r="D177" i="11" s="1"/>
  <c r="D179" i="11" s="1"/>
  <c r="C195" i="11"/>
  <c r="D195" i="11" s="1"/>
  <c r="D197" i="11" s="1"/>
  <c r="C147" i="11"/>
  <c r="D147" i="11" s="1"/>
  <c r="D149" i="11" s="1"/>
  <c r="E154" i="5"/>
  <c r="F154" i="5" s="1"/>
  <c r="K184" i="5"/>
  <c r="L184" i="5" s="1"/>
  <c r="L185" i="5" s="1"/>
  <c r="H46" i="3"/>
  <c r="H44" i="3"/>
  <c r="H40" i="3"/>
  <c r="H42" i="3"/>
  <c r="H37" i="3"/>
  <c r="N45" i="3"/>
  <c r="N41" i="3"/>
  <c r="N38" i="3"/>
  <c r="N43" i="3"/>
  <c r="N39" i="3"/>
  <c r="AC44" i="3"/>
  <c r="AC40" i="3"/>
  <c r="AC46" i="3"/>
  <c r="AC42" i="3"/>
  <c r="AC37" i="3"/>
  <c r="C193" i="8"/>
  <c r="C190" i="8"/>
  <c r="C160" i="8"/>
  <c r="F155" i="5"/>
  <c r="I192" i="11"/>
  <c r="J192" i="11" s="1"/>
  <c r="J194" i="11" s="1"/>
  <c r="I195" i="11"/>
  <c r="J195" i="11" s="1"/>
  <c r="J197" i="11" s="1"/>
  <c r="I147" i="11"/>
  <c r="J147" i="11" s="1"/>
  <c r="J149" i="11" s="1"/>
  <c r="I177" i="11"/>
  <c r="J177" i="11" s="1"/>
  <c r="J179" i="11" s="1"/>
  <c r="I180" i="11"/>
  <c r="J180" i="11" s="1"/>
  <c r="J182" i="11" s="1"/>
  <c r="I165" i="11"/>
  <c r="J165" i="11" s="1"/>
  <c r="J167" i="11" s="1"/>
  <c r="I159" i="11"/>
  <c r="J159" i="11" s="1"/>
  <c r="J161" i="11" s="1"/>
  <c r="I183" i="11"/>
  <c r="J183" i="11" s="1"/>
  <c r="J185" i="11" s="1"/>
  <c r="I178" i="5"/>
  <c r="J178" i="5" s="1"/>
  <c r="J179" i="5" s="1"/>
  <c r="H48" i="3"/>
  <c r="H49" i="3"/>
  <c r="AD31" i="3"/>
  <c r="AD23" i="3"/>
  <c r="AD32" i="3"/>
  <c r="AD24" i="3"/>
  <c r="AD19" i="3"/>
  <c r="AD33" i="3"/>
  <c r="P16" i="3"/>
  <c r="AC17" i="3"/>
  <c r="AC9" i="3"/>
  <c r="AC6" i="3"/>
  <c r="I166" i="5"/>
  <c r="J166" i="5" s="1"/>
  <c r="J167" i="5" s="1"/>
  <c r="G190" i="5"/>
  <c r="H190" i="5" s="1"/>
  <c r="H191" i="5" s="1"/>
  <c r="AC49" i="3"/>
  <c r="AC48" i="3"/>
  <c r="AD35" i="3"/>
  <c r="AD27" i="3"/>
  <c r="AD28" i="3"/>
  <c r="AD20" i="3"/>
  <c r="AD21" i="3"/>
  <c r="AD30" i="3"/>
  <c r="AD29" i="3"/>
  <c r="AD34" i="3"/>
  <c r="AD25" i="3"/>
  <c r="AD22" i="3"/>
  <c r="I181" i="5"/>
  <c r="J181" i="5" s="1"/>
  <c r="J182" i="5" s="1"/>
  <c r="D181" i="5"/>
  <c r="D182" i="5" s="1"/>
  <c r="G148" i="5"/>
  <c r="H148" i="5" s="1"/>
  <c r="H149" i="5" s="1"/>
  <c r="E148" i="5"/>
  <c r="F148" i="5" s="1"/>
  <c r="F149" i="5" s="1"/>
  <c r="I148" i="5"/>
  <c r="J148" i="5" s="1"/>
  <c r="J149" i="5" s="1"/>
  <c r="D148" i="5"/>
  <c r="D149" i="5" s="1"/>
  <c r="N46" i="3"/>
  <c r="N42" i="3"/>
  <c r="N37" i="3"/>
  <c r="N44" i="3"/>
  <c r="N40" i="3"/>
  <c r="AC12" i="3"/>
  <c r="AC8" i="3"/>
  <c r="AC13" i="3"/>
  <c r="AC14" i="3"/>
  <c r="AC7" i="3"/>
  <c r="AC11" i="3"/>
  <c r="AC15" i="3"/>
  <c r="N49" i="3"/>
  <c r="N48" i="3"/>
  <c r="AC45" i="3"/>
  <c r="AC41" i="3"/>
  <c r="AC38" i="3"/>
  <c r="AC43" i="3"/>
  <c r="AC39" i="3"/>
  <c r="I184" i="5" l="1"/>
  <c r="J184" i="5" s="1"/>
  <c r="J185" i="5" s="1"/>
  <c r="K160" i="5"/>
  <c r="L160" i="5" s="1"/>
  <c r="L161" i="5" s="1"/>
  <c r="E193" i="5"/>
  <c r="F193" i="5" s="1"/>
  <c r="F194" i="5" s="1"/>
  <c r="C172" i="8"/>
  <c r="G172" i="8" s="1"/>
  <c r="H172" i="8" s="1"/>
  <c r="H173" i="8" s="1"/>
  <c r="E184" i="5"/>
  <c r="F184" i="5" s="1"/>
  <c r="F185" i="5" s="1"/>
  <c r="D193" i="5"/>
  <c r="D194" i="5" s="1"/>
  <c r="D184" i="5"/>
  <c r="D185" i="5" s="1"/>
  <c r="T16" i="3" s="1"/>
  <c r="G160" i="5"/>
  <c r="H160" i="5" s="1"/>
  <c r="H161" i="5" s="1"/>
  <c r="J14" i="3" s="1"/>
  <c r="G193" i="5"/>
  <c r="H193" i="5" s="1"/>
  <c r="H194" i="5" s="1"/>
  <c r="C184" i="8"/>
  <c r="N10" i="3"/>
  <c r="AA47" i="3"/>
  <c r="G154" i="5"/>
  <c r="H154" i="5" s="1"/>
  <c r="H155" i="5" s="1"/>
  <c r="H7" i="3" s="1"/>
  <c r="F172" i="5"/>
  <c r="F173" i="5" s="1"/>
  <c r="D154" i="5"/>
  <c r="D155" i="5" s="1"/>
  <c r="H16" i="3" s="1"/>
  <c r="I172" i="5"/>
  <c r="J172" i="5" s="1"/>
  <c r="J173" i="5" s="1"/>
  <c r="N6" i="3" s="1"/>
  <c r="K178" i="5"/>
  <c r="L178" i="5" s="1"/>
  <c r="L179" i="5" s="1"/>
  <c r="G196" i="5"/>
  <c r="H196" i="5" s="1"/>
  <c r="H197" i="5" s="1"/>
  <c r="Z14" i="3" s="1"/>
  <c r="H39" i="3"/>
  <c r="AB52" i="3"/>
  <c r="G9" i="13" s="1"/>
  <c r="H9" i="13" s="1"/>
  <c r="L10" i="3"/>
  <c r="AD50" i="3"/>
  <c r="K166" i="5"/>
  <c r="L166" i="5" s="1"/>
  <c r="L167" i="5" s="1"/>
  <c r="H41" i="3"/>
  <c r="G181" i="5"/>
  <c r="H181" i="5" s="1"/>
  <c r="H182" i="5" s="1"/>
  <c r="R15" i="3" s="1"/>
  <c r="G166" i="5"/>
  <c r="H166" i="5" s="1"/>
  <c r="H167" i="5" s="1"/>
  <c r="L7" i="3" s="1"/>
  <c r="E160" i="5"/>
  <c r="F160" i="5" s="1"/>
  <c r="F161" i="5" s="1"/>
  <c r="H45" i="3"/>
  <c r="I193" i="5"/>
  <c r="J193" i="5" s="1"/>
  <c r="J194" i="5" s="1"/>
  <c r="X9" i="3" s="1"/>
  <c r="D196" i="5"/>
  <c r="D197" i="5" s="1"/>
  <c r="Z16" i="3" s="1"/>
  <c r="I196" i="5"/>
  <c r="J196" i="5" s="1"/>
  <c r="J197" i="5" s="1"/>
  <c r="Z17" i="3" s="1"/>
  <c r="K181" i="5"/>
  <c r="L181" i="5" s="1"/>
  <c r="L182" i="5" s="1"/>
  <c r="H43" i="3"/>
  <c r="E196" i="5"/>
  <c r="F196" i="5" s="1"/>
  <c r="F197" i="5" s="1"/>
  <c r="D160" i="5"/>
  <c r="D161" i="5" s="1"/>
  <c r="J10" i="3" s="1"/>
  <c r="E190" i="5"/>
  <c r="F190" i="5" s="1"/>
  <c r="F191" i="5" s="1"/>
  <c r="F178" i="5"/>
  <c r="F179" i="5" s="1"/>
  <c r="C166" i="8"/>
  <c r="E166" i="8" s="1"/>
  <c r="F166" i="8" s="1"/>
  <c r="F167" i="8" s="1"/>
  <c r="C148" i="8"/>
  <c r="G148" i="8" s="1"/>
  <c r="H148" i="8" s="1"/>
  <c r="H149" i="8" s="1"/>
  <c r="C154" i="8"/>
  <c r="K154" i="8" s="1"/>
  <c r="L154" i="8" s="1"/>
  <c r="L155" i="8" s="1"/>
  <c r="I154" i="5"/>
  <c r="J154" i="5" s="1"/>
  <c r="J155" i="5" s="1"/>
  <c r="H17" i="3" s="1"/>
  <c r="G172" i="5"/>
  <c r="H172" i="5" s="1"/>
  <c r="H173" i="5" s="1"/>
  <c r="N14" i="3" s="1"/>
  <c r="D190" i="5"/>
  <c r="D191" i="5" s="1"/>
  <c r="V16" i="3" s="1"/>
  <c r="K190" i="5"/>
  <c r="L190" i="5" s="1"/>
  <c r="L191" i="5" s="1"/>
  <c r="C196" i="8"/>
  <c r="I196" i="8" s="1"/>
  <c r="J196" i="8" s="1"/>
  <c r="J197" i="8" s="1"/>
  <c r="Z26" i="3" s="1"/>
  <c r="C181" i="8"/>
  <c r="E181" i="8" s="1"/>
  <c r="F181" i="8" s="1"/>
  <c r="F182" i="8" s="1"/>
  <c r="AC50" i="3"/>
  <c r="AD36" i="3"/>
  <c r="AC18" i="3"/>
  <c r="F17" i="3"/>
  <c r="F9" i="3"/>
  <c r="F6" i="3"/>
  <c r="H6" i="3"/>
  <c r="T6" i="3"/>
  <c r="T17" i="3"/>
  <c r="T9" i="3"/>
  <c r="J17" i="3"/>
  <c r="J9" i="3"/>
  <c r="J6" i="3"/>
  <c r="P6" i="3"/>
  <c r="P17" i="3"/>
  <c r="P9" i="3"/>
  <c r="R17" i="3"/>
  <c r="R9" i="3"/>
  <c r="R6" i="3"/>
  <c r="L6" i="3"/>
  <c r="L9" i="3"/>
  <c r="L17" i="3"/>
  <c r="R11" i="3"/>
  <c r="R8" i="3"/>
  <c r="V17" i="3"/>
  <c r="V9" i="3"/>
  <c r="V6" i="3"/>
  <c r="J48" i="3"/>
  <c r="J49" i="3"/>
  <c r="I172" i="8"/>
  <c r="J172" i="8" s="1"/>
  <c r="J173" i="8" s="1"/>
  <c r="N26" i="3" s="1"/>
  <c r="T46" i="3"/>
  <c r="T44" i="3"/>
  <c r="T40" i="3"/>
  <c r="T42" i="3"/>
  <c r="T37" i="3"/>
  <c r="P15" i="3"/>
  <c r="P11" i="3"/>
  <c r="P7" i="3"/>
  <c r="P12" i="3"/>
  <c r="P8" i="3"/>
  <c r="P13" i="3"/>
  <c r="P14" i="3"/>
  <c r="T48" i="3"/>
  <c r="T49" i="3"/>
  <c r="P48" i="3"/>
  <c r="P49" i="3"/>
  <c r="K160" i="8"/>
  <c r="L160" i="8" s="1"/>
  <c r="L161" i="8" s="1"/>
  <c r="G160" i="8"/>
  <c r="H160" i="8" s="1"/>
  <c r="H161" i="8" s="1"/>
  <c r="E160" i="8"/>
  <c r="F160" i="8" s="1"/>
  <c r="F161" i="8" s="1"/>
  <c r="I160" i="8"/>
  <c r="J160" i="8" s="1"/>
  <c r="D160" i="8"/>
  <c r="D161" i="8" s="1"/>
  <c r="I184" i="8"/>
  <c r="J184" i="8" s="1"/>
  <c r="J185" i="8" s="1"/>
  <c r="T26" i="3" s="1"/>
  <c r="E184" i="8"/>
  <c r="F184" i="8" s="1"/>
  <c r="F185" i="8" s="1"/>
  <c r="K184" i="8"/>
  <c r="L184" i="8" s="1"/>
  <c r="G184" i="8"/>
  <c r="H184" i="8" s="1"/>
  <c r="D184" i="8"/>
  <c r="K193" i="8"/>
  <c r="L193" i="8" s="1"/>
  <c r="L194" i="8" s="1"/>
  <c r="G193" i="8"/>
  <c r="H193" i="8" s="1"/>
  <c r="H194" i="8" s="1"/>
  <c r="E193" i="8"/>
  <c r="F193" i="8" s="1"/>
  <c r="F194" i="8" s="1"/>
  <c r="I193" i="8"/>
  <c r="J193" i="8" s="1"/>
  <c r="J194" i="8" s="1"/>
  <c r="X26" i="3" s="1"/>
  <c r="D193" i="8"/>
  <c r="D194" i="8" s="1"/>
  <c r="T15" i="3"/>
  <c r="T11" i="3"/>
  <c r="T7" i="3"/>
  <c r="T12" i="3"/>
  <c r="T8" i="3"/>
  <c r="T13" i="3"/>
  <c r="T14" i="3"/>
  <c r="L44" i="3"/>
  <c r="L40" i="3"/>
  <c r="L46" i="3"/>
  <c r="L42" i="3"/>
  <c r="L37" i="3"/>
  <c r="X46" i="3"/>
  <c r="X44" i="3"/>
  <c r="X40" i="3"/>
  <c r="X42" i="3"/>
  <c r="X37" i="3"/>
  <c r="Z9" i="3"/>
  <c r="Z6" i="3"/>
  <c r="Z45" i="3"/>
  <c r="Z41" i="3"/>
  <c r="Z38" i="3"/>
  <c r="Z43" i="3"/>
  <c r="Z39" i="3"/>
  <c r="T43" i="3"/>
  <c r="T39" i="3"/>
  <c r="T38" i="3"/>
  <c r="T45" i="3"/>
  <c r="T41" i="3"/>
  <c r="D185" i="8"/>
  <c r="F46" i="3"/>
  <c r="F42" i="3"/>
  <c r="F37" i="3"/>
  <c r="F44" i="3"/>
  <c r="F40" i="3"/>
  <c r="J45" i="3"/>
  <c r="J41" i="3"/>
  <c r="J38" i="3"/>
  <c r="J43" i="3"/>
  <c r="J39" i="3"/>
  <c r="F13" i="3"/>
  <c r="F14" i="3"/>
  <c r="F8" i="3"/>
  <c r="F7" i="3"/>
  <c r="F15" i="3"/>
  <c r="F11" i="3"/>
  <c r="F12" i="3"/>
  <c r="V13" i="3"/>
  <c r="V14" i="3"/>
  <c r="V8" i="3"/>
  <c r="V7" i="3"/>
  <c r="V11" i="3"/>
  <c r="V15" i="3"/>
  <c r="V12" i="3"/>
  <c r="J11" i="3"/>
  <c r="L48" i="3"/>
  <c r="L49" i="3"/>
  <c r="Z48" i="3"/>
  <c r="Z49" i="3"/>
  <c r="I166" i="8"/>
  <c r="J166" i="8" s="1"/>
  <c r="J167" i="8" s="1"/>
  <c r="L26" i="3" s="1"/>
  <c r="D148" i="8"/>
  <c r="D149" i="8" s="1"/>
  <c r="D154" i="8"/>
  <c r="D155" i="8" s="1"/>
  <c r="H15" i="3"/>
  <c r="H11" i="3"/>
  <c r="H8" i="3"/>
  <c r="H13" i="3"/>
  <c r="T10" i="3"/>
  <c r="Z46" i="3"/>
  <c r="Z42" i="3"/>
  <c r="Z37" i="3"/>
  <c r="Z44" i="3"/>
  <c r="Z40" i="3"/>
  <c r="J46" i="3"/>
  <c r="J42" i="3"/>
  <c r="J37" i="3"/>
  <c r="J44" i="3"/>
  <c r="J40" i="3"/>
  <c r="F45" i="3"/>
  <c r="F41" i="3"/>
  <c r="F38" i="3"/>
  <c r="F43" i="3"/>
  <c r="F39" i="3"/>
  <c r="R45" i="3"/>
  <c r="R41" i="3"/>
  <c r="R38" i="3"/>
  <c r="R43" i="3"/>
  <c r="R39" i="3"/>
  <c r="H185" i="8"/>
  <c r="F48" i="3"/>
  <c r="F49" i="3"/>
  <c r="G190" i="8"/>
  <c r="H190" i="8" s="1"/>
  <c r="H191" i="8" s="1"/>
  <c r="E190" i="8"/>
  <c r="F190" i="8" s="1"/>
  <c r="F191" i="8" s="1"/>
  <c r="K190" i="8"/>
  <c r="L190" i="8" s="1"/>
  <c r="L191" i="8" s="1"/>
  <c r="I190" i="8"/>
  <c r="J190" i="8" s="1"/>
  <c r="J191" i="8" s="1"/>
  <c r="V26" i="3" s="1"/>
  <c r="D190" i="8"/>
  <c r="D191" i="8" s="1"/>
  <c r="Z13" i="3"/>
  <c r="Z7" i="3"/>
  <c r="P43" i="3"/>
  <c r="P39" i="3"/>
  <c r="P45" i="3"/>
  <c r="P41" i="3"/>
  <c r="P38" i="3"/>
  <c r="J161" i="8"/>
  <c r="J26" i="3" s="1"/>
  <c r="L185" i="8"/>
  <c r="F10" i="3"/>
  <c r="F16" i="3"/>
  <c r="R10" i="3"/>
  <c r="R16" i="3"/>
  <c r="X16" i="3"/>
  <c r="X10" i="3"/>
  <c r="X15" i="3"/>
  <c r="X11" i="3"/>
  <c r="X7" i="3"/>
  <c r="X12" i="3"/>
  <c r="X8" i="3"/>
  <c r="X13" i="3"/>
  <c r="X14" i="3"/>
  <c r="R49" i="3"/>
  <c r="R48" i="3"/>
  <c r="X48" i="3"/>
  <c r="X49" i="3"/>
  <c r="K196" i="8"/>
  <c r="L196" i="8" s="1"/>
  <c r="L197" i="8" s="1"/>
  <c r="G196" i="8"/>
  <c r="H196" i="8" s="1"/>
  <c r="H197" i="8" s="1"/>
  <c r="E196" i="8"/>
  <c r="F196" i="8" s="1"/>
  <c r="F197" i="8" s="1"/>
  <c r="D196" i="8"/>
  <c r="I181" i="8"/>
  <c r="J181" i="8" s="1"/>
  <c r="J182" i="8" s="1"/>
  <c r="R26" i="3" s="1"/>
  <c r="K178" i="8"/>
  <c r="L178" i="8" s="1"/>
  <c r="L179" i="8" s="1"/>
  <c r="G178" i="8"/>
  <c r="H178" i="8" s="1"/>
  <c r="H179" i="8" s="1"/>
  <c r="I178" i="8"/>
  <c r="J178" i="8" s="1"/>
  <c r="J179" i="8" s="1"/>
  <c r="P26" i="3" s="1"/>
  <c r="E178" i="8"/>
  <c r="F178" i="8" s="1"/>
  <c r="F179" i="8" s="1"/>
  <c r="D178" i="8"/>
  <c r="D179" i="8" s="1"/>
  <c r="P44" i="3"/>
  <c r="P40" i="3"/>
  <c r="P46" i="3"/>
  <c r="P42" i="3"/>
  <c r="P37" i="3"/>
  <c r="R46" i="3"/>
  <c r="R42" i="3"/>
  <c r="R37" i="3"/>
  <c r="R44" i="3"/>
  <c r="R40" i="3"/>
  <c r="L43" i="3"/>
  <c r="L39" i="3"/>
  <c r="L41" i="3"/>
  <c r="L38" i="3"/>
  <c r="L45" i="3"/>
  <c r="X43" i="3"/>
  <c r="X39" i="3"/>
  <c r="X38" i="3"/>
  <c r="X45" i="3"/>
  <c r="X41" i="3"/>
  <c r="D197" i="8"/>
  <c r="J13" i="3" l="1"/>
  <c r="N9" i="3"/>
  <c r="E154" i="8"/>
  <c r="F154" i="8" s="1"/>
  <c r="F155" i="8" s="1"/>
  <c r="E172" i="8"/>
  <c r="F172" i="8" s="1"/>
  <c r="F173" i="8" s="1"/>
  <c r="G154" i="8"/>
  <c r="H154" i="8" s="1"/>
  <c r="H155" i="8" s="1"/>
  <c r="H25" i="3" s="1"/>
  <c r="J12" i="3"/>
  <c r="J8" i="3"/>
  <c r="J16" i="3"/>
  <c r="D172" i="8"/>
  <c r="D173" i="8" s="1"/>
  <c r="N32" i="3" s="1"/>
  <c r="K172" i="8"/>
  <c r="L172" i="8" s="1"/>
  <c r="L173" i="8" s="1"/>
  <c r="H10" i="3"/>
  <c r="J7" i="3"/>
  <c r="V10" i="3"/>
  <c r="I154" i="8"/>
  <c r="J154" i="8" s="1"/>
  <c r="J155" i="8" s="1"/>
  <c r="H26" i="3" s="1"/>
  <c r="J15" i="3"/>
  <c r="Z15" i="3"/>
  <c r="Z12" i="3"/>
  <c r="H12" i="3"/>
  <c r="R14" i="3"/>
  <c r="Z8" i="3"/>
  <c r="Z11" i="3"/>
  <c r="H14" i="3"/>
  <c r="R7" i="3"/>
  <c r="X17" i="3"/>
  <c r="N17" i="3"/>
  <c r="L14" i="3"/>
  <c r="Z10" i="3"/>
  <c r="L11" i="3"/>
  <c r="AD52" i="3"/>
  <c r="G11" i="13" s="1"/>
  <c r="H11" i="13" s="1"/>
  <c r="H9" i="3"/>
  <c r="AA9" i="3" s="1"/>
  <c r="X6" i="3"/>
  <c r="L15" i="3"/>
  <c r="N8" i="3"/>
  <c r="D181" i="8"/>
  <c r="D182" i="8" s="1"/>
  <c r="R23" i="3" s="1"/>
  <c r="L12" i="3"/>
  <c r="D166" i="8"/>
  <c r="D167" i="8" s="1"/>
  <c r="L19" i="3" s="1"/>
  <c r="N12" i="3"/>
  <c r="R12" i="3"/>
  <c r="R13" i="3"/>
  <c r="L8" i="3"/>
  <c r="K181" i="8"/>
  <c r="L181" i="8" s="1"/>
  <c r="L182" i="8" s="1"/>
  <c r="L13" i="3"/>
  <c r="G166" i="8"/>
  <c r="H166" i="8" s="1"/>
  <c r="H167" i="8" s="1"/>
  <c r="L34" i="3" s="1"/>
  <c r="N13" i="3"/>
  <c r="K148" i="8"/>
  <c r="L148" i="8" s="1"/>
  <c r="L149" i="8" s="1"/>
  <c r="G181" i="8"/>
  <c r="H181" i="8" s="1"/>
  <c r="H182" i="8" s="1"/>
  <c r="R20" i="3" s="1"/>
  <c r="E148" i="8"/>
  <c r="F148" i="8" s="1"/>
  <c r="F149" i="8" s="1"/>
  <c r="K166" i="8"/>
  <c r="L166" i="8" s="1"/>
  <c r="L167" i="8" s="1"/>
  <c r="N11" i="3"/>
  <c r="N15" i="3"/>
  <c r="AC52" i="3"/>
  <c r="G10" i="13" s="1"/>
  <c r="H10" i="13" s="1"/>
  <c r="I148" i="8"/>
  <c r="J148" i="8" s="1"/>
  <c r="J149" i="8" s="1"/>
  <c r="F26" i="3" s="1"/>
  <c r="N7" i="3"/>
  <c r="AA6" i="3"/>
  <c r="P29" i="3"/>
  <c r="P25" i="3"/>
  <c r="P21" i="3"/>
  <c r="P34" i="3"/>
  <c r="P30" i="3"/>
  <c r="P22" i="3"/>
  <c r="P35" i="3"/>
  <c r="P27" i="3"/>
  <c r="P20" i="3"/>
  <c r="P28" i="3"/>
  <c r="F35" i="3"/>
  <c r="F27" i="3"/>
  <c r="F28" i="3"/>
  <c r="F20" i="3"/>
  <c r="F34" i="3"/>
  <c r="F21" i="3"/>
  <c r="F30" i="3"/>
  <c r="F29" i="3"/>
  <c r="F25" i="3"/>
  <c r="F22" i="3"/>
  <c r="J31" i="3"/>
  <c r="J23" i="3"/>
  <c r="J32" i="3"/>
  <c r="J24" i="3"/>
  <c r="J19" i="3"/>
  <c r="J33" i="3"/>
  <c r="P33" i="3"/>
  <c r="P31" i="3"/>
  <c r="P19" i="3"/>
  <c r="P23" i="3"/>
  <c r="P32" i="3"/>
  <c r="P24" i="3"/>
  <c r="L21" i="3"/>
  <c r="F31" i="3"/>
  <c r="F23" i="3"/>
  <c r="F32" i="3"/>
  <c r="F24" i="3"/>
  <c r="F19" i="3"/>
  <c r="F33" i="3"/>
  <c r="X29" i="3"/>
  <c r="X25" i="3"/>
  <c r="X21" i="3"/>
  <c r="X34" i="3"/>
  <c r="X30" i="3"/>
  <c r="X22" i="3"/>
  <c r="X28" i="3"/>
  <c r="X35" i="3"/>
  <c r="X27" i="3"/>
  <c r="X20" i="3"/>
  <c r="Z35" i="3"/>
  <c r="Z27" i="3"/>
  <c r="Z28" i="3"/>
  <c r="Z20" i="3"/>
  <c r="Z19" i="3"/>
  <c r="Z30" i="3"/>
  <c r="Z29" i="3"/>
  <c r="Z34" i="3"/>
  <c r="Z25" i="3"/>
  <c r="Z22" i="3"/>
  <c r="Z21" i="3"/>
  <c r="V31" i="3"/>
  <c r="V23" i="3"/>
  <c r="V32" i="3"/>
  <c r="V24" i="3"/>
  <c r="V19" i="3"/>
  <c r="V33" i="3"/>
  <c r="T33" i="3"/>
  <c r="T32" i="3"/>
  <c r="T24" i="3"/>
  <c r="T31" i="3"/>
  <c r="T19" i="3"/>
  <c r="T23" i="3"/>
  <c r="N31" i="3"/>
  <c r="N23" i="3"/>
  <c r="N19" i="3"/>
  <c r="N33" i="3"/>
  <c r="J35" i="3"/>
  <c r="J27" i="3"/>
  <c r="J28" i="3"/>
  <c r="J20" i="3"/>
  <c r="J30" i="3"/>
  <c r="J29" i="3"/>
  <c r="J22" i="3"/>
  <c r="J34" i="3"/>
  <c r="J25" i="3"/>
  <c r="J21" i="3"/>
  <c r="AA43" i="3"/>
  <c r="H33" i="3"/>
  <c r="H23" i="3"/>
  <c r="H32" i="3"/>
  <c r="H24" i="3"/>
  <c r="H31" i="3"/>
  <c r="H19" i="3"/>
  <c r="AA37" i="3"/>
  <c r="V35" i="3"/>
  <c r="V27" i="3"/>
  <c r="V28" i="3"/>
  <c r="V20" i="3"/>
  <c r="V34" i="3"/>
  <c r="V25" i="3"/>
  <c r="V21" i="3"/>
  <c r="V30" i="3"/>
  <c r="V29" i="3"/>
  <c r="V22" i="3"/>
  <c r="AA16" i="3"/>
  <c r="AA49" i="3"/>
  <c r="AA41" i="3"/>
  <c r="H29" i="3"/>
  <c r="H34" i="3"/>
  <c r="H30" i="3"/>
  <c r="H35" i="3"/>
  <c r="H27" i="3"/>
  <c r="AA40" i="3"/>
  <c r="AA46" i="3"/>
  <c r="N35" i="3"/>
  <c r="N27" i="3"/>
  <c r="N28" i="3"/>
  <c r="N20" i="3"/>
  <c r="N21" i="3"/>
  <c r="N30" i="3"/>
  <c r="N29" i="3"/>
  <c r="N22" i="3"/>
  <c r="N34" i="3"/>
  <c r="N25" i="3"/>
  <c r="Z31" i="3"/>
  <c r="Z23" i="3"/>
  <c r="Z32" i="3"/>
  <c r="Z24" i="3"/>
  <c r="Z33" i="3"/>
  <c r="T29" i="3"/>
  <c r="T25" i="3"/>
  <c r="T21" i="3"/>
  <c r="T34" i="3"/>
  <c r="T30" i="3"/>
  <c r="T22" i="3"/>
  <c r="T28" i="3"/>
  <c r="T35" i="3"/>
  <c r="T27" i="3"/>
  <c r="T20" i="3"/>
  <c r="AA38" i="3"/>
  <c r="AA42" i="3"/>
  <c r="AA10" i="3"/>
  <c r="AA48" i="3"/>
  <c r="X33" i="3"/>
  <c r="X23" i="3"/>
  <c r="X32" i="3"/>
  <c r="X24" i="3"/>
  <c r="X31" i="3"/>
  <c r="X19" i="3"/>
  <c r="AA39" i="3"/>
  <c r="AA45" i="3"/>
  <c r="AA44" i="3"/>
  <c r="AA17" i="3"/>
  <c r="AA15" i="3" l="1"/>
  <c r="R30" i="3"/>
  <c r="R35" i="3"/>
  <c r="H28" i="3"/>
  <c r="H21" i="3"/>
  <c r="N24" i="3"/>
  <c r="AA26" i="3"/>
  <c r="H20" i="3"/>
  <c r="AA20" i="3" s="1"/>
  <c r="H22" i="3"/>
  <c r="AA14" i="3"/>
  <c r="R24" i="3"/>
  <c r="AA7" i="3"/>
  <c r="L35" i="3"/>
  <c r="AA35" i="3" s="1"/>
  <c r="R25" i="3"/>
  <c r="AA11" i="3"/>
  <c r="L24" i="3"/>
  <c r="AA24" i="3" s="1"/>
  <c r="L23" i="3"/>
  <c r="AA23" i="3" s="1"/>
  <c r="L31" i="3"/>
  <c r="AA8" i="3"/>
  <c r="L32" i="3"/>
  <c r="L33" i="3"/>
  <c r="R19" i="3"/>
  <c r="AA19" i="3" s="1"/>
  <c r="R29" i="3"/>
  <c r="R31" i="3"/>
  <c r="R27" i="3"/>
  <c r="AA12" i="3"/>
  <c r="AA13" i="3"/>
  <c r="L28" i="3"/>
  <c r="L22" i="3"/>
  <c r="L25" i="3"/>
  <c r="AA25" i="3" s="1"/>
  <c r="R32" i="3"/>
  <c r="L20" i="3"/>
  <c r="L30" i="3"/>
  <c r="AA30" i="3" s="1"/>
  <c r="L29" i="3"/>
  <c r="R34" i="3"/>
  <c r="AA34" i="3" s="1"/>
  <c r="R21" i="3"/>
  <c r="R33" i="3"/>
  <c r="AA33" i="3" s="1"/>
  <c r="L27" i="3"/>
  <c r="AA27" i="3" s="1"/>
  <c r="R22" i="3"/>
  <c r="R28" i="3"/>
  <c r="AA50" i="3"/>
  <c r="AA21" i="3" l="1"/>
  <c r="AA29" i="3"/>
  <c r="AA28" i="3"/>
  <c r="AA31" i="3"/>
  <c r="AA32" i="3"/>
  <c r="AA22" i="3"/>
  <c r="AA18" i="3"/>
  <c r="AA36" i="3" l="1"/>
  <c r="AA52" i="3"/>
  <c r="G8" i="13" s="1"/>
  <c r="H8" i="13" s="1"/>
  <c r="H13" i="13" s="1"/>
  <c r="AE54" i="3" l="1"/>
  <c r="AE55" i="3" s="1"/>
  <c r="G13" i="13"/>
</calcChain>
</file>

<file path=xl/sharedStrings.xml><?xml version="1.0" encoding="utf-8"?>
<sst xmlns="http://schemas.openxmlformats.org/spreadsheetml/2006/main" count="2960" uniqueCount="673">
  <si>
    <t>MEMÓRIA DE CÁLCULO</t>
  </si>
  <si>
    <t>Premissas Utilizadas</t>
  </si>
  <si>
    <t>Quantidade média de dias úteis no mês</t>
  </si>
  <si>
    <t>Quantidade de dias no mês</t>
  </si>
  <si>
    <t>Módulo 1</t>
  </si>
  <si>
    <t>Salário Normativo</t>
  </si>
  <si>
    <t>CCT</t>
  </si>
  <si>
    <t>Data Base</t>
  </si>
  <si>
    <t>CBO</t>
  </si>
  <si>
    <t>Carga horária semanal</t>
  </si>
  <si>
    <t>Salário Base (Cl. 3ª)</t>
  </si>
  <si>
    <t>Encarregado acima de 20 empregados (Caderno Técnico)</t>
  </si>
  <si>
    <t>Limpador Alpinista (vidros e fachadas de risco) (Cl. 4ª)</t>
  </si>
  <si>
    <t>CAX/IJU</t>
  </si>
  <si>
    <t>PSF</t>
  </si>
  <si>
    <t>Valor da diária do carregador</t>
  </si>
  <si>
    <t>Valor baseado em Pesquisa de Preços anexa ao Processo</t>
  </si>
  <si>
    <t>módulo 2</t>
  </si>
  <si>
    <t>Módulo 2.3</t>
  </si>
  <si>
    <t>Valor CCT</t>
  </si>
  <si>
    <t>custo empregado</t>
  </si>
  <si>
    <t>custo da empresa</t>
  </si>
  <si>
    <t>Auxílio alimentação 44h  ( Cl.18ª)</t>
  </si>
  <si>
    <t>Auxílio alimentação 30h/20h  ( Cl.18ª)</t>
  </si>
  <si>
    <t>Auxílio transporte  ( Cl.20ª)</t>
  </si>
  <si>
    <t>Prêmio Assiduidade  ( Cl.)</t>
  </si>
  <si>
    <t>Assistência ao Trabalhador  ( Cl.)</t>
  </si>
  <si>
    <t>Ajuda de Custo  limpeza de vidros e fachadas de risco</t>
  </si>
  <si>
    <t>Benefício assistência médica</t>
  </si>
  <si>
    <t>Benefício social familiar  ( Cl.29ª)</t>
  </si>
  <si>
    <t>Módulo 3</t>
  </si>
  <si>
    <t>3.1 -A - Aviso Prévio Indenizado:  Fórmula do Percentual: 1/12 x 5% = 0,42%; Fórmula: Total da Remuneração x 0,42%</t>
  </si>
  <si>
    <t>→ Proporção estimada dos empregados demitidos com Aviso Prévio Indenizado, no primeiro período de 12 meses, durante a vigência do contrato: 5%.</t>
  </si>
  <si>
    <t>C - Multa do FGTS sobre Aviso Prévio Indenizado -</t>
  </si>
  <si>
    <t>(Considerando que a multa do FGTS  incide uma única vez sobre a totalidade dos meses de contrato, independentemente da espécie de Aviso Prévio  - trabalhado ou indenizado -,  zeramos essa rubrica e aportamos na sua totalidade na alínea “f” deste mesmo módulo.)</t>
  </si>
  <si>
    <t>D - Aviso Prévio Trabalhado: Fórmula do Percentual: 1 / 30 dias x 7 dias / 12 meses = 1,94%; Fórmula: Total da Remuneração x 1,</t>
  </si>
  <si>
    <t>→ Foi considerado que 100% dos empregados seriam demitidos com Aviso Prévio Trabalhado ao final do contrato.</t>
  </si>
  <si>
    <t>(Esta parcela e seus reflexos  deverão ser reduzidos após o primeiro ano da contratação para o percentual máximo de 0,194% e, 0,072%, respectivamente: Acórdão 1.186/2017-P).</t>
  </si>
  <si>
    <t>OBS: Nas prorrogações deverá constar da planilha de custos somente a previsão da extensão do aviso prévio, consoante disposto na Lei nº 12.506/2011, de 03 dias a mais por ano trabalhado, até o limite máximo de 42 dias, haja vista que os contratos poderão ser prorrogados até 60 meses.</t>
  </si>
  <si>
    <t>F - Multa FGTS e contribuição social - Fórmula do Percentual: Alíquota do FGTS (8%) x Multa do FGTS (40%) x 90% x (1 + 1/12 + 1/12 + 1/3 x 1/12) = 3,44% ; Fórmula: (Total da Remuneração) x 3,44%</t>
  </si>
  <si>
    <t>→ Foi considerado que 10% dos empregados pedem as contas.</t>
  </si>
  <si>
    <t>Módulo 4</t>
  </si>
  <si>
    <t>4.1 - Substituto nas Ausências Legais</t>
  </si>
  <si>
    <t>A - Substituto na cobertura de Férias</t>
  </si>
  <si>
    <t>Provisão para as despesas com o pagamento do substituto do empregado residente, quando este se ausentar em razões de suas férias - Fórmula do Percentual: 1/12 = 8,33% ; Fórmula: (MÓDULO 1 + 2 + 3) x 8,33%</t>
  </si>
  <si>
    <t>B – Subs. cobertura de Ausências Legais</t>
  </si>
  <si>
    <t>Provisão para cobertura das despesas eventuais com outras faltas legais (justificadas ou abonadas por lei) - Fórmula do Percentual: Média de ausências por ano * (4,874) / dias do mês (30) / doze meses = 1,3538%;    Fórmula: (MÓDULO 1 + 2 + 3) x 1,3538%</t>
  </si>
  <si>
    <t>Ausência justificada</t>
  </si>
  <si>
    <t>Afastamento por doença</t>
  </si>
  <si>
    <t>* Fonte: Caderno técnico de Limpeza 2019 – Rio Grande do Sul - SEGES/ME</t>
  </si>
  <si>
    <t>Consulta médica filho</t>
  </si>
  <si>
    <t>Óbitos na família</t>
  </si>
  <si>
    <t>Casamento</t>
  </si>
  <si>
    <t>Doação de sangue</t>
  </si>
  <si>
    <t>Testemunho</t>
  </si>
  <si>
    <t>Consulta pré-natal</t>
  </si>
  <si>
    <t>TOTAL</t>
  </si>
  <si>
    <t>C - Subst. cobertura de Licença Parternidade</t>
  </si>
  <si>
    <t>Fórmula do Percentual: 5 dias de licença (5 / 30) / 12 meses x percentual estatístico* x percentual de empregados do sexo masculino** ;    Fórmula: (MÓDULO 1 + 2 + 3) x 0,02%</t>
  </si>
  <si>
    <t>*Expectativa anual de nascimento de filhos dos trabalhadores (IBGE – Manual de Preenchimento da Planilha de Custos):</t>
  </si>
  <si>
    <t>**Percentual de Homens: Limpeza</t>
  </si>
  <si>
    <t>D - Subst.  cobertura de Ausências por acidente de trabalho</t>
  </si>
  <si>
    <t>Lei  8.213/91 obriga o empregador a assumir o ônus financeiro pelo prazo de 15 dias, no caso de acidente de trabalho previsto no art. 131 da CLT. Fórmula do Percentual: 0,9659 * dias / 30 dias do mês / 12 meses = 0,2681% ; Fórmula: (MÓDULO 1 + 2 + 3) x 0,2681%</t>
  </si>
  <si>
    <t>* Média de faltas anuais por acidente de trabalho( dias)</t>
  </si>
  <si>
    <t>4.3 - Afastamento Maternidade</t>
  </si>
  <si>
    <t>A - Afastamento Maternidade</t>
  </si>
  <si>
    <t>Fórmula do Percentual: (Dias licença: 120 / Dias no mês: 30 ) x Percentual de Mulheres* x Expectativa mensal de Afastamento Maternidade**;  Fórmula: (13° Salário + Férias + Adicional Férias + Submódulo 2.2 + Benefícios Mensais excluídos vale transporte e vale refeição) x Percentual Encontrado</t>
  </si>
  <si>
    <t>*Percentual de Mulheres Limpeza</t>
  </si>
  <si>
    <t>**Expectativa mensal Afastamento Maternidade (Censo IBGE)</t>
  </si>
  <si>
    <t>Módulo 6</t>
  </si>
  <si>
    <t>A - Custos Indiretos</t>
  </si>
  <si>
    <t>B - Lucro</t>
  </si>
  <si>
    <t>Vale Transporte e ISS</t>
  </si>
  <si>
    <t>Unidade Orgânica GEX Caxias do Sul</t>
  </si>
  <si>
    <t>ISS</t>
  </si>
  <si>
    <t>VT</t>
  </si>
  <si>
    <t>Serventes</t>
  </si>
  <si>
    <t>VT*Servente</t>
  </si>
  <si>
    <t>Unidade Orgânica GEX Ijuí</t>
  </si>
  <si>
    <t>GERÊNCIA EXECUTIVA CAXIAS DO SUL</t>
  </si>
  <si>
    <t>GERÊNCIA EXECUTIVA IJUÍ</t>
  </si>
  <si>
    <t>APS BENTO GONÇALVES</t>
  </si>
  <si>
    <t>APS AADJ e PFE</t>
  </si>
  <si>
    <t>APS CANELA</t>
  </si>
  <si>
    <t>APS CERRO LARGO</t>
  </si>
  <si>
    <t>-</t>
  </si>
  <si>
    <t>APS CAXIAS DO SUL</t>
  </si>
  <si>
    <t>APS CRUZ ALTA</t>
  </si>
  <si>
    <t>APS FARROUPILHA</t>
  </si>
  <si>
    <t>APS FREDERICO WESTPHALEN</t>
  </si>
  <si>
    <t>APS GARIBALDI</t>
  </si>
  <si>
    <t>APS IJUÍ</t>
  </si>
  <si>
    <t>APS VACARIA</t>
  </si>
  <si>
    <t>APS PALMEIRA DAS MISSÕES</t>
  </si>
  <si>
    <t>APS VERANÓPOLIS</t>
  </si>
  <si>
    <t>APS PANAMBI</t>
  </si>
  <si>
    <t>APS NOVA PRATA</t>
  </si>
  <si>
    <t>APS SANTA ROSA</t>
  </si>
  <si>
    <t>APS CARLOS BARBOSA</t>
  </si>
  <si>
    <t>APS SANTO ÂNGELO</t>
  </si>
  <si>
    <t>APS FLORES DA CUNHA</t>
  </si>
  <si>
    <t>APS SÃO LUIZ GONZAGA</t>
  </si>
  <si>
    <t>CEDOCPREV CAXIAS</t>
  </si>
  <si>
    <t>APS TRÊS DE MAIO</t>
  </si>
  <si>
    <t>Média Simples VT</t>
  </si>
  <si>
    <t>APS TRÊS PASSOS</t>
  </si>
  <si>
    <t>Média Ponderada VT</t>
  </si>
  <si>
    <t>APS GIRUÁ</t>
  </si>
  <si>
    <t>APS HORIZONTINA</t>
  </si>
  <si>
    <t>APS IBIRUBÁ</t>
  </si>
  <si>
    <t>Unidade Orgânica GEX Passo Fundo</t>
  </si>
  <si>
    <t>APS PORTO LUCENA</t>
  </si>
  <si>
    <t>GEX PASSO FUNDO</t>
  </si>
  <si>
    <t>APS CARAZINHO</t>
  </si>
  <si>
    <t>APS ERECHIM</t>
  </si>
  <si>
    <t>APS GUAPORÉ</t>
  </si>
  <si>
    <t>APS LAGOA VERMELHA</t>
  </si>
  <si>
    <t>APS PASSO FUNDO</t>
  </si>
  <si>
    <t>APS SOLEDADE/RS</t>
  </si>
  <si>
    <t>APS CASCA</t>
  </si>
  <si>
    <t>APS GETÚLIO VARGAS</t>
  </si>
  <si>
    <t>APS MARAU/RS</t>
  </si>
  <si>
    <t>APS SERAFINA CORREA</t>
  </si>
  <si>
    <t>APS ESPUMOSO</t>
  </si>
  <si>
    <t>APS SARANDI/RS</t>
  </si>
  <si>
    <t>MATERIAIS</t>
  </si>
  <si>
    <t>Formalização da pesquisa de preços</t>
  </si>
  <si>
    <t>DISCRIMINAÇÃO</t>
  </si>
  <si>
    <t>UNIDADE</t>
  </si>
  <si>
    <t>QUANTIDADE DEFINIDA POR SERVENTE</t>
  </si>
  <si>
    <t>PREÇO MEDIO – PAINEL DE PREÇOS (R$)</t>
  </si>
  <si>
    <t>PREÇO MÉDIO - INTERNET (R$)</t>
  </si>
  <si>
    <t>CUSTO MÉDIO (R$)</t>
  </si>
  <si>
    <t>CUSTO MENSAL MATERIAIS POR SERVENTE</t>
  </si>
  <si>
    <t>USO(*)</t>
  </si>
  <si>
    <t>Art. 3º A pesquisa de preços será materializada em documento que conterá, no mínimo:</t>
  </si>
  <si>
    <t>Ácido Muriático</t>
  </si>
  <si>
    <t>litro</t>
  </si>
  <si>
    <t>VII</t>
  </si>
  <si>
    <t>I - identificação do agente responsável pela cotação;</t>
  </si>
  <si>
    <t>Agua Sanitária</t>
  </si>
  <si>
    <t>II,III</t>
  </si>
  <si>
    <t>II - caracterização das fontes consultadas;</t>
  </si>
  <si>
    <t>Álcool Gel 70%</t>
  </si>
  <si>
    <t>500 ml</t>
  </si>
  <si>
    <t>IX</t>
  </si>
  <si>
    <t>III - série de preços coletados;</t>
  </si>
  <si>
    <t>Álcool Liquido 70%</t>
  </si>
  <si>
    <t>V - justificativas para a metodologia utilizada, em especial para a desconsideração de valores inexequíveis, inconsistentes e excessivamente elevados, se aplicável.</t>
  </si>
  <si>
    <t>Cera Líquida</t>
  </si>
  <si>
    <t>5 litros</t>
  </si>
  <si>
    <t>I, X</t>
  </si>
  <si>
    <t>Desinfetante de uso geral/banheiro</t>
  </si>
  <si>
    <t>II, X</t>
  </si>
  <si>
    <t>Desincrustante limpeza pesada piso</t>
  </si>
  <si>
    <t>I, II, VII</t>
  </si>
  <si>
    <t>Detergente liquido neutro</t>
  </si>
  <si>
    <t>X</t>
  </si>
  <si>
    <t>Detergente para Louça</t>
  </si>
  <si>
    <t>II</t>
  </si>
  <si>
    <t>Estopa 500g</t>
  </si>
  <si>
    <t>Unidade</t>
  </si>
  <si>
    <t>I, II, X</t>
  </si>
  <si>
    <t>Fibra de limpeza pesada, 230mmx150mm</t>
  </si>
  <si>
    <t>I</t>
  </si>
  <si>
    <t>Esponja dupla face, 110mmx75mmx20mm</t>
  </si>
  <si>
    <t>Flanela de algodão 40cm x 60cm</t>
  </si>
  <si>
    <t>II,, III, XI,X</t>
  </si>
  <si>
    <t>Inseticida aerosol 300ml</t>
  </si>
  <si>
    <t>I, II,X</t>
  </si>
  <si>
    <t>Lã de aço fina uso doméstico</t>
  </si>
  <si>
    <t>PC  8UN</t>
  </si>
  <si>
    <t>Limpa-metais (polidor)</t>
  </si>
  <si>
    <t>VI</t>
  </si>
  <si>
    <t>Limpa Vidro líquido</t>
  </si>
  <si>
    <t>500ml</t>
  </si>
  <si>
    <t>IV</t>
  </si>
  <si>
    <t>Limpador Multiuso (Veja ou similar)</t>
  </si>
  <si>
    <t>Lustra Móveis líquido</t>
  </si>
  <si>
    <t>100 ml</t>
  </si>
  <si>
    <t>Luva borracha para limpeza (tamanho p/m/g)</t>
  </si>
  <si>
    <t>Par</t>
  </si>
  <si>
    <t>Odorizador de ambiente spray 360ml</t>
  </si>
  <si>
    <t>Pano para limpeza algodão alvejado 70 x 45 cm ( 120g)</t>
  </si>
  <si>
    <t>Papel higiênico 1ª qual,  branca, fl. dupla 30m x 10cm ( farto 64un)</t>
  </si>
  <si>
    <t>Fardo 64un</t>
  </si>
  <si>
    <t>Papel Higiênico Rolão com 300 metros x 10 cm (BRANCO, MACIO)</t>
  </si>
  <si>
    <t>Rolão ( fardo 8un)</t>
  </si>
  <si>
    <t>Papel Toalha interfolhada, cor branca, 21cmx22cm PC com 1000 fls</t>
  </si>
  <si>
    <t>Pacote</t>
  </si>
  <si>
    <t>Pastilha Sanitária com suporte</t>
  </si>
  <si>
    <t>pacote 25g</t>
  </si>
  <si>
    <t>Sabão em líquido neutro litros</t>
  </si>
  <si>
    <t>Sabão em Barra neutro 200g</t>
  </si>
  <si>
    <t>Sabão em pó</t>
  </si>
  <si>
    <t>Kg</t>
  </si>
  <si>
    <t>Sabonete Líquido neutro, 1ª qualidade</t>
  </si>
  <si>
    <t>Sapólio cremoso 300ml</t>
  </si>
  <si>
    <t>II,X</t>
  </si>
  <si>
    <t>Saco para Lixo reforçado 40L</t>
  </si>
  <si>
    <t>pcte 100 un</t>
  </si>
  <si>
    <t>I,II,V</t>
  </si>
  <si>
    <t>Saco para Lixo reforçado 60L</t>
  </si>
  <si>
    <t>Saco para Lixo reforçado 100L</t>
  </si>
  <si>
    <t>CUSTO MATERIAIS MENSAL POR SERVENTE</t>
  </si>
  <si>
    <t>UTENSÍLIOS</t>
  </si>
  <si>
    <t>QUANTIDADE DEFINIDA POR SERVENTE (ANUAL)</t>
  </si>
  <si>
    <t>CUSTO MENSAL UTENSÍLIOS POR SERVENTE</t>
  </si>
  <si>
    <t>Balde de Plástico 10L a 20L</t>
  </si>
  <si>
    <t>Desentupidor de Pia</t>
  </si>
  <si>
    <t>Desentupidor de Vaso Sanitário</t>
  </si>
  <si>
    <t>Disco Para Enceradeira</t>
  </si>
  <si>
    <t>Escova sanitária com suporte</t>
  </si>
  <si>
    <t>Escova para Enceradeira</t>
  </si>
  <si>
    <t>Escova de Nylon para tangue</t>
  </si>
  <si>
    <t>Espanador de pó, penas, cabo 40 a 60 cm</t>
  </si>
  <si>
    <t>Mop Seco</t>
  </si>
  <si>
    <t>Mop Úmido</t>
  </si>
  <si>
    <t>Mop Úmido Refil</t>
  </si>
  <si>
    <t>Pá plastido p/ coleta de lixo,  cabo longo 80 cm</t>
  </si>
  <si>
    <t>Rodo espuma com cabo comprido, 40 a 60 cm</t>
  </si>
  <si>
    <t>Rodo borracha dupla, cabo comprido, 40 a 60 cm</t>
  </si>
  <si>
    <t>Saco descartável para aspirador de pó</t>
  </si>
  <si>
    <t>PACOTE COM 3UN</t>
  </si>
  <si>
    <t>Suporte limpa tudo, c/ rosca, articulado,  cabo</t>
  </si>
  <si>
    <t>I,II,V,X</t>
  </si>
  <si>
    <t>Vassoura de Gari</t>
  </si>
  <si>
    <t>I,X</t>
  </si>
  <si>
    <t>Vassoura de Nylon</t>
  </si>
  <si>
    <t>I,IIV,VII,X</t>
  </si>
  <si>
    <t>Vassoura de palha</t>
  </si>
  <si>
    <t>CUSTO UTENSÍLIO MENSAL POR SERVENTE</t>
  </si>
  <si>
    <t>CUSTO TOTAL DE MATERIAIS + UTENSÍLIOS POR SERVENTE</t>
  </si>
  <si>
    <t>MATERIAIS/UTENSÍLIOS PARA ÁREA SANITIZAÇÃO</t>
  </si>
  <si>
    <t>QUANTIDADE DEFINIDA POR SERVENTE (MENSAL)</t>
  </si>
  <si>
    <t>PREÇO MÉDIO – PAINEL DE PREÇOS (R$)</t>
  </si>
  <si>
    <t>CUSTO MENSAL MATERIAIS (R$)</t>
  </si>
  <si>
    <t>Álcool isopropílico</t>
  </si>
  <si>
    <t>III</t>
  </si>
  <si>
    <t>XI</t>
  </si>
  <si>
    <t>Saco para Lixo Leitoso reforçado 100L</t>
  </si>
  <si>
    <t>V</t>
  </si>
  <si>
    <t>QUANTIDADE DEFINIDA (anual)</t>
  </si>
  <si>
    <t>Borrifador 350ml de Álcool de 350ml a 500 ml</t>
  </si>
  <si>
    <t>VALOR POR servente COVID</t>
  </si>
  <si>
    <t>As áreas destinadas ao consumo dos produtos solicitados estão assim distribuídas:</t>
  </si>
  <si>
    <t>I. Para uso em áreas de circulação</t>
  </si>
  <si>
    <t>II. Para uso em banheiros e cozinha</t>
  </si>
  <si>
    <t>III. Para uso nos protetores de acrílicos</t>
  </si>
  <si>
    <t>IV. Para uso em áreas envidraçadas e tampos de mesa</t>
  </si>
  <si>
    <t>V. Para uso nas salas</t>
  </si>
  <si>
    <t>VI. Para brilho em superfícies de Inox</t>
  </si>
  <si>
    <t>VII. Para limpeza de pisos e paredes de pedra</t>
  </si>
  <si>
    <t>VIII. Para limpeza dos microcomputadores</t>
  </si>
  <si>
    <t>XI. Higienização e desinfecção das mãos e superfícies de mobiliários e equipamentos</t>
  </si>
  <si>
    <t>X. Diversos</t>
  </si>
  <si>
    <t>EQUIPAMENTOS</t>
  </si>
  <si>
    <t>QUANTIDADE DEFINIDA (1 por Unidade) GEXCAX</t>
  </si>
  <si>
    <t>QUANTIDADE DEFINIDA (1 por Unidade) GEXIJU</t>
  </si>
  <si>
    <t>QUANTIDADE DEFINIDA (1 por Unidade) GEXPSF</t>
  </si>
  <si>
    <t>CUSTO MENSAL EQUIPAMENTOS (R$) - GEXCAX</t>
  </si>
  <si>
    <t>CUSTO MENSAL EQUIPAMENTOS (R$) - GEXIJU</t>
  </si>
  <si>
    <t>CUSTO MENSAL EQUIPAMENTOS (R$) - GEXPSF</t>
  </si>
  <si>
    <t>Aspirador de Pó</t>
  </si>
  <si>
    <t>Cabo Extensor para Limpeza (5 metros)</t>
  </si>
  <si>
    <t>Carro funcional c/ bolsa, metal/plástico, 3 prat.</t>
  </si>
  <si>
    <t>Enceradeira industrial DC 350 ( 60 meses)</t>
  </si>
  <si>
    <t>Escada domés.  Alum. Degraus 4 a 6, Antiderrap</t>
  </si>
  <si>
    <t>Extensão elétrica de 15mt</t>
  </si>
  <si>
    <t>Lavadora de alta pressão mínimo 1.500 LB</t>
  </si>
  <si>
    <t>Mangueira de jardim 20m, c/ esguicho/engate</t>
  </si>
  <si>
    <t>Placa sinalizadora (Piso Molhado - 2 por APS)</t>
  </si>
  <si>
    <t>Rastelo de Jardim (somente APS com áreas verdes)</t>
  </si>
  <si>
    <t>TOTAL GERAL (60 MESES)</t>
  </si>
  <si>
    <t>TOTAL ANUAL DE EQUIPAMENTOS  - Depreciação Anual conforme tabela da RFB - 10%</t>
  </si>
  <si>
    <t>VALOR POR SERVENTE</t>
  </si>
  <si>
    <t>UNIFORMES</t>
  </si>
  <si>
    <t>QUANTIDADE DEFINIDA (anual) – GEXCAX</t>
  </si>
  <si>
    <t>QUANTIDADE DEFINIDA (anual) – GEXIJU</t>
  </si>
  <si>
    <t>QUANTIDADE DEFINIDA (anual) – GEXPSF</t>
  </si>
  <si>
    <t>PREÇO MÉDIO – PAINEL DE PREÇOS</t>
  </si>
  <si>
    <t>PEÇO MÉDIO - INTERNET</t>
  </si>
  <si>
    <t>CUSTO MÉDIO</t>
  </si>
  <si>
    <t>CUSTO MENSAL UNIFORMES – GEXCAX</t>
  </si>
  <si>
    <t>CUSTO MENSAL UNIFORMES – GEXIJU</t>
  </si>
  <si>
    <t>CUSTO MENSAL UNIFORMES – GEXPSF</t>
  </si>
  <si>
    <t>SERVENTES</t>
  </si>
  <si>
    <t>Bata (avental) pano</t>
  </si>
  <si>
    <t>Bota de borracha</t>
  </si>
  <si>
    <t>Calça</t>
  </si>
  <si>
    <t>Camiseta</t>
  </si>
  <si>
    <t>Crachá, protetor, jacaré, cordão e regulador</t>
  </si>
  <si>
    <t>Sapato segurança</t>
  </si>
  <si>
    <t>ENCARREGADAS</t>
  </si>
  <si>
    <t>Calça Social</t>
  </si>
  <si>
    <t>Camisa social  manga curta/longa</t>
  </si>
  <si>
    <t>Crachá, protetor, jacaré, cordão,regulador</t>
  </si>
  <si>
    <t>Sapato Social</t>
  </si>
  <si>
    <t>TOTAL GERAL MENSAL POR SERVENTE</t>
  </si>
  <si>
    <t>TOTAL GERAL MENSAL ENCARREGADA</t>
  </si>
  <si>
    <t>EPIs</t>
  </si>
  <si>
    <t>QUANTIDADE DEFINIDA MENSAL (Serventes 20 ou 30h)</t>
  </si>
  <si>
    <t>QUANTIDADE DEFINIDA MENSAL (Serventes 40 ou 44h)</t>
  </si>
  <si>
    <t>PREÇO MÉDIO - INTERNET</t>
  </si>
  <si>
    <t>CUSTO MENSAL DE EPIS (Servente 20 ou 30h)</t>
  </si>
  <si>
    <t>CUSTO MENSAL DE EPIS (Servente 40 ou 44h)</t>
  </si>
  <si>
    <t>ÁREA SANITIZAÇÃO</t>
  </si>
  <si>
    <t>Avental descartável</t>
  </si>
  <si>
    <t>Face Shield</t>
  </si>
  <si>
    <t>Luvas descartáveis (100un) (50 pares)</t>
  </si>
  <si>
    <t>Máscara descartável</t>
  </si>
  <si>
    <t>Touca descartável</t>
  </si>
  <si>
    <t>QUANTIDADE DEFINIDA ANUAL  (Serventes 20 ou 30h)</t>
  </si>
  <si>
    <t>QUANTIDADE DEFINIDA ANUAL  (Serventes 40 ou 44h)</t>
  </si>
  <si>
    <t>PREÇO MEDIO – PAINEL DE PREÇOS</t>
  </si>
  <si>
    <t>EPIs USO GERAL</t>
  </si>
  <si>
    <t>Avental impermeável de pvc</t>
  </si>
  <si>
    <t>Luva proteção de raspa de couro, cano curto</t>
  </si>
  <si>
    <t>Óculos de proteção lente transparente</t>
  </si>
  <si>
    <t>Obs:  Periodicidade/frequencia de trocas dos EPIs de acorda com as premissas adotadas na contratação de média de dias úteis no mês = 22 dias</t>
  </si>
  <si>
    <t>1x ao dia</t>
  </si>
  <si>
    <t>1x a cada 6 meses -  Deverá ser descartado quando danificado</t>
  </si>
  <si>
    <t>3 pares ao dia ou quando danificado</t>
  </si>
  <si>
    <t>1x a cada 3h</t>
  </si>
  <si>
    <t>Borrifador 500ML</t>
  </si>
  <si>
    <t>2un/servente/a cada 3 meses ( 1 para álcool 70% e 1 para álcool isopropílico)</t>
  </si>
  <si>
    <t>Flanela de algodão branca 40cm x 60cm</t>
  </si>
  <si>
    <t>4 un para cada servente/mês</t>
  </si>
  <si>
    <t>saco de Lixo reforçado,  100 L , cor branco leitoso</t>
  </si>
  <si>
    <t>2 un/dia por lixeira x 4 salas de perícia/serviço social e reabilitação x 22 dias uteis mês</t>
  </si>
  <si>
    <t>PLANO DE TELEFONE  ENCARREGADA (O)</t>
  </si>
  <si>
    <t>Crédito celular encarregada</t>
  </si>
  <si>
    <t>ÁREA INTERNA</t>
  </si>
  <si>
    <t>ÁREA EXTERNA</t>
  </si>
  <si>
    <t>ESQUADRIAS</t>
  </si>
  <si>
    <t>ITEM 31</t>
  </si>
  <si>
    <t>ITEM 32</t>
  </si>
  <si>
    <t>ITEM 33</t>
  </si>
  <si>
    <t>ITEM 34</t>
  </si>
  <si>
    <t>ITEM 35</t>
  </si>
  <si>
    <t>Unidade Orgânica</t>
  </si>
  <si>
    <t>ISS %</t>
  </si>
  <si>
    <r>
      <rPr>
        <b/>
        <sz val="9"/>
        <color rgb="FF000000"/>
        <rFont val="Calibri"/>
        <family val="2"/>
        <charset val="1"/>
      </rPr>
      <t>AI-1:</t>
    </r>
    <r>
      <rPr>
        <sz val="9"/>
        <color rgb="FF000000"/>
        <rFont val="Calibri"/>
        <family val="2"/>
        <charset val="1"/>
      </rPr>
      <t xml:space="preserve"> 
Pisos frios</t>
    </r>
  </si>
  <si>
    <r>
      <rPr>
        <b/>
        <sz val="9"/>
        <color rgb="FF000000"/>
        <rFont val="Calibri"/>
        <family val="2"/>
        <charset val="1"/>
      </rPr>
      <t>AI-1b:</t>
    </r>
    <r>
      <rPr>
        <sz val="9"/>
        <color rgb="FF000000"/>
        <rFont val="Calibri"/>
        <family val="2"/>
        <charset val="1"/>
      </rPr>
      <t xml:space="preserve"> 
Pisos frios
(incluindo banheiros)</t>
    </r>
  </si>
  <si>
    <r>
      <rPr>
        <b/>
        <sz val="9"/>
        <color rgb="FF000000"/>
        <rFont val="Calibri"/>
        <family val="2"/>
        <charset val="1"/>
      </rPr>
      <t>AI-2:</t>
    </r>
    <r>
      <rPr>
        <sz val="9"/>
        <color rgb="FF000000"/>
        <rFont val="Calibri"/>
        <family val="2"/>
        <charset val="1"/>
      </rPr>
      <t xml:space="preserve"> 
Almoxarifado, Galpões, arquivos</t>
    </r>
  </si>
  <si>
    <r>
      <rPr>
        <b/>
        <sz val="9"/>
        <color rgb="FF000000"/>
        <rFont val="Calibri"/>
        <family val="2"/>
        <charset val="1"/>
      </rPr>
      <t>AI-3:</t>
    </r>
    <r>
      <rPr>
        <sz val="9"/>
        <color rgb="FF000000"/>
        <rFont val="Calibri"/>
        <family val="2"/>
        <charset val="1"/>
      </rPr>
      <t xml:space="preserve"> 
Espaços Livres, saguão, hall, salão</t>
    </r>
  </si>
  <si>
    <r>
      <rPr>
        <b/>
        <sz val="9"/>
        <color rgb="FF000000"/>
        <rFont val="Calibri"/>
        <family val="2"/>
        <charset val="1"/>
      </rPr>
      <t>AI-4:</t>
    </r>
    <r>
      <rPr>
        <sz val="9"/>
        <color rgb="FF000000"/>
        <rFont val="Calibri"/>
        <family val="2"/>
        <charset val="1"/>
      </rPr>
      <t xml:space="preserve"> 
Banheiros</t>
    </r>
  </si>
  <si>
    <r>
      <rPr>
        <b/>
        <sz val="9"/>
        <color rgb="FF000000"/>
        <rFont val="Calibri"/>
        <family val="2"/>
        <charset val="1"/>
      </rPr>
      <t>AE-1:</t>
    </r>
    <r>
      <rPr>
        <sz val="9"/>
        <color rgb="FF000000"/>
        <rFont val="Calibri"/>
        <family val="2"/>
        <charset val="1"/>
      </rPr>
      <t xml:space="preserve"> 
Pisos adjacentes às edificações</t>
    </r>
  </si>
  <si>
    <t>AE-2: 
 coleta de detritos em pátios e áreas verdes com frequência diária</t>
  </si>
  <si>
    <r>
      <rPr>
        <b/>
        <sz val="9"/>
        <color rgb="FF000000"/>
        <rFont val="Calibri"/>
        <family val="2"/>
        <charset val="1"/>
      </rPr>
      <t xml:space="preserve">AE-3:
</t>
    </r>
    <r>
      <rPr>
        <sz val="9"/>
        <color rgb="FF000000"/>
        <rFont val="Calibri"/>
        <family val="2"/>
        <charset val="1"/>
      </rPr>
      <t>Arruamento, passeios</t>
    </r>
  </si>
  <si>
    <r>
      <rPr>
        <b/>
        <sz val="10"/>
        <color rgb="FF000000"/>
        <rFont val="Calibri"/>
        <family val="2"/>
        <charset val="1"/>
      </rPr>
      <t>EER: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</si>
  <si>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r>
      <rPr>
        <b/>
        <sz val="10"/>
        <color rgb="FF000000"/>
        <rFont val="Calibri"/>
        <family val="2"/>
        <charset val="1"/>
      </rPr>
      <t>EE: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</si>
  <si>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r>
      <rPr>
        <b/>
        <sz val="9"/>
        <color rgb="FF000000"/>
        <rFont val="Calibri"/>
        <family val="2"/>
        <charset val="1"/>
      </rPr>
      <t>EI:</t>
    </r>
    <r>
      <rPr>
        <sz val="9"/>
        <color rgb="FF000000"/>
        <rFont val="Calibri"/>
        <family val="2"/>
        <charset val="1"/>
      </rPr>
      <t xml:space="preserve"> 
Face Interna</t>
    </r>
  </si>
  <si>
    <t>Valor mensal                                   Limpeza odinária</t>
  </si>
  <si>
    <t>Valor mensal                                   Servente Covid</t>
  </si>
  <si>
    <t>Valor limite mensal - Horas eventuais Limp Ordinária</t>
  </si>
  <si>
    <t>Valor limite mensal - horas eventuais COVID</t>
  </si>
  <si>
    <t>Valor mensal
Diárias carregadores</t>
  </si>
  <si>
    <t>Área</t>
  </si>
  <si>
    <t>Preço m²</t>
  </si>
  <si>
    <t>R$</t>
  </si>
  <si>
    <t>Rua Visconde de Pelotas, 2280</t>
  </si>
  <si>
    <t>CAXIAS DO SUL/RS</t>
  </si>
  <si>
    <t>Rua Julio de Castilhos,291</t>
  </si>
  <si>
    <t>BENTO GONÇALVES/RS</t>
  </si>
  <si>
    <t>Rua Dona Carlinda, 810</t>
  </si>
  <si>
    <t>CANELA/RS</t>
  </si>
  <si>
    <t>Rua Coronel Pena de Moraes, 59</t>
  </si>
  <si>
    <t>FARROUPILHA/RS</t>
  </si>
  <si>
    <t>Rua João Missiagia, 159</t>
  </si>
  <si>
    <t>GARIBALDI/RS</t>
  </si>
  <si>
    <t>Rua Marechal Floriano, 250</t>
  </si>
  <si>
    <t>VACARIA/RS</t>
  </si>
  <si>
    <t>Rua Gal. Flores da Cunha, 454</t>
  </si>
  <si>
    <t>VERANÓPOLIS/RS</t>
  </si>
  <si>
    <t>Rua Placidina de Araújo, 742</t>
  </si>
  <si>
    <t>NOVA PRATA/RS</t>
  </si>
  <si>
    <t>Rua Ubaldo Baldasso, 268</t>
  </si>
  <si>
    <t>CARLOS BARBOSA/RS</t>
  </si>
  <si>
    <t>Rua Borges de Medeiros, 2110</t>
  </si>
  <si>
    <t>FLORES DA CUNHA/RS</t>
  </si>
  <si>
    <t>Av. da Vindima, nº 165</t>
  </si>
  <si>
    <t>GEX IJUÍ</t>
  </si>
  <si>
    <t>Rua Vinte de Setembro, 275, Ijuí/RS</t>
  </si>
  <si>
    <t>IJUÍ/RS</t>
  </si>
  <si>
    <t>Rua dos Andradas, 730, 2º andar</t>
  </si>
  <si>
    <t>SANTO ÂNGELO/RS</t>
  </si>
  <si>
    <t>Rua Sete de Setembro, s/nº</t>
  </si>
  <si>
    <t>CERRO LARGO/RS</t>
  </si>
  <si>
    <t>Rua Benjamin Constant, 556</t>
  </si>
  <si>
    <t>CRUZ ALTA/RS</t>
  </si>
  <si>
    <t>Rua Luiz Milani, 254</t>
  </si>
  <si>
    <t>FREDERICO WESTPHALEN/RS</t>
  </si>
  <si>
    <t>Rua Benjamin Constant, 566</t>
  </si>
  <si>
    <t>Rua Borges de Medeiros, 17</t>
  </si>
  <si>
    <t>PALMEIRA DAS MISSÕES/RS</t>
  </si>
  <si>
    <t>Rua Bento Gonçalves, 192</t>
  </si>
  <si>
    <t>PANAMBI/RS</t>
  </si>
  <si>
    <t>Rua João Dahne, 197</t>
  </si>
  <si>
    <t>SANTA ROSA/RS</t>
  </si>
  <si>
    <t>Rua dos Andradas, 730</t>
  </si>
  <si>
    <t>Rua Dr. Bento Soeiro de Souza, 2373</t>
  </si>
  <si>
    <t>SÃO LUIZ GONZAGA/RS</t>
  </si>
  <si>
    <t>Av. Santa Rosa, 1381</t>
  </si>
  <si>
    <t>TRÊS DE MAIO/RS</t>
  </si>
  <si>
    <t>Rua General Osório, 250</t>
  </si>
  <si>
    <t>TRÊS PASSOS/RS</t>
  </si>
  <si>
    <t>Rua Sete de Setembro, 37</t>
  </si>
  <si>
    <t>GIRUÁ/RS</t>
  </si>
  <si>
    <t>Rua São Cristóvão, 1386</t>
  </si>
  <si>
    <t>HORIZONTINA/RS</t>
  </si>
  <si>
    <t>Rua Mauá, 1486</t>
  </si>
  <si>
    <t>IBIRUBÁ/RS</t>
  </si>
  <si>
    <t>Rua João Bordin, 497</t>
  </si>
  <si>
    <t>PORTO LUCENA/RS</t>
  </si>
  <si>
    <t>Rua General Osório, 1244</t>
  </si>
  <si>
    <t>PASSO FUNDO/RS</t>
  </si>
  <si>
    <t>Av. Pátria, 525</t>
  </si>
  <si>
    <t>CARAZINHO/RS</t>
  </si>
  <si>
    <t>Av. Tiradentes, 401</t>
  </si>
  <si>
    <t>ERECHIM/RS</t>
  </si>
  <si>
    <t>Rua Cel. Agilberto Maia, 715</t>
  </si>
  <si>
    <t>GUAPORÉ/RS</t>
  </si>
  <si>
    <t>Rua Bento Gonçalves, 304</t>
  </si>
  <si>
    <t>LAGOA VERMELHA/RS</t>
  </si>
  <si>
    <t>Av. Maurício Cardoso, 1224</t>
  </si>
  <si>
    <t>SOLEDADE/RS</t>
  </si>
  <si>
    <t>Rua Gal. Pinheiro Machado, 20</t>
  </si>
  <si>
    <t>CASCA/RS</t>
  </si>
  <si>
    <t>Rua Irmão Gabriel Leão, 78</t>
  </si>
  <si>
    <t>GETÚLIO VARGAS/RS</t>
  </si>
  <si>
    <t>Rua Irineu Ferlin, 30</t>
  </si>
  <si>
    <t>MARAU/RS</t>
  </si>
  <si>
    <t>Rua Costa e Silva, 703</t>
  </si>
  <si>
    <t>SERAFINA CORREA/RS</t>
  </si>
  <si>
    <t>Ru Vasco da Gama, 259</t>
  </si>
  <si>
    <t>ESPUMOSO/RS</t>
  </si>
  <si>
    <t>Av. Sete de Setembro, 2111</t>
  </si>
  <si>
    <t>SARANDI/RS</t>
  </si>
  <si>
    <t>TOTAL GERAL</t>
  </si>
  <si>
    <t>Total A23:Q59Mensais GEX Curitiba</t>
  </si>
  <si>
    <t>Área útil total</t>
  </si>
  <si>
    <t>AI-4: 
Banheiros</t>
  </si>
  <si>
    <r>
      <rPr>
        <b/>
        <sz val="9"/>
        <color rgb="FF000000"/>
        <rFont val="Calibri"/>
        <family val="2"/>
        <charset val="1"/>
      </rPr>
      <t xml:space="preserve">AE-2:
</t>
    </r>
    <r>
      <rPr>
        <sz val="9"/>
        <color rgb="FF000000"/>
        <rFont val="Calibri"/>
        <family val="2"/>
        <charset val="1"/>
      </rPr>
      <t>coleta de detritos em pátios e áreas verdes com frequência diária</t>
    </r>
  </si>
  <si>
    <t>Serventes por Unidade (Calculada)</t>
  </si>
  <si>
    <t>Qtde de serventes ajustada LIMPEZA ORDINÁRIA e carga horária</t>
  </si>
  <si>
    <t>Qtde Ajustada Qtde postos COVID e Carga horária servente</t>
  </si>
  <si>
    <t>Qtde horas eventuais Limpeza Ordinária/Mês</t>
  </si>
  <si>
    <t>Qtde horas eventuais COVID/Mês</t>
  </si>
  <si>
    <t>Qtde Diárias carregadores/Mês</t>
  </si>
  <si>
    <t>Qtde postos e Carga horária ENCARREGADA</t>
  </si>
  <si>
    <t>40h (40%)</t>
  </si>
  <si>
    <t>40h (20%)</t>
  </si>
  <si>
    <t>30h (40%)</t>
  </si>
  <si>
    <t>30h (20%)</t>
  </si>
  <si>
    <t>40h</t>
  </si>
  <si>
    <t>30h</t>
  </si>
  <si>
    <t>h</t>
  </si>
  <si>
    <t>diarias</t>
  </si>
  <si>
    <t>Total Geral</t>
  </si>
  <si>
    <t>Produtividade adotada</t>
  </si>
  <si>
    <t>total</t>
  </si>
  <si>
    <t>Número de Serventes</t>
  </si>
  <si>
    <t>fração</t>
  </si>
  <si>
    <t>Número de Encarregados</t>
  </si>
  <si>
    <t>(1/prod) serventes</t>
  </si>
  <si>
    <t>(1/prod) encarregado</t>
  </si>
  <si>
    <t>Limite de Produtividade IN 05/2017</t>
  </si>
  <si>
    <t>800 a 1200</t>
  </si>
  <si>
    <t>1500 a 2500</t>
  </si>
  <si>
    <t>1000 a 1500</t>
  </si>
  <si>
    <t>200 a 300</t>
  </si>
  <si>
    <t>1800 a 2700</t>
  </si>
  <si>
    <t>6000 a 9000</t>
  </si>
  <si>
    <t>130 a 160</t>
  </si>
  <si>
    <t>300 a 380</t>
  </si>
  <si>
    <t>SEMESTRAL</t>
  </si>
  <si>
    <t>ANEXO IV</t>
  </si>
  <si>
    <t>MODELO DE PROPOSTA E PLANILHA DE CUSTOS E FORMAÇÃO DE PREÇOS</t>
  </si>
  <si>
    <t>PROCESSO 35014.018642/2022-12</t>
  </si>
  <si>
    <t>Servente 40h</t>
  </si>
  <si>
    <t>Servente 30h</t>
  </si>
  <si>
    <t>Servente 20h</t>
  </si>
  <si>
    <t>Limpador alpinista 44h</t>
  </si>
  <si>
    <t>Encarregado</t>
  </si>
  <si>
    <t>Salário Normativo da Categoria:</t>
  </si>
  <si>
    <t>Data base da Categoria:</t>
  </si>
  <si>
    <t>Convenção Coletiva:</t>
  </si>
  <si>
    <t>CBO/MTE:</t>
  </si>
  <si>
    <t>CUSTOS</t>
  </si>
  <si>
    <t>Percentuais e Valores de Referência</t>
  </si>
  <si>
    <t>Servente 40h (banheirista)
(insalubridade 40%)</t>
  </si>
  <si>
    <t>Servente 40h
(insalubridade 20%)</t>
  </si>
  <si>
    <t>Servente 30h (banheirista)
(insalubridade 40%)</t>
  </si>
  <si>
    <t>Servente 30h
(insalubridade 20%)</t>
  </si>
  <si>
    <t>Servente 20h
(insalubridade 20%)</t>
  </si>
  <si>
    <t>Limpador alpinista 44h (limpeza de esquadrias com risco)</t>
  </si>
  <si>
    <t>Encarregada 40h</t>
  </si>
  <si>
    <t>MÓDULO 1: COMPOSIÇÃO DA REMUNERAÇÃO</t>
  </si>
  <si>
    <t>1 - Composição da Remuneração</t>
  </si>
  <si>
    <t>Percentuais</t>
  </si>
  <si>
    <t>Valor (R$)</t>
  </si>
  <si>
    <t>A - Salário Base</t>
  </si>
  <si>
    <t>B - Adicional de Insalubridade</t>
  </si>
  <si>
    <t>40% / 20%</t>
  </si>
  <si>
    <t>D - Adicional Noturno</t>
  </si>
  <si>
    <t>E - Adicional de Hora Noturna Reduzida</t>
  </si>
  <si>
    <t>F - Adicional de Hora Extra no Feriado Trabalhado</t>
  </si>
  <si>
    <t>E - Outros</t>
  </si>
  <si>
    <t>Total</t>
  </si>
  <si>
    <t>MÓDULO 2: ENCARGOS E BENEFÍCIOS ANUAIS, MENSAIS E DIÁRIOS</t>
  </si>
  <si>
    <t>2.1 - 13º Salário, Férias e Adicional de Férias</t>
  </si>
  <si>
    <t>A - 13º salário</t>
  </si>
  <si>
    <t>B - Adicional de Férias</t>
  </si>
  <si>
    <t>2.2 - Encargos Previdenciários e FGTS</t>
  </si>
  <si>
    <t>2.2.1 - GPS</t>
  </si>
  <si>
    <t>A - INSS</t>
  </si>
  <si>
    <t>B - Salário Educação</t>
  </si>
  <si>
    <t>C - SAT</t>
  </si>
  <si>
    <t>D - SESI ou SESC</t>
  </si>
  <si>
    <t>E - SENAI ou SENAC</t>
  </si>
  <si>
    <t>F - SEBRAE</t>
  </si>
  <si>
    <t>G - INCRA</t>
  </si>
  <si>
    <t>F - FGTS</t>
  </si>
  <si>
    <t>2.3 - Benefícios Mensais e Diários</t>
  </si>
  <si>
    <t>Valores</t>
  </si>
  <si>
    <t>A - Transporte</t>
  </si>
  <si>
    <t>B - Auxílio-Refeição/Alimentação (COM DESCONTO DE 19%)</t>
  </si>
  <si>
    <t>C - Ajuda de custo (equipes limpeza vidros)</t>
  </si>
  <si>
    <t>D - Assistência Médica</t>
  </si>
  <si>
    <t>E - Benefício Social Familiar (Cláusula 29ª)</t>
  </si>
  <si>
    <t>F - Outros (especificar)</t>
  </si>
  <si>
    <t>2 - ENCARGOS E BENEFÍCIOS ANUAIS, MENSAIS E DIÁRIOS</t>
  </si>
  <si>
    <t>2.2 - GPS, FGTS e outras contribuições</t>
  </si>
  <si>
    <t>MÓDULO 3: PROVISÃO PARA RESCISÃO</t>
  </si>
  <si>
    <t>3 - Provisão para Rescisão</t>
  </si>
  <si>
    <t>3.1 - Aviso Prévio Indenizado</t>
  </si>
  <si>
    <t>A - Aviso Prévio Indenizado</t>
  </si>
  <si>
    <t>B - Incidência do FGTS sobre Aviso Prévio Indenizado</t>
  </si>
  <si>
    <t>C - Multa do FGTS sobre Aviso Prévio Indenizado</t>
  </si>
  <si>
    <t>A - Aviso Prévio Trabalhado</t>
  </si>
  <si>
    <t>B - Incidência do submódulo 2.2 sobre o Aviso Prévio Trabalhado</t>
  </si>
  <si>
    <t>C - Multa do FGTS sobre Aviso Prévio Trabalhado</t>
  </si>
  <si>
    <t>MÓDULO 4: CUSTO DE REPOSIÇÃO DO PROFISSIONAL AUSENTE</t>
  </si>
  <si>
    <t>B – Substituto na cobertura de Ausências Legais</t>
  </si>
  <si>
    <t>C - Substituto na cobertura de Licença Paternidade</t>
  </si>
  <si>
    <t>D - Substituto na cobertura de Ausências por acidente de trabalho</t>
  </si>
  <si>
    <t>Subtotal</t>
  </si>
  <si>
    <t>4.2 - Substituto na Intrajornada</t>
  </si>
  <si>
    <t>A - Substituto na cobertura de Intervalo para repouso ou alimentação</t>
  </si>
  <si>
    <t>4 - Custo de Reposição do Profissional Ausente</t>
  </si>
  <si>
    <t>MÓDULO 5: INSUMOS DE MÃO DE OBRA</t>
  </si>
  <si>
    <t>5 - Insumos Diversos</t>
  </si>
  <si>
    <t>Valores/Percentuais</t>
  </si>
  <si>
    <t>A - Uniformes</t>
  </si>
  <si>
    <t>B - Materiais e utensílios</t>
  </si>
  <si>
    <t>C - Equipamentos</t>
  </si>
  <si>
    <t>D - EPIs</t>
  </si>
  <si>
    <t>E - Esquadrias de risco - Materiais/ Equipamentos/EPIs (conforme MPOG)</t>
  </si>
  <si>
    <t>F - Plano de telefone</t>
  </si>
  <si>
    <t>G - Outros</t>
  </si>
  <si>
    <t>MÓDULO 6: CUSTOS INDIRETOS, TRIBUTOS E LUCRO</t>
  </si>
  <si>
    <t>6 - Custos Indiretos, Tributos e Lucro</t>
  </si>
  <si>
    <t>C - Tributos  (ISS 2,00%)</t>
  </si>
  <si>
    <t>C.1 - Tributos Federais (PIS e COFINS)</t>
  </si>
  <si>
    <t>C.3 - Tributos Municipais (especificar)</t>
  </si>
  <si>
    <t>C - Tributos  (ISS 2,500%)</t>
  </si>
  <si>
    <t>C - Tributos  (ISS 3,00%)</t>
  </si>
  <si>
    <t>C - Tributos  (ISS 4,00%)</t>
  </si>
  <si>
    <t>C - Tributos  (ISS 5,00%)</t>
  </si>
  <si>
    <t>Total Tributos por ISS Municipal</t>
  </si>
  <si>
    <t>C.4 - Outros Tributos (especificar)</t>
  </si>
  <si>
    <t>QUADRO RESUMO DO CUSTO POR EMPREGADO</t>
  </si>
  <si>
    <t>Mão de 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</si>
  <si>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</si>
  <si>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</si>
  <si>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</si>
  <si>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</si>
  <si>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</si>
  <si>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</si>
  <si>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 (ISS 2,00%)</t>
  </si>
  <si>
    <t>F - Módulo 6 - Custos Indiretos, Tributos e Lucro (ISS 2,5%)</t>
  </si>
  <si>
    <t>F - Módulo 6 - Custos Indiretos, Tributos e Lucro (ISS 3,00%)</t>
  </si>
  <si>
    <t>F - Módulo 6 - Custos Indiretos, Tributos e Lucro (ISS 4,00%)</t>
  </si>
  <si>
    <t>F - Módulo 6 - Custos Indiretos, Tributos e Lucro (ISS 5,00%)</t>
  </si>
  <si>
    <t>TOTAL POR EMPREGADO/MÊS com ISS de 2%</t>
  </si>
  <si>
    <t>TOTAL POR EMPREGADO/MÊS com ISS de 2,5%</t>
  </si>
  <si>
    <t>TOTAL POR EMPREGADO/MÊS com ISS de 3%</t>
  </si>
  <si>
    <t>TOTAL POR EMPREGADO/MÊS com ISS de 4%</t>
  </si>
  <si>
    <t>TOTAL POR EMPREGADO/MÊS com ISS de 5%</t>
  </si>
  <si>
    <t>VALOR DA HORA com ISS de 2%</t>
  </si>
  <si>
    <t>VALOR DA HORA com ISS de 2,5%</t>
  </si>
  <si>
    <t>VALOR DA HORA com ISS de 3%</t>
  </si>
  <si>
    <t>VALOR DA HORA com ISS de 4%</t>
  </si>
  <si>
    <t>VALOR DA HORA com ISS de 5%</t>
  </si>
  <si>
    <t>AI-1 Área Interna pisos frios</t>
  </si>
  <si>
    <t>ISS de 2%</t>
  </si>
  <si>
    <t>ISS de 2,5%</t>
  </si>
  <si>
    <t>ISS de 3%</t>
  </si>
  <si>
    <t>ISS de 4%</t>
  </si>
  <si>
    <t>ISS de 5%</t>
  </si>
  <si>
    <t>MÃO DE OBRA</t>
  </si>
  <si>
    <t>(1) PRODUTIVIDADE (1/P)</t>
  </si>
  <si>
    <t>(2) PREÇO HOMEM MÊS (R$)</t>
  </si>
  <si>
    <t>(1x2) SUBTOTAL (R$/M²)</t>
  </si>
  <si>
    <t>SERVENTE</t>
  </si>
  <si>
    <t>ENCARREGADO</t>
  </si>
  <si>
    <t>Valor limite MPOG 2019</t>
  </si>
  <si>
    <t>https://www.gov.br/compras/pt-br/agente-publico/cadernos-tecnicos-e-valores-limites/cadernos-tecnicos-e-valores-limites-2019</t>
  </si>
  <si>
    <t>Subtotal 20%</t>
  </si>
  <si>
    <t>AI-1b Área Interna pisos frios (incluindo limpeza de banheiros públicos e/ou de grande circulação)</t>
  </si>
  <si>
    <t>AI-2 Área interna (Almoxarifado, Galpões, arquivos )</t>
  </si>
  <si>
    <t>(1) PRODUTIVIDADE (1/M²)</t>
  </si>
  <si>
    <t>Subtotal:</t>
  </si>
  <si>
    <t>AI-3 Área interna Espaços Livres (saguão, hall, salão)</t>
  </si>
  <si>
    <t>AI-4 Área interna  Banheiros</t>
  </si>
  <si>
    <t>AE-1 AE-2 AE-3 Áreas Externas</t>
  </si>
  <si>
    <t>AE-1 Área Externa pisos adjacentes às edificações</t>
  </si>
  <si>
    <t>Subtotal AE-1</t>
  </si>
  <si>
    <t>AE-2: coleta de detritos em pátios e áreas verdes com frequência diária</t>
  </si>
  <si>
    <t>Subtotal AE-2</t>
  </si>
  <si>
    <t>AE-3 Área Externa arruamento, passeios</t>
  </si>
  <si>
    <t>Subtotal AE-3</t>
  </si>
  <si>
    <t>EER EE EI Esquadrias</t>
  </si>
  <si>
    <r>
      <rPr>
        <sz val="10"/>
        <color rgb="FF000000"/>
        <rFont val="Calibri"/>
        <family val="2"/>
        <charset val="1"/>
      </rPr>
      <t xml:space="preserve">EER Área de Esquadria 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</si>
  <si>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t>Subtotal EER</t>
  </si>
  <si>
    <r>
      <rPr>
        <sz val="10"/>
        <color rgb="FF000000"/>
        <rFont val="Calibri"/>
        <family val="2"/>
        <charset val="1"/>
      </rPr>
      <t xml:space="preserve">EE Área de Esquadria 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</si>
  <si>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t>Subtotal EE</t>
  </si>
  <si>
    <t>EI Área de Esquadria Face Interna</t>
  </si>
  <si>
    <t>Subtotal EI</t>
  </si>
  <si>
    <t>Servente 40h
COVID</t>
  </si>
  <si>
    <t>Servente 30h
COVID</t>
  </si>
  <si>
    <t>Servente 20h
COVID</t>
  </si>
  <si>
    <t>D - Assistência Médica (Cláusula 15ª)</t>
  </si>
  <si>
    <t>E - Benefício Social Familiar (Cláusula 16ª)</t>
  </si>
  <si>
    <t>20h (20%)</t>
  </si>
  <si>
    <t>20h</t>
  </si>
  <si>
    <t>MODELO DE PROPOSTA DE PREÇOS</t>
  </si>
  <si>
    <t>PREGÃO Nº 12/2022</t>
  </si>
  <si>
    <t>PROCESSO ADMINISTRATIVO N.° 35014.018642/2022-12</t>
  </si>
  <si>
    <t>Ilmo. Sr. Pregoeiro, a Empresa ______________________________, CNPJ nº ________________, sediada ___________(endereço completo)______________, se propõe a executar os serviços discriminados, atendendo todas as condições estipuladas no Edital de Licitação, e nos valores abaixo:</t>
  </si>
  <si>
    <t xml:space="preserve">GRUPO </t>
  </si>
  <si>
    <t>ITEM</t>
  </si>
  <si>
    <t>CÓDIGO SIASG</t>
  </si>
  <si>
    <t>DESCRIÇÃO/
ESPECIFICAÇÃO</t>
  </si>
  <si>
    <t>Unidade de Medida</t>
  </si>
  <si>
    <t>Quantidade</t>
  </si>
  <si>
    <t>Valor Mensal</t>
  </si>
  <si>
    <t>Valor Anual</t>
  </si>
  <si>
    <r>
      <rPr>
        <b/>
        <sz val="12"/>
        <color rgb="FF000000"/>
        <rFont val="Calibri"/>
        <family val="2"/>
      </rPr>
      <t>Serviços de limpeza</t>
    </r>
    <r>
      <rPr>
        <sz val="12"/>
        <color rgb="FF000000"/>
        <rFont val="Calibri"/>
        <family val="2"/>
      </rPr>
      <t>, conservação e higienização, com fornecimento de materiais, insumos, equipamentos, EPIs e uniformes, a serem executados nas dependências do POLO VII de limpeza da SRIII (GEX Caxias do Sul, Passo Fundo e Ijuí )</t>
    </r>
  </si>
  <si>
    <t>M²</t>
  </si>
  <si>
    <t>12 (meses)</t>
  </si>
  <si>
    <r>
      <rPr>
        <b/>
        <sz val="12"/>
        <color rgb="FF000000"/>
        <rFont val="Calibri"/>
        <family val="2"/>
      </rPr>
      <t>Serviço de desinfecção</t>
    </r>
    <r>
      <rPr>
        <sz val="12"/>
        <color rgb="FF000000"/>
        <rFont val="Calibri"/>
        <family val="2"/>
      </rPr>
      <t>, com fornecimento de materiais, insumos, EPIs e uniformes,a serem executados nas dependências do POLO VII de limpeza da SRIII (GEX Caxias do Sul, Passo Fundo e Ijuí)</t>
    </r>
  </si>
  <si>
    <r>
      <rPr>
        <b/>
        <sz val="11"/>
        <color rgb="FF333333"/>
        <rFont val="Arial"/>
        <family val="2"/>
      </rPr>
      <t>Serviços de limpeza</t>
    </r>
    <r>
      <rPr>
        <sz val="11"/>
        <color rgb="FF333333"/>
        <rFont val="Arial"/>
        <family val="2"/>
      </rPr>
      <t>, conservação e higienização, com fornecimento de materiais, insumos, equipamentos, EPIs e uniformes, a serem executados nas dependências do POLO VII de limpeza da SRIII (GEX Caxias do Sul, Passo Fundo e Ijuí)</t>
    </r>
    <r>
      <rPr>
        <b/>
        <sz val="11"/>
        <color rgb="FF333333"/>
        <rFont val="Arial"/>
        <family val="2"/>
      </rPr>
      <t xml:space="preserve"> – POR DEMANDA</t>
    </r>
  </si>
  <si>
    <r>
      <rPr>
        <b/>
        <sz val="11"/>
        <color rgb="FF333333"/>
        <rFont val="Arial"/>
        <family val="2"/>
      </rPr>
      <t>Serviço de desinfecção</t>
    </r>
    <r>
      <rPr>
        <sz val="11"/>
        <color rgb="FF333333"/>
        <rFont val="Arial"/>
        <family val="2"/>
      </rPr>
      <t xml:space="preserve">, com fornecimento de materiais, insumos, EPIs e uniformes, a serem executados nas dependências do POLO VII de limpeza da SRIII (GEX Caxias do Sul, Passo Fundo e Ijuí) – </t>
    </r>
    <r>
      <rPr>
        <b/>
        <sz val="11"/>
        <color rgb="FF333333"/>
        <rFont val="Arial"/>
        <family val="2"/>
      </rPr>
      <t>POR DEMANDA</t>
    </r>
  </si>
  <si>
    <r>
      <rPr>
        <b/>
        <sz val="11"/>
        <color rgb="FF333333"/>
        <rFont val="Arial"/>
        <family val="2"/>
      </rPr>
      <t xml:space="preserve">Serviço de carregadores, </t>
    </r>
    <r>
      <rPr>
        <sz val="11"/>
        <color rgb="FF333333"/>
        <rFont val="Arial"/>
        <family val="2"/>
      </rPr>
      <t xml:space="preserve">a serem executados nas dependências do POLO VII de limpeza da SRIII (GEX Caxias do Sul, Passo Fundo e Ijuí)  – </t>
    </r>
    <r>
      <rPr>
        <b/>
        <sz val="11"/>
        <color rgb="FF333333"/>
        <rFont val="Arial"/>
        <family val="2"/>
      </rPr>
      <t>POR DEMANDA</t>
    </r>
  </si>
  <si>
    <t>Valor total da Proposta Polo VII</t>
  </si>
  <si>
    <t xml:space="preserve">– Indicação dos acordos, convenções ou dissídios coletivos de trabalaho: </t>
  </si>
  <si>
    <t>– Indicação do regime tributário da licitante:</t>
  </si>
  <si>
    <t>– Validade da Proposta de Preços: 120 (cento e vinte) dias, a contar da data de apresentação.</t>
  </si>
  <si>
    <t>– Prazo de Execução dos Serviços: 12 (doze) meses.</t>
  </si>
  <si>
    <t>Dados para pagamento:</t>
  </si>
  <si>
    <t>– Banco (Nome/nº): – Agência: – Conta:</t>
  </si>
  <si>
    <t>Informações para assinatura do Contrato:</t>
  </si>
  <si>
    <t>– Nome:</t>
  </si>
  <si>
    <t>– Cargo:</t>
  </si>
  <si>
    <t>– RG:</t>
  </si>
  <si>
    <t>– CPF:</t>
  </si>
  <si>
    <t>–Telefone/Fax: E-mail:</t>
  </si>
  <si>
    <t>Local e data.</t>
  </si>
  <si>
    <t>Assinatura e Nome do Representante Legal da Empresa</t>
  </si>
  <si>
    <t>b</t>
  </si>
  <si>
    <t>ANEXO X - POLO 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</si>
</sst>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* #,##0.00\ ;\-* #,##0.00\ ;* \-#\ ;@\ "/>
    <numFmt numFmtId="165" formatCode="d/m/yyyy"/>
    <numFmt numFmtId="166" formatCode="&quot;R$ &quot;#,##0.00"/>
    <numFmt numFmtId="167" formatCode="0.0000"/>
    <numFmt numFmtId="168" formatCode="#,##0.00\ ;\(#,##0.00\);\-#\ ;@\ "/>
    <numFmt numFmtId="169" formatCode="#,##0.000000;\(#,##0.000000\)"/>
    <numFmt numFmtId="170" formatCode="&quot;R$ &quot;#,##0.00;[Red]&quot;-R$ &quot;#,##0.00"/>
    <numFmt numFmtId="171" formatCode="_-&quot;R$ &quot;* #,##0.00_-;&quot;-R$ &quot;* #,##0.00_-;_-&quot;R$ &quot;* \-??_-;_-@_-"/>
    <numFmt numFmtId="172" formatCode="[$R$-416]\ * #,##0.00\ ;\-[$R$-416]\ * #,##0.00\ ;[$R$-416]\ * \-#\ ;@\ "/>
    <numFmt numFmtId="173" formatCode="[$R$-416]\ #,##0.00;[Red]\-[$R$-416]\ #,##0.00"/>
    <numFmt numFmtId="174" formatCode="#,##0.0"/>
    <numFmt numFmtId="175" formatCode="* #,##0.00\ ;\-* #,##0.00\ ;* \-#\ ;@"/>
    <numFmt numFmtId="176" formatCode="0.0000000"/>
    <numFmt numFmtId="177" formatCode="0.00000000"/>
    <numFmt numFmtId="178" formatCode="#,##0.00\ ;\(#,##0.00\)"/>
    <numFmt numFmtId="179" formatCode="&quot;R$ &quot;#,##0.00\ ;[Red]&quot;(R$ &quot;#,##0.00\)"/>
    <numFmt numFmtId="180" formatCode="0.000000000"/>
    <numFmt numFmtId="181" formatCode="#,##0.00\ ;#,##0.00\ ;\-#\ ;@\ "/>
    <numFmt numFmtId="182" formatCode="0.000000000;[Red]\(0.000000000\)"/>
    <numFmt numFmtId="183" formatCode="0.0000000000"/>
  </numFmts>
  <fonts count="57" x14ac:knownFonts="1">
    <font>
      <sz val="11"/>
      <color rgb="FF333333"/>
      <name val="Arial"/>
      <family val="2"/>
      <charset val="1"/>
    </font>
    <font>
      <sz val="11"/>
      <name val="Calibri"/>
      <family val="2"/>
      <charset val="1"/>
    </font>
    <font>
      <sz val="9"/>
      <color rgb="FF333333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9"/>
      <color rgb="FF333333"/>
      <name val="Calibri"/>
      <family val="2"/>
      <charset val="1"/>
    </font>
    <font>
      <sz val="9"/>
      <color rgb="FF333333"/>
      <name val="Arial"/>
      <family val="2"/>
      <charset val="1"/>
    </font>
    <font>
      <sz val="9"/>
      <color rgb="FFFF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sz val="10"/>
      <color rgb="FFDDDDDD"/>
      <name val="Calibri"/>
      <family val="2"/>
      <charset val="1"/>
    </font>
    <font>
      <sz val="9"/>
      <color rgb="FFDDDDDD"/>
      <name val="Arial"/>
      <family val="2"/>
      <charset val="1"/>
    </font>
    <font>
      <sz val="11"/>
      <color rgb="FF000000"/>
      <name val="Arial"/>
      <family val="2"/>
      <charset val="1"/>
    </font>
    <font>
      <sz val="9"/>
      <color rgb="FFDDDDDD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"/>
    </font>
    <font>
      <sz val="9"/>
      <name val="Calibri"/>
      <family val="2"/>
      <charset val="1"/>
    </font>
    <font>
      <sz val="10"/>
      <color rgb="FF333333"/>
      <name val="Arial"/>
      <family val="2"/>
      <charset val="1"/>
    </font>
    <font>
      <b/>
      <sz val="10"/>
      <color rgb="FF333333"/>
      <name val="Arial"/>
      <family val="2"/>
      <charset val="1"/>
    </font>
    <font>
      <b/>
      <sz val="9"/>
      <color rgb="FF333333"/>
      <name val="Arial"/>
      <family val="2"/>
      <charset val="1"/>
    </font>
    <font>
      <sz val="10"/>
      <name val="Arial"/>
      <family val="2"/>
      <charset val="1"/>
    </font>
    <font>
      <sz val="8"/>
      <color rgb="FF333333"/>
      <name val="Arial"/>
      <family val="2"/>
      <charset val="1"/>
    </font>
    <font>
      <sz val="11"/>
      <color rgb="FF444444"/>
      <name val="Calibri"/>
      <family val="2"/>
      <charset val="1"/>
    </font>
    <font>
      <sz val="10"/>
      <color rgb="FF000000"/>
      <name val="Calibri"/>
      <family val="2"/>
      <charset val="1"/>
    </font>
    <font>
      <sz val="18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Calibri"/>
      <family val="2"/>
      <charset val="1"/>
    </font>
    <font>
      <b/>
      <sz val="8"/>
      <name val="Calibri"/>
      <family val="2"/>
      <charset val="1"/>
    </font>
    <font>
      <b/>
      <sz val="8"/>
      <color rgb="FF444444"/>
      <name val="Calibri"/>
      <family val="2"/>
      <charset val="1"/>
    </font>
    <font>
      <sz val="10"/>
      <name val="Calibri"/>
      <family val="2"/>
      <charset val="1"/>
    </font>
    <font>
      <i/>
      <sz val="9"/>
      <color rgb="FF000000"/>
      <name val="Calibri"/>
      <family val="2"/>
      <charset val="1"/>
    </font>
    <font>
      <b/>
      <i/>
      <sz val="10"/>
      <color rgb="FFFFFFFF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Calibri"/>
      <family val="2"/>
      <charset val="1"/>
    </font>
    <font>
      <sz val="9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0"/>
      <color rgb="FF444444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b/>
      <sz val="12"/>
      <color rgb="FF333333"/>
      <name val="Calibri"/>
      <family val="2"/>
      <charset val="1"/>
    </font>
    <font>
      <b/>
      <sz val="10"/>
      <color rgb="FF333333"/>
      <name val="Calibri"/>
      <family val="2"/>
      <charset val="1"/>
    </font>
    <font>
      <sz val="10"/>
      <color rgb="FF000080"/>
      <name val="Calibri"/>
      <family val="2"/>
      <charset val="1"/>
    </font>
    <font>
      <sz val="10"/>
      <color rgb="FF339966"/>
      <name val="Calibri"/>
      <family val="2"/>
      <charset val="1"/>
    </font>
    <font>
      <b/>
      <sz val="10"/>
      <color rgb="FF808080"/>
      <name val="Calibri"/>
      <family val="2"/>
      <charset val="1"/>
    </font>
    <font>
      <u/>
      <sz val="11"/>
      <color rgb="FF0563C1"/>
      <name val="Arial"/>
      <family val="2"/>
      <charset val="1"/>
    </font>
    <font>
      <b/>
      <i/>
      <sz val="10"/>
      <color rgb="FF333333"/>
      <name val="Calibri"/>
      <family val="2"/>
      <charset val="1"/>
    </font>
    <font>
      <sz val="10"/>
      <color rgb="FF0000FF"/>
      <name val="Calibri"/>
      <family val="2"/>
      <charset val="1"/>
    </font>
    <font>
      <sz val="10"/>
      <color rgb="FFFF3333"/>
      <name val="Calibri"/>
      <family val="2"/>
      <charset val="1"/>
    </font>
    <font>
      <b/>
      <sz val="11"/>
      <color rgb="FF333333"/>
      <name val="Arial"/>
      <family val="2"/>
      <charset val="1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rgb="FF0B509F"/>
        <bgColor rgb="FF3D4C2F"/>
      </patternFill>
    </fill>
    <fill>
      <patternFill patternType="solid">
        <fgColor rgb="FFD9E1F2"/>
        <bgColor rgb="FFD6DCE4"/>
      </patternFill>
    </fill>
    <fill>
      <patternFill patternType="solid">
        <fgColor rgb="FFD6DCE4"/>
        <bgColor rgb="FFDBDBDB"/>
      </patternFill>
    </fill>
    <fill>
      <patternFill patternType="solid">
        <fgColor rgb="FFFFE699"/>
        <bgColor rgb="FFFFFF99"/>
      </patternFill>
    </fill>
    <fill>
      <patternFill patternType="solid">
        <fgColor rgb="FFBF819E"/>
        <bgColor rgb="FFCC90F4"/>
      </patternFill>
    </fill>
    <fill>
      <patternFill patternType="solid">
        <fgColor rgb="FF729FCF"/>
        <bgColor rgb="FF5B9BD5"/>
      </patternFill>
    </fill>
    <fill>
      <patternFill patternType="solid">
        <fgColor rgb="FF8EA9DB"/>
        <bgColor rgb="FF8FAADC"/>
      </patternFill>
    </fill>
    <fill>
      <patternFill patternType="solid">
        <fgColor rgb="FFCCCCCC"/>
        <bgColor rgb="FFC1C1C1"/>
      </patternFill>
    </fill>
    <fill>
      <patternFill patternType="solid">
        <fgColor rgb="FFFFFFFF"/>
        <bgColor rgb="FFFFFFCC"/>
      </patternFill>
    </fill>
    <fill>
      <patternFill patternType="solid">
        <fgColor rgb="FFF4B183"/>
        <bgColor rgb="FFFF9999"/>
      </patternFill>
    </fill>
    <fill>
      <patternFill patternType="solid">
        <fgColor rgb="FFFCE4D6"/>
        <bgColor rgb="FFFFF2CC"/>
      </patternFill>
    </fill>
    <fill>
      <patternFill patternType="solid">
        <fgColor rgb="FF349864"/>
        <bgColor rgb="FF58AA38"/>
      </patternFill>
    </fill>
    <fill>
      <patternFill patternType="solid">
        <fgColor rgb="FFC6E0B4"/>
        <bgColor rgb="FFD9D9D9"/>
      </patternFill>
    </fill>
    <fill>
      <patternFill patternType="solid">
        <fgColor rgb="FFFFF2CC"/>
        <bgColor rgb="FFFFFFCC"/>
      </patternFill>
    </fill>
    <fill>
      <patternFill patternType="solid">
        <fgColor rgb="FF8497B0"/>
        <bgColor rgb="FF729FCF"/>
      </patternFill>
    </fill>
    <fill>
      <patternFill patternType="solid">
        <fgColor rgb="FFFFCC00"/>
        <bgColor rgb="FFFFFF00"/>
      </patternFill>
    </fill>
    <fill>
      <patternFill patternType="solid">
        <fgColor rgb="FFD9D9D9"/>
        <bgColor rgb="FFDBDBDB"/>
      </patternFill>
    </fill>
    <fill>
      <patternFill patternType="solid">
        <fgColor rgb="FFA1467E"/>
        <bgColor rgb="FF824802"/>
      </patternFill>
    </fill>
    <fill>
      <patternFill patternType="solid">
        <fgColor rgb="FF5EB91E"/>
        <bgColor rgb="FF58AA38"/>
      </patternFill>
    </fill>
    <fill>
      <patternFill patternType="solid">
        <fgColor rgb="FF5680B6"/>
        <bgColor rgb="FF5B9BD5"/>
      </patternFill>
    </fill>
    <fill>
      <patternFill patternType="solid">
        <fgColor rgb="FFA6A6A6"/>
        <bgColor rgb="FFADB9CA"/>
      </patternFill>
    </fill>
    <fill>
      <patternFill patternType="solid">
        <fgColor rgb="FFBBE33D"/>
        <bgColor rgb="FFA9D18E"/>
      </patternFill>
    </fill>
    <fill>
      <patternFill patternType="solid">
        <fgColor rgb="FFB4C7DC"/>
        <bgColor rgb="FFB4C7E7"/>
      </patternFill>
    </fill>
    <fill>
      <patternFill patternType="solid">
        <fgColor rgb="FF808080"/>
        <bgColor rgb="FF8497B0"/>
      </patternFill>
    </fill>
    <fill>
      <patternFill patternType="solid">
        <fgColor rgb="FF5B9BD5"/>
        <bgColor rgb="FF729FCF"/>
      </patternFill>
    </fill>
    <fill>
      <patternFill patternType="solid">
        <fgColor rgb="FFFD7264"/>
        <bgColor rgb="FFFF9999"/>
      </patternFill>
    </fill>
    <fill>
      <patternFill patternType="solid">
        <fgColor rgb="FF9BC2E6"/>
        <bgColor rgb="FFB4C6E7"/>
      </patternFill>
    </fill>
    <fill>
      <patternFill patternType="solid">
        <fgColor rgb="FFADB9CA"/>
        <bgColor rgb="FFC0C0C0"/>
      </patternFill>
    </fill>
    <fill>
      <patternFill patternType="solid">
        <fgColor rgb="FFDBDBDB"/>
        <bgColor rgb="FFD9D9D9"/>
      </patternFill>
    </fill>
    <fill>
      <patternFill patternType="solid">
        <fgColor rgb="FFFF9999"/>
        <bgColor rgb="FFF4B183"/>
      </patternFill>
    </fill>
    <fill>
      <patternFill patternType="solid">
        <fgColor rgb="FFFFCCCC"/>
        <bgColor rgb="FFFACFD6"/>
      </patternFill>
    </fill>
    <fill>
      <patternFill patternType="solid">
        <fgColor rgb="FFC1C1C1"/>
        <bgColor rgb="FFC0C0C0"/>
      </patternFill>
    </fill>
    <fill>
      <patternFill patternType="darkGray">
        <fgColor rgb="FFCC90F4"/>
        <bgColor rgb="FFBF819E"/>
      </patternFill>
    </fill>
    <fill>
      <patternFill patternType="solid">
        <fgColor rgb="FFDDDDDD"/>
        <bgColor rgb="FFDBDBDB"/>
      </patternFill>
    </fill>
    <fill>
      <patternFill patternType="solid">
        <fgColor rgb="FF58AA38"/>
        <bgColor rgb="FF5EB91E"/>
      </patternFill>
    </fill>
    <fill>
      <patternFill patternType="solid">
        <fgColor rgb="FFA9D08E"/>
        <bgColor rgb="FFA9D18E"/>
      </patternFill>
    </fill>
    <fill>
      <patternFill patternType="solid">
        <fgColor rgb="FFFFFFCC"/>
        <bgColor rgb="FFFFF2CC"/>
      </patternFill>
    </fill>
    <fill>
      <patternFill patternType="solid">
        <fgColor rgb="FFCC90F4"/>
        <bgColor rgb="FFBF819E"/>
      </patternFill>
    </fill>
    <fill>
      <patternFill patternType="solid">
        <fgColor rgb="FF00CCFF"/>
        <bgColor rgb="FF5B9BD5"/>
      </patternFill>
    </fill>
    <fill>
      <patternFill patternType="solid">
        <fgColor rgb="FF00FF00"/>
        <bgColor rgb="FF5EB91E"/>
      </patternFill>
    </fill>
    <fill>
      <patternFill patternType="solid">
        <fgColor rgb="FFCCCCFF"/>
        <bgColor rgb="FFB4C7E7"/>
      </patternFill>
    </fill>
    <fill>
      <patternFill patternType="solid">
        <fgColor rgb="FFC0C0C0"/>
        <bgColor rgb="FFC1C1C1"/>
      </patternFill>
    </fill>
    <fill>
      <patternFill patternType="solid">
        <fgColor rgb="FFFFFF00"/>
        <bgColor rgb="FFFFCC00"/>
      </patternFill>
    </fill>
    <fill>
      <patternFill patternType="solid">
        <fgColor rgb="FFDEEBF7"/>
        <bgColor rgb="FFD9E1F2"/>
      </patternFill>
    </fill>
    <fill>
      <patternFill patternType="solid">
        <fgColor rgb="FF8FAADC"/>
        <bgColor rgb="FF8EA9DB"/>
      </patternFill>
    </fill>
    <fill>
      <patternFill patternType="solid">
        <fgColor rgb="FFF64A12"/>
        <bgColor rgb="FFFD7264"/>
      </patternFill>
    </fill>
    <fill>
      <patternFill patternType="solid">
        <fgColor rgb="FFFFFF99"/>
        <bgColor rgb="FFFFFFCC"/>
      </patternFill>
    </fill>
  </fills>
  <borders count="8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rgb="FFB4C6E7"/>
      </top>
      <bottom/>
      <diagonal/>
    </border>
    <border>
      <left/>
      <right/>
      <top style="thin">
        <color rgb="FFB4C6E7"/>
      </top>
      <bottom style="thin">
        <color rgb="FF9BC2E6"/>
      </bottom>
      <diagonal/>
    </border>
    <border>
      <left/>
      <right/>
      <top style="thin">
        <color rgb="FFB4C6E7"/>
      </top>
      <bottom style="thin">
        <color rgb="FFB4C6E7"/>
      </bottom>
      <diagonal/>
    </border>
    <border>
      <left/>
      <right/>
      <top style="thin">
        <color rgb="FF9BC2E6"/>
      </top>
      <bottom style="thin">
        <color rgb="FFB4C6E7"/>
      </bottom>
      <diagonal/>
    </border>
    <border>
      <left/>
      <right/>
      <top/>
      <bottom style="thin">
        <color rgb="FFB4C6E7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5">
    <xf numFmtId="0" fontId="0" fillId="0" borderId="0"/>
    <xf numFmtId="164" fontId="12" fillId="0" borderId="0"/>
    <xf numFmtId="9" fontId="17" fillId="0" borderId="0" applyBorder="0" applyProtection="0"/>
    <xf numFmtId="0" fontId="47" fillId="0" borderId="0" applyBorder="0" applyProtection="0"/>
    <xf numFmtId="164" fontId="1" fillId="0" borderId="0" applyBorder="0" applyProtection="0"/>
  </cellStyleXfs>
  <cellXfs count="79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66" fontId="2" fillId="3" borderId="3" xfId="0" applyNumberFormat="1" applyFont="1" applyFill="1" applyBorder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5" fillId="4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/>
    <xf numFmtId="10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/>
    <xf numFmtId="167" fontId="2" fillId="0" borderId="11" xfId="0" applyNumberFormat="1" applyFont="1" applyBorder="1"/>
    <xf numFmtId="0" fontId="5" fillId="0" borderId="13" xfId="0" applyFont="1" applyBorder="1"/>
    <xf numFmtId="0" fontId="5" fillId="3" borderId="14" xfId="0" applyFont="1" applyFill="1" applyBorder="1" applyAlignment="1">
      <alignment horizontal="left" vertical="center"/>
    </xf>
    <xf numFmtId="10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0" fontId="7" fillId="0" borderId="9" xfId="0" applyNumberFormat="1" applyFont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3" borderId="12" xfId="0" applyFont="1" applyFill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10" fontId="7" fillId="0" borderId="14" xfId="0" applyNumberFormat="1" applyFont="1" applyBorder="1" applyAlignment="1">
      <alignment horizontal="left" vertical="center"/>
    </xf>
    <xf numFmtId="10" fontId="7" fillId="0" borderId="4" xfId="0" applyNumberFormat="1" applyFont="1" applyBorder="1" applyAlignment="1">
      <alignment vertical="center"/>
    </xf>
    <xf numFmtId="10" fontId="7" fillId="0" borderId="16" xfId="0" applyNumberFormat="1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10" fontId="7" fillId="0" borderId="7" xfId="0" applyNumberFormat="1" applyFont="1" applyBorder="1" applyAlignment="1">
      <alignment horizontal="left" vertical="center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10" xfId="0" applyFont="1" applyBorder="1" applyAlignment="1" applyProtection="1">
      <alignment horizontal="left" vertical="center"/>
      <protection locked="0"/>
    </xf>
    <xf numFmtId="10" fontId="2" fillId="0" borderId="10" xfId="1" applyNumberFormat="1" applyFont="1" applyBorder="1" applyAlignment="1">
      <alignment horizontal="center" vertical="center"/>
    </xf>
    <xf numFmtId="168" fontId="2" fillId="0" borderId="10" xfId="1" applyNumberFormat="1" applyFont="1" applyBorder="1" applyAlignment="1">
      <alignment horizontal="center" vertical="center"/>
    </xf>
    <xf numFmtId="168" fontId="13" fillId="0" borderId="0" xfId="1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/>
    </xf>
    <xf numFmtId="0" fontId="14" fillId="0" borderId="1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/>
    </xf>
    <xf numFmtId="169" fontId="2" fillId="0" borderId="3" xfId="1" applyNumberFormat="1" applyFont="1" applyBorder="1" applyAlignment="1">
      <alignment horizontal="center" vertical="center"/>
    </xf>
    <xf numFmtId="0" fontId="5" fillId="7" borderId="6" xfId="0" applyFont="1" applyFill="1" applyBorder="1" applyAlignment="1">
      <alignment horizontal="center"/>
    </xf>
    <xf numFmtId="0" fontId="0" fillId="7" borderId="5" xfId="0" applyFill="1" applyBorder="1"/>
    <xf numFmtId="169" fontId="2" fillId="7" borderId="5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8" fontId="14" fillId="0" borderId="0" xfId="1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/>
    </xf>
    <xf numFmtId="0" fontId="15" fillId="0" borderId="10" xfId="0" applyFont="1" applyBorder="1" applyAlignment="1" applyProtection="1">
      <alignment horizontal="left" vertical="center"/>
      <protection locked="0"/>
    </xf>
    <xf numFmtId="168" fontId="9" fillId="0" borderId="10" xfId="1" applyNumberFormat="1" applyFont="1" applyBorder="1" applyAlignment="1">
      <alignment horizontal="center" vertical="center"/>
    </xf>
    <xf numFmtId="0" fontId="16" fillId="0" borderId="10" xfId="0" applyFont="1" applyBorder="1" applyAlignment="1" applyProtection="1">
      <alignment horizontal="left" vertical="center"/>
      <protection locked="0"/>
    </xf>
    <xf numFmtId="168" fontId="16" fillId="0" borderId="0" xfId="1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9" fillId="9" borderId="20" xfId="0" applyFont="1" applyFill="1" applyBorder="1" applyAlignment="1">
      <alignment vertical="center"/>
    </xf>
    <xf numFmtId="0" fontId="17" fillId="9" borderId="21" xfId="0" applyFont="1" applyFill="1" applyBorder="1" applyAlignment="1">
      <alignment horizontal="center" vertical="center" wrapText="1"/>
    </xf>
    <xf numFmtId="0" fontId="19" fillId="9" borderId="21" xfId="0" applyFont="1" applyFill="1" applyBorder="1" applyAlignment="1">
      <alignment vertical="center"/>
    </xf>
    <xf numFmtId="0" fontId="17" fillId="9" borderId="22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vertical="center"/>
    </xf>
    <xf numFmtId="0" fontId="0" fillId="9" borderId="28" xfId="0" applyFill="1" applyBorder="1"/>
    <xf numFmtId="0" fontId="0" fillId="9" borderId="29" xfId="0" applyFill="1" applyBorder="1"/>
    <xf numFmtId="0" fontId="20" fillId="0" borderId="30" xfId="0" applyFont="1" applyBorder="1"/>
    <xf numFmtId="0" fontId="20" fillId="0" borderId="7" xfId="0" applyFont="1" applyBorder="1"/>
    <xf numFmtId="0" fontId="17" fillId="10" borderId="3" xfId="0" applyFont="1" applyFill="1" applyBorder="1"/>
    <xf numFmtId="170" fontId="20" fillId="0" borderId="7" xfId="0" applyNumberFormat="1" applyFont="1" applyBorder="1" applyAlignment="1">
      <alignment wrapText="1"/>
    </xf>
    <xf numFmtId="166" fontId="17" fillId="0" borderId="9" xfId="0" applyNumberFormat="1" applyFont="1" applyBorder="1" applyAlignment="1">
      <alignment vertical="center"/>
    </xf>
    <xf numFmtId="166" fontId="17" fillId="0" borderId="31" xfId="0" applyNumberFormat="1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6" fillId="9" borderId="33" xfId="0" applyFont="1" applyFill="1" applyBorder="1" applyAlignment="1">
      <alignment vertical="center"/>
    </xf>
    <xf numFmtId="0" fontId="0" fillId="9" borderId="0" xfId="0" applyFill="1"/>
    <xf numFmtId="0" fontId="0" fillId="9" borderId="34" xfId="0" applyFill="1" applyBorder="1"/>
    <xf numFmtId="0" fontId="17" fillId="0" borderId="35" xfId="0" applyFont="1" applyBorder="1" applyAlignment="1">
      <alignment vertical="center"/>
    </xf>
    <xf numFmtId="0" fontId="21" fillId="9" borderId="36" xfId="0" applyFont="1" applyFill="1" applyBorder="1" applyAlignment="1">
      <alignment vertical="center"/>
    </xf>
    <xf numFmtId="0" fontId="0" fillId="9" borderId="1" xfId="0" applyFill="1" applyBorder="1"/>
    <xf numFmtId="0" fontId="0" fillId="9" borderId="26" xfId="0" applyFill="1" applyBorder="1"/>
    <xf numFmtId="0" fontId="20" fillId="0" borderId="37" xfId="0" applyFont="1" applyBorder="1"/>
    <xf numFmtId="0" fontId="20" fillId="0" borderId="8" xfId="0" applyFont="1" applyBorder="1"/>
    <xf numFmtId="0" fontId="17" fillId="10" borderId="12" xfId="0" applyFont="1" applyFill="1" applyBorder="1"/>
    <xf numFmtId="170" fontId="20" fillId="0" borderId="8" xfId="0" applyNumberFormat="1" applyFont="1" applyBorder="1" applyAlignment="1">
      <alignment wrapText="1"/>
    </xf>
    <xf numFmtId="166" fontId="17" fillId="0" borderId="18" xfId="0" applyNumberFormat="1" applyFont="1" applyBorder="1" applyAlignment="1">
      <alignment vertical="center"/>
    </xf>
    <xf numFmtId="166" fontId="17" fillId="0" borderId="38" xfId="0" applyNumberFormat="1" applyFont="1" applyBorder="1" applyAlignment="1">
      <alignment vertical="center"/>
    </xf>
    <xf numFmtId="0" fontId="17" fillId="0" borderId="39" xfId="0" applyFont="1" applyBorder="1" applyAlignment="1">
      <alignment vertical="center"/>
    </xf>
    <xf numFmtId="170" fontId="18" fillId="3" borderId="40" xfId="0" applyNumberFormat="1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170" fontId="17" fillId="0" borderId="7" xfId="0" applyNumberFormat="1" applyFont="1" applyBorder="1" applyAlignment="1">
      <alignment wrapText="1"/>
    </xf>
    <xf numFmtId="171" fontId="17" fillId="0" borderId="42" xfId="0" applyNumberFormat="1" applyFont="1" applyBorder="1" applyAlignment="1">
      <alignment vertical="center"/>
    </xf>
    <xf numFmtId="0" fontId="17" fillId="0" borderId="43" xfId="0" applyFont="1" applyBorder="1" applyAlignment="1">
      <alignment vertical="center"/>
    </xf>
    <xf numFmtId="0" fontId="17" fillId="0" borderId="44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5" xfId="0" applyFont="1" applyBorder="1" applyAlignment="1">
      <alignment vertical="center"/>
    </xf>
    <xf numFmtId="0" fontId="17" fillId="0" borderId="44" xfId="0" applyFont="1" applyBorder="1"/>
    <xf numFmtId="0" fontId="17" fillId="0" borderId="5" xfId="0" applyFont="1" applyBorder="1"/>
    <xf numFmtId="0" fontId="22" fillId="0" borderId="38" xfId="0" applyFont="1" applyBorder="1"/>
    <xf numFmtId="0" fontId="17" fillId="0" borderId="46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70" fontId="17" fillId="0" borderId="8" xfId="0" applyNumberFormat="1" applyFont="1" applyBorder="1" applyAlignment="1">
      <alignment wrapText="1"/>
    </xf>
    <xf numFmtId="171" fontId="17" fillId="0" borderId="33" xfId="0" applyNumberFormat="1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170" fontId="18" fillId="3" borderId="19" xfId="0" applyNumberFormat="1" applyFont="1" applyFill="1" applyBorder="1" applyAlignment="1">
      <alignment horizontal="center" vertical="center"/>
    </xf>
    <xf numFmtId="0" fontId="17" fillId="10" borderId="33" xfId="0" applyFont="1" applyFill="1" applyBorder="1" applyAlignment="1">
      <alignment vertical="center"/>
    </xf>
    <xf numFmtId="0" fontId="17" fillId="10" borderId="0" xfId="0" applyFont="1" applyFill="1" applyAlignment="1">
      <alignment vertical="center"/>
    </xf>
    <xf numFmtId="170" fontId="17" fillId="10" borderId="0" xfId="0" applyNumberFormat="1" applyFont="1" applyFill="1" applyAlignment="1">
      <alignment vertical="center"/>
    </xf>
    <xf numFmtId="0" fontId="19" fillId="3" borderId="48" xfId="0" applyFont="1" applyFill="1" applyBorder="1" applyAlignment="1">
      <alignment horizontal="center" vertical="center" wrapText="1"/>
    </xf>
    <xf numFmtId="0" fontId="19" fillId="3" borderId="49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2" fontId="17" fillId="10" borderId="3" xfId="0" applyNumberFormat="1" applyFont="1" applyFill="1" applyBorder="1" applyAlignment="1">
      <alignment vertical="center"/>
    </xf>
    <xf numFmtId="0" fontId="17" fillId="0" borderId="30" xfId="0" applyFont="1" applyBorder="1"/>
    <xf numFmtId="0" fontId="17" fillId="0" borderId="37" xfId="0" applyFont="1" applyBorder="1"/>
    <xf numFmtId="0" fontId="17" fillId="0" borderId="50" xfId="0" applyFont="1" applyBorder="1" applyAlignment="1">
      <alignment vertical="center"/>
    </xf>
    <xf numFmtId="0" fontId="17" fillId="0" borderId="46" xfId="0" applyFont="1" applyBorder="1"/>
    <xf numFmtId="0" fontId="19" fillId="3" borderId="51" xfId="0" applyFont="1" applyFill="1" applyBorder="1" applyAlignment="1">
      <alignment horizontal="center" vertical="center" wrapText="1"/>
    </xf>
    <xf numFmtId="170" fontId="18" fillId="3" borderId="19" xfId="0" applyNumberFormat="1" applyFont="1" applyFill="1" applyBorder="1" applyAlignment="1">
      <alignment horizontal="right" vertical="center"/>
    </xf>
    <xf numFmtId="166" fontId="17" fillId="10" borderId="0" xfId="0" applyNumberFormat="1" applyFont="1" applyFill="1" applyAlignment="1">
      <alignment vertical="center"/>
    </xf>
    <xf numFmtId="171" fontId="17" fillId="10" borderId="0" xfId="0" applyNumberFormat="1" applyFont="1" applyFill="1" applyAlignment="1">
      <alignment vertical="center"/>
    </xf>
    <xf numFmtId="0" fontId="19" fillId="12" borderId="23" xfId="0" applyFont="1" applyFill="1" applyBorder="1" applyAlignment="1">
      <alignment horizontal="center" vertical="center" wrapText="1"/>
    </xf>
    <xf numFmtId="0" fontId="19" fillId="12" borderId="24" xfId="0" applyFont="1" applyFill="1" applyBorder="1" applyAlignment="1">
      <alignment horizontal="center" vertical="center" wrapText="1"/>
    </xf>
    <xf numFmtId="0" fontId="19" fillId="12" borderId="25" xfId="0" applyFont="1" applyFill="1" applyBorder="1" applyAlignment="1">
      <alignment horizontal="center" vertical="center" wrapText="1"/>
    </xf>
    <xf numFmtId="0" fontId="19" fillId="12" borderId="4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70" fontId="17" fillId="0" borderId="2" xfId="0" applyNumberFormat="1" applyFont="1" applyBorder="1" applyAlignment="1">
      <alignment wrapText="1"/>
    </xf>
    <xf numFmtId="0" fontId="17" fillId="0" borderId="52" xfId="0" applyFont="1" applyBorder="1"/>
    <xf numFmtId="170" fontId="17" fillId="0" borderId="7" xfId="0" applyNumberFormat="1" applyFont="1" applyBorder="1"/>
    <xf numFmtId="170" fontId="17" fillId="0" borderId="9" xfId="0" applyNumberFormat="1" applyFont="1" applyBorder="1"/>
    <xf numFmtId="170" fontId="18" fillId="12" borderId="19" xfId="0" applyNumberFormat="1" applyFont="1" applyFill="1" applyBorder="1" applyAlignment="1">
      <alignment vertical="center"/>
    </xf>
    <xf numFmtId="170" fontId="18" fillId="12" borderId="38" xfId="0" applyNumberFormat="1" applyFont="1" applyFill="1" applyBorder="1" applyAlignment="1">
      <alignment vertical="center"/>
    </xf>
    <xf numFmtId="0" fontId="19" fillId="14" borderId="37" xfId="0" applyFont="1" applyFill="1" applyBorder="1" applyAlignment="1">
      <alignment horizontal="center" vertical="center" wrapText="1"/>
    </xf>
    <xf numFmtId="0" fontId="19" fillId="14" borderId="8" xfId="0" applyFont="1" applyFill="1" applyBorder="1" applyAlignment="1">
      <alignment horizontal="center" vertical="center" wrapText="1"/>
    </xf>
    <xf numFmtId="0" fontId="19" fillId="14" borderId="18" xfId="0" applyFont="1" applyFill="1" applyBorder="1" applyAlignment="1">
      <alignment horizontal="center" vertical="center" wrapText="1"/>
    </xf>
    <xf numFmtId="0" fontId="19" fillId="14" borderId="38" xfId="0" applyFont="1" applyFill="1" applyBorder="1" applyAlignment="1">
      <alignment horizontal="center" vertical="center" wrapText="1"/>
    </xf>
    <xf numFmtId="166" fontId="18" fillId="15" borderId="19" xfId="0" applyNumberFormat="1" applyFont="1" applyFill="1" applyBorder="1" applyAlignment="1">
      <alignment vertical="center"/>
    </xf>
    <xf numFmtId="170" fontId="17" fillId="0" borderId="9" xfId="0" applyNumberFormat="1" applyFont="1" applyBorder="1" applyAlignment="1">
      <alignment wrapText="1"/>
    </xf>
    <xf numFmtId="170" fontId="17" fillId="0" borderId="8" xfId="0" applyNumberFormat="1" applyFont="1" applyBorder="1"/>
    <xf numFmtId="170" fontId="17" fillId="0" borderId="18" xfId="0" applyNumberFormat="1" applyFont="1" applyBorder="1" applyAlignment="1">
      <alignment wrapText="1"/>
    </xf>
    <xf numFmtId="0" fontId="17" fillId="0" borderId="53" xfId="0" applyFont="1" applyBorder="1" applyAlignment="1">
      <alignment vertical="center"/>
    </xf>
    <xf numFmtId="0" fontId="17" fillId="0" borderId="54" xfId="0" applyFont="1" applyBorder="1" applyAlignment="1">
      <alignment vertical="center"/>
    </xf>
    <xf numFmtId="170" fontId="17" fillId="0" borderId="54" xfId="0" applyNumberFormat="1" applyFont="1" applyBorder="1"/>
    <xf numFmtId="170" fontId="17" fillId="0" borderId="54" xfId="0" applyNumberFormat="1" applyFont="1" applyBorder="1" applyAlignment="1">
      <alignment wrapText="1"/>
    </xf>
    <xf numFmtId="166" fontId="17" fillId="0" borderId="55" xfId="0" applyNumberFormat="1" applyFont="1" applyBorder="1" applyAlignment="1">
      <alignment vertical="center"/>
    </xf>
    <xf numFmtId="166" fontId="18" fillId="14" borderId="19" xfId="0" applyNumberFormat="1" applyFont="1" applyFill="1" applyBorder="1" applyAlignment="1">
      <alignment vertical="center"/>
    </xf>
    <xf numFmtId="0" fontId="19" fillId="4" borderId="3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170" fontId="18" fillId="16" borderId="1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170" fontId="17" fillId="0" borderId="31" xfId="0" applyNumberFormat="1" applyFont="1" applyBorder="1" applyAlignment="1">
      <alignment vertical="center"/>
    </xf>
    <xf numFmtId="170" fontId="17" fillId="0" borderId="56" xfId="0" applyNumberFormat="1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2" fontId="17" fillId="0" borderId="3" xfId="0" applyNumberFormat="1" applyFont="1" applyBorder="1" applyAlignment="1">
      <alignment vertical="center"/>
    </xf>
    <xf numFmtId="2" fontId="17" fillId="0" borderId="7" xfId="0" applyNumberFormat="1" applyFont="1" applyBorder="1" applyAlignment="1">
      <alignment vertical="center"/>
    </xf>
    <xf numFmtId="166" fontId="17" fillId="0" borderId="6" xfId="0" applyNumberFormat="1" applyFont="1" applyBorder="1" applyAlignment="1">
      <alignment vertical="center"/>
    </xf>
    <xf numFmtId="170" fontId="17" fillId="0" borderId="45" xfId="0" applyNumberFormat="1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170" fontId="17" fillId="0" borderId="12" xfId="0" applyNumberFormat="1" applyFont="1" applyBorder="1"/>
    <xf numFmtId="166" fontId="17" fillId="0" borderId="14" xfId="0" applyNumberFormat="1" applyFont="1" applyBorder="1" applyAlignment="1">
      <alignment vertical="center"/>
    </xf>
    <xf numFmtId="170" fontId="17" fillId="0" borderId="57" xfId="0" applyNumberFormat="1" applyFont="1" applyBorder="1" applyAlignment="1">
      <alignment vertical="center"/>
    </xf>
    <xf numFmtId="0" fontId="19" fillId="4" borderId="48" xfId="0" applyFont="1" applyFill="1" applyBorder="1" applyAlignment="1">
      <alignment horizontal="center" vertical="center" wrapText="1"/>
    </xf>
    <xf numFmtId="0" fontId="19" fillId="4" borderId="49" xfId="0" applyFont="1" applyFill="1" applyBorder="1" applyAlignment="1">
      <alignment horizontal="center" vertical="center" wrapText="1"/>
    </xf>
    <xf numFmtId="0" fontId="19" fillId="4" borderId="51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170" fontId="18" fillId="16" borderId="41" xfId="0" applyNumberFormat="1" applyFont="1" applyFill="1" applyBorder="1" applyAlignment="1">
      <alignment vertical="center"/>
    </xf>
    <xf numFmtId="0" fontId="23" fillId="10" borderId="44" xfId="0" applyFont="1" applyFill="1" applyBorder="1" applyAlignment="1">
      <alignment wrapText="1"/>
    </xf>
    <xf numFmtId="166" fontId="18" fillId="17" borderId="40" xfId="0" applyNumberFormat="1" applyFont="1" applyFill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17" fillId="0" borderId="49" xfId="0" applyFont="1" applyBorder="1" applyAlignment="1">
      <alignment vertical="center"/>
    </xf>
    <xf numFmtId="166" fontId="17" fillId="0" borderId="19" xfId="0" applyNumberFormat="1" applyFont="1" applyBorder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0" fontId="25" fillId="18" borderId="27" xfId="4" applyNumberFormat="1" applyFont="1" applyFill="1" applyBorder="1" applyAlignment="1" applyProtection="1">
      <alignment horizontal="center" vertical="center"/>
    </xf>
    <xf numFmtId="0" fontId="25" fillId="18" borderId="28" xfId="4" applyNumberFormat="1" applyFont="1" applyFill="1" applyBorder="1" applyAlignment="1" applyProtection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23" borderId="19" xfId="0" applyFont="1" applyFill="1" applyBorder="1" applyAlignment="1">
      <alignment horizontal="center" vertical="center" wrapText="1"/>
    </xf>
    <xf numFmtId="0" fontId="8" fillId="24" borderId="19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8" fillId="24" borderId="20" xfId="0" applyFont="1" applyFill="1" applyBorder="1" applyAlignment="1">
      <alignment horizontal="center" vertical="center" wrapText="1"/>
    </xf>
    <xf numFmtId="0" fontId="29" fillId="22" borderId="20" xfId="0" applyFont="1" applyFill="1" applyBorder="1" applyAlignment="1">
      <alignment horizontal="center" vertical="center" wrapText="1"/>
    </xf>
    <xf numFmtId="0" fontId="29" fillId="28" borderId="59" xfId="0" applyFont="1" applyFill="1" applyBorder="1" applyAlignment="1">
      <alignment horizontal="center" vertical="center" wrapText="1"/>
    </xf>
    <xf numFmtId="0" fontId="29" fillId="29" borderId="29" xfId="0" applyFont="1" applyFill="1" applyBorder="1" applyAlignment="1">
      <alignment horizontal="center" vertical="center" wrapText="1"/>
    </xf>
    <xf numFmtId="0" fontId="29" fillId="30" borderId="27" xfId="0" applyFont="1" applyFill="1" applyBorder="1" applyAlignment="1">
      <alignment horizontal="center" vertical="center" wrapText="1"/>
    </xf>
    <xf numFmtId="0" fontId="30" fillId="11" borderId="19" xfId="0" applyFont="1" applyFill="1" applyBorder="1" applyAlignment="1">
      <alignment horizontal="center" vertical="center" wrapText="1"/>
    </xf>
    <xf numFmtId="0" fontId="31" fillId="31" borderId="60" xfId="0" applyFont="1" applyFill="1" applyBorder="1" applyAlignment="1" applyProtection="1">
      <alignment horizontal="left" vertical="center" wrapText="1"/>
      <protection locked="0"/>
    </xf>
    <xf numFmtId="0" fontId="31" fillId="31" borderId="60" xfId="0" applyFont="1" applyFill="1" applyBorder="1" applyAlignment="1" applyProtection="1">
      <alignment horizontal="left" vertical="center"/>
      <protection locked="0"/>
    </xf>
    <xf numFmtId="0" fontId="31" fillId="31" borderId="60" xfId="0" applyFont="1" applyFill="1" applyBorder="1" applyAlignment="1">
      <alignment vertical="center"/>
    </xf>
    <xf numFmtId="10" fontId="31" fillId="31" borderId="6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44" xfId="1" applyFont="1" applyBorder="1" applyAlignment="1">
      <alignment horizontal="center" vertical="center"/>
    </xf>
    <xf numFmtId="166" fontId="32" fillId="0" borderId="35" xfId="1" applyNumberFormat="1" applyFont="1" applyBorder="1" applyAlignment="1">
      <alignment horizontal="center" vertical="center"/>
    </xf>
    <xf numFmtId="164" fontId="8" fillId="0" borderId="10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6" fontId="32" fillId="0" borderId="5" xfId="1" applyNumberFormat="1" applyFont="1" applyBorder="1" applyAlignment="1">
      <alignment horizontal="center" vertical="center"/>
    </xf>
    <xf numFmtId="164" fontId="8" fillId="0" borderId="30" xfId="1" applyFont="1" applyBorder="1" applyAlignment="1">
      <alignment horizontal="center" vertical="center"/>
    </xf>
    <xf numFmtId="172" fontId="15" fillId="22" borderId="42" xfId="0" applyNumberFormat="1" applyFont="1" applyFill="1" applyBorder="1" applyAlignment="1">
      <alignment horizontal="center" vertical="center" wrapText="1"/>
    </xf>
    <xf numFmtId="172" fontId="14" fillId="28" borderId="61" xfId="1" applyNumberFormat="1" applyFont="1" applyFill="1" applyBorder="1" applyAlignment="1">
      <alignment horizontal="center" vertical="center"/>
    </xf>
    <xf numFmtId="164" fontId="14" fillId="29" borderId="62" xfId="1" applyFont="1" applyFill="1" applyBorder="1" applyAlignment="1">
      <alignment horizontal="center" vertical="center"/>
    </xf>
    <xf numFmtId="172" fontId="14" fillId="30" borderId="59" xfId="1" applyNumberFormat="1" applyFont="1" applyFill="1" applyBorder="1" applyAlignment="1">
      <alignment horizontal="center" vertical="center"/>
    </xf>
    <xf numFmtId="172" fontId="14" fillId="11" borderId="59" xfId="1" applyNumberFormat="1" applyFont="1" applyFill="1" applyBorder="1" applyAlignment="1">
      <alignment horizontal="center" vertical="center"/>
    </xf>
    <xf numFmtId="0" fontId="31" fillId="32" borderId="60" xfId="0" applyFont="1" applyFill="1" applyBorder="1" applyAlignment="1" applyProtection="1">
      <alignment horizontal="left" vertical="center"/>
      <protection locked="0"/>
    </xf>
    <xf numFmtId="0" fontId="31" fillId="32" borderId="60" xfId="0" applyFont="1" applyFill="1" applyBorder="1"/>
    <xf numFmtId="10" fontId="31" fillId="32" borderId="60" xfId="0" applyNumberFormat="1" applyFont="1" applyFill="1" applyBorder="1" applyAlignment="1" applyProtection="1">
      <alignment horizontal="center" vertical="center"/>
      <protection locked="0"/>
    </xf>
    <xf numFmtId="164" fontId="14" fillId="29" borderId="15" xfId="1" applyFont="1" applyFill="1" applyBorder="1" applyAlignment="1">
      <alignment horizontal="center" vertical="center"/>
    </xf>
    <xf numFmtId="172" fontId="14" fillId="30" borderId="61" xfId="1" applyNumberFormat="1" applyFont="1" applyFill="1" applyBorder="1" applyAlignment="1">
      <alignment horizontal="center" vertical="center"/>
    </xf>
    <xf numFmtId="172" fontId="14" fillId="11" borderId="61" xfId="1" applyNumberFormat="1" applyFont="1" applyFill="1" applyBorder="1" applyAlignment="1">
      <alignment horizontal="center" vertical="center"/>
    </xf>
    <xf numFmtId="164" fontId="34" fillId="21" borderId="63" xfId="1" applyFont="1" applyFill="1" applyBorder="1" applyAlignment="1">
      <alignment horizontal="center" vertical="center"/>
    </xf>
    <xf numFmtId="166" fontId="34" fillId="21" borderId="63" xfId="1" applyNumberFormat="1" applyFont="1" applyFill="1" applyBorder="1" applyAlignment="1">
      <alignment horizontal="center" vertical="center"/>
    </xf>
    <xf numFmtId="164" fontId="34" fillId="21" borderId="49" xfId="1" applyFont="1" applyFill="1" applyBorder="1" applyAlignment="1">
      <alignment horizontal="center" vertical="center"/>
    </xf>
    <xf numFmtId="172" fontId="34" fillId="21" borderId="51" xfId="1" applyNumberFormat="1" applyFont="1" applyFill="1" applyBorder="1" applyAlignment="1">
      <alignment horizontal="center" vertical="center"/>
    </xf>
    <xf numFmtId="4" fontId="34" fillId="21" borderId="49" xfId="1" applyNumberFormat="1" applyFont="1" applyFill="1" applyBorder="1" applyAlignment="1">
      <alignment horizontal="center" vertical="center"/>
    </xf>
    <xf numFmtId="164" fontId="34" fillId="21" borderId="58" xfId="1" applyFont="1" applyFill="1" applyBorder="1" applyAlignment="1">
      <alignment horizontal="center" vertical="center"/>
    </xf>
    <xf numFmtId="172" fontId="34" fillId="21" borderId="64" xfId="1" applyNumberFormat="1" applyFont="1" applyFill="1" applyBorder="1" applyAlignment="1">
      <alignment horizontal="center" vertical="center"/>
    </xf>
    <xf numFmtId="172" fontId="34" fillId="21" borderId="58" xfId="1" applyNumberFormat="1" applyFont="1" applyFill="1" applyBorder="1" applyAlignment="1">
      <alignment horizontal="center" vertical="center"/>
    </xf>
    <xf numFmtId="0" fontId="14" fillId="0" borderId="0" xfId="0" applyFont="1"/>
    <xf numFmtId="0" fontId="31" fillId="31" borderId="60" xfId="0" applyFont="1" applyFill="1" applyBorder="1"/>
    <xf numFmtId="10" fontId="23" fillId="31" borderId="6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65" xfId="1" applyFont="1" applyBorder="1" applyAlignment="1">
      <alignment horizontal="center" vertical="center"/>
    </xf>
    <xf numFmtId="166" fontId="32" fillId="0" borderId="11" xfId="1" applyNumberFormat="1" applyFont="1" applyBorder="1" applyAlignment="1">
      <alignment horizontal="center" vertical="center"/>
    </xf>
    <xf numFmtId="4" fontId="8" fillId="0" borderId="11" xfId="1" applyNumberFormat="1" applyFont="1" applyBorder="1" applyAlignment="1">
      <alignment horizontal="right" vertical="center"/>
    </xf>
    <xf numFmtId="4" fontId="8" fillId="0" borderId="66" xfId="1" applyNumberFormat="1" applyFont="1" applyBorder="1" applyAlignment="1">
      <alignment horizontal="right" vertical="center"/>
    </xf>
    <xf numFmtId="173" fontId="32" fillId="0" borderId="9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right" vertical="center"/>
    </xf>
    <xf numFmtId="4" fontId="8" fillId="0" borderId="59" xfId="1" applyNumberFormat="1" applyFont="1" applyBorder="1" applyAlignment="1">
      <alignment horizontal="right" vertical="center"/>
    </xf>
    <xf numFmtId="172" fontId="29" fillId="22" borderId="42" xfId="0" applyNumberFormat="1" applyFont="1" applyFill="1" applyBorder="1" applyAlignment="1">
      <alignment horizontal="center" vertical="center" wrapText="1"/>
    </xf>
    <xf numFmtId="172" fontId="23" fillId="28" borderId="61" xfId="1" applyNumberFormat="1" applyFont="1" applyFill="1" applyBorder="1" applyAlignment="1">
      <alignment horizontal="center" vertical="center"/>
    </xf>
    <xf numFmtId="164" fontId="23" fillId="29" borderId="67" xfId="1" applyFont="1" applyFill="1" applyBorder="1" applyAlignment="1">
      <alignment horizontal="center" vertical="center"/>
    </xf>
    <xf numFmtId="172" fontId="23" fillId="30" borderId="59" xfId="1" applyNumberFormat="1" applyFont="1" applyFill="1" applyBorder="1" applyAlignment="1">
      <alignment horizontal="center" vertical="center"/>
    </xf>
    <xf numFmtId="172" fontId="23" fillId="11" borderId="59" xfId="1" applyNumberFormat="1" applyFont="1" applyFill="1" applyBorder="1" applyAlignment="1">
      <alignment horizontal="center" vertical="center"/>
    </xf>
    <xf numFmtId="10" fontId="23" fillId="32" borderId="60" xfId="0" applyNumberFormat="1" applyFont="1" applyFill="1" applyBorder="1" applyAlignment="1" applyProtection="1">
      <alignment horizontal="center" vertical="center"/>
      <protection locked="0"/>
    </xf>
    <xf numFmtId="4" fontId="8" fillId="0" borderId="5" xfId="1" applyNumberFormat="1" applyFont="1" applyBorder="1" applyAlignment="1">
      <alignment horizontal="right" vertical="center"/>
    </xf>
    <xf numFmtId="4" fontId="8" fillId="0" borderId="3" xfId="1" applyNumberFormat="1" applyFont="1" applyBorder="1" applyAlignment="1">
      <alignment horizontal="right" vertical="center"/>
    </xf>
    <xf numFmtId="173" fontId="32" fillId="0" borderId="6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/>
    </xf>
    <xf numFmtId="4" fontId="8" fillId="0" borderId="61" xfId="1" applyNumberFormat="1" applyFont="1" applyBorder="1" applyAlignment="1">
      <alignment horizontal="right" vertical="center"/>
    </xf>
    <xf numFmtId="164" fontId="23" fillId="29" borderId="68" xfId="1" applyFont="1" applyFill="1" applyBorder="1" applyAlignment="1">
      <alignment horizontal="center" vertical="center"/>
    </xf>
    <xf numFmtId="172" fontId="23" fillId="30" borderId="61" xfId="1" applyNumberFormat="1" applyFont="1" applyFill="1" applyBorder="1" applyAlignment="1">
      <alignment horizontal="center" vertical="center"/>
    </xf>
    <xf numFmtId="172" fontId="23" fillId="11" borderId="61" xfId="1" applyNumberFormat="1" applyFont="1" applyFill="1" applyBorder="1" applyAlignment="1">
      <alignment horizontal="center" vertical="center"/>
    </xf>
    <xf numFmtId="172" fontId="23" fillId="11" borderId="69" xfId="1" applyNumberFormat="1" applyFont="1" applyFill="1" applyBorder="1" applyAlignment="1">
      <alignment horizontal="center" vertical="center"/>
    </xf>
    <xf numFmtId="174" fontId="34" fillId="21" borderId="63" xfId="1" applyNumberFormat="1" applyFont="1" applyFill="1" applyBorder="1" applyAlignment="1">
      <alignment horizontal="center" vertical="center"/>
    </xf>
    <xf numFmtId="4" fontId="34" fillId="21" borderId="49" xfId="1" applyNumberFormat="1" applyFont="1" applyFill="1" applyBorder="1" applyAlignment="1">
      <alignment horizontal="right" vertical="center"/>
    </xf>
    <xf numFmtId="4" fontId="34" fillId="21" borderId="51" xfId="1" applyNumberFormat="1" applyFont="1" applyFill="1" applyBorder="1" applyAlignment="1">
      <alignment horizontal="center" vertical="center"/>
    </xf>
    <xf numFmtId="4" fontId="34" fillId="21" borderId="58" xfId="1" applyNumberFormat="1" applyFont="1" applyFill="1" applyBorder="1" applyAlignment="1">
      <alignment horizontal="right" vertical="center"/>
    </xf>
    <xf numFmtId="173" fontId="32" fillId="0" borderId="5" xfId="1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2" fontId="28" fillId="0" borderId="0" xfId="0" applyNumberFormat="1" applyFont="1" applyAlignment="1">
      <alignment horizontal="center"/>
    </xf>
    <xf numFmtId="0" fontId="35" fillId="0" borderId="0" xfId="0" applyFont="1"/>
    <xf numFmtId="4" fontId="37" fillId="2" borderId="71" xfId="0" applyNumberFormat="1" applyFont="1" applyFill="1" applyBorder="1" applyAlignment="1">
      <alignment horizontal="center" vertical="center"/>
    </xf>
    <xf numFmtId="0" fontId="36" fillId="2" borderId="71" xfId="0" applyFont="1" applyFill="1" applyBorder="1" applyAlignment="1">
      <alignment vertical="center"/>
    </xf>
    <xf numFmtId="0" fontId="37" fillId="2" borderId="71" xfId="0" applyFont="1" applyFill="1" applyBorder="1" applyAlignment="1">
      <alignment horizontal="center" vertical="center"/>
    </xf>
    <xf numFmtId="0" fontId="34" fillId="2" borderId="71" xfId="0" applyFont="1" applyFill="1" applyBorder="1" applyAlignment="1">
      <alignment horizontal="left" vertical="center"/>
    </xf>
    <xf numFmtId="4" fontId="38" fillId="2" borderId="72" xfId="0" applyNumberFormat="1" applyFont="1" applyFill="1" applyBorder="1" applyAlignment="1">
      <alignment horizontal="center" vertical="center"/>
    </xf>
    <xf numFmtId="4" fontId="39" fillId="2" borderId="7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7" fillId="2" borderId="0" xfId="0" applyFont="1" applyFill="1" applyAlignment="1">
      <alignment horizontal="center" vertical="center"/>
    </xf>
    <xf numFmtId="4" fontId="37" fillId="2" borderId="0" xfId="0" applyNumberFormat="1" applyFont="1" applyFill="1" applyAlignment="1">
      <alignment horizontal="center" vertical="center"/>
    </xf>
    <xf numFmtId="0" fontId="0" fillId="2" borderId="74" xfId="0" applyFill="1" applyBorder="1" applyAlignment="1">
      <alignment vertical="center"/>
    </xf>
    <xf numFmtId="0" fontId="37" fillId="2" borderId="74" xfId="0" applyFont="1" applyFill="1" applyBorder="1" applyAlignment="1">
      <alignment horizontal="center" vertical="center"/>
    </xf>
    <xf numFmtId="4" fontId="37" fillId="2" borderId="74" xfId="0" applyNumberFormat="1" applyFont="1" applyFill="1" applyBorder="1" applyAlignment="1">
      <alignment horizontal="center" vertical="center"/>
    </xf>
    <xf numFmtId="0" fontId="33" fillId="0" borderId="0" xfId="0" applyFont="1"/>
    <xf numFmtId="0" fontId="29" fillId="16" borderId="20" xfId="0" applyFont="1" applyFill="1" applyBorder="1" applyAlignment="1">
      <alignment horizontal="center" vertical="center" wrapText="1"/>
    </xf>
    <xf numFmtId="0" fontId="29" fillId="9" borderId="19" xfId="0" applyFont="1" applyFill="1" applyBorder="1" applyAlignment="1">
      <alignment horizontal="center" vertical="center" wrapText="1"/>
    </xf>
    <xf numFmtId="0" fontId="30" fillId="27" borderId="19" xfId="0" applyFont="1" applyFill="1" applyBorder="1" applyAlignment="1">
      <alignment horizontal="center" vertical="center" wrapText="1"/>
    </xf>
    <xf numFmtId="0" fontId="30" fillId="36" borderId="22" xfId="0" applyFont="1" applyFill="1" applyBorder="1" applyAlignment="1">
      <alignment horizontal="center" wrapText="1"/>
    </xf>
    <xf numFmtId="0" fontId="29" fillId="35" borderId="41" xfId="0" applyFont="1" applyFill="1" applyBorder="1" applyAlignment="1">
      <alignment horizontal="center" vertical="center" wrapText="1"/>
    </xf>
    <xf numFmtId="0" fontId="29" fillId="35" borderId="36" xfId="0" applyFont="1" applyFill="1" applyBorder="1" applyAlignment="1">
      <alignment horizontal="center" vertical="center" wrapText="1"/>
    </xf>
    <xf numFmtId="0" fontId="29" fillId="28" borderId="19" xfId="0" applyFont="1" applyFill="1" applyBorder="1" applyAlignment="1">
      <alignment horizontal="center" vertical="center" wrapText="1"/>
    </xf>
    <xf numFmtId="0" fontId="28" fillId="16" borderId="33" xfId="0" applyFont="1" applyFill="1" applyBorder="1" applyAlignment="1">
      <alignment horizontal="center" vertical="center" wrapText="1"/>
    </xf>
    <xf numFmtId="0" fontId="28" fillId="9" borderId="41" xfId="0" applyFont="1" applyFill="1" applyBorder="1" applyAlignment="1">
      <alignment horizontal="center" vertical="center" wrapText="1"/>
    </xf>
    <xf numFmtId="0" fontId="40" fillId="27" borderId="34" xfId="0" applyFont="1" applyFill="1" applyBorder="1" applyAlignment="1">
      <alignment horizontal="center" vertical="center" wrapText="1"/>
    </xf>
    <xf numFmtId="0" fontId="25" fillId="0" borderId="10" xfId="0" applyFont="1" applyBorder="1" applyAlignment="1" applyProtection="1">
      <alignment horizontal="left" vertical="center"/>
      <protection locked="0"/>
    </xf>
    <xf numFmtId="10" fontId="25" fillId="0" borderId="56" xfId="0" applyNumberFormat="1" applyFont="1" applyBorder="1" applyAlignment="1" applyProtection="1">
      <alignment horizontal="center" vertical="center"/>
      <protection locked="0"/>
    </xf>
    <xf numFmtId="4" fontId="14" fillId="0" borderId="42" xfId="0" applyNumberFormat="1" applyFont="1" applyBorder="1" applyAlignment="1" applyProtection="1">
      <alignment horizontal="right" vertical="center"/>
      <protection locked="0"/>
    </xf>
    <xf numFmtId="164" fontId="14" fillId="0" borderId="10" xfId="1" applyFont="1" applyBorder="1" applyAlignment="1">
      <alignment horizontal="center" vertical="center"/>
    </xf>
    <xf numFmtId="164" fontId="14" fillId="0" borderId="66" xfId="1" applyFont="1" applyBorder="1" applyAlignment="1">
      <alignment horizontal="center" vertical="center"/>
    </xf>
    <xf numFmtId="175" fontId="14" fillId="0" borderId="66" xfId="0" applyNumberFormat="1" applyFont="1" applyBorder="1" applyAlignment="1">
      <alignment horizontal="center" vertical="center"/>
    </xf>
    <xf numFmtId="164" fontId="14" fillId="0" borderId="59" xfId="1" applyFont="1" applyBorder="1" applyAlignment="1">
      <alignment horizontal="center" vertical="center"/>
    </xf>
    <xf numFmtId="164" fontId="23" fillId="35" borderId="42" xfId="1" applyFont="1" applyFill="1" applyBorder="1" applyAlignment="1">
      <alignment horizontal="center" vertical="center"/>
    </xf>
    <xf numFmtId="164" fontId="23" fillId="28" borderId="42" xfId="1" applyFont="1" applyFill="1" applyBorder="1" applyAlignment="1">
      <alignment horizontal="center" vertical="center"/>
    </xf>
    <xf numFmtId="164" fontId="23" fillId="29" borderId="43" xfId="1" applyFont="1" applyFill="1" applyBorder="1" applyAlignment="1">
      <alignment horizontal="center" vertical="center"/>
    </xf>
    <xf numFmtId="2" fontId="23" fillId="30" borderId="62" xfId="1" applyNumberFormat="1" applyFont="1" applyFill="1" applyBorder="1" applyAlignment="1">
      <alignment horizontal="center" vertical="center"/>
    </xf>
    <xf numFmtId="2" fontId="23" fillId="11" borderId="43" xfId="1" applyNumberFormat="1" applyFont="1" applyFill="1" applyBorder="1" applyAlignment="1">
      <alignment horizontal="center" vertical="center"/>
    </xf>
    <xf numFmtId="164" fontId="23" fillId="37" borderId="2" xfId="1" applyFont="1" applyFill="1" applyBorder="1" applyAlignment="1">
      <alignment horizontal="center" vertical="center"/>
    </xf>
    <xf numFmtId="0" fontId="23" fillId="0" borderId="10" xfId="0" applyFont="1" applyBorder="1" applyAlignment="1" applyProtection="1">
      <alignment horizontal="left" vertical="center"/>
      <protection locked="0"/>
    </xf>
    <xf numFmtId="4" fontId="14" fillId="0" borderId="68" xfId="0" applyNumberFormat="1" applyFont="1" applyBorder="1" applyAlignment="1" applyProtection="1">
      <alignment horizontal="right" vertical="center"/>
      <protection locked="0"/>
    </xf>
    <xf numFmtId="164" fontId="14" fillId="0" borderId="3" xfId="1" applyFont="1" applyBorder="1" applyAlignment="1">
      <alignment horizontal="center" vertical="center"/>
    </xf>
    <xf numFmtId="175" fontId="14" fillId="0" borderId="3" xfId="0" applyNumberFormat="1" applyFont="1" applyBorder="1" applyAlignment="1">
      <alignment horizontal="center" vertical="center"/>
    </xf>
    <xf numFmtId="164" fontId="14" fillId="0" borderId="61" xfId="1" applyFont="1" applyBorder="1" applyAlignment="1">
      <alignment horizontal="center" vertical="center"/>
    </xf>
    <xf numFmtId="164" fontId="23" fillId="35" borderId="68" xfId="1" applyFont="1" applyFill="1" applyBorder="1" applyAlignment="1">
      <alignment vertical="center"/>
    </xf>
    <xf numFmtId="164" fontId="23" fillId="35" borderId="68" xfId="1" applyFont="1" applyFill="1" applyBorder="1" applyAlignment="1">
      <alignment horizontal="center" vertical="center"/>
    </xf>
    <xf numFmtId="164" fontId="23" fillId="28" borderId="68" xfId="1" applyFont="1" applyFill="1" applyBorder="1" applyAlignment="1">
      <alignment horizontal="center" vertical="center"/>
    </xf>
    <xf numFmtId="164" fontId="23" fillId="29" borderId="45" xfId="1" applyFont="1" applyFill="1" applyBorder="1" applyAlignment="1">
      <alignment horizontal="center" vertical="center"/>
    </xf>
    <xf numFmtId="2" fontId="23" fillId="30" borderId="15" xfId="1" applyNumberFormat="1" applyFont="1" applyFill="1" applyBorder="1" applyAlignment="1">
      <alignment horizontal="center" vertical="center"/>
    </xf>
    <xf numFmtId="172" fontId="23" fillId="11" borderId="31" xfId="1" applyNumberFormat="1" applyFont="1" applyFill="1" applyBorder="1" applyAlignment="1">
      <alignment horizontal="center" vertical="center"/>
    </xf>
    <xf numFmtId="164" fontId="23" fillId="37" borderId="15" xfId="1" applyFont="1" applyFill="1" applyBorder="1" applyAlignment="1">
      <alignment horizontal="center" vertical="center"/>
    </xf>
    <xf numFmtId="172" fontId="23" fillId="11" borderId="45" xfId="1" applyNumberFormat="1" applyFont="1" applyFill="1" applyBorder="1" applyAlignment="1">
      <alignment horizontal="center" vertical="center"/>
    </xf>
    <xf numFmtId="4" fontId="14" fillId="0" borderId="78" xfId="0" applyNumberFormat="1" applyFont="1" applyBorder="1" applyAlignment="1" applyProtection="1">
      <alignment horizontal="right" vertical="center"/>
      <protection locked="0"/>
    </xf>
    <xf numFmtId="164" fontId="14" fillId="0" borderId="12" xfId="1" applyFont="1" applyBorder="1" applyAlignment="1">
      <alignment horizontal="center" vertical="center"/>
    </xf>
    <xf numFmtId="175" fontId="14" fillId="0" borderId="12" xfId="0" applyNumberFormat="1" applyFont="1" applyBorder="1" applyAlignment="1">
      <alignment horizontal="center" vertical="center"/>
    </xf>
    <xf numFmtId="164" fontId="14" fillId="0" borderId="69" xfId="1" applyFont="1" applyBorder="1" applyAlignment="1">
      <alignment horizontal="center" vertical="center"/>
    </xf>
    <xf numFmtId="0" fontId="41" fillId="21" borderId="20" xfId="0" applyFont="1" applyFill="1" applyBorder="1" applyAlignment="1">
      <alignment horizontal="center" vertical="center"/>
    </xf>
    <xf numFmtId="164" fontId="25" fillId="21" borderId="48" xfId="1" applyFont="1" applyFill="1" applyBorder="1" applyAlignment="1">
      <alignment horizontal="center" vertical="center"/>
    </xf>
    <xf numFmtId="164" fontId="25" fillId="21" borderId="49" xfId="1" applyFont="1" applyFill="1" applyBorder="1" applyAlignment="1">
      <alignment horizontal="center" vertical="center"/>
    </xf>
    <xf numFmtId="164" fontId="25" fillId="21" borderId="58" xfId="1" applyFont="1" applyFill="1" applyBorder="1" applyAlignment="1">
      <alignment horizontal="center" vertical="center"/>
    </xf>
    <xf numFmtId="164" fontId="25" fillId="35" borderId="21" xfId="1" applyFont="1" applyFill="1" applyBorder="1" applyAlignment="1">
      <alignment horizontal="center" vertical="center"/>
    </xf>
    <xf numFmtId="164" fontId="25" fillId="35" borderId="27" xfId="1" applyFont="1" applyFill="1" applyBorder="1" applyAlignment="1">
      <alignment horizontal="center" vertical="center"/>
    </xf>
    <xf numFmtId="164" fontId="25" fillId="35" borderId="40" xfId="1" applyFont="1" applyFill="1" applyBorder="1" applyAlignment="1">
      <alignment horizontal="center" vertical="center"/>
    </xf>
    <xf numFmtId="164" fontId="25" fillId="26" borderId="28" xfId="1" applyFont="1" applyFill="1" applyBorder="1" applyAlignment="1">
      <alignment horizontal="center" vertical="center"/>
    </xf>
    <xf numFmtId="164" fontId="25" fillId="26" borderId="27" xfId="1" applyFont="1" applyFill="1" applyBorder="1" applyAlignment="1">
      <alignment horizontal="center" vertical="center"/>
    </xf>
    <xf numFmtId="164" fontId="28" fillId="16" borderId="20" xfId="0" applyNumberFormat="1" applyFont="1" applyFill="1" applyBorder="1" applyAlignment="1">
      <alignment horizontal="center" vertical="center" wrapText="1"/>
    </xf>
    <xf numFmtId="164" fontId="28" fillId="9" borderId="19" xfId="0" applyNumberFormat="1" applyFont="1" applyFill="1" applyBorder="1" applyAlignment="1">
      <alignment horizontal="center" vertical="center" wrapText="1"/>
    </xf>
    <xf numFmtId="164" fontId="40" fillId="27" borderId="22" xfId="0" applyNumberFormat="1" applyFont="1" applyFill="1" applyBorder="1" applyAlignment="1">
      <alignment horizontal="center" vertical="center" wrapText="1"/>
    </xf>
    <xf numFmtId="164" fontId="25" fillId="36" borderId="21" xfId="1" applyFont="1" applyFill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79" xfId="0" applyFont="1" applyBorder="1" applyAlignment="1">
      <alignment horizontal="center" vertical="center"/>
    </xf>
    <xf numFmtId="2" fontId="28" fillId="9" borderId="2" xfId="0" applyNumberFormat="1" applyFont="1" applyFill="1" applyBorder="1" applyAlignment="1">
      <alignment horizontal="center"/>
    </xf>
    <xf numFmtId="2" fontId="31" fillId="0" borderId="20" xfId="0" applyNumberFormat="1" applyFont="1" applyBorder="1" applyAlignment="1">
      <alignment horizontal="right"/>
    </xf>
    <xf numFmtId="2" fontId="28" fillId="0" borderId="29" xfId="0" applyNumberFormat="1" applyFont="1" applyBorder="1" applyAlignment="1">
      <alignment horizontal="left"/>
    </xf>
    <xf numFmtId="2" fontId="28" fillId="0" borderId="28" xfId="0" applyNumberFormat="1" applyFont="1" applyBorder="1" applyAlignment="1">
      <alignment horizontal="left"/>
    </xf>
    <xf numFmtId="2" fontId="28" fillId="0" borderId="22" xfId="0" applyNumberFormat="1" applyFont="1" applyBorder="1" applyAlignment="1">
      <alignment horizontal="left"/>
    </xf>
    <xf numFmtId="2" fontId="28" fillId="0" borderId="0" xfId="0" applyNumberFormat="1" applyFont="1" applyAlignment="1">
      <alignment horizontal="left"/>
    </xf>
    <xf numFmtId="2" fontId="28" fillId="9" borderId="68" xfId="0" applyNumberFormat="1" applyFont="1" applyFill="1" applyBorder="1" applyAlignment="1">
      <alignment horizontal="center"/>
    </xf>
    <xf numFmtId="2" fontId="28" fillId="9" borderId="44" xfId="0" applyNumberFormat="1" applyFont="1" applyFill="1" applyBorder="1" applyAlignment="1">
      <alignment horizontal="center"/>
    </xf>
    <xf numFmtId="2" fontId="28" fillId="9" borderId="3" xfId="0" applyNumberFormat="1" applyFont="1" applyFill="1" applyBorder="1" applyAlignment="1">
      <alignment horizontal="center"/>
    </xf>
    <xf numFmtId="2" fontId="28" fillId="9" borderId="61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0" fontId="22" fillId="0" borderId="0" xfId="0" applyFont="1"/>
    <xf numFmtId="2" fontId="28" fillId="9" borderId="80" xfId="0" applyNumberFormat="1" applyFont="1" applyFill="1" applyBorder="1" applyAlignment="1">
      <alignment horizontal="center"/>
    </xf>
    <xf numFmtId="2" fontId="28" fillId="9" borderId="81" xfId="0" applyNumberFormat="1" applyFont="1" applyFill="1" applyBorder="1" applyAlignment="1">
      <alignment horizontal="center"/>
    </xf>
    <xf numFmtId="2" fontId="28" fillId="9" borderId="82" xfId="0" applyNumberFormat="1" applyFont="1" applyFill="1" applyBorder="1" applyAlignment="1">
      <alignment horizontal="center"/>
    </xf>
    <xf numFmtId="2" fontId="28" fillId="9" borderId="83" xfId="0" applyNumberFormat="1" applyFont="1" applyFill="1" applyBorder="1" applyAlignment="1">
      <alignment horizontal="center"/>
    </xf>
    <xf numFmtId="2" fontId="28" fillId="14" borderId="30" xfId="0" applyNumberFormat="1" applyFont="1" applyFill="1" applyBorder="1" applyAlignment="1">
      <alignment horizontal="center"/>
    </xf>
    <xf numFmtId="176" fontId="28" fillId="14" borderId="30" xfId="0" applyNumberFormat="1" applyFont="1" applyFill="1" applyBorder="1" applyAlignment="1">
      <alignment horizontal="center"/>
    </xf>
    <xf numFmtId="176" fontId="28" fillId="14" borderId="7" xfId="0" applyNumberFormat="1" applyFont="1" applyFill="1" applyBorder="1" applyAlignment="1">
      <alignment horizontal="center"/>
    </xf>
    <xf numFmtId="177" fontId="28" fillId="14" borderId="7" xfId="0" applyNumberFormat="1" applyFont="1" applyFill="1" applyBorder="1" applyAlignment="1">
      <alignment horizontal="center"/>
    </xf>
    <xf numFmtId="177" fontId="28" fillId="14" borderId="79" xfId="0" applyNumberFormat="1" applyFont="1" applyFill="1" applyBorder="1" applyAlignment="1">
      <alignment horizontal="center"/>
    </xf>
    <xf numFmtId="2" fontId="28" fillId="14" borderId="44" xfId="0" applyNumberFormat="1" applyFont="1" applyFill="1" applyBorder="1" applyAlignment="1">
      <alignment horizontal="center"/>
    </xf>
    <xf numFmtId="176" fontId="28" fillId="14" borderId="44" xfId="0" applyNumberFormat="1" applyFont="1" applyFill="1" applyBorder="1" applyAlignment="1">
      <alignment horizontal="center"/>
    </xf>
    <xf numFmtId="176" fontId="28" fillId="14" borderId="3" xfId="0" applyNumberFormat="1" applyFont="1" applyFill="1" applyBorder="1" applyAlignment="1">
      <alignment horizontal="center"/>
    </xf>
    <xf numFmtId="177" fontId="28" fillId="14" borderId="3" xfId="0" applyNumberFormat="1" applyFont="1" applyFill="1" applyBorder="1" applyAlignment="1">
      <alignment horizontal="center"/>
    </xf>
    <xf numFmtId="177" fontId="28" fillId="14" borderId="61" xfId="0" applyNumberFormat="1" applyFont="1" applyFill="1" applyBorder="1" applyAlignment="1">
      <alignment horizontal="center"/>
    </xf>
    <xf numFmtId="0" fontId="8" fillId="33" borderId="53" xfId="0" applyFont="1" applyFill="1" applyBorder="1" applyAlignment="1" applyProtection="1">
      <alignment horizontal="center" vertical="center"/>
      <protection locked="0"/>
    </xf>
    <xf numFmtId="0" fontId="14" fillId="6" borderId="53" xfId="0" applyFont="1" applyFill="1" applyBorder="1" applyAlignment="1">
      <alignment horizontal="center" vertical="center" wrapText="1"/>
    </xf>
    <xf numFmtId="0" fontId="14" fillId="6" borderId="54" xfId="0" applyFont="1" applyFill="1" applyBorder="1" applyAlignment="1">
      <alignment horizontal="center" vertical="center" wrapText="1"/>
    </xf>
    <xf numFmtId="0" fontId="14" fillId="23" borderId="54" xfId="0" applyFont="1" applyFill="1" applyBorder="1" applyAlignment="1">
      <alignment horizontal="center" vertical="center" wrapText="1"/>
    </xf>
    <xf numFmtId="0" fontId="23" fillId="24" borderId="54" xfId="0" applyFont="1" applyFill="1" applyBorder="1" applyAlignment="1">
      <alignment horizontal="center" vertical="center" wrapText="1"/>
    </xf>
    <xf numFmtId="0" fontId="14" fillId="24" borderId="84" xfId="0" applyFont="1" applyFill="1" applyBorder="1" applyAlignment="1">
      <alignment horizontal="center" vertical="center" wrapText="1"/>
    </xf>
    <xf numFmtId="0" fontId="9" fillId="0" borderId="0" xfId="0" applyFont="1"/>
    <xf numFmtId="0" fontId="42" fillId="10" borderId="33" xfId="0" applyFont="1" applyFill="1" applyBorder="1" applyAlignment="1">
      <alignment vertical="center"/>
    </xf>
    <xf numFmtId="0" fontId="42" fillId="10" borderId="0" xfId="0" applyFont="1" applyFill="1" applyAlignment="1">
      <alignment vertical="center"/>
    </xf>
    <xf numFmtId="165" fontId="5" fillId="38" borderId="65" xfId="0" applyNumberFormat="1" applyFont="1" applyFill="1" applyBorder="1" applyAlignment="1">
      <alignment horizontal="center" vertical="center"/>
    </xf>
    <xf numFmtId="165" fontId="5" fillId="38" borderId="67" xfId="0" applyNumberFormat="1" applyFont="1" applyFill="1" applyBorder="1" applyAlignment="1">
      <alignment horizontal="center" vertical="center"/>
    </xf>
    <xf numFmtId="165" fontId="5" fillId="38" borderId="43" xfId="0" applyNumberFormat="1" applyFont="1" applyFill="1" applyBorder="1" applyAlignment="1">
      <alignment horizontal="center" vertical="center" wrapText="1"/>
    </xf>
    <xf numFmtId="165" fontId="5" fillId="38" borderId="43" xfId="0" applyNumberFormat="1" applyFont="1" applyFill="1" applyBorder="1" applyAlignment="1">
      <alignment horizontal="center" vertical="center"/>
    </xf>
    <xf numFmtId="0" fontId="9" fillId="10" borderId="33" xfId="0" applyFont="1" applyFill="1" applyBorder="1" applyAlignment="1">
      <alignment vertical="center"/>
    </xf>
    <xf numFmtId="0" fontId="5" fillId="10" borderId="0" xfId="0" applyFont="1" applyFill="1" applyAlignment="1">
      <alignment horizontal="right" vertical="center"/>
    </xf>
    <xf numFmtId="178" fontId="2" fillId="38" borderId="44" xfId="1" applyNumberFormat="1" applyFont="1" applyFill="1" applyBorder="1" applyAlignment="1">
      <alignment horizontal="center" vertical="center"/>
    </xf>
    <xf numFmtId="178" fontId="2" fillId="38" borderId="68" xfId="1" applyNumberFormat="1" applyFont="1" applyFill="1" applyBorder="1" applyAlignment="1">
      <alignment horizontal="center" vertical="center"/>
    </xf>
    <xf numFmtId="178" fontId="2" fillId="38" borderId="45" xfId="1" applyNumberFormat="1" applyFont="1" applyFill="1" applyBorder="1" applyAlignment="1">
      <alignment horizontal="center" vertical="center"/>
    </xf>
    <xf numFmtId="165" fontId="2" fillId="38" borderId="44" xfId="0" applyNumberFormat="1" applyFont="1" applyFill="1" applyBorder="1" applyAlignment="1">
      <alignment horizontal="center" vertical="center"/>
    </xf>
    <xf numFmtId="165" fontId="2" fillId="38" borderId="68" xfId="0" applyNumberFormat="1" applyFont="1" applyFill="1" applyBorder="1" applyAlignment="1">
      <alignment horizontal="center" vertical="center"/>
    </xf>
    <xf numFmtId="165" fontId="2" fillId="38" borderId="45" xfId="0" applyNumberFormat="1" applyFont="1" applyFill="1" applyBorder="1" applyAlignment="1">
      <alignment horizontal="center" vertical="center"/>
    </xf>
    <xf numFmtId="165" fontId="2" fillId="38" borderId="53" xfId="0" applyNumberFormat="1" applyFont="1" applyFill="1" applyBorder="1" applyAlignment="1">
      <alignment horizontal="center" vertical="center"/>
    </xf>
    <xf numFmtId="165" fontId="2" fillId="38" borderId="80" xfId="0" applyNumberFormat="1" applyFont="1" applyFill="1" applyBorder="1" applyAlignment="1">
      <alignment horizontal="center" vertical="center"/>
    </xf>
    <xf numFmtId="165" fontId="2" fillId="38" borderId="47" xfId="0" applyNumberFormat="1" applyFont="1" applyFill="1" applyBorder="1" applyAlignment="1">
      <alignment horizontal="center" vertical="center"/>
    </xf>
    <xf numFmtId="0" fontId="43" fillId="10" borderId="65" xfId="0" applyFont="1" applyFill="1" applyBorder="1" applyAlignment="1">
      <alignment horizontal="center" vertical="center"/>
    </xf>
    <xf numFmtId="0" fontId="43" fillId="39" borderId="66" xfId="0" applyFont="1" applyFill="1" applyBorder="1" applyAlignment="1">
      <alignment horizontal="center" vertical="center" wrapText="1"/>
    </xf>
    <xf numFmtId="0" fontId="43" fillId="39" borderId="10" xfId="0" applyFont="1" applyFill="1" applyBorder="1" applyAlignment="1">
      <alignment horizontal="center" vertical="center" wrapText="1"/>
    </xf>
    <xf numFmtId="0" fontId="43" fillId="39" borderId="56" xfId="0" applyFont="1" applyFill="1" applyBorder="1" applyAlignment="1">
      <alignment horizontal="center" vertical="center" wrapText="1"/>
    </xf>
    <xf numFmtId="0" fontId="43" fillId="41" borderId="44" xfId="0" applyFont="1" applyFill="1" applyBorder="1" applyAlignment="1">
      <alignment vertical="center" wrapText="1"/>
    </xf>
    <xf numFmtId="168" fontId="43" fillId="41" borderId="3" xfId="1" applyNumberFormat="1" applyFont="1" applyFill="1" applyBorder="1" applyAlignment="1">
      <alignment horizontal="center" vertical="center"/>
    </xf>
    <xf numFmtId="168" fontId="43" fillId="41" borderId="61" xfId="1" applyNumberFormat="1" applyFont="1" applyFill="1" applyBorder="1" applyAlignment="1">
      <alignment horizontal="center" vertical="center"/>
    </xf>
    <xf numFmtId="0" fontId="9" fillId="10" borderId="44" xfId="0" applyFont="1" applyFill="1" applyBorder="1" applyAlignment="1">
      <alignment vertical="center" wrapText="1"/>
    </xf>
    <xf numFmtId="166" fontId="44" fillId="10" borderId="3" xfId="2" applyNumberFormat="1" applyFont="1" applyFill="1" applyBorder="1" applyAlignment="1" applyProtection="1">
      <alignment vertical="center"/>
    </xf>
    <xf numFmtId="168" fontId="43" fillId="10" borderId="3" xfId="1" applyNumberFormat="1" applyFont="1" applyFill="1" applyBorder="1"/>
    <xf numFmtId="168" fontId="43" fillId="10" borderId="6" xfId="1" applyNumberFormat="1" applyFont="1" applyFill="1" applyBorder="1"/>
    <xf numFmtId="168" fontId="43" fillId="10" borderId="61" xfId="1" applyNumberFormat="1" applyFont="1" applyFill="1" applyBorder="1"/>
    <xf numFmtId="10" fontId="44" fillId="10" borderId="3" xfId="2" applyNumberFormat="1" applyFont="1" applyFill="1" applyBorder="1" applyAlignment="1" applyProtection="1">
      <alignment horizontal="right" vertical="center"/>
    </xf>
    <xf numFmtId="168" fontId="43" fillId="10" borderId="3" xfId="1" applyNumberFormat="1" applyFont="1" applyFill="1" applyBorder="1" applyAlignment="1">
      <alignment horizontal="center"/>
    </xf>
    <xf numFmtId="168" fontId="43" fillId="10" borderId="61" xfId="1" applyNumberFormat="1" applyFont="1" applyFill="1" applyBorder="1" applyAlignment="1">
      <alignment horizontal="center"/>
    </xf>
    <xf numFmtId="168" fontId="45" fillId="10" borderId="3" xfId="2" applyNumberFormat="1" applyFont="1" applyFill="1" applyBorder="1" applyAlignment="1" applyProtection="1">
      <alignment vertical="center"/>
    </xf>
    <xf numFmtId="168" fontId="43" fillId="10" borderId="6" xfId="1" applyNumberFormat="1" applyFont="1" applyFill="1" applyBorder="1" applyAlignment="1">
      <alignment horizontal="center"/>
    </xf>
    <xf numFmtId="10" fontId="45" fillId="10" borderId="3" xfId="0" applyNumberFormat="1" applyFont="1" applyFill="1" applyBorder="1" applyAlignment="1">
      <alignment vertical="center"/>
    </xf>
    <xf numFmtId="0" fontId="25" fillId="8" borderId="44" xfId="0" applyFont="1" applyFill="1" applyBorder="1" applyAlignment="1">
      <alignment horizontal="right" vertical="center"/>
    </xf>
    <xf numFmtId="9" fontId="25" fillId="8" borderId="3" xfId="0" applyNumberFormat="1" applyFont="1" applyFill="1" applyBorder="1" applyAlignment="1">
      <alignment horizontal="center" vertical="center"/>
    </xf>
    <xf numFmtId="4" fontId="25" fillId="8" borderId="3" xfId="0" applyNumberFormat="1" applyFont="1" applyFill="1" applyBorder="1" applyAlignment="1">
      <alignment horizontal="right" vertical="center"/>
    </xf>
    <xf numFmtId="4" fontId="25" fillId="8" borderId="6" xfId="0" applyNumberFormat="1" applyFont="1" applyFill="1" applyBorder="1" applyAlignment="1">
      <alignment horizontal="right" vertical="center"/>
    </xf>
    <xf numFmtId="4" fontId="25" fillId="8" borderId="61" xfId="0" applyNumberFormat="1" applyFont="1" applyFill="1" applyBorder="1" applyAlignment="1">
      <alignment horizontal="right" vertical="center"/>
    </xf>
    <xf numFmtId="0" fontId="9" fillId="10" borderId="44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9" fillId="10" borderId="61" xfId="0" applyFont="1" applyFill="1" applyBorder="1" applyAlignment="1">
      <alignment horizontal="center" vertical="center"/>
    </xf>
    <xf numFmtId="0" fontId="25" fillId="3" borderId="44" xfId="0" applyFont="1" applyFill="1" applyBorder="1" applyAlignment="1">
      <alignment vertical="center"/>
    </xf>
    <xf numFmtId="168" fontId="43" fillId="42" borderId="3" xfId="1" applyNumberFormat="1" applyFont="1" applyFill="1" applyBorder="1" applyAlignment="1">
      <alignment horizontal="center" vertical="center"/>
    </xf>
    <xf numFmtId="168" fontId="43" fillId="42" borderId="61" xfId="1" applyNumberFormat="1" applyFont="1" applyFill="1" applyBorder="1" applyAlignment="1">
      <alignment horizontal="center" vertical="center"/>
    </xf>
    <xf numFmtId="0" fontId="23" fillId="0" borderId="44" xfId="0" applyFont="1" applyBorder="1" applyAlignment="1">
      <alignment vertical="center"/>
    </xf>
    <xf numFmtId="10" fontId="44" fillId="10" borderId="3" xfId="2" applyNumberFormat="1" applyFont="1" applyFill="1" applyBorder="1" applyAlignment="1" applyProtection="1">
      <alignment vertical="center"/>
    </xf>
    <xf numFmtId="10" fontId="25" fillId="8" borderId="3" xfId="0" applyNumberFormat="1" applyFont="1" applyFill="1" applyBorder="1" applyAlignment="1">
      <alignment horizontal="center" vertical="center"/>
    </xf>
    <xf numFmtId="2" fontId="25" fillId="8" borderId="3" xfId="0" applyNumberFormat="1" applyFont="1" applyFill="1" applyBorder="1" applyAlignment="1">
      <alignment horizontal="right" vertical="center"/>
    </xf>
    <xf numFmtId="2" fontId="25" fillId="8" borderId="61" xfId="0" applyNumberFormat="1" applyFont="1" applyFill="1" applyBorder="1" applyAlignment="1">
      <alignment horizontal="right" vertical="center"/>
    </xf>
    <xf numFmtId="0" fontId="25" fillId="3" borderId="3" xfId="0" applyFont="1" applyFill="1" applyBorder="1" applyAlignment="1">
      <alignment vertical="center"/>
    </xf>
    <xf numFmtId="0" fontId="25" fillId="3" borderId="6" xfId="0" applyFont="1" applyFill="1" applyBorder="1" applyAlignment="1">
      <alignment vertical="center"/>
    </xf>
    <xf numFmtId="0" fontId="25" fillId="3" borderId="61" xfId="0" applyFont="1" applyFill="1" applyBorder="1" applyAlignment="1">
      <alignment vertical="center"/>
    </xf>
    <xf numFmtId="168" fontId="43" fillId="10" borderId="3" xfId="1" applyNumberFormat="1" applyFont="1" applyFill="1" applyBorder="1" applyAlignment="1">
      <alignment vertical="center"/>
    </xf>
    <xf numFmtId="168" fontId="43" fillId="10" borderId="61" xfId="1" applyNumberFormat="1" applyFont="1" applyFill="1" applyBorder="1" applyAlignment="1">
      <alignment vertical="center"/>
    </xf>
    <xf numFmtId="179" fontId="44" fillId="10" borderId="3" xfId="2" applyNumberFormat="1" applyFont="1" applyFill="1" applyBorder="1" applyAlignment="1" applyProtection="1">
      <alignment horizontal="right" vertical="center"/>
    </xf>
    <xf numFmtId="179" fontId="44" fillId="10" borderId="3" xfId="2" applyNumberFormat="1" applyFont="1" applyFill="1" applyBorder="1" applyAlignment="1" applyProtection="1">
      <alignment vertical="center"/>
    </xf>
    <xf numFmtId="168" fontId="43" fillId="10" borderId="3" xfId="1" applyNumberFormat="1" applyFont="1" applyFill="1" applyBorder="1" applyAlignment="1">
      <alignment horizontal="center" vertical="center"/>
    </xf>
    <xf numFmtId="168" fontId="43" fillId="10" borderId="61" xfId="1" applyNumberFormat="1" applyFont="1" applyFill="1" applyBorder="1" applyAlignment="1">
      <alignment horizontal="center" vertical="center"/>
    </xf>
    <xf numFmtId="164" fontId="44" fillId="10" borderId="3" xfId="2" applyNumberFormat="1" applyFont="1" applyFill="1" applyBorder="1" applyAlignment="1" applyProtection="1">
      <alignment vertical="center"/>
    </xf>
    <xf numFmtId="168" fontId="43" fillId="10" borderId="6" xfId="1" applyNumberFormat="1" applyFont="1" applyFill="1" applyBorder="1" applyAlignment="1">
      <alignment horizontal="center" vertical="center"/>
    </xf>
    <xf numFmtId="173" fontId="44" fillId="10" borderId="3" xfId="2" applyNumberFormat="1" applyFont="1" applyFill="1" applyBorder="1" applyAlignment="1" applyProtection="1">
      <alignment vertical="center"/>
    </xf>
    <xf numFmtId="10" fontId="23" fillId="0" borderId="3" xfId="0" applyNumberFormat="1" applyFont="1" applyBorder="1" applyAlignment="1">
      <alignment horizontal="center" vertical="center"/>
    </xf>
    <xf numFmtId="4" fontId="23" fillId="0" borderId="3" xfId="0" applyNumberFormat="1" applyFont="1" applyBorder="1" applyAlignment="1">
      <alignment vertical="center"/>
    </xf>
    <xf numFmtId="4" fontId="23" fillId="0" borderId="61" xfId="0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25" fillId="3" borderId="3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25" fillId="3" borderId="61" xfId="0" applyFont="1" applyFill="1" applyBorder="1" applyAlignment="1">
      <alignment horizontal="center" vertical="center"/>
    </xf>
    <xf numFmtId="2" fontId="23" fillId="0" borderId="3" xfId="0" applyNumberFormat="1" applyFont="1" applyBorder="1" applyAlignment="1">
      <alignment horizontal="right" vertical="center"/>
    </xf>
    <xf numFmtId="2" fontId="23" fillId="0" borderId="61" xfId="0" applyNumberFormat="1" applyFont="1" applyBorder="1" applyAlignment="1">
      <alignment horizontal="right" vertical="center"/>
    </xf>
    <xf numFmtId="10" fontId="44" fillId="10" borderId="3" xfId="2" applyNumberFormat="1" applyFont="1" applyFill="1" applyBorder="1" applyAlignment="1" applyProtection="1">
      <alignment vertical="center"/>
      <protection locked="0"/>
    </xf>
    <xf numFmtId="0" fontId="43" fillId="43" borderId="44" xfId="0" applyFont="1" applyFill="1" applyBorder="1" applyAlignment="1">
      <alignment horizontal="right" vertical="center" wrapText="1"/>
    </xf>
    <xf numFmtId="10" fontId="43" fillId="43" borderId="3" xfId="0" applyNumberFormat="1" applyFont="1" applyFill="1" applyBorder="1" applyAlignment="1">
      <alignment horizontal="right" vertical="center" wrapText="1"/>
    </xf>
    <xf numFmtId="168" fontId="43" fillId="43" borderId="3" xfId="0" applyNumberFormat="1" applyFont="1" applyFill="1" applyBorder="1" applyAlignment="1">
      <alignment vertical="center"/>
    </xf>
    <xf numFmtId="168" fontId="43" fillId="43" borderId="61" xfId="0" applyNumberFormat="1" applyFont="1" applyFill="1" applyBorder="1" applyAlignment="1">
      <alignment vertical="center"/>
    </xf>
    <xf numFmtId="168" fontId="43" fillId="43" borderId="3" xfId="0" applyNumberFormat="1" applyFont="1" applyFill="1" applyBorder="1" applyAlignment="1">
      <alignment horizontal="right" vertical="center"/>
    </xf>
    <xf numFmtId="168" fontId="43" fillId="43" borderId="61" xfId="0" applyNumberFormat="1" applyFont="1" applyFill="1" applyBorder="1" applyAlignment="1">
      <alignment horizontal="right" vertical="center"/>
    </xf>
    <xf numFmtId="0" fontId="43" fillId="40" borderId="78" xfId="0" applyFont="1" applyFill="1" applyBorder="1" applyAlignment="1">
      <alignment vertical="center" wrapText="1"/>
    </xf>
    <xf numFmtId="0" fontId="43" fillId="40" borderId="4" xfId="0" applyFont="1" applyFill="1" applyBorder="1" applyAlignment="1">
      <alignment vertical="center" wrapText="1"/>
    </xf>
    <xf numFmtId="0" fontId="43" fillId="40" borderId="50" xfId="0" applyFont="1" applyFill="1" applyBorder="1" applyAlignment="1">
      <alignment vertical="center" wrapText="1"/>
    </xf>
    <xf numFmtId="170" fontId="44" fillId="10" borderId="3" xfId="2" applyNumberFormat="1" applyFont="1" applyFill="1" applyBorder="1" applyProtection="1"/>
    <xf numFmtId="0" fontId="23" fillId="0" borderId="44" xfId="0" applyFont="1" applyBorder="1" applyAlignment="1">
      <alignment wrapText="1"/>
    </xf>
    <xf numFmtId="170" fontId="44" fillId="10" borderId="3" xfId="2" applyNumberFormat="1" applyFont="1" applyFill="1" applyBorder="1" applyAlignment="1" applyProtection="1">
      <alignment vertical="center"/>
    </xf>
    <xf numFmtId="0" fontId="23" fillId="44" borderId="44" xfId="0" applyFont="1" applyFill="1" applyBorder="1" applyAlignment="1">
      <alignment wrapText="1"/>
    </xf>
    <xf numFmtId="10" fontId="44" fillId="44" borderId="3" xfId="2" applyNumberFormat="1" applyFont="1" applyFill="1" applyBorder="1" applyAlignment="1" applyProtection="1">
      <alignment vertical="center"/>
    </xf>
    <xf numFmtId="168" fontId="43" fillId="44" borderId="3" xfId="1" applyNumberFormat="1" applyFont="1" applyFill="1" applyBorder="1" applyAlignment="1">
      <alignment horizontal="center"/>
    </xf>
    <xf numFmtId="168" fontId="43" fillId="44" borderId="6" xfId="1" applyNumberFormat="1" applyFont="1" applyFill="1" applyBorder="1"/>
    <xf numFmtId="168" fontId="43" fillId="44" borderId="61" xfId="1" applyNumberFormat="1" applyFont="1" applyFill="1" applyBorder="1" applyAlignment="1">
      <alignment horizontal="right"/>
    </xf>
    <xf numFmtId="0" fontId="45" fillId="43" borderId="3" xfId="0" applyFont="1" applyFill="1" applyBorder="1" applyAlignment="1">
      <alignment vertical="center"/>
    </xf>
    <xf numFmtId="0" fontId="9" fillId="10" borderId="12" xfId="0" applyFont="1" applyFill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9" fillId="10" borderId="69" xfId="0" applyFont="1" applyFill="1" applyBorder="1" applyAlignment="1">
      <alignment horizontal="center" vertical="center"/>
    </xf>
    <xf numFmtId="0" fontId="43" fillId="45" borderId="44" xfId="0" applyFont="1" applyFill="1" applyBorder="1" applyAlignment="1">
      <alignment vertical="center" wrapText="1"/>
    </xf>
    <xf numFmtId="10" fontId="44" fillId="45" borderId="3" xfId="2" applyNumberFormat="1" applyFont="1" applyFill="1" applyBorder="1" applyAlignment="1" applyProtection="1">
      <alignment vertical="center"/>
    </xf>
    <xf numFmtId="168" fontId="43" fillId="45" borderId="3" xfId="1" applyNumberFormat="1" applyFont="1" applyFill="1" applyBorder="1" applyAlignment="1">
      <alignment horizontal="right" vertical="center"/>
    </xf>
    <xf numFmtId="168" fontId="43" fillId="45" borderId="61" xfId="1" applyNumberFormat="1" applyFont="1" applyFill="1" applyBorder="1" applyAlignment="1">
      <alignment horizontal="right" vertical="center"/>
    </xf>
    <xf numFmtId="168" fontId="9" fillId="0" borderId="3" xfId="1" applyNumberFormat="1" applyFont="1" applyBorder="1" applyAlignment="1">
      <alignment horizontal="right" vertical="center"/>
    </xf>
    <xf numFmtId="168" fontId="9" fillId="0" borderId="61" xfId="1" applyNumberFormat="1" applyFont="1" applyBorder="1" applyAlignment="1">
      <alignment horizontal="right" vertical="center"/>
    </xf>
    <xf numFmtId="168" fontId="9" fillId="0" borderId="12" xfId="1" applyNumberFormat="1" applyFont="1" applyBorder="1" applyAlignment="1">
      <alignment horizontal="right" vertical="center"/>
    </xf>
    <xf numFmtId="168" fontId="9" fillId="0" borderId="69" xfId="1" applyNumberFormat="1" applyFont="1" applyBorder="1" applyAlignment="1">
      <alignment horizontal="right" vertical="center"/>
    </xf>
    <xf numFmtId="4" fontId="9" fillId="0" borderId="0" xfId="0" applyNumberFormat="1" applyFont="1"/>
    <xf numFmtId="168" fontId="9" fillId="0" borderId="3" xfId="1" applyNumberFormat="1" applyFont="1" applyBorder="1" applyAlignment="1">
      <alignment vertical="center"/>
    </xf>
    <xf numFmtId="168" fontId="9" fillId="0" borderId="61" xfId="1" applyNumberFormat="1" applyFont="1" applyBorder="1" applyAlignment="1">
      <alignment vertical="center"/>
    </xf>
    <xf numFmtId="10" fontId="44" fillId="10" borderId="12" xfId="2" applyNumberFormat="1" applyFont="1" applyFill="1" applyBorder="1" applyAlignment="1" applyProtection="1">
      <alignment vertical="center"/>
    </xf>
    <xf numFmtId="168" fontId="9" fillId="0" borderId="12" xfId="1" applyNumberFormat="1" applyFont="1" applyBorder="1" applyAlignment="1">
      <alignment vertical="center"/>
    </xf>
    <xf numFmtId="168" fontId="9" fillId="0" borderId="69" xfId="1" applyNumberFormat="1" applyFont="1" applyBorder="1" applyAlignment="1">
      <alignment vertical="center"/>
    </xf>
    <xf numFmtId="10" fontId="44" fillId="46" borderId="67" xfId="2" applyNumberFormat="1" applyFont="1" applyFill="1" applyBorder="1" applyAlignment="1" applyProtection="1">
      <alignment vertical="center"/>
    </xf>
    <xf numFmtId="168" fontId="43" fillId="46" borderId="66" xfId="1" applyNumberFormat="1" applyFont="1" applyFill="1" applyBorder="1" applyAlignment="1">
      <alignment vertical="center"/>
    </xf>
    <xf numFmtId="168" fontId="43" fillId="46" borderId="59" xfId="1" applyNumberFormat="1" applyFont="1" applyFill="1" applyBorder="1" applyAlignment="1">
      <alignment vertical="center"/>
    </xf>
    <xf numFmtId="10" fontId="44" fillId="46" borderId="68" xfId="2" applyNumberFormat="1" applyFont="1" applyFill="1" applyBorder="1" applyAlignment="1" applyProtection="1">
      <alignment vertical="center"/>
    </xf>
    <xf numFmtId="168" fontId="43" fillId="46" borderId="3" xfId="1" applyNumberFormat="1" applyFont="1" applyFill="1" applyBorder="1" applyAlignment="1">
      <alignment vertical="center"/>
    </xf>
    <xf numFmtId="168" fontId="43" fillId="46" borderId="61" xfId="1" applyNumberFormat="1" applyFont="1" applyFill="1" applyBorder="1" applyAlignment="1">
      <alignment vertical="center"/>
    </xf>
    <xf numFmtId="10" fontId="44" fillId="46" borderId="80" xfId="2" applyNumberFormat="1" applyFont="1" applyFill="1" applyBorder="1" applyAlignment="1" applyProtection="1">
      <alignment vertical="center"/>
    </xf>
    <xf numFmtId="168" fontId="43" fillId="46" borderId="54" xfId="1" applyNumberFormat="1" applyFont="1" applyFill="1" applyBorder="1" applyAlignment="1">
      <alignment vertical="center"/>
    </xf>
    <xf numFmtId="168" fontId="43" fillId="46" borderId="84" xfId="1" applyNumberFormat="1" applyFont="1" applyFill="1" applyBorder="1" applyAlignment="1">
      <alignment vertical="center"/>
    </xf>
    <xf numFmtId="0" fontId="44" fillId="10" borderId="7" xfId="2" applyNumberFormat="1" applyFont="1" applyFill="1" applyBorder="1" applyAlignment="1" applyProtection="1">
      <alignment vertical="center"/>
    </xf>
    <xf numFmtId="168" fontId="9" fillId="10" borderId="7" xfId="1" applyNumberFormat="1" applyFont="1" applyFill="1" applyBorder="1" applyAlignment="1">
      <alignment vertical="center"/>
    </xf>
    <xf numFmtId="168" fontId="9" fillId="10" borderId="9" xfId="1" applyNumberFormat="1" applyFont="1" applyFill="1" applyBorder="1" applyAlignment="1">
      <alignment vertical="center"/>
    </xf>
    <xf numFmtId="168" fontId="9" fillId="10" borderId="79" xfId="1" applyNumberFormat="1" applyFont="1" applyFill="1" applyBorder="1" applyAlignment="1">
      <alignment vertical="center"/>
    </xf>
    <xf numFmtId="0" fontId="43" fillId="43" borderId="53" xfId="0" applyFont="1" applyFill="1" applyBorder="1" applyAlignment="1">
      <alignment horizontal="right" vertical="center" wrapText="1"/>
    </xf>
    <xf numFmtId="10" fontId="43" fillId="43" borderId="54" xfId="0" applyNumberFormat="1" applyFont="1" applyFill="1" applyBorder="1" applyAlignment="1">
      <alignment horizontal="right" vertical="center" wrapText="1"/>
    </xf>
    <xf numFmtId="168" fontId="43" fillId="43" borderId="54" xfId="0" applyNumberFormat="1" applyFont="1" applyFill="1" applyBorder="1" applyAlignment="1">
      <alignment vertical="center"/>
    </xf>
    <xf numFmtId="168" fontId="43" fillId="43" borderId="55" xfId="0" applyNumberFormat="1" applyFont="1" applyFill="1" applyBorder="1" applyAlignment="1">
      <alignment vertical="center"/>
    </xf>
    <xf numFmtId="168" fontId="43" fillId="43" borderId="84" xfId="0" applyNumberFormat="1" applyFont="1" applyFill="1" applyBorder="1" applyAlignment="1">
      <alignment vertical="center"/>
    </xf>
    <xf numFmtId="0" fontId="43" fillId="47" borderId="66" xfId="0" applyFont="1" applyFill="1" applyBorder="1" applyAlignment="1">
      <alignment horizontal="center" vertical="center" wrapText="1"/>
    </xf>
    <xf numFmtId="0" fontId="43" fillId="47" borderId="85" xfId="0" applyFont="1" applyFill="1" applyBorder="1" applyAlignment="1">
      <alignment horizontal="center" vertical="center" wrapText="1"/>
    </xf>
    <xf numFmtId="0" fontId="43" fillId="47" borderId="59" xfId="0" applyFont="1" applyFill="1" applyBorder="1" applyAlignment="1">
      <alignment horizontal="center" vertical="center" wrapText="1"/>
    </xf>
    <xf numFmtId="168" fontId="43" fillId="17" borderId="12" xfId="1" applyNumberFormat="1" applyFont="1" applyFill="1" applyBorder="1" applyAlignment="1">
      <alignment horizontal="center" vertical="center"/>
    </xf>
    <xf numFmtId="168" fontId="43" fillId="17" borderId="69" xfId="1" applyNumberFormat="1" applyFont="1" applyFill="1" applyBorder="1" applyAlignment="1">
      <alignment horizontal="center" vertical="center"/>
    </xf>
    <xf numFmtId="168" fontId="43" fillId="10" borderId="66" xfId="0" applyNumberFormat="1" applyFont="1" applyFill="1" applyBorder="1" applyAlignment="1">
      <alignment vertical="center"/>
    </xf>
    <xf numFmtId="168" fontId="43" fillId="10" borderId="59" xfId="0" applyNumberFormat="1" applyFont="1" applyFill="1" applyBorder="1" applyAlignment="1">
      <alignment vertical="center"/>
    </xf>
    <xf numFmtId="168" fontId="43" fillId="10" borderId="3" xfId="0" applyNumberFormat="1" applyFont="1" applyFill="1" applyBorder="1" applyAlignment="1">
      <alignment vertical="center"/>
    </xf>
    <xf numFmtId="168" fontId="43" fillId="10" borderId="61" xfId="0" applyNumberFormat="1" applyFont="1" applyFill="1" applyBorder="1" applyAlignment="1">
      <alignment vertical="center"/>
    </xf>
    <xf numFmtId="168" fontId="46" fillId="10" borderId="3" xfId="0" applyNumberFormat="1" applyFont="1" applyFill="1" applyBorder="1" applyAlignment="1">
      <alignment vertical="center"/>
    </xf>
    <xf numFmtId="168" fontId="46" fillId="10" borderId="6" xfId="0" applyNumberFormat="1" applyFont="1" applyFill="1" applyBorder="1" applyAlignment="1">
      <alignment vertical="center"/>
    </xf>
    <xf numFmtId="168" fontId="46" fillId="10" borderId="61" xfId="0" applyNumberFormat="1" applyFont="1" applyFill="1" applyBorder="1" applyAlignment="1">
      <alignment vertical="center"/>
    </xf>
    <xf numFmtId="168" fontId="46" fillId="10" borderId="12" xfId="0" applyNumberFormat="1" applyFont="1" applyFill="1" applyBorder="1" applyAlignment="1">
      <alignment vertical="center"/>
    </xf>
    <xf numFmtId="168" fontId="46" fillId="10" borderId="69" xfId="0" applyNumberFormat="1" applyFont="1" applyFill="1" applyBorder="1" applyAlignment="1">
      <alignment vertical="center"/>
    </xf>
    <xf numFmtId="168" fontId="46" fillId="10" borderId="16" xfId="0" applyNumberFormat="1" applyFont="1" applyFill="1" applyBorder="1" applyAlignment="1">
      <alignment vertical="center"/>
    </xf>
    <xf numFmtId="168" fontId="46" fillId="10" borderId="50" xfId="0" applyNumberFormat="1" applyFont="1" applyFill="1" applyBorder="1" applyAlignment="1">
      <alignment vertical="center"/>
    </xf>
    <xf numFmtId="0" fontId="43" fillId="18" borderId="27" xfId="0" applyFont="1" applyFill="1" applyBorder="1" applyAlignment="1">
      <alignment vertical="center" wrapText="1"/>
    </xf>
    <xf numFmtId="0" fontId="43" fillId="18" borderId="28" xfId="0" applyFont="1" applyFill="1" applyBorder="1" applyAlignment="1">
      <alignment vertical="center" wrapText="1"/>
    </xf>
    <xf numFmtId="173" fontId="43" fillId="18" borderId="28" xfId="0" applyNumberFormat="1" applyFont="1" applyFill="1" applyBorder="1" applyAlignment="1">
      <alignment horizontal="right" vertical="center" wrapText="1"/>
    </xf>
    <xf numFmtId="173" fontId="43" fillId="18" borderId="29" xfId="0" applyNumberFormat="1" applyFont="1" applyFill="1" applyBorder="1" applyAlignment="1">
      <alignment horizontal="right" vertical="center" wrapText="1"/>
    </xf>
    <xf numFmtId="0" fontId="43" fillId="18" borderId="33" xfId="0" applyFont="1" applyFill="1" applyBorder="1" applyAlignment="1">
      <alignment vertical="center" wrapText="1"/>
    </xf>
    <xf numFmtId="0" fontId="43" fillId="18" borderId="0" xfId="0" applyFont="1" applyFill="1" applyAlignment="1">
      <alignment vertical="center" wrapText="1"/>
    </xf>
    <xf numFmtId="173" fontId="43" fillId="18" borderId="0" xfId="0" applyNumberFormat="1" applyFont="1" applyFill="1" applyAlignment="1">
      <alignment horizontal="right" vertical="center" wrapText="1"/>
    </xf>
    <xf numFmtId="173" fontId="43" fillId="18" borderId="34" xfId="0" applyNumberFormat="1" applyFont="1" applyFill="1" applyBorder="1" applyAlignment="1">
      <alignment horizontal="right" vertical="center" wrapText="1"/>
    </xf>
    <xf numFmtId="0" fontId="43" fillId="22" borderId="27" xfId="0" applyFont="1" applyFill="1" applyBorder="1" applyAlignment="1">
      <alignment vertical="center" wrapText="1"/>
    </xf>
    <xf numFmtId="0" fontId="43" fillId="22" borderId="28" xfId="0" applyFont="1" applyFill="1" applyBorder="1" applyAlignment="1">
      <alignment vertical="center" wrapText="1"/>
    </xf>
    <xf numFmtId="173" fontId="28" fillId="22" borderId="28" xfId="0" applyNumberFormat="1" applyFont="1" applyFill="1" applyBorder="1" applyAlignment="1">
      <alignment horizontal="right" vertical="center" wrapText="1"/>
    </xf>
    <xf numFmtId="173" fontId="43" fillId="22" borderId="28" xfId="0" applyNumberFormat="1" applyFont="1" applyFill="1" applyBorder="1" applyAlignment="1">
      <alignment horizontal="right" vertical="center" wrapText="1"/>
    </xf>
    <xf numFmtId="173" fontId="43" fillId="22" borderId="29" xfId="0" applyNumberFormat="1" applyFont="1" applyFill="1" applyBorder="1" applyAlignment="1">
      <alignment horizontal="right" vertical="center" wrapText="1"/>
    </xf>
    <xf numFmtId="0" fontId="43" fillId="22" borderId="33" xfId="0" applyFont="1" applyFill="1" applyBorder="1" applyAlignment="1">
      <alignment vertical="center" wrapText="1"/>
    </xf>
    <xf numFmtId="0" fontId="43" fillId="22" borderId="0" xfId="0" applyFont="1" applyFill="1" applyAlignment="1">
      <alignment vertical="center" wrapText="1"/>
    </xf>
    <xf numFmtId="173" fontId="28" fillId="22" borderId="0" xfId="0" applyNumberFormat="1" applyFont="1" applyFill="1" applyAlignment="1">
      <alignment horizontal="right" vertical="center" wrapText="1"/>
    </xf>
    <xf numFmtId="173" fontId="43" fillId="22" borderId="0" xfId="0" applyNumberFormat="1" applyFont="1" applyFill="1" applyAlignment="1">
      <alignment horizontal="right" vertical="center" wrapText="1"/>
    </xf>
    <xf numFmtId="173" fontId="43" fillId="22" borderId="34" xfId="0" applyNumberFormat="1" applyFont="1" applyFill="1" applyBorder="1" applyAlignment="1">
      <alignment horizontal="right" vertical="center" wrapText="1"/>
    </xf>
    <xf numFmtId="0" fontId="43" fillId="22" borderId="36" xfId="0" applyFont="1" applyFill="1" applyBorder="1" applyAlignment="1">
      <alignment vertical="center" wrapText="1"/>
    </xf>
    <xf numFmtId="0" fontId="43" fillId="22" borderId="1" xfId="0" applyFont="1" applyFill="1" applyBorder="1" applyAlignment="1">
      <alignment vertical="center" wrapText="1"/>
    </xf>
    <xf numFmtId="173" fontId="28" fillId="22" borderId="1" xfId="0" applyNumberFormat="1" applyFont="1" applyFill="1" applyBorder="1" applyAlignment="1">
      <alignment horizontal="right" vertical="center" wrapText="1"/>
    </xf>
    <xf numFmtId="173" fontId="43" fillId="22" borderId="1" xfId="0" applyNumberFormat="1" applyFont="1" applyFill="1" applyBorder="1" applyAlignment="1">
      <alignment horizontal="right" vertical="center" wrapText="1"/>
    </xf>
    <xf numFmtId="173" fontId="43" fillId="22" borderId="26" xfId="0" applyNumberFormat="1" applyFont="1" applyFill="1" applyBorder="1" applyAlignment="1">
      <alignment horizontal="right" vertical="center" wrapText="1"/>
    </xf>
    <xf numFmtId="0" fontId="9" fillId="0" borderId="33" xfId="0" applyFont="1" applyBorder="1"/>
    <xf numFmtId="0" fontId="43" fillId="48" borderId="3" xfId="0" applyFont="1" applyFill="1" applyBorder="1" applyAlignment="1">
      <alignment horizontal="center" vertical="center"/>
    </xf>
    <xf numFmtId="0" fontId="43" fillId="48" borderId="3" xfId="0" applyFont="1" applyFill="1" applyBorder="1" applyAlignment="1">
      <alignment horizontal="center" vertical="center" wrapText="1"/>
    </xf>
    <xf numFmtId="0" fontId="9" fillId="48" borderId="3" xfId="0" applyFont="1" applyFill="1" applyBorder="1"/>
    <xf numFmtId="180" fontId="9" fillId="48" borderId="3" xfId="0" applyNumberFormat="1" applyFont="1" applyFill="1" applyBorder="1"/>
    <xf numFmtId="168" fontId="9" fillId="48" borderId="3" xfId="0" applyNumberFormat="1" applyFont="1" applyFill="1" applyBorder="1"/>
    <xf numFmtId="0" fontId="43" fillId="48" borderId="3" xfId="0" applyFont="1" applyFill="1" applyBorder="1"/>
    <xf numFmtId="0" fontId="47" fillId="0" borderId="0" xfId="3" applyFont="1" applyBorder="1" applyProtection="1"/>
    <xf numFmtId="0" fontId="48" fillId="6" borderId="3" xfId="0" applyFont="1" applyFill="1" applyBorder="1" applyAlignment="1">
      <alignment horizontal="right"/>
    </xf>
    <xf numFmtId="180" fontId="48" fillId="6" borderId="3" xfId="0" applyNumberFormat="1" applyFont="1" applyFill="1" applyBorder="1"/>
    <xf numFmtId="168" fontId="48" fillId="6" borderId="3" xfId="0" applyNumberFormat="1" applyFont="1" applyFill="1" applyBorder="1"/>
    <xf numFmtId="170" fontId="9" fillId="0" borderId="33" xfId="0" applyNumberFormat="1" applyFont="1" applyBorder="1"/>
    <xf numFmtId="170" fontId="9" fillId="0" borderId="0" xfId="0" applyNumberFormat="1" applyFont="1"/>
    <xf numFmtId="168" fontId="49" fillId="48" borderId="3" xfId="0" applyNumberFormat="1" applyFont="1" applyFill="1" applyBorder="1"/>
    <xf numFmtId="0" fontId="9" fillId="10" borderId="33" xfId="0" applyFont="1" applyFill="1" applyBorder="1" applyAlignment="1">
      <alignment horizontal="center" vertical="center"/>
    </xf>
    <xf numFmtId="0" fontId="9" fillId="10" borderId="0" xfId="0" applyFont="1" applyFill="1" applyAlignment="1">
      <alignment vertical="center"/>
    </xf>
    <xf numFmtId="181" fontId="9" fillId="10" borderId="0" xfId="0" applyNumberFormat="1" applyFont="1" applyFill="1" applyAlignment="1">
      <alignment vertical="center"/>
    </xf>
    <xf numFmtId="182" fontId="9" fillId="48" borderId="3" xfId="0" applyNumberFormat="1" applyFont="1" applyFill="1" applyBorder="1"/>
    <xf numFmtId="4" fontId="9" fillId="48" borderId="3" xfId="0" applyNumberFormat="1" applyFont="1" applyFill="1" applyBorder="1"/>
    <xf numFmtId="0" fontId="9" fillId="10" borderId="0" xfId="0" applyFont="1" applyFill="1"/>
    <xf numFmtId="0" fontId="0" fillId="10" borderId="0" xfId="0" applyFill="1"/>
    <xf numFmtId="0" fontId="48" fillId="23" borderId="3" xfId="0" applyFont="1" applyFill="1" applyBorder="1" applyAlignment="1">
      <alignment horizontal="right"/>
    </xf>
    <xf numFmtId="180" fontId="9" fillId="23" borderId="3" xfId="0" applyNumberFormat="1" applyFont="1" applyFill="1" applyBorder="1"/>
    <xf numFmtId="4" fontId="9" fillId="23" borderId="3" xfId="0" applyNumberFormat="1" applyFont="1" applyFill="1" applyBorder="1"/>
    <xf numFmtId="168" fontId="48" fillId="23" borderId="3" xfId="0" applyNumberFormat="1" applyFont="1" applyFill="1" applyBorder="1"/>
    <xf numFmtId="182" fontId="9" fillId="23" borderId="3" xfId="0" applyNumberFormat="1" applyFont="1" applyFill="1" applyBorder="1"/>
    <xf numFmtId="0" fontId="23" fillId="48" borderId="3" xfId="0" applyFont="1" applyFill="1" applyBorder="1"/>
    <xf numFmtId="168" fontId="50" fillId="48" borderId="3" xfId="0" applyNumberFormat="1" applyFont="1" applyFill="1" applyBorder="1"/>
    <xf numFmtId="0" fontId="41" fillId="24" borderId="3" xfId="0" applyFont="1" applyFill="1" applyBorder="1" applyAlignment="1">
      <alignment horizontal="right" vertical="center" wrapText="1"/>
    </xf>
    <xf numFmtId="183" fontId="9" fillId="24" borderId="3" xfId="0" applyNumberFormat="1" applyFont="1" applyFill="1" applyBorder="1"/>
    <xf numFmtId="4" fontId="9" fillId="24" borderId="3" xfId="0" applyNumberFormat="1" applyFont="1" applyFill="1" applyBorder="1"/>
    <xf numFmtId="168" fontId="48" fillId="24" borderId="3" xfId="0" applyNumberFormat="1" applyFont="1" applyFill="1" applyBorder="1"/>
    <xf numFmtId="0" fontId="43" fillId="39" borderId="86" xfId="0" applyFont="1" applyFill="1" applyBorder="1" applyAlignment="1">
      <alignment horizontal="center" vertical="center" wrapText="1"/>
    </xf>
    <xf numFmtId="0" fontId="43" fillId="39" borderId="87" xfId="0" applyFont="1" applyFill="1" applyBorder="1" applyAlignment="1">
      <alignment horizontal="center" vertical="center" wrapText="1"/>
    </xf>
    <xf numFmtId="168" fontId="43" fillId="41" borderId="10" xfId="1" applyNumberFormat="1" applyFont="1" applyFill="1" applyBorder="1" applyAlignment="1">
      <alignment horizontal="center" vertical="center"/>
    </xf>
    <xf numFmtId="168" fontId="43" fillId="41" borderId="56" xfId="1" applyNumberFormat="1" applyFont="1" applyFill="1" applyBorder="1" applyAlignment="1">
      <alignment horizontal="center" vertical="center"/>
    </xf>
    <xf numFmtId="168" fontId="43" fillId="10" borderId="10" xfId="1" applyNumberFormat="1" applyFont="1" applyFill="1" applyBorder="1"/>
    <xf numFmtId="168" fontId="43" fillId="10" borderId="56" xfId="1" applyNumberFormat="1" applyFont="1" applyFill="1" applyBorder="1"/>
    <xf numFmtId="2" fontId="25" fillId="8" borderId="10" xfId="0" applyNumberFormat="1" applyFont="1" applyFill="1" applyBorder="1" applyAlignment="1">
      <alignment horizontal="right" vertical="center"/>
    </xf>
    <xf numFmtId="2" fontId="25" fillId="8" borderId="56" xfId="0" applyNumberFormat="1" applyFont="1" applyFill="1" applyBorder="1" applyAlignment="1">
      <alignment horizontal="right" vertical="center"/>
    </xf>
    <xf numFmtId="168" fontId="43" fillId="42" borderId="10" xfId="1" applyNumberFormat="1" applyFont="1" applyFill="1" applyBorder="1" applyAlignment="1">
      <alignment horizontal="center" vertical="center"/>
    </xf>
    <xf numFmtId="168" fontId="43" fillId="42" borderId="56" xfId="1" applyNumberFormat="1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vertical="center"/>
    </xf>
    <xf numFmtId="0" fontId="25" fillId="3" borderId="56" xfId="0" applyFont="1" applyFill="1" applyBorder="1" applyAlignment="1">
      <alignment vertical="center"/>
    </xf>
    <xf numFmtId="168" fontId="43" fillId="10" borderId="10" xfId="1" applyNumberFormat="1" applyFont="1" applyFill="1" applyBorder="1" applyAlignment="1">
      <alignment vertical="center"/>
    </xf>
    <xf numFmtId="168" fontId="43" fillId="10" borderId="56" xfId="1" applyNumberFormat="1" applyFont="1" applyFill="1" applyBorder="1" applyAlignment="1">
      <alignment vertical="center"/>
    </xf>
    <xf numFmtId="4" fontId="23" fillId="0" borderId="10" xfId="0" applyNumberFormat="1" applyFont="1" applyBorder="1" applyAlignment="1">
      <alignment vertical="center"/>
    </xf>
    <xf numFmtId="4" fontId="23" fillId="0" borderId="56" xfId="0" applyNumberFormat="1" applyFont="1" applyBorder="1" applyAlignment="1">
      <alignment vertical="center"/>
    </xf>
    <xf numFmtId="0" fontId="25" fillId="3" borderId="10" xfId="0" applyFont="1" applyFill="1" applyBorder="1" applyAlignment="1">
      <alignment horizontal="center" vertical="center"/>
    </xf>
    <xf numFmtId="0" fontId="25" fillId="3" borderId="56" xfId="0" applyFont="1" applyFill="1" applyBorder="1" applyAlignment="1">
      <alignment horizontal="center" vertical="center"/>
    </xf>
    <xf numFmtId="2" fontId="23" fillId="0" borderId="10" xfId="0" applyNumberFormat="1" applyFont="1" applyBorder="1" applyAlignment="1">
      <alignment horizontal="right" vertical="center"/>
    </xf>
    <xf numFmtId="2" fontId="23" fillId="0" borderId="56" xfId="0" applyNumberFormat="1" applyFont="1" applyBorder="1" applyAlignment="1">
      <alignment horizontal="right" vertical="center"/>
    </xf>
    <xf numFmtId="4" fontId="25" fillId="8" borderId="10" xfId="0" applyNumberFormat="1" applyFont="1" applyFill="1" applyBorder="1" applyAlignment="1">
      <alignment horizontal="right" vertical="center"/>
    </xf>
    <xf numFmtId="4" fontId="25" fillId="8" borderId="56" xfId="0" applyNumberFormat="1" applyFont="1" applyFill="1" applyBorder="1" applyAlignment="1">
      <alignment horizontal="right" vertical="center"/>
    </xf>
    <xf numFmtId="168" fontId="43" fillId="43" borderId="10" xfId="0" applyNumberFormat="1" applyFont="1" applyFill="1" applyBorder="1" applyAlignment="1">
      <alignment vertical="center"/>
    </xf>
    <xf numFmtId="168" fontId="43" fillId="43" borderId="56" xfId="0" applyNumberFormat="1" applyFont="1" applyFill="1" applyBorder="1" applyAlignment="1">
      <alignment vertical="center"/>
    </xf>
    <xf numFmtId="170" fontId="44" fillId="10" borderId="3" xfId="2" applyNumberFormat="1" applyFont="1" applyFill="1" applyBorder="1" applyAlignment="1" applyProtection="1">
      <alignment wrapText="1"/>
    </xf>
    <xf numFmtId="170" fontId="44" fillId="10" borderId="3" xfId="2" applyNumberFormat="1" applyFont="1" applyFill="1" applyBorder="1" applyAlignment="1" applyProtection="1">
      <alignment vertical="center" wrapText="1"/>
    </xf>
    <xf numFmtId="168" fontId="43" fillId="10" borderId="10" xfId="1" applyNumberFormat="1" applyFont="1" applyFill="1" applyBorder="1" applyAlignment="1">
      <alignment horizontal="center"/>
    </xf>
    <xf numFmtId="173" fontId="44" fillId="10" borderId="3" xfId="2" applyNumberFormat="1" applyFont="1" applyFill="1" applyBorder="1" applyAlignment="1" applyProtection="1">
      <alignment vertical="center" wrapText="1"/>
    </xf>
    <xf numFmtId="168" fontId="43" fillId="45" borderId="10" xfId="1" applyNumberFormat="1" applyFont="1" applyFill="1" applyBorder="1" applyAlignment="1">
      <alignment horizontal="right" vertical="center"/>
    </xf>
    <xf numFmtId="168" fontId="43" fillId="45" borderId="56" xfId="1" applyNumberFormat="1" applyFont="1" applyFill="1" applyBorder="1" applyAlignment="1">
      <alignment horizontal="right" vertical="center"/>
    </xf>
    <xf numFmtId="168" fontId="9" fillId="0" borderId="10" xfId="1" applyNumberFormat="1" applyFont="1" applyBorder="1" applyAlignment="1">
      <alignment vertical="center"/>
    </xf>
    <xf numFmtId="168" fontId="9" fillId="0" borderId="56" xfId="1" applyNumberFormat="1" applyFont="1" applyBorder="1" applyAlignment="1">
      <alignment vertical="center"/>
    </xf>
    <xf numFmtId="168" fontId="9" fillId="0" borderId="10" xfId="1" applyNumberFormat="1" applyFont="1" applyBorder="1" applyAlignment="1">
      <alignment horizontal="right" vertical="center"/>
    </xf>
    <xf numFmtId="168" fontId="9" fillId="0" borderId="56" xfId="1" applyNumberFormat="1" applyFont="1" applyBorder="1" applyAlignment="1">
      <alignment horizontal="right" vertical="center"/>
    </xf>
    <xf numFmtId="168" fontId="9" fillId="0" borderId="82" xfId="1" applyNumberFormat="1" applyFont="1" applyBorder="1" applyAlignment="1">
      <alignment vertical="center"/>
    </xf>
    <xf numFmtId="168" fontId="9" fillId="0" borderId="88" xfId="1" applyNumberFormat="1" applyFont="1" applyBorder="1" applyAlignment="1">
      <alignment vertical="center"/>
    </xf>
    <xf numFmtId="168" fontId="43" fillId="46" borderId="86" xfId="1" applyNumberFormat="1" applyFont="1" applyFill="1" applyBorder="1" applyAlignment="1">
      <alignment vertical="center"/>
    </xf>
    <xf numFmtId="168" fontId="43" fillId="46" borderId="87" xfId="1" applyNumberFormat="1" applyFont="1" applyFill="1" applyBorder="1" applyAlignment="1">
      <alignment vertical="center"/>
    </xf>
    <xf numFmtId="168" fontId="43" fillId="46" borderId="10" xfId="1" applyNumberFormat="1" applyFont="1" applyFill="1" applyBorder="1" applyAlignment="1">
      <alignment vertical="center"/>
    </xf>
    <xf numFmtId="168" fontId="43" fillId="46" borderId="56" xfId="1" applyNumberFormat="1" applyFont="1" applyFill="1" applyBorder="1" applyAlignment="1">
      <alignment vertical="center"/>
    </xf>
    <xf numFmtId="168" fontId="43" fillId="46" borderId="82" xfId="1" applyNumberFormat="1" applyFont="1" applyFill="1" applyBorder="1" applyAlignment="1">
      <alignment vertical="center"/>
    </xf>
    <xf numFmtId="168" fontId="43" fillId="46" borderId="88" xfId="1" applyNumberFormat="1" applyFont="1" applyFill="1" applyBorder="1" applyAlignment="1">
      <alignment vertical="center"/>
    </xf>
    <xf numFmtId="0" fontId="43" fillId="47" borderId="86" xfId="0" applyFont="1" applyFill="1" applyBorder="1" applyAlignment="1">
      <alignment horizontal="center" vertical="center" wrapText="1"/>
    </xf>
    <xf numFmtId="0" fontId="43" fillId="47" borderId="87" xfId="0" applyFont="1" applyFill="1" applyBorder="1" applyAlignment="1">
      <alignment horizontal="center" vertical="center" wrapText="1"/>
    </xf>
    <xf numFmtId="168" fontId="43" fillId="17" borderId="82" xfId="1" applyNumberFormat="1" applyFont="1" applyFill="1" applyBorder="1" applyAlignment="1">
      <alignment horizontal="center" vertical="center"/>
    </xf>
    <xf numFmtId="168" fontId="43" fillId="17" borderId="88" xfId="1" applyNumberFormat="1" applyFont="1" applyFill="1" applyBorder="1" applyAlignment="1">
      <alignment horizontal="center" vertical="center"/>
    </xf>
    <xf numFmtId="168" fontId="43" fillId="10" borderId="86" xfId="0" applyNumberFormat="1" applyFont="1" applyFill="1" applyBorder="1" applyAlignment="1">
      <alignment vertical="center"/>
    </xf>
    <xf numFmtId="168" fontId="43" fillId="10" borderId="87" xfId="0" applyNumberFormat="1" applyFont="1" applyFill="1" applyBorder="1" applyAlignment="1">
      <alignment vertical="center"/>
    </xf>
    <xf numFmtId="168" fontId="43" fillId="10" borderId="10" xfId="0" applyNumberFormat="1" applyFont="1" applyFill="1" applyBorder="1" applyAlignment="1">
      <alignment vertical="center"/>
    </xf>
    <xf numFmtId="168" fontId="43" fillId="10" borderId="56" xfId="0" applyNumberFormat="1" applyFont="1" applyFill="1" applyBorder="1" applyAlignment="1">
      <alignment vertical="center"/>
    </xf>
    <xf numFmtId="168" fontId="46" fillId="10" borderId="10" xfId="0" applyNumberFormat="1" applyFont="1" applyFill="1" applyBorder="1" applyAlignment="1">
      <alignment vertical="center"/>
    </xf>
    <xf numFmtId="168" fontId="46" fillId="10" borderId="56" xfId="0" applyNumberFormat="1" applyFont="1" applyFill="1" applyBorder="1" applyAlignment="1">
      <alignment vertical="center"/>
    </xf>
    <xf numFmtId="168" fontId="46" fillId="10" borderId="82" xfId="0" applyNumberFormat="1" applyFont="1" applyFill="1" applyBorder="1" applyAlignment="1">
      <alignment vertical="center"/>
    </xf>
    <xf numFmtId="168" fontId="46" fillId="10" borderId="88" xfId="0" applyNumberFormat="1" applyFont="1" applyFill="1" applyBorder="1" applyAlignment="1">
      <alignment vertical="center"/>
    </xf>
    <xf numFmtId="173" fontId="43" fillId="18" borderId="1" xfId="0" applyNumberFormat="1" applyFont="1" applyFill="1" applyBorder="1" applyAlignment="1">
      <alignment horizontal="right" vertical="center" wrapText="1"/>
    </xf>
    <xf numFmtId="173" fontId="43" fillId="18" borderId="26" xfId="0" applyNumberFormat="1" applyFont="1" applyFill="1" applyBorder="1" applyAlignment="1">
      <alignment horizontal="right" vertical="center" wrapText="1"/>
    </xf>
    <xf numFmtId="173" fontId="28" fillId="22" borderId="29" xfId="0" applyNumberFormat="1" applyFont="1" applyFill="1" applyBorder="1" applyAlignment="1">
      <alignment horizontal="right" vertical="center" wrapText="1"/>
    </xf>
    <xf numFmtId="173" fontId="28" fillId="22" borderId="34" xfId="0" applyNumberFormat="1" applyFont="1" applyFill="1" applyBorder="1" applyAlignment="1">
      <alignment horizontal="right" vertical="center" wrapText="1"/>
    </xf>
    <xf numFmtId="173" fontId="28" fillId="22" borderId="26" xfId="0" applyNumberFormat="1" applyFont="1" applyFill="1" applyBorder="1" applyAlignment="1">
      <alignment horizontal="right" vertical="center" wrapText="1"/>
    </xf>
    <xf numFmtId="10" fontId="8" fillId="0" borderId="56" xfId="0" applyNumberFormat="1" applyFont="1" applyBorder="1" applyAlignment="1" applyProtection="1">
      <alignment horizontal="center" vertical="center"/>
      <protection locked="0"/>
    </xf>
    <xf numFmtId="4" fontId="14" fillId="0" borderId="10" xfId="0" applyNumberFormat="1" applyFont="1" applyBorder="1" applyAlignment="1" applyProtection="1">
      <alignment horizontal="right" vertical="center"/>
      <protection locked="0"/>
    </xf>
    <xf numFmtId="164" fontId="14" fillId="0" borderId="7" xfId="1" applyFont="1" applyBorder="1" applyAlignment="1">
      <alignment horizontal="center" vertical="center"/>
    </xf>
    <xf numFmtId="164" fontId="14" fillId="0" borderId="79" xfId="1" applyFont="1" applyBorder="1" applyAlignment="1">
      <alignment horizontal="center" vertical="center"/>
    </xf>
    <xf numFmtId="164" fontId="12" fillId="0" borderId="0" xfId="1"/>
    <xf numFmtId="164" fontId="25" fillId="26" borderId="20" xfId="1" applyFont="1" applyFill="1" applyBorder="1" applyAlignment="1">
      <alignment horizontal="center" vertical="center"/>
    </xf>
    <xf numFmtId="168" fontId="43" fillId="10" borderId="56" xfId="1" applyNumberFormat="1" applyFont="1" applyFill="1" applyBorder="1" applyAlignment="1">
      <alignment horizontal="center"/>
    </xf>
    <xf numFmtId="10" fontId="15" fillId="0" borderId="56" xfId="0" applyNumberFormat="1" applyFont="1" applyBorder="1" applyAlignment="1" applyProtection="1">
      <alignment horizontal="center" vertical="center"/>
      <protection locked="0"/>
    </xf>
    <xf numFmtId="4" fontId="16" fillId="0" borderId="10" xfId="0" applyNumberFormat="1" applyFont="1" applyBorder="1" applyAlignment="1" applyProtection="1">
      <alignment horizontal="right" vertical="center"/>
      <protection locked="0"/>
    </xf>
    <xf numFmtId="164" fontId="16" fillId="0" borderId="10" xfId="1" applyFont="1" applyBorder="1" applyAlignment="1">
      <alignment horizontal="center" vertical="center"/>
    </xf>
    <xf numFmtId="164" fontId="16" fillId="0" borderId="7" xfId="1" applyFont="1" applyBorder="1" applyAlignment="1">
      <alignment horizontal="center" vertical="center"/>
    </xf>
    <xf numFmtId="164" fontId="16" fillId="0" borderId="79" xfId="1" applyFont="1" applyBorder="1" applyAlignment="1">
      <alignment horizontal="center" vertical="center"/>
    </xf>
    <xf numFmtId="164" fontId="16" fillId="0" borderId="3" xfId="1" applyFont="1" applyBorder="1" applyAlignment="1">
      <alignment horizontal="center" vertical="center"/>
    </xf>
    <xf numFmtId="164" fontId="16" fillId="0" borderId="61" xfId="1" applyFont="1" applyBorder="1" applyAlignment="1">
      <alignment horizontal="center" vertical="center"/>
    </xf>
    <xf numFmtId="164" fontId="16" fillId="0" borderId="12" xfId="1" applyFont="1" applyBorder="1" applyAlignment="1">
      <alignment horizontal="center" vertical="center"/>
    </xf>
    <xf numFmtId="164" fontId="16" fillId="0" borderId="69" xfId="1" applyFont="1" applyBorder="1" applyAlignment="1">
      <alignment horizontal="center" vertical="center"/>
    </xf>
    <xf numFmtId="0" fontId="52" fillId="0" borderId="3" xfId="0" applyFont="1" applyBorder="1"/>
    <xf numFmtId="0" fontId="51" fillId="0" borderId="3" xfId="0" applyFont="1" applyBorder="1" applyAlignment="1">
      <alignment horizontal="center" wrapText="1"/>
    </xf>
    <xf numFmtId="0" fontId="53" fillId="0" borderId="3" xfId="0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/>
    </xf>
    <xf numFmtId="0" fontId="55" fillId="0" borderId="3" xfId="0" applyFont="1" applyBorder="1" applyAlignment="1">
      <alignment horizontal="left" vertical="center" wrapText="1"/>
    </xf>
    <xf numFmtId="173" fontId="53" fillId="0" borderId="3" xfId="0" applyNumberFormat="1" applyFont="1" applyBorder="1" applyAlignment="1">
      <alignment horizontal="center" vertical="center"/>
    </xf>
    <xf numFmtId="0" fontId="53" fillId="0" borderId="3" xfId="0" applyFont="1" applyBorder="1" applyAlignment="1">
      <alignment vertical="center" wrapText="1"/>
    </xf>
    <xf numFmtId="0" fontId="51" fillId="0" borderId="6" xfId="0" applyFont="1" applyBorder="1" applyAlignment="1">
      <alignment vertical="center"/>
    </xf>
    <xf numFmtId="0" fontId="51" fillId="0" borderId="15" xfId="0" applyFont="1" applyBorder="1" applyAlignment="1">
      <alignment vertical="center"/>
    </xf>
    <xf numFmtId="173" fontId="51" fillId="0" borderId="3" xfId="0" applyNumberFormat="1" applyFont="1" applyBorder="1" applyAlignment="1">
      <alignment vertical="center"/>
    </xf>
    <xf numFmtId="173" fontId="52" fillId="0" borderId="3" xfId="0" applyNumberFormat="1" applyFont="1" applyBorder="1" applyAlignment="1">
      <alignment horizontal="center" vertical="center"/>
    </xf>
    <xf numFmtId="4" fontId="0" fillId="0" borderId="0" xfId="0" applyNumberFormat="1"/>
    <xf numFmtId="0" fontId="51" fillId="0" borderId="0" xfId="0" applyFont="1" applyBorder="1" applyAlignment="1">
      <alignment horizontal="left" vertical="center"/>
    </xf>
    <xf numFmtId="4" fontId="51" fillId="0" borderId="0" xfId="0" applyNumberFormat="1" applyFont="1" applyBorder="1" applyAlignment="1">
      <alignment horizontal="left" vertical="center"/>
    </xf>
    <xf numFmtId="173" fontId="51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4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18" fillId="8" borderId="19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18" fillId="11" borderId="19" xfId="0" applyFont="1" applyFill="1" applyBorder="1" applyAlignment="1">
      <alignment horizontal="center" vertical="center"/>
    </xf>
    <xf numFmtId="0" fontId="18" fillId="12" borderId="20" xfId="0" applyFont="1" applyFill="1" applyBorder="1" applyAlignment="1">
      <alignment horizontal="center" vertical="center"/>
    </xf>
    <xf numFmtId="0" fontId="18" fillId="12" borderId="19" xfId="0" applyFont="1" applyFill="1" applyBorder="1" applyAlignment="1">
      <alignment horizontal="center" vertical="center"/>
    </xf>
    <xf numFmtId="0" fontId="18" fillId="13" borderId="19" xfId="0" applyFont="1" applyFill="1" applyBorder="1" applyAlignment="1">
      <alignment horizontal="center" vertical="center"/>
    </xf>
    <xf numFmtId="0" fontId="18" fillId="15" borderId="19" xfId="0" applyFont="1" applyFill="1" applyBorder="1" applyAlignment="1">
      <alignment horizontal="center" vertical="center"/>
    </xf>
    <xf numFmtId="0" fontId="18" fillId="14" borderId="19" xfId="0" applyFont="1" applyFill="1" applyBorder="1" applyAlignment="1">
      <alignment horizontal="center" vertical="center"/>
    </xf>
    <xf numFmtId="0" fontId="18" fillId="16" borderId="40" xfId="0" applyFont="1" applyFill="1" applyBorder="1" applyAlignment="1">
      <alignment horizontal="center" vertical="center"/>
    </xf>
    <xf numFmtId="0" fontId="18" fillId="16" borderId="19" xfId="0" applyFont="1" applyFill="1" applyBorder="1" applyAlignment="1">
      <alignment horizontal="center" vertical="center"/>
    </xf>
    <xf numFmtId="0" fontId="18" fillId="16" borderId="41" xfId="0" applyFont="1" applyFill="1" applyBorder="1" applyAlignment="1">
      <alignment horizontal="center" vertical="center"/>
    </xf>
    <xf numFmtId="0" fontId="19" fillId="10" borderId="44" xfId="0" applyFont="1" applyFill="1" applyBorder="1" applyAlignment="1">
      <alignment horizontal="left" vertical="top"/>
    </xf>
    <xf numFmtId="0" fontId="23" fillId="10" borderId="3" xfId="0" applyFont="1" applyFill="1" applyBorder="1" applyAlignment="1">
      <alignment horizontal="left" vertical="center" wrapText="1"/>
    </xf>
    <xf numFmtId="0" fontId="18" fillId="17" borderId="19" xfId="0" applyFont="1" applyFill="1" applyBorder="1" applyAlignment="1">
      <alignment horizontal="center" vertical="center"/>
    </xf>
    <xf numFmtId="170" fontId="17" fillId="0" borderId="58" xfId="0" applyNumberFormat="1" applyFont="1" applyBorder="1" applyAlignment="1">
      <alignment horizontal="center" vertical="center"/>
    </xf>
    <xf numFmtId="0" fontId="25" fillId="19" borderId="21" xfId="0" applyFont="1" applyFill="1" applyBorder="1" applyAlignment="1">
      <alignment horizontal="center" vertical="center"/>
    </xf>
    <xf numFmtId="0" fontId="25" fillId="20" borderId="21" xfId="0" applyFont="1" applyFill="1" applyBorder="1" applyAlignment="1">
      <alignment horizontal="center" vertical="center"/>
    </xf>
    <xf numFmtId="0" fontId="25" fillId="21" borderId="21" xfId="0" applyFont="1" applyFill="1" applyBorder="1" applyAlignment="1">
      <alignment horizontal="center" vertical="center"/>
    </xf>
    <xf numFmtId="0" fontId="25" fillId="22" borderId="21" xfId="0" applyFont="1" applyFill="1" applyBorder="1" applyAlignment="1" applyProtection="1">
      <alignment horizontal="center" vertical="center"/>
      <protection locked="0"/>
    </xf>
    <xf numFmtId="0" fontId="25" fillId="22" borderId="22" xfId="0" applyFont="1" applyFill="1" applyBorder="1" applyAlignment="1" applyProtection="1">
      <alignment horizontal="center" vertical="center"/>
      <protection locked="0"/>
    </xf>
    <xf numFmtId="0" fontId="8" fillId="6" borderId="22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23" borderId="19" xfId="0" applyFont="1" applyFill="1" applyBorder="1" applyAlignment="1">
      <alignment horizontal="center" vertical="center" wrapText="1"/>
    </xf>
    <xf numFmtId="0" fontId="14" fillId="23" borderId="19" xfId="0" applyFont="1" applyFill="1" applyBorder="1" applyAlignment="1">
      <alignment horizontal="center" vertical="center" wrapText="1"/>
    </xf>
    <xf numFmtId="0" fontId="25" fillId="24" borderId="19" xfId="0" applyFont="1" applyFill="1" applyBorder="1" applyAlignment="1">
      <alignment horizontal="center" vertical="center" wrapText="1"/>
    </xf>
    <xf numFmtId="0" fontId="8" fillId="24" borderId="19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6" borderId="29" xfId="0" applyFont="1" applyFill="1" applyBorder="1" applyAlignment="1">
      <alignment horizontal="center" vertical="center" wrapText="1"/>
    </xf>
    <xf numFmtId="0" fontId="28" fillId="16" borderId="19" xfId="0" applyFont="1" applyFill="1" applyBorder="1" applyAlignment="1">
      <alignment horizontal="center" vertical="center" wrapText="1"/>
    </xf>
    <xf numFmtId="0" fontId="28" fillId="9" borderId="19" xfId="0" applyFont="1" applyFill="1" applyBorder="1" applyAlignment="1">
      <alignment horizontal="center" vertical="center" wrapText="1"/>
    </xf>
    <xf numFmtId="0" fontId="28" fillId="27" borderId="19" xfId="0" applyFont="1" applyFill="1" applyBorder="1" applyAlignment="1">
      <alignment horizontal="center" vertical="center" wrapText="1"/>
    </xf>
    <xf numFmtId="0" fontId="33" fillId="21" borderId="19" xfId="0" applyFont="1" applyFill="1" applyBorder="1" applyAlignment="1">
      <alignment horizontal="center" vertical="center"/>
    </xf>
    <xf numFmtId="0" fontId="36" fillId="2" borderId="70" xfId="0" applyFont="1" applyFill="1" applyBorder="1" applyAlignment="1">
      <alignment horizontal="center" vertical="center"/>
    </xf>
    <xf numFmtId="4" fontId="34" fillId="2" borderId="73" xfId="0" applyNumberFormat="1" applyFont="1" applyFill="1" applyBorder="1" applyAlignment="1">
      <alignment horizontal="center" vertical="center"/>
    </xf>
    <xf numFmtId="0" fontId="25" fillId="19" borderId="75" xfId="0" applyFont="1" applyFill="1" applyBorder="1" applyAlignment="1">
      <alignment horizontal="center" vertical="center"/>
    </xf>
    <xf numFmtId="0" fontId="25" fillId="20" borderId="76" xfId="0" applyFont="1" applyFill="1" applyBorder="1" applyAlignment="1">
      <alignment horizontal="center" vertical="center"/>
    </xf>
    <xf numFmtId="0" fontId="25" fillId="21" borderId="77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33" borderId="20" xfId="0" applyFont="1" applyFill="1" applyBorder="1" applyAlignment="1" applyProtection="1">
      <alignment horizontal="center" vertical="center"/>
      <protection locked="0"/>
    </xf>
    <xf numFmtId="0" fontId="8" fillId="34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23" borderId="20" xfId="0" applyFont="1" applyFill="1" applyBorder="1" applyAlignment="1">
      <alignment horizontal="center" vertical="center" wrapText="1"/>
    </xf>
    <xf numFmtId="0" fontId="8" fillId="23" borderId="21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8" fillId="24" borderId="21" xfId="0" applyFont="1" applyFill="1" applyBorder="1" applyAlignment="1">
      <alignment horizontal="center" vertical="center" wrapText="1"/>
    </xf>
    <xf numFmtId="0" fontId="29" fillId="35" borderId="20" xfId="0" applyFont="1" applyFill="1" applyBorder="1" applyAlignment="1">
      <alignment horizontal="center" vertical="center" wrapText="1"/>
    </xf>
    <xf numFmtId="0" fontId="29" fillId="35" borderId="19" xfId="0" applyFont="1" applyFill="1" applyBorder="1" applyAlignment="1">
      <alignment horizontal="center" vertical="center" wrapText="1"/>
    </xf>
    <xf numFmtId="0" fontId="29" fillId="26" borderId="28" xfId="0" applyFont="1" applyFill="1" applyBorder="1" applyAlignment="1">
      <alignment horizontal="center" vertical="center" wrapText="1"/>
    </xf>
    <xf numFmtId="0" fontId="42" fillId="0" borderId="40" xfId="0" applyFont="1" applyBorder="1" applyAlignment="1">
      <alignment horizontal="center" vertical="center"/>
    </xf>
    <xf numFmtId="0" fontId="42" fillId="10" borderId="38" xfId="0" applyFont="1" applyFill="1" applyBorder="1" applyAlignment="1">
      <alignment horizontal="center" vertical="center"/>
    </xf>
    <xf numFmtId="165" fontId="5" fillId="38" borderId="65" xfId="0" applyNumberFormat="1" applyFont="1" applyFill="1" applyBorder="1" applyAlignment="1">
      <alignment horizontal="center" vertical="center"/>
    </xf>
    <xf numFmtId="165" fontId="5" fillId="38" borderId="67" xfId="0" applyNumberFormat="1" applyFont="1" applyFill="1" applyBorder="1" applyAlignment="1">
      <alignment horizontal="center" vertical="center"/>
    </xf>
    <xf numFmtId="178" fontId="2" fillId="38" borderId="44" xfId="1" applyNumberFormat="1" applyFont="1" applyFill="1" applyBorder="1" applyAlignment="1">
      <alignment horizontal="center" vertical="center"/>
    </xf>
    <xf numFmtId="165" fontId="2" fillId="38" borderId="44" xfId="0" applyNumberFormat="1" applyFont="1" applyFill="1" applyBorder="1" applyAlignment="1">
      <alignment horizontal="center" vertical="center"/>
    </xf>
    <xf numFmtId="165" fontId="2" fillId="38" borderId="53" xfId="0" applyNumberFormat="1" applyFont="1" applyFill="1" applyBorder="1" applyAlignment="1">
      <alignment horizontal="center" vertical="center"/>
    </xf>
    <xf numFmtId="165" fontId="2" fillId="38" borderId="80" xfId="0" applyNumberFormat="1" applyFont="1" applyFill="1" applyBorder="1" applyAlignment="1">
      <alignment horizontal="center" vertical="center"/>
    </xf>
    <xf numFmtId="0" fontId="9" fillId="10" borderId="41" xfId="0" applyFont="1" applyFill="1" applyBorder="1" applyAlignment="1">
      <alignment horizontal="center" vertical="center"/>
    </xf>
    <xf numFmtId="0" fontId="43" fillId="40" borderId="45" xfId="0" applyFont="1" applyFill="1" applyBorder="1" applyAlignment="1">
      <alignment horizontal="left" vertical="center" wrapText="1"/>
    </xf>
    <xf numFmtId="0" fontId="9" fillId="10" borderId="44" xfId="0" applyFont="1" applyFill="1" applyBorder="1" applyAlignment="1">
      <alignment horizontal="center" vertical="center"/>
    </xf>
    <xf numFmtId="0" fontId="9" fillId="10" borderId="45" xfId="0" applyFont="1" applyFill="1" applyBorder="1" applyAlignment="1">
      <alignment horizontal="center" vertical="center"/>
    </xf>
    <xf numFmtId="0" fontId="25" fillId="8" borderId="19" xfId="0" applyFont="1" applyFill="1" applyBorder="1" applyAlignment="1">
      <alignment horizontal="center" vertical="center"/>
    </xf>
    <xf numFmtId="0" fontId="9" fillId="10" borderId="40" xfId="0" applyFont="1" applyFill="1" applyBorder="1" applyAlignment="1">
      <alignment horizontal="center" vertical="center"/>
    </xf>
    <xf numFmtId="0" fontId="9" fillId="10" borderId="38" xfId="0" applyFont="1" applyFill="1" applyBorder="1" applyAlignment="1">
      <alignment horizontal="center" vertical="center"/>
    </xf>
    <xf numFmtId="0" fontId="43" fillId="47" borderId="65" xfId="0" applyFont="1" applyFill="1" applyBorder="1" applyAlignment="1">
      <alignment horizontal="center" vertical="center" wrapText="1"/>
    </xf>
    <xf numFmtId="0" fontId="43" fillId="17" borderId="53" xfId="0" applyFont="1" applyFill="1" applyBorder="1" applyAlignment="1">
      <alignment horizontal="left" vertical="center" wrapText="1"/>
    </xf>
    <xf numFmtId="0" fontId="43" fillId="10" borderId="65" xfId="0" applyFont="1" applyFill="1" applyBorder="1" applyAlignment="1">
      <alignment horizontal="left" vertical="center" wrapText="1"/>
    </xf>
    <xf numFmtId="0" fontId="43" fillId="10" borderId="44" xfId="0" applyFont="1" applyFill="1" applyBorder="1" applyAlignment="1">
      <alignment horizontal="left" vertical="center" wrapText="1"/>
    </xf>
    <xf numFmtId="0" fontId="43" fillId="10" borderId="44" xfId="0" applyFont="1" applyFill="1" applyBorder="1" applyAlignment="1">
      <alignment horizontal="center" vertical="center" wrapText="1"/>
    </xf>
    <xf numFmtId="0" fontId="43" fillId="10" borderId="46" xfId="0" applyFont="1" applyFill="1" applyBorder="1" applyAlignment="1">
      <alignment horizontal="left" vertical="center" wrapText="1"/>
    </xf>
    <xf numFmtId="0" fontId="25" fillId="6" borderId="1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/>
    </xf>
    <xf numFmtId="0" fontId="25" fillId="23" borderId="3" xfId="0" applyFont="1" applyFill="1" applyBorder="1" applyAlignment="1">
      <alignment horizontal="center" vertical="center" wrapText="1"/>
    </xf>
    <xf numFmtId="0" fontId="25" fillId="24" borderId="3" xfId="0" applyFont="1" applyFill="1" applyBorder="1" applyAlignment="1">
      <alignment horizontal="center" vertical="center" wrapText="1"/>
    </xf>
    <xf numFmtId="0" fontId="43" fillId="40" borderId="10" xfId="0" applyFont="1" applyFill="1" applyBorder="1" applyAlignment="1">
      <alignment horizontal="left" vertical="center" wrapText="1"/>
    </xf>
    <xf numFmtId="0" fontId="43" fillId="40" borderId="78" xfId="0" applyFont="1" applyFill="1" applyBorder="1" applyAlignment="1">
      <alignment horizontal="left" vertical="center" wrapText="1"/>
    </xf>
    <xf numFmtId="0" fontId="43" fillId="40" borderId="57" xfId="0" applyFont="1" applyFill="1" applyBorder="1" applyAlignment="1">
      <alignment horizontal="left" vertical="center" wrapText="1"/>
    </xf>
    <xf numFmtId="165" fontId="2" fillId="38" borderId="68" xfId="0" applyNumberFormat="1" applyFont="1" applyFill="1" applyBorder="1" applyAlignment="1">
      <alignment horizontal="center" vertical="center"/>
    </xf>
  </cellXfs>
  <cellStyles count="5">
    <cellStyle name="Hiperlink" xfId="3" builtinId="8"/>
    <cellStyle name="Normal" xfId="0" builtinId="0"/>
    <cellStyle name="Porcentagem" xfId="2" builtinId="5"/>
    <cellStyle name="TableStyleLight1" xfId="4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C1C1C1"/>
      <rgbColor rgb="FFA9D18E"/>
      <rgbColor rgb="FFFACFD6"/>
      <rgbColor rgb="FF5EB91E"/>
      <rgbColor rgb="FFFCE4D6"/>
      <rgbColor rgb="FF58AA38"/>
      <rgbColor rgb="FFB4C7E7"/>
      <rgbColor rgb="FF8FAADC"/>
      <rgbColor rgb="FFC0C0C0"/>
      <rgbColor rgb="FF808080"/>
      <rgbColor rgb="FF8EA9DB"/>
      <rgbColor rgb="FFA1467E"/>
      <rgbColor rgb="FFFFFFCC"/>
      <rgbColor rgb="FFDEEBF7"/>
      <rgbColor rgb="FFD9D9D9"/>
      <rgbColor rgb="FFFD7264"/>
      <rgbColor rgb="FF0B509F"/>
      <rgbColor rgb="FFCCCCFF"/>
      <rgbColor rgb="FFFFF2CC"/>
      <rgbColor rgb="FFB4C6E7"/>
      <rgbColor rgb="FFFFE699"/>
      <rgbColor rgb="FFA9D08E"/>
      <rgbColor rgb="FFCCCCCC"/>
      <rgbColor rgb="FFDBDBDB"/>
      <rgbColor rgb="FFA6A6A6"/>
      <rgbColor rgb="FFDDDDDD"/>
      <rgbColor rgb="FF00CCFF"/>
      <rgbColor rgb="FFD9E1F2"/>
      <rgbColor rgb="FFC6E0B4"/>
      <rgbColor rgb="FFFFFF99"/>
      <rgbColor rgb="FF9BC2E6"/>
      <rgbColor rgb="FFFF9999"/>
      <rgbColor rgb="FFCC90F4"/>
      <rgbColor rgb="FFFFCCCC"/>
      <rgbColor rgb="FF729FCF"/>
      <rgbColor rgb="FF5B9BD5"/>
      <rgbColor rgb="FFBBE33D"/>
      <rgbColor rgb="FFFFCC00"/>
      <rgbColor rgb="FFF4B183"/>
      <rgbColor rgb="FFF64A12"/>
      <rgbColor rgb="FF5680B6"/>
      <rgbColor rgb="FF8497B0"/>
      <rgbColor rgb="FFB4C7DC"/>
      <rgbColor rgb="FF349864"/>
      <rgbColor rgb="FFD6DCE4"/>
      <rgbColor rgb="FF3D4C2F"/>
      <rgbColor rgb="FF824802"/>
      <rgbColor rgb="FFBF819E"/>
      <rgbColor rgb="FFADB9C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v.br/compras/pt-br/agente-publico/cadernos-tecnicos-e-valores-limites/cadernos-tecnicos-e-valores-limites-2019" TargetMode="External"/><Relationship Id="rId1" Type="http://schemas.openxmlformats.org/officeDocument/2006/relationships/hyperlink" Target="https://www.gov.br/compras/pt-br/agente-publico/cadernos-tecnicos-e-valores-limites/cadernos-tecnicos-e-valores-limites-2019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br/compras/pt-br/agente-publico/cadernos-tecnicos-e-valores-limites/cadernos-tecnicos-e-valores-limites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zoomScale="88" zoomScaleNormal="88" workbookViewId="0">
      <selection activeCell="D11" sqref="D11"/>
    </sheetView>
  </sheetViews>
  <sheetFormatPr defaultRowHeight="14.25" x14ac:dyDescent="0.2"/>
  <cols>
    <col min="2" max="2" width="15.125" customWidth="1"/>
    <col min="4" max="4" width="75.625" customWidth="1"/>
    <col min="5" max="5" width="12.375" customWidth="1"/>
    <col min="6" max="6" width="11.25" customWidth="1"/>
    <col min="7" max="7" width="13" bestFit="1" customWidth="1"/>
    <col min="8" max="8" width="18.875" customWidth="1"/>
    <col min="9" max="9" width="11.625" bestFit="1" customWidth="1"/>
  </cols>
  <sheetData>
    <row r="1" spans="1:9" ht="15" x14ac:dyDescent="0.2">
      <c r="A1" s="684" t="s">
        <v>672</v>
      </c>
      <c r="B1" s="684"/>
      <c r="C1" s="684"/>
      <c r="D1" s="684"/>
      <c r="E1" s="684"/>
      <c r="F1" s="684"/>
      <c r="G1" s="684"/>
      <c r="H1" s="684"/>
    </row>
    <row r="2" spans="1:9" ht="15" x14ac:dyDescent="0.2">
      <c r="A2" s="684" t="s">
        <v>637</v>
      </c>
      <c r="B2" s="684"/>
      <c r="C2" s="684"/>
      <c r="D2" s="684"/>
      <c r="E2" s="684"/>
      <c r="F2" s="684"/>
      <c r="G2" s="684"/>
      <c r="H2" s="684"/>
    </row>
    <row r="3" spans="1:9" ht="15" x14ac:dyDescent="0.2">
      <c r="A3" s="684" t="s">
        <v>638</v>
      </c>
      <c r="B3" s="684"/>
      <c r="C3" s="684"/>
      <c r="D3" s="684"/>
      <c r="E3" s="684"/>
      <c r="F3" s="684"/>
      <c r="G3" s="684"/>
      <c r="H3" s="684"/>
    </row>
    <row r="4" spans="1:9" ht="15" x14ac:dyDescent="0.2">
      <c r="A4" s="685" t="s">
        <v>639</v>
      </c>
      <c r="B4" s="685"/>
      <c r="C4" s="685"/>
      <c r="D4" s="685"/>
      <c r="E4" s="685"/>
      <c r="F4" s="685"/>
      <c r="G4" s="685"/>
      <c r="H4" s="685"/>
    </row>
    <row r="5" spans="1:9" ht="44.85" customHeight="1" x14ac:dyDescent="0.2">
      <c r="A5" s="686" t="s">
        <v>640</v>
      </c>
      <c r="B5" s="687"/>
      <c r="C5" s="687"/>
      <c r="D5" s="687"/>
      <c r="E5" s="687"/>
      <c r="F5" s="687"/>
      <c r="G5" s="687"/>
      <c r="H5" s="688"/>
    </row>
    <row r="7" spans="1:9" ht="30" x14ac:dyDescent="0.25">
      <c r="A7" s="667" t="s">
        <v>641</v>
      </c>
      <c r="B7" s="668" t="s">
        <v>642</v>
      </c>
      <c r="C7" s="668" t="s">
        <v>643</v>
      </c>
      <c r="D7" s="668" t="s">
        <v>644</v>
      </c>
      <c r="E7" s="668" t="s">
        <v>645</v>
      </c>
      <c r="F7" s="668" t="s">
        <v>646</v>
      </c>
      <c r="G7" s="668" t="s">
        <v>647</v>
      </c>
      <c r="H7" s="668" t="s">
        <v>648</v>
      </c>
    </row>
    <row r="8" spans="1:9" ht="73.5" customHeight="1" x14ac:dyDescent="0.2">
      <c r="A8" s="689">
        <v>7</v>
      </c>
      <c r="B8" s="669">
        <v>31</v>
      </c>
      <c r="C8" s="670">
        <v>24023</v>
      </c>
      <c r="D8" s="671" t="s">
        <v>649</v>
      </c>
      <c r="E8" s="669" t="s">
        <v>650</v>
      </c>
      <c r="F8" s="669" t="s">
        <v>651</v>
      </c>
      <c r="G8" s="672">
        <f>'Resumo Proposta'!AA52</f>
        <v>0</v>
      </c>
      <c r="H8" s="672">
        <f>G8*12</f>
        <v>0</v>
      </c>
    </row>
    <row r="9" spans="1:9" ht="73.5" customHeight="1" x14ac:dyDescent="0.2">
      <c r="A9" s="690"/>
      <c r="B9" s="669">
        <v>32</v>
      </c>
      <c r="C9" s="670">
        <v>25194</v>
      </c>
      <c r="D9" s="671" t="s">
        <v>652</v>
      </c>
      <c r="E9" s="669" t="s">
        <v>161</v>
      </c>
      <c r="F9" s="669" t="s">
        <v>651</v>
      </c>
      <c r="G9" s="672">
        <f>'Resumo Proposta'!AB52</f>
        <v>0</v>
      </c>
      <c r="H9" s="672">
        <f t="shared" ref="H9:H12" si="0">G9*12</f>
        <v>0</v>
      </c>
    </row>
    <row r="10" spans="1:9" ht="73.5" customHeight="1" x14ac:dyDescent="0.2">
      <c r="A10" s="690"/>
      <c r="B10" s="669">
        <v>33</v>
      </c>
      <c r="C10" s="670">
        <v>25194</v>
      </c>
      <c r="D10" s="673" t="s">
        <v>653</v>
      </c>
      <c r="E10" s="669" t="s">
        <v>161</v>
      </c>
      <c r="F10" s="669" t="s">
        <v>651</v>
      </c>
      <c r="G10" s="672">
        <f>'Resumo Proposta'!AC52</f>
        <v>0</v>
      </c>
      <c r="H10" s="672">
        <f t="shared" si="0"/>
        <v>0</v>
      </c>
    </row>
    <row r="11" spans="1:9" ht="73.5" customHeight="1" x14ac:dyDescent="0.2">
      <c r="A11" s="690"/>
      <c r="B11" s="669">
        <v>34</v>
      </c>
      <c r="C11" s="670">
        <v>25194</v>
      </c>
      <c r="D11" s="673" t="s">
        <v>654</v>
      </c>
      <c r="E11" s="669" t="s">
        <v>161</v>
      </c>
      <c r="F11" s="669" t="s">
        <v>651</v>
      </c>
      <c r="G11" s="672">
        <f>'Resumo Proposta'!AD52</f>
        <v>0</v>
      </c>
      <c r="H11" s="672">
        <f t="shared" si="0"/>
        <v>0</v>
      </c>
    </row>
    <row r="12" spans="1:9" ht="73.5" customHeight="1" x14ac:dyDescent="0.2">
      <c r="A12" s="690"/>
      <c r="B12" s="669">
        <v>35</v>
      </c>
      <c r="C12" s="670">
        <v>15890</v>
      </c>
      <c r="D12" s="673" t="s">
        <v>655</v>
      </c>
      <c r="E12" s="669" t="s">
        <v>161</v>
      </c>
      <c r="F12" s="669" t="s">
        <v>651</v>
      </c>
      <c r="G12" s="672">
        <f>'Resumo Proposta'!AE52</f>
        <v>12130.8</v>
      </c>
      <c r="H12" s="672">
        <f t="shared" si="0"/>
        <v>145569.59999999998</v>
      </c>
    </row>
    <row r="13" spans="1:9" ht="17.25" customHeight="1" x14ac:dyDescent="0.2">
      <c r="A13" s="674" t="s">
        <v>656</v>
      </c>
      <c r="B13" s="675"/>
      <c r="C13" s="675"/>
      <c r="D13" s="675"/>
      <c r="E13" s="675"/>
      <c r="F13" s="675"/>
      <c r="G13" s="676">
        <f>SUM(G8:G12)</f>
        <v>12130.8</v>
      </c>
      <c r="H13" s="677">
        <f>SUM(H8:H12)</f>
        <v>145569.59999999998</v>
      </c>
      <c r="I13" s="678"/>
    </row>
    <row r="14" spans="1:9" ht="15" x14ac:dyDescent="0.2">
      <c r="A14" s="679"/>
      <c r="B14" s="679"/>
      <c r="C14" s="679"/>
      <c r="D14" s="679"/>
      <c r="E14" s="679"/>
      <c r="F14" s="679"/>
      <c r="G14" s="680"/>
      <c r="H14" s="681"/>
    </row>
    <row r="15" spans="1:9" x14ac:dyDescent="0.2">
      <c r="A15" t="s">
        <v>657</v>
      </c>
    </row>
    <row r="16" spans="1:9" x14ac:dyDescent="0.2">
      <c r="A16" t="s">
        <v>658</v>
      </c>
    </row>
    <row r="17" spans="1:8" x14ac:dyDescent="0.2">
      <c r="A17" s="682" t="s">
        <v>659</v>
      </c>
    </row>
    <row r="18" spans="1:8" x14ac:dyDescent="0.2">
      <c r="A18" s="682" t="s">
        <v>660</v>
      </c>
    </row>
    <row r="19" spans="1:8" x14ac:dyDescent="0.2">
      <c r="A19" s="682" t="s">
        <v>661</v>
      </c>
    </row>
    <row r="20" spans="1:8" x14ac:dyDescent="0.2">
      <c r="A20" s="682" t="s">
        <v>662</v>
      </c>
    </row>
    <row r="21" spans="1:8" x14ac:dyDescent="0.2">
      <c r="A21" s="682" t="s">
        <v>663</v>
      </c>
    </row>
    <row r="22" spans="1:8" x14ac:dyDescent="0.2">
      <c r="A22" s="682" t="s">
        <v>664</v>
      </c>
    </row>
    <row r="23" spans="1:8" x14ac:dyDescent="0.2">
      <c r="A23" s="682" t="s">
        <v>665</v>
      </c>
    </row>
    <row r="24" spans="1:8" x14ac:dyDescent="0.2">
      <c r="A24" s="682" t="s">
        <v>666</v>
      </c>
    </row>
    <row r="25" spans="1:8" x14ac:dyDescent="0.2">
      <c r="A25" s="682" t="s">
        <v>667</v>
      </c>
    </row>
    <row r="26" spans="1:8" x14ac:dyDescent="0.2">
      <c r="A26" s="682" t="s">
        <v>668</v>
      </c>
    </row>
    <row r="27" spans="1:8" x14ac:dyDescent="0.2">
      <c r="A27" s="682" t="s">
        <v>669</v>
      </c>
    </row>
    <row r="28" spans="1:8" x14ac:dyDescent="0.2">
      <c r="A28" s="682"/>
      <c r="B28" s="682"/>
    </row>
    <row r="29" spans="1:8" x14ac:dyDescent="0.2">
      <c r="B29" s="683" t="s">
        <v>670</v>
      </c>
      <c r="C29" s="683"/>
      <c r="D29" s="683"/>
      <c r="E29" s="683"/>
      <c r="F29" s="683"/>
      <c r="G29" s="683"/>
      <c r="H29" s="683"/>
    </row>
  </sheetData>
  <mergeCells count="7">
    <mergeCell ref="B29:H29"/>
    <mergeCell ref="A1:H1"/>
    <mergeCell ref="A2:H2"/>
    <mergeCell ref="A3:H3"/>
    <mergeCell ref="A4:H4"/>
    <mergeCell ref="A5:H5"/>
    <mergeCell ref="A8:A12"/>
  </mergeCells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CFD6"/>
  </sheetPr>
  <dimension ref="A1:AMF139"/>
  <sheetViews>
    <sheetView zoomScale="75" zoomScaleNormal="75" workbookViewId="0">
      <pane ySplit="10" topLeftCell="A11" activePane="bottomLeft" state="frozen"/>
      <selection pane="bottomLeft" activeCell="C14" sqref="C14"/>
    </sheetView>
  </sheetViews>
  <sheetFormatPr defaultRowHeight="14.25" x14ac:dyDescent="0.2"/>
  <cols>
    <col min="1" max="1" width="55.5" style="393" customWidth="1"/>
    <col min="2" max="5" width="14" style="393" customWidth="1"/>
    <col min="6" max="1020" width="9" style="393" customWidth="1"/>
    <col min="1021" max="1025" width="8.625" customWidth="1"/>
  </cols>
  <sheetData>
    <row r="1" spans="1:5" ht="15.75" x14ac:dyDescent="0.2">
      <c r="A1" s="768" t="s">
        <v>477</v>
      </c>
      <c r="B1" s="768"/>
      <c r="C1" s="768"/>
      <c r="D1" s="768"/>
      <c r="E1" s="768"/>
    </row>
    <row r="2" spans="1:5" ht="15.75" x14ac:dyDescent="0.2">
      <c r="A2" s="769" t="s">
        <v>478</v>
      </c>
      <c r="B2" s="769"/>
      <c r="C2" s="769"/>
      <c r="D2" s="769"/>
      <c r="E2" s="769"/>
    </row>
    <row r="3" spans="1:5" ht="15.75" customHeight="1" x14ac:dyDescent="0.2">
      <c r="A3" s="769" t="s">
        <v>479</v>
      </c>
      <c r="B3" s="769"/>
      <c r="C3" s="769"/>
      <c r="D3" s="769"/>
      <c r="E3" s="769"/>
    </row>
    <row r="4" spans="1:5" ht="15.75" x14ac:dyDescent="0.2">
      <c r="A4" s="394"/>
      <c r="B4" s="395"/>
      <c r="C4" s="396" t="s">
        <v>480</v>
      </c>
      <c r="D4" s="399" t="s">
        <v>481</v>
      </c>
      <c r="E4" s="399" t="s">
        <v>482</v>
      </c>
    </row>
    <row r="5" spans="1:5" x14ac:dyDescent="0.2">
      <c r="A5" s="400"/>
      <c r="B5" s="401" t="s">
        <v>485</v>
      </c>
      <c r="C5" s="402">
        <f>MC!$D11</f>
        <v>0</v>
      </c>
      <c r="D5" s="402">
        <f>MC!$E11</f>
        <v>0</v>
      </c>
      <c r="E5" s="404">
        <f>MC!$F11</f>
        <v>0</v>
      </c>
    </row>
    <row r="6" spans="1:5" x14ac:dyDescent="0.2">
      <c r="A6" s="400"/>
      <c r="B6" s="401" t="s">
        <v>486</v>
      </c>
      <c r="C6" s="405">
        <f>MC!E8</f>
        <v>0</v>
      </c>
      <c r="D6" s="407">
        <f>MC!E8</f>
        <v>0</v>
      </c>
      <c r="E6" s="407">
        <f>MC!E8</f>
        <v>0</v>
      </c>
    </row>
    <row r="7" spans="1:5" x14ac:dyDescent="0.2">
      <c r="A7" s="400"/>
      <c r="B7" s="401" t="s">
        <v>487</v>
      </c>
      <c r="C7" s="405">
        <f>MC!C8</f>
        <v>0</v>
      </c>
      <c r="D7" s="407">
        <f>MC!C8</f>
        <v>0</v>
      </c>
      <c r="E7" s="407">
        <f>MC!C8</f>
        <v>0</v>
      </c>
    </row>
    <row r="8" spans="1:5" x14ac:dyDescent="0.2">
      <c r="A8" s="400"/>
      <c r="B8" s="401" t="s">
        <v>488</v>
      </c>
      <c r="C8" s="408">
        <f>MC!F8</f>
        <v>0</v>
      </c>
      <c r="D8" s="410">
        <f>MC!F8</f>
        <v>0</v>
      </c>
      <c r="E8" s="410">
        <f>MC!F8</f>
        <v>0</v>
      </c>
    </row>
    <row r="9" spans="1:5" x14ac:dyDescent="0.2">
      <c r="A9" s="776"/>
      <c r="B9" s="776"/>
      <c r="C9" s="776"/>
      <c r="D9" s="776"/>
      <c r="E9" s="776"/>
    </row>
    <row r="10" spans="1:5" ht="66.75" customHeight="1" x14ac:dyDescent="0.2">
      <c r="A10" s="411" t="s">
        <v>489</v>
      </c>
      <c r="B10" s="412" t="s">
        <v>490</v>
      </c>
      <c r="C10" s="412" t="s">
        <v>630</v>
      </c>
      <c r="D10" s="592" t="s">
        <v>631</v>
      </c>
      <c r="E10" s="593" t="s">
        <v>632</v>
      </c>
    </row>
    <row r="11" spans="1:5" ht="14.25" customHeight="1" x14ac:dyDescent="0.2">
      <c r="A11" s="777" t="s">
        <v>498</v>
      </c>
      <c r="B11" s="777"/>
      <c r="C11" s="777"/>
      <c r="D11" s="777"/>
      <c r="E11" s="777"/>
    </row>
    <row r="12" spans="1:5" ht="14.25" customHeight="1" x14ac:dyDescent="0.2">
      <c r="A12" s="415" t="s">
        <v>499</v>
      </c>
      <c r="B12" s="416" t="s">
        <v>500</v>
      </c>
      <c r="C12" s="416" t="s">
        <v>501</v>
      </c>
      <c r="D12" s="594" t="s">
        <v>501</v>
      </c>
      <c r="E12" s="595" t="s">
        <v>501</v>
      </c>
    </row>
    <row r="13" spans="1:5" ht="14.25" customHeight="1" x14ac:dyDescent="0.2">
      <c r="A13" s="418" t="s">
        <v>502</v>
      </c>
      <c r="B13" s="419"/>
      <c r="C13" s="420">
        <f>C5</f>
        <v>0</v>
      </c>
      <c r="D13" s="420">
        <f>D5</f>
        <v>0</v>
      </c>
      <c r="E13" s="422">
        <f>E5</f>
        <v>0</v>
      </c>
    </row>
    <row r="14" spans="1:5" ht="14.25" customHeight="1" x14ac:dyDescent="0.2">
      <c r="A14" s="418" t="s">
        <v>503</v>
      </c>
      <c r="B14" s="442">
        <v>0.2</v>
      </c>
      <c r="C14" s="420">
        <f>C13*$B$14</f>
        <v>0</v>
      </c>
      <c r="D14" s="596">
        <f>D13*$B$14</f>
        <v>0</v>
      </c>
      <c r="E14" s="597">
        <f>B14*E13</f>
        <v>0</v>
      </c>
    </row>
    <row r="15" spans="1:5" ht="14.25" customHeight="1" x14ac:dyDescent="0.2">
      <c r="A15" s="418" t="s">
        <v>505</v>
      </c>
      <c r="B15" s="426"/>
      <c r="C15" s="420"/>
      <c r="D15" s="596"/>
      <c r="E15" s="597"/>
    </row>
    <row r="16" spans="1:5" ht="14.25" customHeight="1" x14ac:dyDescent="0.2">
      <c r="A16" s="418" t="s">
        <v>506</v>
      </c>
      <c r="B16" s="426"/>
      <c r="C16" s="420"/>
      <c r="D16" s="596"/>
      <c r="E16" s="597"/>
    </row>
    <row r="17" spans="1:5" ht="14.25" customHeight="1" x14ac:dyDescent="0.2">
      <c r="A17" s="418" t="s">
        <v>507</v>
      </c>
      <c r="B17" s="426"/>
      <c r="C17" s="420"/>
      <c r="D17" s="596"/>
      <c r="E17" s="597"/>
    </row>
    <row r="18" spans="1:5" ht="14.25" customHeight="1" x14ac:dyDescent="0.2">
      <c r="A18" s="418" t="s">
        <v>508</v>
      </c>
      <c r="B18" s="428"/>
      <c r="C18" s="420"/>
      <c r="D18" s="596"/>
      <c r="E18" s="597"/>
    </row>
    <row r="19" spans="1:5" ht="14.25" customHeight="1" x14ac:dyDescent="0.2">
      <c r="A19" s="429" t="s">
        <v>509</v>
      </c>
      <c r="B19" s="430"/>
      <c r="C19" s="444">
        <f>SUM(C13:C18)</f>
        <v>0</v>
      </c>
      <c r="D19" s="598">
        <f>SUM(D13:D18)</f>
        <v>0</v>
      </c>
      <c r="E19" s="599">
        <f>SUM(E13:E18)</f>
        <v>0</v>
      </c>
    </row>
    <row r="20" spans="1:5" ht="14.25" customHeight="1" x14ac:dyDescent="0.2">
      <c r="A20" s="778"/>
      <c r="B20" s="778"/>
      <c r="C20" s="778"/>
      <c r="D20" s="778"/>
      <c r="E20" s="778"/>
    </row>
    <row r="21" spans="1:5" ht="14.25" customHeight="1" x14ac:dyDescent="0.2">
      <c r="A21" s="794" t="s">
        <v>510</v>
      </c>
      <c r="B21" s="794"/>
      <c r="C21" s="794"/>
      <c r="D21" s="794"/>
      <c r="E21" s="794"/>
    </row>
    <row r="22" spans="1:5" ht="14.25" customHeight="1" x14ac:dyDescent="0.2">
      <c r="A22" s="438" t="s">
        <v>511</v>
      </c>
      <c r="B22" s="439" t="s">
        <v>500</v>
      </c>
      <c r="C22" s="439" t="s">
        <v>501</v>
      </c>
      <c r="D22" s="600" t="s">
        <v>501</v>
      </c>
      <c r="E22" s="601" t="s">
        <v>501</v>
      </c>
    </row>
    <row r="23" spans="1:5" ht="14.25" customHeight="1" x14ac:dyDescent="0.2">
      <c r="A23" s="441" t="s">
        <v>512</v>
      </c>
      <c r="B23" s="442">
        <f>1/12</f>
        <v>8.3333333333333329E-2</v>
      </c>
      <c r="C23" s="420">
        <f>ROUND($B23*C$19,2)</f>
        <v>0</v>
      </c>
      <c r="D23" s="596">
        <f>ROUND($B23*D$19,2)</f>
        <v>0</v>
      </c>
      <c r="E23" s="597">
        <f>ROUND($B23*E$19,2)</f>
        <v>0</v>
      </c>
    </row>
    <row r="24" spans="1:5" ht="14.25" customHeight="1" x14ac:dyDescent="0.2">
      <c r="A24" s="441" t="s">
        <v>513</v>
      </c>
      <c r="B24" s="442">
        <f>1/3*1/12</f>
        <v>2.7777777777777776E-2</v>
      </c>
      <c r="C24" s="420">
        <f>C$19*$B$24</f>
        <v>0</v>
      </c>
      <c r="D24" s="596">
        <f>D$19*$B$24</f>
        <v>0</v>
      </c>
      <c r="E24" s="597">
        <f>E$19*$B$24</f>
        <v>0</v>
      </c>
    </row>
    <row r="25" spans="1:5" ht="14.25" customHeight="1" x14ac:dyDescent="0.2">
      <c r="A25" s="429" t="s">
        <v>509</v>
      </c>
      <c r="B25" s="443">
        <f>SUM(B23:B24)</f>
        <v>0.1111111111111111</v>
      </c>
      <c r="C25" s="444">
        <f>SUM(C23:C24)</f>
        <v>0</v>
      </c>
      <c r="D25" s="598">
        <f>SUM(D23:D24)</f>
        <v>0</v>
      </c>
      <c r="E25" s="599">
        <f>SUM(E23:E24)</f>
        <v>0</v>
      </c>
    </row>
    <row r="26" spans="1:5" ht="14.25" customHeight="1" x14ac:dyDescent="0.2">
      <c r="A26" s="438" t="s">
        <v>514</v>
      </c>
      <c r="B26" s="439" t="s">
        <v>500</v>
      </c>
      <c r="C26" s="439" t="s">
        <v>501</v>
      </c>
      <c r="D26" s="600" t="s">
        <v>501</v>
      </c>
      <c r="E26" s="601" t="s">
        <v>501</v>
      </c>
    </row>
    <row r="27" spans="1:5" ht="14.25" customHeight="1" x14ac:dyDescent="0.2">
      <c r="A27" s="438" t="s">
        <v>515</v>
      </c>
      <c r="B27" s="446"/>
      <c r="C27" s="446"/>
      <c r="D27" s="602"/>
      <c r="E27" s="603"/>
    </row>
    <row r="28" spans="1:5" ht="14.25" customHeight="1" x14ac:dyDescent="0.2">
      <c r="A28" s="441" t="s">
        <v>516</v>
      </c>
      <c r="B28" s="442">
        <v>0.2</v>
      </c>
      <c r="C28" s="604">
        <f t="shared" ref="C28:E35" si="0">ROUND((C$19+C$25)*$B28,2)</f>
        <v>0</v>
      </c>
      <c r="D28" s="604">
        <f t="shared" si="0"/>
        <v>0</v>
      </c>
      <c r="E28" s="605">
        <f t="shared" si="0"/>
        <v>0</v>
      </c>
    </row>
    <row r="29" spans="1:5" ht="14.25" customHeight="1" x14ac:dyDescent="0.2">
      <c r="A29" s="441" t="s">
        <v>517</v>
      </c>
      <c r="B29" s="442">
        <v>2.5000000000000001E-2</v>
      </c>
      <c r="C29" s="604">
        <f t="shared" si="0"/>
        <v>0</v>
      </c>
      <c r="D29" s="604">
        <f t="shared" si="0"/>
        <v>0</v>
      </c>
      <c r="E29" s="605">
        <f t="shared" si="0"/>
        <v>0</v>
      </c>
    </row>
    <row r="30" spans="1:5" ht="14.25" customHeight="1" x14ac:dyDescent="0.2">
      <c r="A30" s="441" t="s">
        <v>518</v>
      </c>
      <c r="B30" s="442">
        <v>0.03</v>
      </c>
      <c r="C30" s="604">
        <f t="shared" si="0"/>
        <v>0</v>
      </c>
      <c r="D30" s="604">
        <f t="shared" si="0"/>
        <v>0</v>
      </c>
      <c r="E30" s="605">
        <f t="shared" si="0"/>
        <v>0</v>
      </c>
    </row>
    <row r="31" spans="1:5" ht="14.25" customHeight="1" x14ac:dyDescent="0.2">
      <c r="A31" s="441" t="s">
        <v>519</v>
      </c>
      <c r="B31" s="442">
        <v>1.4999999999999999E-2</v>
      </c>
      <c r="C31" s="604">
        <f t="shared" si="0"/>
        <v>0</v>
      </c>
      <c r="D31" s="604">
        <f t="shared" si="0"/>
        <v>0</v>
      </c>
      <c r="E31" s="605">
        <f t="shared" si="0"/>
        <v>0</v>
      </c>
    </row>
    <row r="32" spans="1:5" ht="14.25" customHeight="1" x14ac:dyDescent="0.2">
      <c r="A32" s="441" t="s">
        <v>520</v>
      </c>
      <c r="B32" s="442">
        <v>0.01</v>
      </c>
      <c r="C32" s="604">
        <f t="shared" si="0"/>
        <v>0</v>
      </c>
      <c r="D32" s="604">
        <f t="shared" si="0"/>
        <v>0</v>
      </c>
      <c r="E32" s="605">
        <f t="shared" si="0"/>
        <v>0</v>
      </c>
    </row>
    <row r="33" spans="1:5" ht="14.25" customHeight="1" x14ac:dyDescent="0.2">
      <c r="A33" s="441" t="s">
        <v>521</v>
      </c>
      <c r="B33" s="442">
        <v>6.0000000000000001E-3</v>
      </c>
      <c r="C33" s="604">
        <f t="shared" si="0"/>
        <v>0</v>
      </c>
      <c r="D33" s="604">
        <f t="shared" si="0"/>
        <v>0</v>
      </c>
      <c r="E33" s="605">
        <f t="shared" si="0"/>
        <v>0</v>
      </c>
    </row>
    <row r="34" spans="1:5" ht="14.25" customHeight="1" x14ac:dyDescent="0.2">
      <c r="A34" s="441" t="s">
        <v>522</v>
      </c>
      <c r="B34" s="442">
        <v>2E-3</v>
      </c>
      <c r="C34" s="604">
        <f t="shared" si="0"/>
        <v>0</v>
      </c>
      <c r="D34" s="604">
        <f t="shared" si="0"/>
        <v>0</v>
      </c>
      <c r="E34" s="605">
        <f t="shared" si="0"/>
        <v>0</v>
      </c>
    </row>
    <row r="35" spans="1:5" ht="14.25" customHeight="1" x14ac:dyDescent="0.2">
      <c r="A35" s="441" t="s">
        <v>523</v>
      </c>
      <c r="B35" s="442">
        <v>0.08</v>
      </c>
      <c r="C35" s="604">
        <f t="shared" si="0"/>
        <v>0</v>
      </c>
      <c r="D35" s="604">
        <f t="shared" si="0"/>
        <v>0</v>
      </c>
      <c r="E35" s="605">
        <f t="shared" si="0"/>
        <v>0</v>
      </c>
    </row>
    <row r="36" spans="1:5" ht="14.25" customHeight="1" x14ac:dyDescent="0.2">
      <c r="A36" s="429" t="s">
        <v>509</v>
      </c>
      <c r="B36" s="443">
        <f>SUM(B28:B35)</f>
        <v>0.36800000000000005</v>
      </c>
      <c r="C36" s="444">
        <f>SUM(C27:C35)</f>
        <v>0</v>
      </c>
      <c r="D36" s="598">
        <f>SUM(D27:D35)</f>
        <v>0</v>
      </c>
      <c r="E36" s="599">
        <f>SUM(E27:E35)</f>
        <v>0</v>
      </c>
    </row>
    <row r="37" spans="1:5" ht="14.25" customHeight="1" x14ac:dyDescent="0.2">
      <c r="A37" s="438" t="s">
        <v>524</v>
      </c>
      <c r="B37" s="439" t="s">
        <v>525</v>
      </c>
      <c r="C37" s="439" t="s">
        <v>501</v>
      </c>
      <c r="D37" s="600" t="s">
        <v>501</v>
      </c>
      <c r="E37" s="440" t="s">
        <v>501</v>
      </c>
    </row>
    <row r="38" spans="1:5" ht="14.25" customHeight="1" x14ac:dyDescent="0.2">
      <c r="A38" s="441" t="s">
        <v>526</v>
      </c>
      <c r="B38" s="451">
        <f>MC!K89</f>
        <v>0</v>
      </c>
      <c r="C38" s="420">
        <f>ROUND(((2*22*$B$38)-0.06*C$13),2)</f>
        <v>0</v>
      </c>
      <c r="D38" s="596">
        <f>ROUND(((2*22*$B$38)-0.06*D$13),2)</f>
        <v>0</v>
      </c>
      <c r="E38" s="597">
        <f>ROUND(((2*22*$B$38)-0.06*E$13),2)</f>
        <v>0</v>
      </c>
    </row>
    <row r="39" spans="1:5" ht="14.25" customHeight="1" x14ac:dyDescent="0.2">
      <c r="A39" s="441" t="s">
        <v>527</v>
      </c>
      <c r="B39" s="452"/>
      <c r="C39" s="449">
        <f>MC!E19</f>
        <v>0</v>
      </c>
      <c r="D39" s="604">
        <f>MC!E20</f>
        <v>0</v>
      </c>
      <c r="E39" s="605">
        <f>MC!E20</f>
        <v>0</v>
      </c>
    </row>
    <row r="40" spans="1:5" ht="14.25" customHeight="1" x14ac:dyDescent="0.2">
      <c r="A40" s="441" t="s">
        <v>528</v>
      </c>
      <c r="B40" s="442">
        <f>MC!C24</f>
        <v>0</v>
      </c>
      <c r="C40" s="449"/>
      <c r="D40" s="604"/>
      <c r="E40" s="605"/>
    </row>
    <row r="41" spans="1:5" ht="14.25" customHeight="1" x14ac:dyDescent="0.2">
      <c r="A41" s="441" t="s">
        <v>633</v>
      </c>
      <c r="B41" s="455">
        <f>MC!E26</f>
        <v>0</v>
      </c>
      <c r="C41" s="449">
        <f>B41</f>
        <v>0</v>
      </c>
      <c r="D41" s="604">
        <f>B41</f>
        <v>0</v>
      </c>
      <c r="E41" s="605"/>
    </row>
    <row r="42" spans="1:5" ht="14.25" customHeight="1" x14ac:dyDescent="0.2">
      <c r="A42" s="441" t="s">
        <v>634</v>
      </c>
      <c r="B42" s="455">
        <f>MC!E27</f>
        <v>0</v>
      </c>
      <c r="C42" s="449">
        <f>$B42</f>
        <v>0</v>
      </c>
      <c r="D42" s="449">
        <f>$B42</f>
        <v>0</v>
      </c>
      <c r="E42" s="450">
        <f>$B42</f>
        <v>0</v>
      </c>
    </row>
    <row r="43" spans="1:5" ht="14.25" customHeight="1" x14ac:dyDescent="0.2">
      <c r="A43" s="441" t="s">
        <v>531</v>
      </c>
      <c r="B43" s="442"/>
      <c r="C43" s="449"/>
      <c r="D43" s="604"/>
      <c r="E43" s="605"/>
    </row>
    <row r="44" spans="1:5" ht="14.25" customHeight="1" x14ac:dyDescent="0.2">
      <c r="A44" s="429" t="s">
        <v>509</v>
      </c>
      <c r="B44" s="430"/>
      <c r="C44" s="444">
        <f>SUM(C38:C43)</f>
        <v>0</v>
      </c>
      <c r="D44" s="598">
        <f>SUM(D38:D43)</f>
        <v>0</v>
      </c>
      <c r="E44" s="599">
        <f>SUM(E38:E43)</f>
        <v>0</v>
      </c>
    </row>
    <row r="45" spans="1:5" ht="14.25" customHeight="1" x14ac:dyDescent="0.2">
      <c r="A45" s="415" t="s">
        <v>532</v>
      </c>
      <c r="B45" s="416" t="s">
        <v>500</v>
      </c>
      <c r="C45" s="416" t="s">
        <v>501</v>
      </c>
      <c r="D45" s="594" t="s">
        <v>501</v>
      </c>
      <c r="E45" s="595" t="s">
        <v>501</v>
      </c>
    </row>
    <row r="46" spans="1:5" ht="14.25" customHeight="1" x14ac:dyDescent="0.2">
      <c r="A46" s="441" t="s">
        <v>511</v>
      </c>
      <c r="B46" s="458">
        <f>B25</f>
        <v>0.1111111111111111</v>
      </c>
      <c r="C46" s="459">
        <f>C25</f>
        <v>0</v>
      </c>
      <c r="D46" s="606">
        <f>D25</f>
        <v>0</v>
      </c>
      <c r="E46" s="607">
        <f>E25</f>
        <v>0</v>
      </c>
    </row>
    <row r="47" spans="1:5" ht="14.25" customHeight="1" x14ac:dyDescent="0.2">
      <c r="A47" s="441" t="s">
        <v>533</v>
      </c>
      <c r="B47" s="458">
        <f>B36</f>
        <v>0.36800000000000005</v>
      </c>
      <c r="C47" s="459">
        <f>C36</f>
        <v>0</v>
      </c>
      <c r="D47" s="606">
        <f>D36</f>
        <v>0</v>
      </c>
      <c r="E47" s="607">
        <f>E36</f>
        <v>0</v>
      </c>
    </row>
    <row r="48" spans="1:5" ht="14.25" customHeight="1" x14ac:dyDescent="0.2">
      <c r="A48" s="441" t="s">
        <v>524</v>
      </c>
      <c r="B48" s="458"/>
      <c r="C48" s="459">
        <f>C44</f>
        <v>0</v>
      </c>
      <c r="D48" s="606">
        <f>D44</f>
        <v>0</v>
      </c>
      <c r="E48" s="607">
        <f>E44</f>
        <v>0</v>
      </c>
    </row>
    <row r="49" spans="1:5" ht="14.25" customHeight="1" x14ac:dyDescent="0.2">
      <c r="A49" s="429" t="s">
        <v>509</v>
      </c>
      <c r="B49" s="430"/>
      <c r="C49" s="444">
        <f>SUM(C46:C48)</f>
        <v>0</v>
      </c>
      <c r="D49" s="598">
        <f>SUM(D46:D48)</f>
        <v>0</v>
      </c>
      <c r="E49" s="599">
        <f>SUM(E46:E48)</f>
        <v>0</v>
      </c>
    </row>
    <row r="50" spans="1:5" ht="14.25" customHeight="1" x14ac:dyDescent="0.2">
      <c r="A50" s="778"/>
      <c r="B50" s="778"/>
      <c r="C50" s="778"/>
      <c r="D50" s="778"/>
      <c r="E50" s="778"/>
    </row>
    <row r="51" spans="1:5" s="461" customFormat="1" ht="14.25" customHeight="1" x14ac:dyDescent="0.2">
      <c r="A51" s="794" t="s">
        <v>534</v>
      </c>
      <c r="B51" s="794"/>
      <c r="C51" s="794"/>
      <c r="D51" s="794"/>
      <c r="E51" s="794"/>
    </row>
    <row r="52" spans="1:5" ht="14.25" customHeight="1" x14ac:dyDescent="0.2">
      <c r="A52" s="415" t="s">
        <v>535</v>
      </c>
      <c r="B52" s="416" t="s">
        <v>500</v>
      </c>
      <c r="C52" s="416" t="s">
        <v>501</v>
      </c>
      <c r="D52" s="594" t="s">
        <v>501</v>
      </c>
      <c r="E52" s="595" t="s">
        <v>501</v>
      </c>
    </row>
    <row r="53" spans="1:5" ht="14.25" customHeight="1" x14ac:dyDescent="0.2">
      <c r="A53" s="438" t="s">
        <v>536</v>
      </c>
      <c r="B53" s="462"/>
      <c r="C53" s="462"/>
      <c r="D53" s="608"/>
      <c r="E53" s="609"/>
    </row>
    <row r="54" spans="1:5" ht="14.25" customHeight="1" x14ac:dyDescent="0.2">
      <c r="A54" s="441" t="s">
        <v>537</v>
      </c>
      <c r="B54" s="458">
        <f>1/12*0.05</f>
        <v>4.1666666666666666E-3</v>
      </c>
      <c r="C54" s="465">
        <f>C19*$B54</f>
        <v>0</v>
      </c>
      <c r="D54" s="610">
        <f>D19*$B54</f>
        <v>0</v>
      </c>
      <c r="E54" s="611">
        <f>E19*$B54</f>
        <v>0</v>
      </c>
    </row>
    <row r="55" spans="1:5" ht="14.25" customHeight="1" x14ac:dyDescent="0.2">
      <c r="A55" s="441" t="s">
        <v>538</v>
      </c>
      <c r="B55" s="458">
        <f>B35*B54</f>
        <v>3.3333333333333332E-4</v>
      </c>
      <c r="C55" s="465">
        <f>$B$55*C19</f>
        <v>0</v>
      </c>
      <c r="D55" s="610">
        <f>$B$55*D19</f>
        <v>0</v>
      </c>
      <c r="E55" s="611">
        <f>$B$55*E19</f>
        <v>0</v>
      </c>
    </row>
    <row r="56" spans="1:5" ht="14.25" customHeight="1" x14ac:dyDescent="0.2">
      <c r="A56" s="441" t="s">
        <v>539</v>
      </c>
      <c r="B56" s="458">
        <v>0</v>
      </c>
      <c r="C56" s="465">
        <f>C35*$B56</f>
        <v>0</v>
      </c>
      <c r="D56" s="610">
        <f>D35*$B56</f>
        <v>0</v>
      </c>
      <c r="E56" s="611">
        <f>E35*$B56</f>
        <v>0</v>
      </c>
    </row>
    <row r="57" spans="1:5" ht="14.25" customHeight="1" x14ac:dyDescent="0.2">
      <c r="A57" s="441" t="s">
        <v>540</v>
      </c>
      <c r="B57" s="458">
        <f>1/12*1/30*7</f>
        <v>1.9444444444444441E-2</v>
      </c>
      <c r="C57" s="459">
        <f>C19*$B57</f>
        <v>0</v>
      </c>
      <c r="D57" s="606">
        <f>D19*$B57</f>
        <v>0</v>
      </c>
      <c r="E57" s="607">
        <f>E19*$B57</f>
        <v>0</v>
      </c>
    </row>
    <row r="58" spans="1:5" ht="14.25" customHeight="1" x14ac:dyDescent="0.2">
      <c r="A58" s="441" t="s">
        <v>541</v>
      </c>
      <c r="B58" s="458">
        <f>B36*B57</f>
        <v>7.1555555555555556E-3</v>
      </c>
      <c r="C58" s="459">
        <f>$B58*C19</f>
        <v>0</v>
      </c>
      <c r="D58" s="606">
        <f>$B58*D19</f>
        <v>0</v>
      </c>
      <c r="E58" s="607">
        <f>$B58*E19</f>
        <v>0</v>
      </c>
    </row>
    <row r="59" spans="1:5" ht="14.25" customHeight="1" x14ac:dyDescent="0.2">
      <c r="A59" s="441" t="s">
        <v>542</v>
      </c>
      <c r="B59" s="458">
        <f>B35*40/100*90/100*(1+1/12+1/12+1/3*1/12)</f>
        <v>3.4399999999999993E-2</v>
      </c>
      <c r="C59" s="459">
        <f>C19*$B59</f>
        <v>0</v>
      </c>
      <c r="D59" s="606">
        <f>D19*$B59</f>
        <v>0</v>
      </c>
      <c r="E59" s="607">
        <f>E19*$B59</f>
        <v>0</v>
      </c>
    </row>
    <row r="60" spans="1:5" ht="14.25" customHeight="1" x14ac:dyDescent="0.2">
      <c r="A60" s="429" t="s">
        <v>509</v>
      </c>
      <c r="B60" s="443">
        <f>SUM(B54:B59)</f>
        <v>6.5499999999999989E-2</v>
      </c>
      <c r="C60" s="431">
        <f>SUM(C54:C59)</f>
        <v>0</v>
      </c>
      <c r="D60" s="612">
        <f>SUM(D54:D59)</f>
        <v>0</v>
      </c>
      <c r="E60" s="613">
        <f>SUM(E54:E59)</f>
        <v>0</v>
      </c>
    </row>
    <row r="61" spans="1:5" ht="14.25" customHeight="1" x14ac:dyDescent="0.2">
      <c r="A61" s="778"/>
      <c r="B61" s="778"/>
      <c r="C61" s="778"/>
      <c r="D61" s="778"/>
      <c r="E61" s="778"/>
    </row>
    <row r="62" spans="1:5" ht="14.25" customHeight="1" x14ac:dyDescent="0.2">
      <c r="A62" s="794" t="s">
        <v>543</v>
      </c>
      <c r="B62" s="794"/>
      <c r="C62" s="794"/>
      <c r="D62" s="794"/>
      <c r="E62" s="794"/>
    </row>
    <row r="63" spans="1:5" ht="14.25" customHeight="1" x14ac:dyDescent="0.2">
      <c r="A63" s="438" t="s">
        <v>42</v>
      </c>
      <c r="B63" s="439" t="s">
        <v>500</v>
      </c>
      <c r="C63" s="439" t="s">
        <v>501</v>
      </c>
      <c r="D63" s="439" t="s">
        <v>501</v>
      </c>
      <c r="E63" s="440" t="s">
        <v>501</v>
      </c>
    </row>
    <row r="64" spans="1:5" ht="14.25" customHeight="1" x14ac:dyDescent="0.2">
      <c r="A64" s="441" t="s">
        <v>43</v>
      </c>
      <c r="B64" s="442">
        <f>1/12</f>
        <v>8.3333333333333329E-2</v>
      </c>
      <c r="C64" s="604">
        <f t="shared" ref="C64:E67" si="1">$B64*(C$19+C$49+C$60)</f>
        <v>0</v>
      </c>
      <c r="D64" s="604">
        <f t="shared" si="1"/>
        <v>0</v>
      </c>
      <c r="E64" s="605">
        <f t="shared" si="1"/>
        <v>0</v>
      </c>
    </row>
    <row r="65" spans="1:5" ht="14.25" customHeight="1" x14ac:dyDescent="0.2">
      <c r="A65" s="441" t="s">
        <v>544</v>
      </c>
      <c r="B65" s="442">
        <f>MC!E54/30/12</f>
        <v>1.3538888888888885E-2</v>
      </c>
      <c r="C65" s="604">
        <f t="shared" si="1"/>
        <v>0</v>
      </c>
      <c r="D65" s="604">
        <f t="shared" si="1"/>
        <v>0</v>
      </c>
      <c r="E65" s="605">
        <f t="shared" si="1"/>
        <v>0</v>
      </c>
    </row>
    <row r="66" spans="1:5" ht="14.25" customHeight="1" x14ac:dyDescent="0.2">
      <c r="A66" s="441" t="s">
        <v>545</v>
      </c>
      <c r="B66" s="467">
        <f>(5/30)/12*MC!F56*MC!C57</f>
        <v>1.0764583333333333E-4</v>
      </c>
      <c r="C66" s="604">
        <f t="shared" si="1"/>
        <v>0</v>
      </c>
      <c r="D66" s="604">
        <f t="shared" si="1"/>
        <v>0</v>
      </c>
      <c r="E66" s="605">
        <f t="shared" si="1"/>
        <v>0</v>
      </c>
    </row>
    <row r="67" spans="1:5" ht="14.25" customHeight="1" x14ac:dyDescent="0.2">
      <c r="A67" s="441" t="s">
        <v>546</v>
      </c>
      <c r="B67" s="467">
        <f>MC!C59/30/12</f>
        <v>2.6830555555555553E-3</v>
      </c>
      <c r="C67" s="604">
        <f t="shared" si="1"/>
        <v>0</v>
      </c>
      <c r="D67" s="604">
        <f t="shared" si="1"/>
        <v>0</v>
      </c>
      <c r="E67" s="605">
        <f t="shared" si="1"/>
        <v>0</v>
      </c>
    </row>
    <row r="68" spans="1:5" ht="14.25" customHeight="1" x14ac:dyDescent="0.2">
      <c r="A68" s="441" t="s">
        <v>508</v>
      </c>
      <c r="B68" s="442"/>
      <c r="C68" s="449"/>
      <c r="D68" s="604"/>
      <c r="E68" s="605"/>
    </row>
    <row r="69" spans="1:5" ht="14.25" customHeight="1" x14ac:dyDescent="0.2">
      <c r="A69" s="468" t="s">
        <v>547</v>
      </c>
      <c r="B69" s="469">
        <f>SUM(B64:B68)</f>
        <v>9.9662923611111107E-2</v>
      </c>
      <c r="C69" s="470">
        <f>SUM(C64:C68)</f>
        <v>0</v>
      </c>
      <c r="D69" s="614">
        <f>SUM(D64:D68)</f>
        <v>0</v>
      </c>
      <c r="E69" s="615">
        <f>SUM(E64:E68)</f>
        <v>0</v>
      </c>
    </row>
    <row r="70" spans="1:5" ht="14.25" customHeight="1" x14ac:dyDescent="0.2">
      <c r="A70" s="438" t="s">
        <v>548</v>
      </c>
      <c r="B70" s="439" t="s">
        <v>500</v>
      </c>
      <c r="C70" s="439" t="s">
        <v>501</v>
      </c>
      <c r="D70" s="439" t="s">
        <v>501</v>
      </c>
      <c r="E70" s="440" t="s">
        <v>501</v>
      </c>
    </row>
    <row r="71" spans="1:5" ht="14.25" customHeight="1" x14ac:dyDescent="0.2">
      <c r="A71" s="441" t="s">
        <v>549</v>
      </c>
      <c r="B71" s="442"/>
      <c r="C71" s="449"/>
      <c r="D71" s="604"/>
      <c r="E71" s="605"/>
    </row>
    <row r="72" spans="1:5" ht="14.25" customHeight="1" x14ac:dyDescent="0.2">
      <c r="A72" s="468" t="s">
        <v>547</v>
      </c>
      <c r="B72" s="469"/>
      <c r="C72" s="470">
        <f>C71</f>
        <v>0</v>
      </c>
      <c r="D72" s="614"/>
      <c r="E72" s="615"/>
    </row>
    <row r="73" spans="1:5" ht="14.25" customHeight="1" x14ac:dyDescent="0.2">
      <c r="A73" s="438" t="s">
        <v>64</v>
      </c>
      <c r="B73" s="439" t="s">
        <v>500</v>
      </c>
      <c r="C73" s="439" t="s">
        <v>501</v>
      </c>
      <c r="D73" s="439" t="s">
        <v>501</v>
      </c>
      <c r="E73" s="440" t="s">
        <v>501</v>
      </c>
    </row>
    <row r="74" spans="1:5" ht="14.25" customHeight="1" x14ac:dyDescent="0.2">
      <c r="A74" s="441" t="s">
        <v>65</v>
      </c>
      <c r="B74" s="442">
        <f>120/30*MC!C62*MC!C63</f>
        <v>6.18624E-3</v>
      </c>
      <c r="C74" s="449">
        <f>(((C19*2)+ (C19*1/3))+(C36)+(C44-C38-C39))*$B$74</f>
        <v>0</v>
      </c>
      <c r="D74" s="604">
        <f>(((D19*2)+ (D19*1/3))+(D36)+(D44-D38-D39))*$B$74</f>
        <v>0</v>
      </c>
      <c r="E74" s="605">
        <f>(((E19*2)+ (E19*1/3))+(E36)+(E44-E38-E39))*$B$74</f>
        <v>0</v>
      </c>
    </row>
    <row r="75" spans="1:5" ht="14.25" customHeight="1" x14ac:dyDescent="0.2">
      <c r="A75" s="468" t="s">
        <v>509</v>
      </c>
      <c r="B75" s="469"/>
      <c r="C75" s="470"/>
      <c r="D75" s="614"/>
      <c r="E75" s="615"/>
    </row>
    <row r="76" spans="1:5" ht="14.25" customHeight="1" x14ac:dyDescent="0.2">
      <c r="A76" s="415" t="s">
        <v>550</v>
      </c>
      <c r="B76" s="416" t="s">
        <v>500</v>
      </c>
      <c r="C76" s="416" t="s">
        <v>501</v>
      </c>
      <c r="D76" s="594" t="s">
        <v>501</v>
      </c>
      <c r="E76" s="595" t="s">
        <v>501</v>
      </c>
    </row>
    <row r="77" spans="1:5" ht="14.25" customHeight="1" x14ac:dyDescent="0.2">
      <c r="A77" s="441" t="s">
        <v>42</v>
      </c>
      <c r="B77" s="458">
        <f>B69</f>
        <v>9.9662923611111107E-2</v>
      </c>
      <c r="C77" s="459">
        <f>C69</f>
        <v>0</v>
      </c>
      <c r="D77" s="606">
        <f>D69</f>
        <v>0</v>
      </c>
      <c r="E77" s="607">
        <f>E69</f>
        <v>0</v>
      </c>
    </row>
    <row r="78" spans="1:5" ht="14.25" customHeight="1" x14ac:dyDescent="0.2">
      <c r="A78" s="441" t="s">
        <v>548</v>
      </c>
      <c r="B78" s="458">
        <f>B72</f>
        <v>0</v>
      </c>
      <c r="C78" s="459">
        <f>C72</f>
        <v>0</v>
      </c>
      <c r="D78" s="606">
        <f>D72</f>
        <v>0</v>
      </c>
      <c r="E78" s="607">
        <f>E72</f>
        <v>0</v>
      </c>
    </row>
    <row r="79" spans="1:5" ht="14.25" customHeight="1" x14ac:dyDescent="0.2">
      <c r="A79" s="441" t="s">
        <v>64</v>
      </c>
      <c r="B79" s="458">
        <f>B74</f>
        <v>6.18624E-3</v>
      </c>
      <c r="C79" s="459">
        <f>C74</f>
        <v>0</v>
      </c>
      <c r="D79" s="606">
        <f>D74</f>
        <v>0</v>
      </c>
      <c r="E79" s="607">
        <f>E74</f>
        <v>0</v>
      </c>
    </row>
    <row r="80" spans="1:5" ht="14.25" customHeight="1" x14ac:dyDescent="0.2">
      <c r="A80" s="429" t="s">
        <v>509</v>
      </c>
      <c r="B80" s="430"/>
      <c r="C80" s="444">
        <f>SUM(C77:C79)</f>
        <v>0</v>
      </c>
      <c r="D80" s="598">
        <f>SUM(D77:D79)</f>
        <v>0</v>
      </c>
      <c r="E80" s="599">
        <f>SUM(E77:E79)</f>
        <v>0</v>
      </c>
    </row>
    <row r="81" spans="1:5" ht="14.25" customHeight="1" x14ac:dyDescent="0.2">
      <c r="A81" s="779"/>
      <c r="B81" s="779"/>
      <c r="C81" s="779"/>
      <c r="D81" s="779"/>
      <c r="E81" s="779"/>
    </row>
    <row r="82" spans="1:5" ht="14.25" customHeight="1" x14ac:dyDescent="0.2">
      <c r="A82" s="796" t="s">
        <v>551</v>
      </c>
      <c r="B82" s="796"/>
      <c r="C82" s="796"/>
      <c r="D82" s="796"/>
      <c r="E82" s="796"/>
    </row>
    <row r="83" spans="1:5" ht="14.25" customHeight="1" x14ac:dyDescent="0.2">
      <c r="A83" s="415" t="s">
        <v>552</v>
      </c>
      <c r="B83" s="416" t="s">
        <v>525</v>
      </c>
      <c r="C83" s="416" t="s">
        <v>501</v>
      </c>
      <c r="D83" s="594" t="s">
        <v>501</v>
      </c>
      <c r="E83" s="595" t="s">
        <v>501</v>
      </c>
    </row>
    <row r="84" spans="1:5" ht="14.25" customHeight="1" x14ac:dyDescent="0.2">
      <c r="A84" s="441" t="s">
        <v>554</v>
      </c>
      <c r="B84" s="616">
        <f>Insumos!K126</f>
        <v>0</v>
      </c>
      <c r="C84" s="596">
        <f>Insumos!$J119</f>
        <v>0</v>
      </c>
      <c r="D84" s="596">
        <f>Insumos!$J119</f>
        <v>0</v>
      </c>
      <c r="E84" s="597">
        <f>Insumos!$J119</f>
        <v>0</v>
      </c>
    </row>
    <row r="85" spans="1:5" ht="14.25" customHeight="1" x14ac:dyDescent="0.2">
      <c r="A85" s="478" t="s">
        <v>555</v>
      </c>
      <c r="B85" s="616">
        <f>Insumos!K71</f>
        <v>0</v>
      </c>
      <c r="C85" s="596">
        <f>Insumos!$G70</f>
        <v>0</v>
      </c>
      <c r="D85" s="596">
        <f>Insumos!$G70</f>
        <v>0</v>
      </c>
      <c r="E85" s="597">
        <f>Insumos!$G70</f>
        <v>0</v>
      </c>
    </row>
    <row r="86" spans="1:5" ht="14.25" customHeight="1" x14ac:dyDescent="0.2">
      <c r="A86" s="478" t="s">
        <v>556</v>
      </c>
      <c r="B86" s="617">
        <v>0</v>
      </c>
      <c r="C86" s="618" t="s">
        <v>85</v>
      </c>
      <c r="D86" s="618" t="s">
        <v>85</v>
      </c>
      <c r="E86" s="657" t="s">
        <v>85</v>
      </c>
    </row>
    <row r="87" spans="1:5" ht="14.25" customHeight="1" x14ac:dyDescent="0.2">
      <c r="A87" s="478" t="s">
        <v>557</v>
      </c>
      <c r="B87" s="619">
        <f>Insumos!K144</f>
        <v>0</v>
      </c>
      <c r="C87" s="596">
        <f>Insumos!$I123</f>
        <v>0</v>
      </c>
      <c r="D87" s="596">
        <f>Insumos!$H123</f>
        <v>0</v>
      </c>
      <c r="E87" s="597">
        <f>Insumos!$H123</f>
        <v>0</v>
      </c>
    </row>
    <row r="88" spans="1:5" ht="14.25" customHeight="1" x14ac:dyDescent="0.2">
      <c r="A88" s="468" t="s">
        <v>509</v>
      </c>
      <c r="B88" s="485"/>
      <c r="C88" s="470">
        <f>SUM(C84:C87)</f>
        <v>0</v>
      </c>
      <c r="D88" s="614">
        <f>SUM(D84:D87)</f>
        <v>0</v>
      </c>
      <c r="E88" s="615">
        <f>SUM(E84:E87)</f>
        <v>0</v>
      </c>
    </row>
    <row r="89" spans="1:5" ht="14.25" customHeight="1" x14ac:dyDescent="0.2">
      <c r="A89" s="779"/>
      <c r="B89" s="779"/>
      <c r="C89" s="779"/>
      <c r="D89" s="779"/>
      <c r="E89" s="779"/>
    </row>
    <row r="90" spans="1:5" ht="14.25" customHeight="1" x14ac:dyDescent="0.2">
      <c r="A90" s="796" t="s">
        <v>561</v>
      </c>
      <c r="B90" s="796"/>
      <c r="C90" s="796"/>
      <c r="D90" s="796"/>
      <c r="E90" s="796"/>
    </row>
    <row r="91" spans="1:5" ht="14.25" customHeight="1" x14ac:dyDescent="0.2">
      <c r="A91" s="415" t="s">
        <v>562</v>
      </c>
      <c r="B91" s="416" t="s">
        <v>500</v>
      </c>
      <c r="C91" s="416" t="s">
        <v>501</v>
      </c>
      <c r="D91" s="594" t="s">
        <v>501</v>
      </c>
      <c r="E91" s="595" t="s">
        <v>501</v>
      </c>
    </row>
    <row r="92" spans="1:5" ht="14.25" customHeight="1" x14ac:dyDescent="0.2">
      <c r="A92" s="418" t="s">
        <v>70</v>
      </c>
      <c r="B92" s="442">
        <v>0.03</v>
      </c>
      <c r="C92" s="449">
        <f>($C$19+$C$49+$C$60+$C$80+$C$88)*$B$92</f>
        <v>0</v>
      </c>
      <c r="D92" s="604">
        <f>(D$19+D$49+D$60+D$80+D$88)*$B$92</f>
        <v>0</v>
      </c>
      <c r="E92" s="605">
        <f>(E$19+E$49+E$60+E$80+E$88)*$B$92</f>
        <v>0</v>
      </c>
    </row>
    <row r="93" spans="1:5" ht="14.25" customHeight="1" x14ac:dyDescent="0.2">
      <c r="A93" s="418" t="s">
        <v>71</v>
      </c>
      <c r="B93" s="442">
        <v>6.7900000000000002E-2</v>
      </c>
      <c r="C93" s="449">
        <f>($C$19+$C$49+$C$60+$C$80+$C$88+C92)*B93</f>
        <v>0</v>
      </c>
      <c r="D93" s="604">
        <f>(D$19+D$49+D$60+D$80+D$88+D$92)*$B$93</f>
        <v>0</v>
      </c>
      <c r="E93" s="605">
        <f>(E$19+E$49+E$60+E$80+E$88+E$92)*$B$93</f>
        <v>0</v>
      </c>
    </row>
    <row r="94" spans="1:5" ht="14.25" customHeight="1" x14ac:dyDescent="0.2">
      <c r="A94" s="489" t="s">
        <v>563</v>
      </c>
      <c r="B94" s="490">
        <f>B95+B96</f>
        <v>0.1125</v>
      </c>
      <c r="C94" s="491">
        <f>((C19+C49+C60+C80+C88+C92+C93)/(1-($B$94)))*$B$94</f>
        <v>0</v>
      </c>
      <c r="D94" s="620">
        <f>((D19+D49+D60+D80+D88+D92+D93)/(1-($B$94)))*$B$94</f>
        <v>0</v>
      </c>
      <c r="E94" s="621">
        <f>((E19+E49+E60+E80+E88+E92+E93)/(1-($B$94)))*$B$94</f>
        <v>0</v>
      </c>
    </row>
    <row r="95" spans="1:5" ht="14.25" customHeight="1" x14ac:dyDescent="0.2">
      <c r="A95" s="418" t="s">
        <v>564</v>
      </c>
      <c r="B95" s="442">
        <f>0.0165+0.076</f>
        <v>9.2499999999999999E-2</v>
      </c>
      <c r="C95" s="498">
        <f>((C$19+C$49+C$60+C$80+C$88+C$92+C$93)/(1-($B$94)))*$B$95</f>
        <v>0</v>
      </c>
      <c r="D95" s="622">
        <f>((D$19+D$49+D$60+D$80+D$88+D$92+D$93)/(1-($B$94)))*$B$95</f>
        <v>0</v>
      </c>
      <c r="E95" s="623">
        <f>((E$19+E$49+E$60+E$80+E$88+E$92+E$93)/(1-($B$94)))*$B$95</f>
        <v>0</v>
      </c>
    </row>
    <row r="96" spans="1:5" ht="14.25" customHeight="1" x14ac:dyDescent="0.2">
      <c r="A96" s="418" t="s">
        <v>565</v>
      </c>
      <c r="B96" s="442">
        <v>0.02</v>
      </c>
      <c r="C96" s="501">
        <f>((C$19+C$49+C$60+C$80+C$88+C$92+C$93)/(1-($B$94)))*$B$96</f>
        <v>0</v>
      </c>
      <c r="D96" s="622">
        <f>((D$19+D$49+D$60+D$80+D$88+D$92+D$93)/(1-($B$94)))*$B$96</f>
        <v>0</v>
      </c>
      <c r="E96" s="623">
        <f>((E$19+E$49+E$60+E$80+E$88+E$92+E$93)/(1-($B$94)))*$B$96</f>
        <v>0</v>
      </c>
    </row>
    <row r="97" spans="1:6" ht="14.25" customHeight="1" x14ac:dyDescent="0.2">
      <c r="A97" s="489" t="s">
        <v>566</v>
      </c>
      <c r="B97" s="490">
        <f>B98+B99</f>
        <v>0.11749999999999999</v>
      </c>
      <c r="C97" s="491">
        <f>((C19+C49+C60+C80+C88+C92+C93)/(1-($B$97)))*$B$97</f>
        <v>0</v>
      </c>
      <c r="D97" s="620">
        <f>((D19+D49+D60+D80+D88+D92+D93)/(1-($B$97)))*$B$97</f>
        <v>0</v>
      </c>
      <c r="E97" s="621">
        <f>((E19+E49+E60+E80+E88+E92+E93)/(1-($B$97)))*$B$97</f>
        <v>0</v>
      </c>
    </row>
    <row r="98" spans="1:6" ht="14.25" customHeight="1" x14ac:dyDescent="0.2">
      <c r="A98" s="418" t="s">
        <v>564</v>
      </c>
      <c r="B98" s="442">
        <f>0.0165+0.076</f>
        <v>9.2499999999999999E-2</v>
      </c>
      <c r="C98" s="493">
        <f>((C19+C49+C60+C80+C88+C92+C93)/(1-($B$97)))*$B$98</f>
        <v>0</v>
      </c>
      <c r="D98" s="624">
        <f>((D19+D49+D60+D80+D88+D92+D93)/(1-($B$97)))*$B$98</f>
        <v>0</v>
      </c>
      <c r="E98" s="625">
        <f>((E19+E49+E60+E80+E88+E92+E93)/(1-($B$97)))*$B$98</f>
        <v>0</v>
      </c>
    </row>
    <row r="99" spans="1:6" ht="14.25" customHeight="1" x14ac:dyDescent="0.2">
      <c r="A99" s="418" t="s">
        <v>565</v>
      </c>
      <c r="B99" s="442">
        <v>2.5000000000000001E-2</v>
      </c>
      <c r="C99" s="495">
        <f>((C$19+C$49+C$60+C$80+C$88+C$92+C$93)/(1-($B$97)))*$B$99</f>
        <v>0</v>
      </c>
      <c r="D99" s="624">
        <f>((D$19+D$49+D$60+D$80+D$88+D$92+D$93)/(1-($B$97)))*$B$99</f>
        <v>0</v>
      </c>
      <c r="E99" s="625">
        <f>((E$19+E$49+E$60+E$80+E$88+E$92+E$93)/(1-($B$97)))*$B$99</f>
        <v>0</v>
      </c>
    </row>
    <row r="100" spans="1:6" ht="14.25" customHeight="1" x14ac:dyDescent="0.2">
      <c r="A100" s="489" t="s">
        <v>567</v>
      </c>
      <c r="B100" s="490">
        <f>B101+B102</f>
        <v>0.1225</v>
      </c>
      <c r="C100" s="491">
        <f>((C19+C49+C60+C80+C88+C92+C93)/(1-($B$100)))*$B$100</f>
        <v>0</v>
      </c>
      <c r="D100" s="620">
        <f>((D19+D49+D60+D80+D88+D92+D93)/(1-($B$100)))*$B$100</f>
        <v>0</v>
      </c>
      <c r="E100" s="621">
        <f>((E19+E49+E60+E80+E88+E92+E93)/(1-($B$100)))*$B$100</f>
        <v>0</v>
      </c>
    </row>
    <row r="101" spans="1:6" ht="14.25" customHeight="1" x14ac:dyDescent="0.2">
      <c r="A101" s="418" t="s">
        <v>564</v>
      </c>
      <c r="B101" s="442">
        <f>0.0165+0.076</f>
        <v>9.2499999999999999E-2</v>
      </c>
      <c r="C101" s="493">
        <f>((C19+C49+C60+C80+C88+C92+C93)/(1-($B$100)))*$B$101</f>
        <v>0</v>
      </c>
      <c r="D101" s="624">
        <f>((D19+D49+D60+D80+D88+D92+D93)/(1-($B$100)))*$B$101</f>
        <v>0</v>
      </c>
      <c r="E101" s="625">
        <f>((E19+E49+E60+E80+E88+E92+E93)/(1-($B$100)))*$B$101</f>
        <v>0</v>
      </c>
    </row>
    <row r="102" spans="1:6" ht="14.25" customHeight="1" x14ac:dyDescent="0.2">
      <c r="A102" s="418" t="s">
        <v>565</v>
      </c>
      <c r="B102" s="442">
        <v>0.03</v>
      </c>
      <c r="C102" s="495">
        <f>((C19+C49+C60+C80+C88+C92+C93)/(1-($B$100)))*$B$102</f>
        <v>0</v>
      </c>
      <c r="D102" s="624">
        <f>((D19+D49+D60+D80+D88+D92+D93)/(1-($B$100)))*$B$102</f>
        <v>0</v>
      </c>
      <c r="E102" s="625">
        <f>((E19+E49+E60+E80+E88+E92+E93)/(1-($B$100)))*$B$102</f>
        <v>0</v>
      </c>
      <c r="F102" s="497"/>
    </row>
    <row r="103" spans="1:6" ht="14.25" customHeight="1" x14ac:dyDescent="0.2">
      <c r="A103" s="489" t="s">
        <v>568</v>
      </c>
      <c r="B103" s="490">
        <f>B104+B105</f>
        <v>0.13250000000000001</v>
      </c>
      <c r="C103" s="491">
        <f>((C19+C49+C60+C80+C88+C92+C93)/(1-($B$103)))*$B$103</f>
        <v>0</v>
      </c>
      <c r="D103" s="620">
        <f>((D19+D49+D60+D80+D88+D92+D93)/(1-($B$103)))*$B$103</f>
        <v>0</v>
      </c>
      <c r="E103" s="621">
        <f>((E19+E49+E60+E80+E88+E92+E93)/(1-($B$103)))*$B$103</f>
        <v>0</v>
      </c>
    </row>
    <row r="104" spans="1:6" ht="14.25" customHeight="1" x14ac:dyDescent="0.2">
      <c r="A104" s="418" t="s">
        <v>564</v>
      </c>
      <c r="B104" s="442">
        <f>0.0165+0.076</f>
        <v>9.2499999999999999E-2</v>
      </c>
      <c r="C104" s="493">
        <f>((C19+C49+C60+C80+C88+C92+C93)/(1-($B$103)))*$B$104</f>
        <v>0</v>
      </c>
      <c r="D104" s="624">
        <f>((D19+D49+D60+D80+D88+D92+D93)/(1-($B$103)))*$B$104</f>
        <v>0</v>
      </c>
      <c r="E104" s="625">
        <f>((E19+E49+E60+E80+E88+E92+E93)/(1-($B$103)))*$B$104</f>
        <v>0</v>
      </c>
    </row>
    <row r="105" spans="1:6" ht="14.25" customHeight="1" x14ac:dyDescent="0.2">
      <c r="A105" s="418" t="s">
        <v>565</v>
      </c>
      <c r="B105" s="442">
        <v>0.04</v>
      </c>
      <c r="C105" s="495">
        <f>((C19+C49+C60+C80+C88+C92+C93)/(1-($B$103)))*$B$105</f>
        <v>0</v>
      </c>
      <c r="D105" s="624">
        <f>((D19+D49+D60+D80+D88+D92+D93)/(1-($B$103)))*$B$105</f>
        <v>0</v>
      </c>
      <c r="E105" s="625">
        <f>((E19+E49+E60+E80+E88+E92+E93)/(1-($B$103)))*$B$105</f>
        <v>0</v>
      </c>
    </row>
    <row r="106" spans="1:6" ht="14.25" customHeight="1" x14ac:dyDescent="0.2">
      <c r="A106" s="489" t="s">
        <v>569</v>
      </c>
      <c r="B106" s="490">
        <f>B107+B108</f>
        <v>0.14250000000000002</v>
      </c>
      <c r="C106" s="491">
        <f>((C19+C49+C60+C80+C88+C92+C93)/(1-($B$106)))*$B$106</f>
        <v>0</v>
      </c>
      <c r="D106" s="620">
        <f>((D19+D49+D60+D80+D88+D92+D93)/(1-($B$106)))*$B$106</f>
        <v>0</v>
      </c>
      <c r="E106" s="621">
        <f>((E19+E49+E60+E80+E88+E92+E93)/(1-($B$106)))*$B$106</f>
        <v>0</v>
      </c>
    </row>
    <row r="107" spans="1:6" ht="14.25" customHeight="1" x14ac:dyDescent="0.2">
      <c r="A107" s="418" t="s">
        <v>564</v>
      </c>
      <c r="B107" s="442">
        <f>0.0165+0.076</f>
        <v>9.2499999999999999E-2</v>
      </c>
      <c r="C107" s="498">
        <f>((C19+C49+C60+C80+C88+C92+C93)/(1-($B$106)))*$B$107</f>
        <v>0</v>
      </c>
      <c r="D107" s="622">
        <f>((D19+D49+D60+D80+D88+D92+D93)/(1-($B$106)))*$B$107</f>
        <v>0</v>
      </c>
      <c r="E107" s="623">
        <f>((E19+E49+E60+E80+E88+E92+E93)/(1-($B$106)))*$B$107</f>
        <v>0</v>
      </c>
    </row>
    <row r="108" spans="1:6" ht="14.25" customHeight="1" x14ac:dyDescent="0.2">
      <c r="A108" s="418" t="s">
        <v>565</v>
      </c>
      <c r="B108" s="500">
        <v>0.05</v>
      </c>
      <c r="C108" s="501">
        <f>((C19+C49+C60+C80+C88+C92+C93)/(1-($B$106)))*$B$108</f>
        <v>0</v>
      </c>
      <c r="D108" s="626">
        <f>((D19+D49+D60+D80+D88+D92+D93)/(1-($B$106)))*$B$108</f>
        <v>0</v>
      </c>
      <c r="E108" s="627">
        <f>((E19+E49+E60+E80+E88+E92+E93)/(1-($B$106)))*$B$108</f>
        <v>0</v>
      </c>
    </row>
    <row r="109" spans="1:6" ht="14.25" customHeight="1" x14ac:dyDescent="0.2">
      <c r="A109" s="780" t="s">
        <v>570</v>
      </c>
      <c r="B109" s="503">
        <v>0.02</v>
      </c>
      <c r="C109" s="504">
        <f>C92+C93+C94</f>
        <v>0</v>
      </c>
      <c r="D109" s="628">
        <f>D92+D93+D94</f>
        <v>0</v>
      </c>
      <c r="E109" s="629">
        <f>E92+E93+E94</f>
        <v>0</v>
      </c>
    </row>
    <row r="110" spans="1:6" ht="14.25" customHeight="1" x14ac:dyDescent="0.2">
      <c r="A110" s="780"/>
      <c r="B110" s="506">
        <v>2.5000000000000001E-2</v>
      </c>
      <c r="C110" s="507">
        <f>C92+C93+C97</f>
        <v>0</v>
      </c>
      <c r="D110" s="630">
        <f>D92+D93+D97</f>
        <v>0</v>
      </c>
      <c r="E110" s="631">
        <f>E92+E93+E97</f>
        <v>0</v>
      </c>
    </row>
    <row r="111" spans="1:6" ht="14.25" customHeight="1" x14ac:dyDescent="0.2">
      <c r="A111" s="780"/>
      <c r="B111" s="506">
        <v>0.03</v>
      </c>
      <c r="C111" s="507">
        <f>C92+C93+C100</f>
        <v>0</v>
      </c>
      <c r="D111" s="630">
        <f>D92+D93+D100</f>
        <v>0</v>
      </c>
      <c r="E111" s="631">
        <f>E92+E93+E100</f>
        <v>0</v>
      </c>
      <c r="F111" s="497"/>
    </row>
    <row r="112" spans="1:6" ht="14.25" customHeight="1" x14ac:dyDescent="0.2">
      <c r="A112" s="780"/>
      <c r="B112" s="506">
        <v>0.04</v>
      </c>
      <c r="C112" s="507">
        <f>C92+C93+C103</f>
        <v>0</v>
      </c>
      <c r="D112" s="630">
        <f>D92+D93+D103</f>
        <v>0</v>
      </c>
      <c r="E112" s="631">
        <f>E92+E93+E103</f>
        <v>0</v>
      </c>
    </row>
    <row r="113" spans="1:5" ht="14.25" customHeight="1" x14ac:dyDescent="0.2">
      <c r="A113" s="780"/>
      <c r="B113" s="509">
        <v>0.05</v>
      </c>
      <c r="C113" s="510">
        <f>C92+C93+C106</f>
        <v>0</v>
      </c>
      <c r="D113" s="632">
        <f>D92+D93+D106</f>
        <v>0</v>
      </c>
      <c r="E113" s="633">
        <f>E92+E93+E106</f>
        <v>0</v>
      </c>
    </row>
    <row r="114" spans="1:5" ht="7.5" customHeight="1" x14ac:dyDescent="0.2">
      <c r="A114" s="781"/>
      <c r="B114" s="781"/>
      <c r="C114" s="781"/>
      <c r="D114" s="781"/>
      <c r="E114" s="781"/>
    </row>
    <row r="115" spans="1:5" ht="7.5" customHeight="1" x14ac:dyDescent="0.2">
      <c r="A115" s="782"/>
      <c r="B115" s="782"/>
      <c r="C115" s="782"/>
      <c r="D115" s="782"/>
      <c r="E115" s="782"/>
    </row>
    <row r="116" spans="1:5" ht="54.75" customHeight="1" x14ac:dyDescent="0.2">
      <c r="A116" s="783" t="s">
        <v>572</v>
      </c>
      <c r="B116" s="783"/>
      <c r="C116" s="521" t="str">
        <f>C10</f>
        <v>Servente 40h
COVID</v>
      </c>
      <c r="D116" s="634" t="str">
        <f>D10</f>
        <v>Servente 30h
COVID</v>
      </c>
      <c r="E116" s="635" t="str">
        <f>E10</f>
        <v>Servente 20h
COVID</v>
      </c>
    </row>
    <row r="117" spans="1:5" ht="15.75" customHeight="1" x14ac:dyDescent="0.2">
      <c r="A117" s="784" t="s">
        <v>573</v>
      </c>
      <c r="B117" s="784"/>
      <c r="C117" s="524" t="s">
        <v>501</v>
      </c>
      <c r="D117" s="636" t="s">
        <v>501</v>
      </c>
      <c r="E117" s="637" t="s">
        <v>501</v>
      </c>
    </row>
    <row r="118" spans="1:5" ht="14.25" customHeight="1" x14ac:dyDescent="0.2">
      <c r="A118" s="785" t="s">
        <v>574</v>
      </c>
      <c r="B118" s="785"/>
      <c r="C118" s="526">
        <f>C19</f>
        <v>0</v>
      </c>
      <c r="D118" s="638">
        <f>D19</f>
        <v>0</v>
      </c>
      <c r="E118" s="639">
        <f>E19</f>
        <v>0</v>
      </c>
    </row>
    <row r="119" spans="1:5" ht="14.25" customHeight="1" x14ac:dyDescent="0.2">
      <c r="A119" s="786" t="s">
        <v>575</v>
      </c>
      <c r="B119" s="786"/>
      <c r="C119" s="528">
        <f>C49</f>
        <v>0</v>
      </c>
      <c r="D119" s="640">
        <f>D49</f>
        <v>0</v>
      </c>
      <c r="E119" s="641">
        <f>E49</f>
        <v>0</v>
      </c>
    </row>
    <row r="120" spans="1:5" ht="14.25" customHeight="1" x14ac:dyDescent="0.2">
      <c r="A120" s="786" t="s">
        <v>576</v>
      </c>
      <c r="B120" s="786"/>
      <c r="C120" s="528">
        <f>C60</f>
        <v>0</v>
      </c>
      <c r="D120" s="640">
        <f>D60</f>
        <v>0</v>
      </c>
      <c r="E120" s="641">
        <f>E60</f>
        <v>0</v>
      </c>
    </row>
    <row r="121" spans="1:5" ht="14.25" customHeight="1" x14ac:dyDescent="0.2">
      <c r="A121" s="786" t="s">
        <v>577</v>
      </c>
      <c r="B121" s="786"/>
      <c r="C121" s="528">
        <f>C80</f>
        <v>0</v>
      </c>
      <c r="D121" s="640">
        <f>D80</f>
        <v>0</v>
      </c>
      <c r="E121" s="641">
        <f>E80</f>
        <v>0</v>
      </c>
    </row>
    <row r="122" spans="1:5" ht="15.75" customHeight="1" x14ac:dyDescent="0.2">
      <c r="A122" s="786" t="s">
        <v>578</v>
      </c>
      <c r="B122" s="786"/>
      <c r="C122" s="528">
        <f>C88</f>
        <v>0</v>
      </c>
      <c r="D122" s="640">
        <f>D88</f>
        <v>0</v>
      </c>
      <c r="E122" s="641">
        <f>E88</f>
        <v>0</v>
      </c>
    </row>
    <row r="123" spans="1:5" ht="15.75" customHeight="1" x14ac:dyDescent="0.2">
      <c r="A123" s="787" t="s">
        <v>579</v>
      </c>
      <c r="B123" s="787"/>
      <c r="C123" s="530">
        <f>SUM(C118:C122)</f>
        <v>0</v>
      </c>
      <c r="D123" s="642">
        <f>SUM(D118:D122)</f>
        <v>0</v>
      </c>
      <c r="E123" s="643">
        <f>SUM(E118:E122)</f>
        <v>0</v>
      </c>
    </row>
    <row r="124" spans="1:5" ht="15.75" customHeight="1" x14ac:dyDescent="0.2">
      <c r="A124" s="788" t="s">
        <v>580</v>
      </c>
      <c r="B124" s="788"/>
      <c r="C124" s="533">
        <f t="shared" ref="C124:E128" si="2">C109</f>
        <v>0</v>
      </c>
      <c r="D124" s="642">
        <f t="shared" si="2"/>
        <v>0</v>
      </c>
      <c r="E124" s="643">
        <f t="shared" si="2"/>
        <v>0</v>
      </c>
    </row>
    <row r="125" spans="1:5" ht="15.75" customHeight="1" x14ac:dyDescent="0.2">
      <c r="A125" s="786" t="s">
        <v>581</v>
      </c>
      <c r="B125" s="786"/>
      <c r="C125" s="535">
        <f t="shared" si="2"/>
        <v>0</v>
      </c>
      <c r="D125" s="642">
        <f t="shared" si="2"/>
        <v>0</v>
      </c>
      <c r="E125" s="643">
        <f t="shared" si="2"/>
        <v>0</v>
      </c>
    </row>
    <row r="126" spans="1:5" ht="15.75" customHeight="1" x14ac:dyDescent="0.2">
      <c r="A126" s="786" t="s">
        <v>582</v>
      </c>
      <c r="B126" s="786"/>
      <c r="C126" s="535">
        <f t="shared" si="2"/>
        <v>0</v>
      </c>
      <c r="D126" s="642">
        <f t="shared" si="2"/>
        <v>0</v>
      </c>
      <c r="E126" s="643">
        <f t="shared" si="2"/>
        <v>0</v>
      </c>
    </row>
    <row r="127" spans="1:5" ht="15.75" customHeight="1" x14ac:dyDescent="0.2">
      <c r="A127" s="786" t="s">
        <v>583</v>
      </c>
      <c r="B127" s="786"/>
      <c r="C127" s="535">
        <f t="shared" si="2"/>
        <v>0</v>
      </c>
      <c r="D127" s="642">
        <f t="shared" si="2"/>
        <v>0</v>
      </c>
      <c r="E127" s="643">
        <f t="shared" si="2"/>
        <v>0</v>
      </c>
    </row>
    <row r="128" spans="1:5" ht="15.75" customHeight="1" x14ac:dyDescent="0.2">
      <c r="A128" s="788" t="s">
        <v>584</v>
      </c>
      <c r="B128" s="788"/>
      <c r="C128" s="535">
        <f t="shared" si="2"/>
        <v>0</v>
      </c>
      <c r="D128" s="644">
        <f t="shared" si="2"/>
        <v>0</v>
      </c>
      <c r="E128" s="645">
        <f t="shared" si="2"/>
        <v>0</v>
      </c>
    </row>
    <row r="129" spans="1:5" ht="15.75" customHeight="1" x14ac:dyDescent="0.2">
      <c r="A129" s="537" t="s">
        <v>585</v>
      </c>
      <c r="B129" s="538"/>
      <c r="C129" s="539">
        <f>C123+C124</f>
        <v>0</v>
      </c>
      <c r="D129" s="539">
        <f>D123+D124</f>
        <v>0</v>
      </c>
      <c r="E129" s="540">
        <f>E123+E124</f>
        <v>0</v>
      </c>
    </row>
    <row r="130" spans="1:5" ht="15.75" customHeight="1" x14ac:dyDescent="0.2">
      <c r="A130" s="541" t="s">
        <v>586</v>
      </c>
      <c r="B130" s="542"/>
      <c r="C130" s="543">
        <f>C123+C125</f>
        <v>0</v>
      </c>
      <c r="D130" s="543">
        <f>D123+D125</f>
        <v>0</v>
      </c>
      <c r="E130" s="544">
        <f>E123+E125</f>
        <v>0</v>
      </c>
    </row>
    <row r="131" spans="1:5" ht="15.75" customHeight="1" x14ac:dyDescent="0.2">
      <c r="A131" s="541" t="s">
        <v>587</v>
      </c>
      <c r="B131" s="542"/>
      <c r="C131" s="543">
        <f>C123+C126</f>
        <v>0</v>
      </c>
      <c r="D131" s="543">
        <f>D123+D126</f>
        <v>0</v>
      </c>
      <c r="E131" s="544">
        <f>E123+E126</f>
        <v>0</v>
      </c>
    </row>
    <row r="132" spans="1:5" ht="15.75" customHeight="1" x14ac:dyDescent="0.2">
      <c r="A132" s="541" t="s">
        <v>588</v>
      </c>
      <c r="B132" s="542"/>
      <c r="C132" s="543">
        <f>C123+C127</f>
        <v>0</v>
      </c>
      <c r="D132" s="543">
        <f>D123+D127</f>
        <v>0</v>
      </c>
      <c r="E132" s="544">
        <f>E123+E127</f>
        <v>0</v>
      </c>
    </row>
    <row r="133" spans="1:5" ht="15.75" customHeight="1" x14ac:dyDescent="0.2">
      <c r="A133" s="541" t="s">
        <v>589</v>
      </c>
      <c r="B133" s="542"/>
      <c r="C133" s="543">
        <f>C123+C128</f>
        <v>0</v>
      </c>
      <c r="D133" s="646">
        <f>D123+D128</f>
        <v>0</v>
      </c>
      <c r="E133" s="647">
        <f>E123+E128</f>
        <v>0</v>
      </c>
    </row>
    <row r="134" spans="1:5" ht="15.75" customHeight="1" x14ac:dyDescent="0.2">
      <c r="A134" s="545" t="s">
        <v>590</v>
      </c>
      <c r="B134" s="546"/>
      <c r="C134" s="547">
        <f>C129/200</f>
        <v>0</v>
      </c>
      <c r="D134" s="547"/>
      <c r="E134" s="648"/>
    </row>
    <row r="135" spans="1:5" ht="15.75" customHeight="1" x14ac:dyDescent="0.2">
      <c r="A135" s="550" t="s">
        <v>591</v>
      </c>
      <c r="B135" s="551"/>
      <c r="C135" s="552">
        <f>C130/200</f>
        <v>0</v>
      </c>
      <c r="D135" s="552"/>
      <c r="E135" s="649"/>
    </row>
    <row r="136" spans="1:5" ht="15.75" customHeight="1" x14ac:dyDescent="0.2">
      <c r="A136" s="550" t="s">
        <v>592</v>
      </c>
      <c r="B136" s="551"/>
      <c r="C136" s="552">
        <f>C131/200</f>
        <v>0</v>
      </c>
      <c r="D136" s="552"/>
      <c r="E136" s="649"/>
    </row>
    <row r="137" spans="1:5" ht="15.75" customHeight="1" x14ac:dyDescent="0.2">
      <c r="A137" s="550" t="s">
        <v>593</v>
      </c>
      <c r="B137" s="551"/>
      <c r="C137" s="552">
        <f>C132/200</f>
        <v>0</v>
      </c>
      <c r="D137" s="552"/>
      <c r="E137" s="649"/>
    </row>
    <row r="138" spans="1:5" ht="15.75" customHeight="1" x14ac:dyDescent="0.2">
      <c r="A138" s="555" t="s">
        <v>594</v>
      </c>
      <c r="B138" s="556"/>
      <c r="C138" s="557">
        <f>C133/200</f>
        <v>0</v>
      </c>
      <c r="D138" s="557"/>
      <c r="E138" s="650"/>
    </row>
    <row r="139" spans="1:5" x14ac:dyDescent="0.2">
      <c r="A139" s="560"/>
    </row>
  </sheetData>
  <mergeCells count="31">
    <mergeCell ref="A128:B128"/>
    <mergeCell ref="A123:B123"/>
    <mergeCell ref="A124:B124"/>
    <mergeCell ref="A125:B125"/>
    <mergeCell ref="A126:B126"/>
    <mergeCell ref="A127:B127"/>
    <mergeCell ref="A118:B118"/>
    <mergeCell ref="A119:B119"/>
    <mergeCell ref="A120:B120"/>
    <mergeCell ref="A121:B121"/>
    <mergeCell ref="A122:B122"/>
    <mergeCell ref="A109:A113"/>
    <mergeCell ref="A114:E114"/>
    <mergeCell ref="A115:E115"/>
    <mergeCell ref="A116:B116"/>
    <mergeCell ref="A117:B117"/>
    <mergeCell ref="A62:E62"/>
    <mergeCell ref="A81:E81"/>
    <mergeCell ref="A82:E82"/>
    <mergeCell ref="A89:E89"/>
    <mergeCell ref="A90:E90"/>
    <mergeCell ref="A20:E20"/>
    <mergeCell ref="A21:E21"/>
    <mergeCell ref="A50:E50"/>
    <mergeCell ref="A51:E51"/>
    <mergeCell ref="A61:E61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472C4"/>
  </sheetPr>
  <dimension ref="A1:ALH177"/>
  <sheetViews>
    <sheetView zoomScaleNormal="100" workbookViewId="0">
      <pane xSplit="1" topLeftCell="B1" activePane="topRight" state="frozen"/>
      <selection pane="topRight" activeCell="D18" sqref="D18:N18"/>
    </sheetView>
  </sheetViews>
  <sheetFormatPr defaultRowHeight="14.25" x14ac:dyDescent="0.2"/>
  <cols>
    <col min="1" max="1" width="34.5" customWidth="1"/>
    <col min="2" max="4" width="8.625" customWidth="1"/>
    <col min="5" max="6" width="13.625" customWidth="1"/>
    <col min="7" max="7" width="9.625" customWidth="1"/>
    <col min="8" max="8" width="11.625" customWidth="1"/>
    <col min="9" max="9" width="8.625" customWidth="1"/>
    <col min="10" max="10" width="13.5" customWidth="1"/>
    <col min="11" max="11" width="11.125" customWidth="1"/>
    <col min="12" max="12" width="9.875" customWidth="1"/>
    <col min="13" max="13" width="12.25" customWidth="1"/>
    <col min="14" max="14" width="12.5" customWidth="1"/>
    <col min="15" max="21" width="9.25" customWidth="1"/>
    <col min="22" max="22" width="10.875" customWidth="1"/>
    <col min="23" max="24" width="10.625" customWidth="1"/>
    <col min="25" max="25" width="11.625" customWidth="1"/>
    <col min="26" max="996" width="10.625" customWidth="1"/>
    <col min="997" max="1025" width="10.5" customWidth="1"/>
  </cols>
  <sheetData>
    <row r="1" spans="1:25" ht="15" customHeight="1" x14ac:dyDescent="0.2">
      <c r="A1" s="287"/>
      <c r="B1" s="287"/>
      <c r="C1" s="754" t="s">
        <v>332</v>
      </c>
      <c r="D1" s="754"/>
      <c r="E1" s="754"/>
      <c r="F1" s="754"/>
      <c r="G1" s="754"/>
      <c r="H1" s="754"/>
      <c r="I1" s="755" t="s">
        <v>333</v>
      </c>
      <c r="J1" s="755"/>
      <c r="K1" s="755"/>
      <c r="L1" s="756" t="s">
        <v>334</v>
      </c>
      <c r="M1" s="756"/>
      <c r="N1" s="756"/>
      <c r="O1" s="287"/>
      <c r="P1" s="287"/>
      <c r="Q1" s="287"/>
      <c r="R1" s="287"/>
      <c r="S1" s="287"/>
      <c r="T1" s="287"/>
      <c r="U1" s="287"/>
      <c r="V1" s="757"/>
      <c r="W1" s="757"/>
      <c r="X1" s="757"/>
      <c r="Y1" s="287"/>
    </row>
    <row r="2" spans="1:25" ht="45.95" customHeight="1" x14ac:dyDescent="0.2">
      <c r="A2" s="758" t="s">
        <v>340</v>
      </c>
      <c r="B2" s="758" t="s">
        <v>341</v>
      </c>
      <c r="C2" s="759" t="s">
        <v>441</v>
      </c>
      <c r="D2" s="740" t="s">
        <v>342</v>
      </c>
      <c r="E2" s="740" t="s">
        <v>343</v>
      </c>
      <c r="F2" s="741" t="s">
        <v>344</v>
      </c>
      <c r="G2" s="739" t="s">
        <v>345</v>
      </c>
      <c r="H2" s="760" t="s">
        <v>442</v>
      </c>
      <c r="I2" s="761" t="s">
        <v>347</v>
      </c>
      <c r="J2" s="742" t="s">
        <v>443</v>
      </c>
      <c r="K2" s="762" t="s">
        <v>349</v>
      </c>
      <c r="L2" s="763" t="s">
        <v>350</v>
      </c>
      <c r="M2" s="744" t="s">
        <v>351</v>
      </c>
      <c r="N2" s="764" t="s">
        <v>352</v>
      </c>
      <c r="O2" s="765" t="s">
        <v>444</v>
      </c>
      <c r="P2" s="766" t="s">
        <v>445</v>
      </c>
      <c r="Q2" s="766"/>
      <c r="R2" s="766"/>
      <c r="S2" s="766"/>
      <c r="T2" s="767" t="s">
        <v>446</v>
      </c>
      <c r="U2" s="767"/>
      <c r="V2" s="304" t="s">
        <v>447</v>
      </c>
      <c r="W2" s="305" t="s">
        <v>448</v>
      </c>
      <c r="X2" s="306" t="s">
        <v>449</v>
      </c>
      <c r="Y2" s="307" t="s">
        <v>450</v>
      </c>
    </row>
    <row r="3" spans="1:25" x14ac:dyDescent="0.2">
      <c r="A3" s="758"/>
      <c r="B3" s="758"/>
      <c r="C3" s="758"/>
      <c r="D3" s="740"/>
      <c r="E3" s="740"/>
      <c r="F3" s="741"/>
      <c r="G3" s="739"/>
      <c r="H3" s="760"/>
      <c r="I3" s="761"/>
      <c r="J3" s="742"/>
      <c r="K3" s="762"/>
      <c r="L3" s="763"/>
      <c r="M3" s="744"/>
      <c r="N3" s="764"/>
      <c r="O3" s="765"/>
      <c r="P3" s="308" t="s">
        <v>451</v>
      </c>
      <c r="Q3" s="308" t="s">
        <v>452</v>
      </c>
      <c r="R3" s="308" t="s">
        <v>453</v>
      </c>
      <c r="S3" s="309" t="s">
        <v>454</v>
      </c>
      <c r="T3" s="310" t="s">
        <v>455</v>
      </c>
      <c r="U3" s="310" t="s">
        <v>456</v>
      </c>
      <c r="V3" s="311" t="s">
        <v>457</v>
      </c>
      <c r="W3" s="312" t="s">
        <v>457</v>
      </c>
      <c r="X3" s="313" t="s">
        <v>458</v>
      </c>
      <c r="Y3" s="307" t="s">
        <v>455</v>
      </c>
    </row>
    <row r="4" spans="1:25" x14ac:dyDescent="0.2">
      <c r="A4" s="83" t="s">
        <v>112</v>
      </c>
      <c r="B4" s="658">
        <f>'Resumo Proposta'!D37</f>
        <v>0</v>
      </c>
      <c r="C4" s="659"/>
      <c r="D4" s="660"/>
      <c r="E4" s="317">
        <f t="shared" ref="E4:E16" si="0">$E$18*(1-H4/$H$18)</f>
        <v>800</v>
      </c>
      <c r="F4" s="661"/>
      <c r="G4" s="661"/>
      <c r="H4" s="661"/>
      <c r="I4" s="661"/>
      <c r="J4" s="661"/>
      <c r="K4" s="661"/>
      <c r="L4" s="661"/>
      <c r="M4" s="661"/>
      <c r="N4" s="662"/>
      <c r="O4" s="321">
        <f t="shared" ref="O4:O16" si="1">D4/$D$18+E4/$E$18+F4/$F$18+G4/$G$18+H4/$H$18+I4/$I$18+J4/$J$18+K4/$K$18+M4/$M$18*16*1/188.76+N4/$N$18*16*1/188.76</f>
        <v>1</v>
      </c>
      <c r="P4" s="321">
        <v>1</v>
      </c>
      <c r="Q4" s="321"/>
      <c r="R4" s="321"/>
      <c r="S4" s="321"/>
      <c r="T4" s="322"/>
      <c r="U4" s="322"/>
      <c r="V4" s="323">
        <v>6</v>
      </c>
      <c r="W4" s="324">
        <v>6</v>
      </c>
      <c r="X4" s="325">
        <v>22</v>
      </c>
      <c r="Y4" s="326">
        <v>1</v>
      </c>
    </row>
    <row r="5" spans="1:25" x14ac:dyDescent="0.2">
      <c r="A5" s="85" t="s">
        <v>113</v>
      </c>
      <c r="B5" s="658">
        <f>'Resumo Proposta'!D38</f>
        <v>0</v>
      </c>
      <c r="C5" s="659">
        <v>2368.44</v>
      </c>
      <c r="D5" s="660">
        <f>C5-E5-F5-G5-H5</f>
        <v>136.9500000000001</v>
      </c>
      <c r="E5" s="660">
        <f t="shared" si="0"/>
        <v>500.44000000000005</v>
      </c>
      <c r="F5" s="663">
        <v>1326.82</v>
      </c>
      <c r="G5" s="663">
        <v>329.34</v>
      </c>
      <c r="H5" s="663">
        <v>74.89</v>
      </c>
      <c r="I5" s="663">
        <v>918.7</v>
      </c>
      <c r="J5" s="663"/>
      <c r="K5" s="663"/>
      <c r="L5" s="663">
        <f>N5-M5</f>
        <v>0</v>
      </c>
      <c r="M5" s="663">
        <v>343.54</v>
      </c>
      <c r="N5" s="664">
        <v>343.54</v>
      </c>
      <c r="O5" s="321">
        <f t="shared" si="1"/>
        <v>2.921127563628557</v>
      </c>
      <c r="P5" s="332">
        <v>1</v>
      </c>
      <c r="Q5" s="333"/>
      <c r="R5" s="333"/>
      <c r="S5" s="333">
        <v>2</v>
      </c>
      <c r="T5" s="334"/>
      <c r="U5" s="334">
        <v>2</v>
      </c>
      <c r="V5" s="335">
        <v>6</v>
      </c>
      <c r="W5" s="336">
        <v>6</v>
      </c>
      <c r="X5" s="337"/>
      <c r="Y5" s="338"/>
    </row>
    <row r="6" spans="1:25" x14ac:dyDescent="0.2">
      <c r="A6" s="85" t="s">
        <v>114</v>
      </c>
      <c r="B6" s="658">
        <f>'Resumo Proposta'!D39</f>
        <v>0</v>
      </c>
      <c r="C6" s="659">
        <v>2634.12</v>
      </c>
      <c r="D6" s="660">
        <f>C6-E6-F6-G6-H6</f>
        <v>711.69999999999993</v>
      </c>
      <c r="E6" s="660">
        <f t="shared" si="0"/>
        <v>492.44000000000005</v>
      </c>
      <c r="F6" s="663">
        <v>1078.3</v>
      </c>
      <c r="G6" s="663">
        <v>274.79000000000002</v>
      </c>
      <c r="H6" s="663">
        <v>76.89</v>
      </c>
      <c r="I6" s="663">
        <v>473.07</v>
      </c>
      <c r="J6" s="663"/>
      <c r="K6" s="663"/>
      <c r="L6" s="663">
        <f>N6-M6</f>
        <v>0</v>
      </c>
      <c r="M6" s="663">
        <v>658.53</v>
      </c>
      <c r="N6" s="664">
        <v>658.53</v>
      </c>
      <c r="O6" s="321">
        <f t="shared" si="1"/>
        <v>3.3741807628456071</v>
      </c>
      <c r="P6" s="332">
        <v>1</v>
      </c>
      <c r="Q6" s="333">
        <v>1</v>
      </c>
      <c r="R6" s="333"/>
      <c r="S6" s="333">
        <v>1</v>
      </c>
      <c r="T6" s="334"/>
      <c r="U6" s="334">
        <v>2</v>
      </c>
      <c r="V6" s="335">
        <v>6</v>
      </c>
      <c r="W6" s="336">
        <v>6</v>
      </c>
      <c r="X6" s="339"/>
      <c r="Y6" s="338"/>
    </row>
    <row r="7" spans="1:25" x14ac:dyDescent="0.2">
      <c r="A7" s="85" t="s">
        <v>115</v>
      </c>
      <c r="B7" s="658">
        <f>'Resumo Proposta'!D40</f>
        <v>0</v>
      </c>
      <c r="C7" s="659"/>
      <c r="D7" s="660"/>
      <c r="E7" s="660">
        <f t="shared" si="0"/>
        <v>800</v>
      </c>
      <c r="F7" s="663"/>
      <c r="G7" s="663"/>
      <c r="H7" s="663"/>
      <c r="I7" s="663"/>
      <c r="J7" s="663"/>
      <c r="K7" s="663"/>
      <c r="L7" s="663"/>
      <c r="M7" s="663"/>
      <c r="N7" s="664"/>
      <c r="O7" s="321">
        <f t="shared" si="1"/>
        <v>1</v>
      </c>
      <c r="P7" s="321">
        <v>1</v>
      </c>
      <c r="Q7" s="321"/>
      <c r="R7" s="321"/>
      <c r="S7" s="321"/>
      <c r="T7" s="322"/>
      <c r="U7" s="322"/>
      <c r="V7" s="335">
        <v>6</v>
      </c>
      <c r="W7" s="336">
        <v>6</v>
      </c>
      <c r="X7" s="339"/>
      <c r="Y7" s="338"/>
    </row>
    <row r="8" spans="1:25" x14ac:dyDescent="0.2">
      <c r="A8" s="85" t="s">
        <v>116</v>
      </c>
      <c r="B8" s="658">
        <f>'Resumo Proposta'!D41</f>
        <v>0</v>
      </c>
      <c r="C8" s="659">
        <v>1548.98</v>
      </c>
      <c r="D8" s="660">
        <f>C8-E8-F8-G8-H8</f>
        <v>-220.93000000000006</v>
      </c>
      <c r="E8" s="660">
        <f t="shared" si="0"/>
        <v>603.56000000000006</v>
      </c>
      <c r="F8" s="663">
        <v>869.07</v>
      </c>
      <c r="G8" s="663">
        <v>248.17</v>
      </c>
      <c r="H8" s="663">
        <v>49.11</v>
      </c>
      <c r="I8" s="663">
        <v>751.02</v>
      </c>
      <c r="J8" s="663"/>
      <c r="K8" s="663"/>
      <c r="L8" s="663">
        <f>N8-M8</f>
        <v>0</v>
      </c>
      <c r="M8" s="663">
        <v>333.85</v>
      </c>
      <c r="N8" s="664">
        <v>333.85</v>
      </c>
      <c r="O8" s="321">
        <f t="shared" si="1"/>
        <v>2.0132512805177281</v>
      </c>
      <c r="P8" s="332">
        <v>1</v>
      </c>
      <c r="Q8" s="333">
        <v>1</v>
      </c>
      <c r="R8" s="333"/>
      <c r="S8" s="333"/>
      <c r="T8" s="334"/>
      <c r="U8" s="334"/>
      <c r="V8" s="335">
        <v>6</v>
      </c>
      <c r="W8" s="336">
        <v>6</v>
      </c>
      <c r="X8" s="339"/>
      <c r="Y8" s="338"/>
    </row>
    <row r="9" spans="1:25" x14ac:dyDescent="0.2">
      <c r="A9" s="85" t="s">
        <v>117</v>
      </c>
      <c r="B9" s="658">
        <f>'Resumo Proposta'!D42</f>
        <v>0</v>
      </c>
      <c r="C9" s="659">
        <v>1452.69</v>
      </c>
      <c r="D9" s="660">
        <f>C9-E9-F9-G9-H9</f>
        <v>431.50000000000011</v>
      </c>
      <c r="E9" s="660">
        <f t="shared" si="0"/>
        <v>443.36</v>
      </c>
      <c r="F9" s="661">
        <f>717.97/2</f>
        <v>358.98500000000001</v>
      </c>
      <c r="G9" s="661">
        <f>259.37/2</f>
        <v>129.685</v>
      </c>
      <c r="H9" s="661">
        <f>178.32/2</f>
        <v>89.16</v>
      </c>
      <c r="I9" s="661">
        <f>880.68/2</f>
        <v>440.34</v>
      </c>
      <c r="J9" s="661"/>
      <c r="K9" s="661"/>
      <c r="L9" s="661">
        <f>N9-M9</f>
        <v>0</v>
      </c>
      <c r="M9" s="661">
        <f>536.86/2</f>
        <v>268.43</v>
      </c>
      <c r="N9" s="662">
        <f>536.86/2</f>
        <v>268.43</v>
      </c>
      <c r="O9" s="321">
        <f t="shared" si="1"/>
        <v>2.2116116262923686</v>
      </c>
      <c r="P9" s="332">
        <v>1</v>
      </c>
      <c r="Q9" s="333"/>
      <c r="R9" s="333"/>
      <c r="S9" s="333">
        <v>3</v>
      </c>
      <c r="T9" s="334">
        <v>1</v>
      </c>
      <c r="U9" s="334">
        <v>2</v>
      </c>
      <c r="V9" s="335">
        <v>6</v>
      </c>
      <c r="W9" s="336">
        <v>6</v>
      </c>
      <c r="X9" s="339"/>
      <c r="Y9" s="338"/>
    </row>
    <row r="10" spans="1:25" x14ac:dyDescent="0.2">
      <c r="A10" s="85" t="s">
        <v>118</v>
      </c>
      <c r="B10" s="658">
        <f>'Resumo Proposta'!D43</f>
        <v>0</v>
      </c>
      <c r="C10" s="659">
        <v>1912.23</v>
      </c>
      <c r="D10" s="660">
        <f>C10-E10-F10-G10-H10</f>
        <v>-196.13000000000011</v>
      </c>
      <c r="E10" s="660">
        <f t="shared" si="0"/>
        <v>572.44000000000005</v>
      </c>
      <c r="F10" s="663">
        <v>1361.14</v>
      </c>
      <c r="G10" s="663">
        <v>117.89</v>
      </c>
      <c r="H10" s="663">
        <v>56.89</v>
      </c>
      <c r="I10" s="663">
        <v>711.41</v>
      </c>
      <c r="J10" s="663"/>
      <c r="K10" s="663"/>
      <c r="L10" s="663">
        <f>N10-M10</f>
        <v>0</v>
      </c>
      <c r="M10" s="663">
        <v>434.32</v>
      </c>
      <c r="N10" s="664">
        <v>434.32</v>
      </c>
      <c r="O10" s="321">
        <f t="shared" si="1"/>
        <v>2.2703359440001787</v>
      </c>
      <c r="P10" s="321">
        <v>1</v>
      </c>
      <c r="Q10" s="321">
        <v>1</v>
      </c>
      <c r="R10" s="321"/>
      <c r="S10" s="321"/>
      <c r="T10" s="322"/>
      <c r="U10" s="322">
        <v>1</v>
      </c>
      <c r="V10" s="335">
        <v>6</v>
      </c>
      <c r="W10" s="336">
        <v>6</v>
      </c>
      <c r="X10" s="339"/>
      <c r="Y10" s="338"/>
    </row>
    <row r="11" spans="1:25" x14ac:dyDescent="0.2">
      <c r="A11" s="85" t="s">
        <v>119</v>
      </c>
      <c r="B11" s="658">
        <f>'Resumo Proposta'!D44</f>
        <v>0</v>
      </c>
      <c r="C11" s="659"/>
      <c r="D11" s="660"/>
      <c r="E11" s="660">
        <f>($E$18*30/40)*(1-H11/$H$18)</f>
        <v>600</v>
      </c>
      <c r="F11" s="663"/>
      <c r="G11" s="663"/>
      <c r="H11" s="663"/>
      <c r="I11" s="663"/>
      <c r="J11" s="663"/>
      <c r="K11" s="663"/>
      <c r="L11" s="663"/>
      <c r="M11" s="663"/>
      <c r="N11" s="664"/>
      <c r="O11" s="321">
        <f t="shared" si="1"/>
        <v>0.75</v>
      </c>
      <c r="P11" s="332"/>
      <c r="Q11" s="333"/>
      <c r="R11" s="333">
        <v>1</v>
      </c>
      <c r="S11" s="333"/>
      <c r="T11" s="334"/>
      <c r="U11" s="334"/>
      <c r="V11" s="335">
        <v>6</v>
      </c>
      <c r="W11" s="336">
        <v>6</v>
      </c>
      <c r="X11" s="339"/>
      <c r="Y11" s="338"/>
    </row>
    <row r="12" spans="1:25" x14ac:dyDescent="0.2">
      <c r="A12" s="85" t="s">
        <v>120</v>
      </c>
      <c r="B12" s="658">
        <f>'Resumo Proposta'!D45</f>
        <v>0</v>
      </c>
      <c r="C12" s="659"/>
      <c r="D12" s="660"/>
      <c r="E12" s="660">
        <f t="shared" si="0"/>
        <v>800</v>
      </c>
      <c r="F12" s="663"/>
      <c r="G12" s="663"/>
      <c r="H12" s="663"/>
      <c r="I12" s="663"/>
      <c r="J12" s="663"/>
      <c r="K12" s="663"/>
      <c r="L12" s="663"/>
      <c r="M12" s="663"/>
      <c r="N12" s="664"/>
      <c r="O12" s="321">
        <f t="shared" si="1"/>
        <v>1</v>
      </c>
      <c r="P12" s="332">
        <v>1</v>
      </c>
      <c r="Q12" s="333"/>
      <c r="R12" s="333"/>
      <c r="S12" s="333"/>
      <c r="T12" s="334"/>
      <c r="U12" s="334">
        <v>1</v>
      </c>
      <c r="V12" s="335">
        <v>6</v>
      </c>
      <c r="W12" s="336">
        <v>6</v>
      </c>
      <c r="X12" s="339"/>
      <c r="Y12" s="338"/>
    </row>
    <row r="13" spans="1:25" x14ac:dyDescent="0.2">
      <c r="A13" s="85" t="s">
        <v>121</v>
      </c>
      <c r="B13" s="658">
        <f>'Resumo Proposta'!D46</f>
        <v>0</v>
      </c>
      <c r="C13" s="659"/>
      <c r="D13" s="660"/>
      <c r="E13" s="660">
        <f>($E$18*30/40)*(1-H13/$H$18)</f>
        <v>600</v>
      </c>
      <c r="F13" s="663"/>
      <c r="G13" s="663"/>
      <c r="H13" s="663"/>
      <c r="I13" s="663"/>
      <c r="J13" s="663"/>
      <c r="K13" s="663"/>
      <c r="L13" s="663"/>
      <c r="M13" s="663"/>
      <c r="N13" s="664"/>
      <c r="O13" s="321">
        <f t="shared" si="1"/>
        <v>0.75</v>
      </c>
      <c r="P13" s="321"/>
      <c r="Q13" s="321"/>
      <c r="R13" s="321">
        <v>1</v>
      </c>
      <c r="S13" s="321"/>
      <c r="T13" s="322"/>
      <c r="U13" s="322"/>
      <c r="V13" s="335">
        <v>6</v>
      </c>
      <c r="W13" s="336">
        <v>6</v>
      </c>
      <c r="X13" s="339"/>
      <c r="Y13" s="338"/>
    </row>
    <row r="14" spans="1:25" x14ac:dyDescent="0.2">
      <c r="A14" s="85" t="s">
        <v>122</v>
      </c>
      <c r="B14" s="658">
        <f>'Resumo Proposta'!D47</f>
        <v>0</v>
      </c>
      <c r="C14" s="659"/>
      <c r="D14" s="660"/>
      <c r="E14" s="660">
        <f>($E$18*30/40)*(1-H14/$H$18)</f>
        <v>600</v>
      </c>
      <c r="F14" s="663"/>
      <c r="G14" s="663"/>
      <c r="H14" s="663"/>
      <c r="I14" s="663"/>
      <c r="J14" s="663"/>
      <c r="K14" s="663"/>
      <c r="L14" s="663"/>
      <c r="M14" s="663"/>
      <c r="N14" s="664"/>
      <c r="O14" s="321">
        <f t="shared" si="1"/>
        <v>0.75</v>
      </c>
      <c r="P14" s="332"/>
      <c r="Q14" s="333"/>
      <c r="R14" s="333">
        <v>1</v>
      </c>
      <c r="S14" s="333"/>
      <c r="T14" s="334"/>
      <c r="U14" s="334"/>
      <c r="V14" s="335">
        <v>6</v>
      </c>
      <c r="W14" s="336">
        <v>6</v>
      </c>
      <c r="X14" s="339"/>
      <c r="Y14" s="338"/>
    </row>
    <row r="15" spans="1:25" x14ac:dyDescent="0.2">
      <c r="A15" s="85" t="s">
        <v>123</v>
      </c>
      <c r="B15" s="658">
        <f>'Resumo Proposta'!D48</f>
        <v>0</v>
      </c>
      <c r="C15" s="659"/>
      <c r="D15" s="660"/>
      <c r="E15" s="660">
        <f t="shared" si="0"/>
        <v>800</v>
      </c>
      <c r="F15" s="663"/>
      <c r="G15" s="663"/>
      <c r="H15" s="663"/>
      <c r="I15" s="663"/>
      <c r="J15" s="663"/>
      <c r="K15" s="663"/>
      <c r="L15" s="663"/>
      <c r="M15" s="663"/>
      <c r="N15" s="664"/>
      <c r="O15" s="321">
        <f t="shared" si="1"/>
        <v>1</v>
      </c>
      <c r="P15" s="332">
        <v>1</v>
      </c>
      <c r="Q15" s="333"/>
      <c r="R15" s="333"/>
      <c r="S15" s="333"/>
      <c r="T15" s="334"/>
      <c r="U15" s="334"/>
      <c r="V15" s="335">
        <v>6</v>
      </c>
      <c r="W15" s="336">
        <v>6</v>
      </c>
      <c r="X15" s="339"/>
      <c r="Y15" s="338"/>
    </row>
    <row r="16" spans="1:25" x14ac:dyDescent="0.2">
      <c r="A16" s="85" t="s">
        <v>124</v>
      </c>
      <c r="B16" s="658">
        <f>'Resumo Proposta'!D49</f>
        <v>0</v>
      </c>
      <c r="C16" s="659"/>
      <c r="D16" s="660"/>
      <c r="E16" s="660">
        <f t="shared" si="0"/>
        <v>800</v>
      </c>
      <c r="F16" s="665"/>
      <c r="G16" s="665"/>
      <c r="H16" s="665"/>
      <c r="I16" s="665"/>
      <c r="J16" s="665"/>
      <c r="K16" s="665"/>
      <c r="L16" s="665"/>
      <c r="M16" s="665"/>
      <c r="N16" s="666"/>
      <c r="O16" s="321">
        <f t="shared" si="1"/>
        <v>1</v>
      </c>
      <c r="P16" s="332">
        <v>1</v>
      </c>
      <c r="Q16" s="333"/>
      <c r="R16" s="333"/>
      <c r="S16" s="333"/>
      <c r="T16" s="334"/>
      <c r="U16" s="334"/>
      <c r="V16" s="335">
        <v>6</v>
      </c>
      <c r="W16" s="336">
        <v>6</v>
      </c>
      <c r="X16" s="339"/>
      <c r="Y16" s="338"/>
    </row>
    <row r="17" spans="1:996" x14ac:dyDescent="0.2">
      <c r="A17" s="344" t="s">
        <v>459</v>
      </c>
      <c r="B17" s="344"/>
      <c r="C17" s="344"/>
      <c r="D17" s="345">
        <f t="shared" ref="D17:Y17" si="2">SUM(D4:D16)</f>
        <v>863.09000000000015</v>
      </c>
      <c r="E17" s="345">
        <f t="shared" si="2"/>
        <v>8412.24</v>
      </c>
      <c r="F17" s="346">
        <f t="shared" si="2"/>
        <v>4994.3150000000005</v>
      </c>
      <c r="G17" s="346">
        <f t="shared" si="2"/>
        <v>1099.875</v>
      </c>
      <c r="H17" s="346">
        <f t="shared" si="2"/>
        <v>346.93999999999994</v>
      </c>
      <c r="I17" s="346">
        <f t="shared" si="2"/>
        <v>3294.54</v>
      </c>
      <c r="J17" s="346">
        <f t="shared" si="2"/>
        <v>0</v>
      </c>
      <c r="K17" s="346">
        <f t="shared" si="2"/>
        <v>0</v>
      </c>
      <c r="L17" s="346">
        <f t="shared" si="2"/>
        <v>0</v>
      </c>
      <c r="M17" s="346">
        <f t="shared" si="2"/>
        <v>2038.67</v>
      </c>
      <c r="N17" s="347">
        <f t="shared" si="2"/>
        <v>2038.67</v>
      </c>
      <c r="O17" s="348">
        <f t="shared" si="2"/>
        <v>20.040507177284439</v>
      </c>
      <c r="P17" s="350">
        <f t="shared" si="2"/>
        <v>10</v>
      </c>
      <c r="Q17" s="350">
        <f t="shared" si="2"/>
        <v>3</v>
      </c>
      <c r="R17" s="350">
        <f t="shared" si="2"/>
        <v>3</v>
      </c>
      <c r="S17" s="350">
        <f t="shared" si="2"/>
        <v>6</v>
      </c>
      <c r="T17" s="351">
        <f t="shared" si="2"/>
        <v>1</v>
      </c>
      <c r="U17" s="352">
        <f t="shared" si="2"/>
        <v>8</v>
      </c>
      <c r="V17" s="353">
        <f t="shared" si="2"/>
        <v>78</v>
      </c>
      <c r="W17" s="354">
        <f t="shared" si="2"/>
        <v>78</v>
      </c>
      <c r="X17" s="355">
        <f t="shared" si="2"/>
        <v>22</v>
      </c>
      <c r="Y17" s="356">
        <f t="shared" si="2"/>
        <v>1</v>
      </c>
      <c r="ALE17" s="257"/>
      <c r="ALF17" s="257"/>
      <c r="ALG17" s="257"/>
      <c r="ALH17" s="257"/>
    </row>
    <row r="18" spans="1:996" ht="15" x14ac:dyDescent="0.25">
      <c r="A18" s="357" t="s">
        <v>460</v>
      </c>
      <c r="B18" s="357"/>
      <c r="C18" s="357"/>
      <c r="D18" s="358">
        <v>800</v>
      </c>
      <c r="E18" s="358">
        <v>800</v>
      </c>
      <c r="F18" s="359">
        <v>1500</v>
      </c>
      <c r="G18" s="359">
        <v>1000</v>
      </c>
      <c r="H18" s="359">
        <v>200</v>
      </c>
      <c r="I18" s="359">
        <v>2400</v>
      </c>
      <c r="J18" s="359">
        <v>100000</v>
      </c>
      <c r="K18" s="359">
        <v>9000</v>
      </c>
      <c r="L18" s="359">
        <v>160</v>
      </c>
      <c r="M18" s="359">
        <v>380</v>
      </c>
      <c r="N18" s="360">
        <v>380</v>
      </c>
      <c r="O18" s="361"/>
      <c r="P18" s="362" t="s">
        <v>461</v>
      </c>
      <c r="Q18" s="363">
        <f>P17+Q17+R17+S17</f>
        <v>22</v>
      </c>
      <c r="R18" s="364"/>
      <c r="S18" s="364"/>
      <c r="T18" s="362" t="s">
        <v>461</v>
      </c>
      <c r="U18" s="365">
        <f>T17+U17</f>
        <v>9</v>
      </c>
      <c r="V18" s="366"/>
      <c r="W18" s="366"/>
      <c r="X18" s="366"/>
      <c r="Y18" s="289"/>
      <c r="ALH18" s="290"/>
    </row>
    <row r="19" spans="1:996" ht="15" x14ac:dyDescent="0.25">
      <c r="A19" s="367" t="s">
        <v>462</v>
      </c>
      <c r="B19" s="367"/>
      <c r="C19" s="367"/>
      <c r="D19" s="368">
        <f t="shared" ref="D19:K19" si="3">D17/D18</f>
        <v>1.0788625000000003</v>
      </c>
      <c r="E19" s="368">
        <f t="shared" si="3"/>
        <v>10.5153</v>
      </c>
      <c r="F19" s="369">
        <f t="shared" si="3"/>
        <v>3.3295433333333335</v>
      </c>
      <c r="G19" s="369">
        <f t="shared" si="3"/>
        <v>1.0998749999999999</v>
      </c>
      <c r="H19" s="369">
        <f t="shared" si="3"/>
        <v>1.7346999999999997</v>
      </c>
      <c r="I19" s="369">
        <f t="shared" si="3"/>
        <v>1.372725</v>
      </c>
      <c r="J19" s="369">
        <f t="shared" si="3"/>
        <v>0</v>
      </c>
      <c r="K19" s="369">
        <f t="shared" si="3"/>
        <v>0</v>
      </c>
      <c r="L19" s="369">
        <f>1/L18*8*1/1132.6*L17</f>
        <v>0</v>
      </c>
      <c r="M19" s="369">
        <f>1/M18*16*1/188.76*M17</f>
        <v>0.45475067197555241</v>
      </c>
      <c r="N19" s="370">
        <f>1/N18*16*1/188.76*N17</f>
        <v>0.45475067197555241</v>
      </c>
      <c r="O19" s="371">
        <f>SUM(D19:N19)-L19</f>
        <v>20.040507177284439</v>
      </c>
      <c r="P19" s="362" t="s">
        <v>463</v>
      </c>
      <c r="Q19" s="365">
        <f>P17+Q17+((R17+S17)*0.75)</f>
        <v>19.75</v>
      </c>
      <c r="R19" s="289"/>
      <c r="S19" s="289"/>
      <c r="T19" s="372"/>
      <c r="U19" s="289"/>
      <c r="V19" s="289"/>
      <c r="W19" s="289"/>
      <c r="X19" s="289"/>
      <c r="Y19" s="289"/>
      <c r="ALH19" s="290"/>
    </row>
    <row r="20" spans="1:996" ht="15" x14ac:dyDescent="0.25">
      <c r="A20" s="373" t="s">
        <v>464</v>
      </c>
      <c r="B20" s="373"/>
      <c r="C20" s="373"/>
      <c r="D20" s="374">
        <f t="shared" ref="D20:K20" si="4">D17/($O19*D18)</f>
        <v>5.3834091645288885E-2</v>
      </c>
      <c r="E20" s="374">
        <f t="shared" si="4"/>
        <v>0.52470228956674836</v>
      </c>
      <c r="F20" s="375">
        <f t="shared" si="4"/>
        <v>0.16614067218355194</v>
      </c>
      <c r="G20" s="375">
        <f t="shared" si="4"/>
        <v>5.4882593053667272E-2</v>
      </c>
      <c r="H20" s="375">
        <f t="shared" si="4"/>
        <v>8.6559685573539352E-2</v>
      </c>
      <c r="I20" s="375">
        <f t="shared" si="4"/>
        <v>6.8497517944853176E-2</v>
      </c>
      <c r="J20" s="375">
        <f t="shared" si="4"/>
        <v>0</v>
      </c>
      <c r="K20" s="375">
        <f t="shared" si="4"/>
        <v>0</v>
      </c>
      <c r="L20" s="375">
        <f>1/$O19*1/L18*16*1/188.76*L17</f>
        <v>0</v>
      </c>
      <c r="M20" s="375">
        <f>1/$O19*1/M18*16*1/188.76*M17</f>
        <v>2.2691575016175455E-2</v>
      </c>
      <c r="N20" s="375">
        <f>1/$O19*1/N18*16*1/188.76*N17</f>
        <v>2.2691575016175455E-2</v>
      </c>
      <c r="O20" s="376">
        <f>SUM(D20:N20)</f>
        <v>0.99999999999999978</v>
      </c>
      <c r="P20" s="289"/>
      <c r="Q20" s="289"/>
      <c r="R20" s="289"/>
      <c r="S20" s="289"/>
      <c r="T20" s="289"/>
      <c r="U20" s="289"/>
      <c r="V20" s="289"/>
      <c r="W20" s="289"/>
      <c r="X20" s="289"/>
      <c r="Y20" s="290"/>
      <c r="ALH20" s="290"/>
    </row>
    <row r="21" spans="1:996" ht="15" hidden="1" x14ac:dyDescent="0.25">
      <c r="A21" s="377" t="s">
        <v>465</v>
      </c>
      <c r="B21" s="377"/>
      <c r="C21" s="377"/>
      <c r="D21" s="378">
        <f>ROUND(1/D18,9)</f>
        <v>1.25E-3</v>
      </c>
      <c r="E21" s="378"/>
      <c r="F21" s="379">
        <f t="shared" ref="F21:K21" si="5">ROUND(1/F18,9)</f>
        <v>6.6666700000000002E-4</v>
      </c>
      <c r="G21" s="379">
        <f t="shared" si="5"/>
        <v>1E-3</v>
      </c>
      <c r="H21" s="379">
        <f t="shared" si="5"/>
        <v>5.0000000000000001E-3</v>
      </c>
      <c r="I21" s="379">
        <f t="shared" si="5"/>
        <v>4.1666700000000001E-4</v>
      </c>
      <c r="J21" s="379">
        <f t="shared" si="5"/>
        <v>1.0000000000000001E-5</v>
      </c>
      <c r="K21" s="379">
        <f t="shared" si="5"/>
        <v>1.11111E-4</v>
      </c>
      <c r="L21" s="380">
        <f>(1/L18)*(1/N26)*8</f>
        <v>4.8611111111111115E-5</v>
      </c>
      <c r="M21" s="380">
        <f>(1/M18)*(1/N25)*16</f>
        <v>2.4561403508771931E-4</v>
      </c>
      <c r="N21" s="381">
        <f>(1/N18)*(1/N25)*16</f>
        <v>2.4561403508771931E-4</v>
      </c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ALH21" s="290"/>
    </row>
    <row r="22" spans="1:996" ht="15" hidden="1" x14ac:dyDescent="0.25">
      <c r="A22" s="382" t="s">
        <v>466</v>
      </c>
      <c r="B22" s="382"/>
      <c r="C22" s="382"/>
      <c r="D22" s="383">
        <f>D21/$Y$17</f>
        <v>1.25E-3</v>
      </c>
      <c r="E22" s="383"/>
      <c r="F22" s="384">
        <f t="shared" ref="F22:N22" si="6">F21/$Y$17</f>
        <v>6.6666700000000002E-4</v>
      </c>
      <c r="G22" s="384">
        <f t="shared" si="6"/>
        <v>1E-3</v>
      </c>
      <c r="H22" s="384">
        <f t="shared" si="6"/>
        <v>5.0000000000000001E-3</v>
      </c>
      <c r="I22" s="384">
        <f t="shared" si="6"/>
        <v>4.1666700000000001E-4</v>
      </c>
      <c r="J22" s="384">
        <f t="shared" si="6"/>
        <v>1.0000000000000001E-5</v>
      </c>
      <c r="K22" s="384">
        <f t="shared" si="6"/>
        <v>1.11111E-4</v>
      </c>
      <c r="L22" s="385">
        <f t="shared" si="6"/>
        <v>4.8611111111111115E-5</v>
      </c>
      <c r="M22" s="385">
        <f t="shared" si="6"/>
        <v>2.4561403508771931E-4</v>
      </c>
      <c r="N22" s="386">
        <f t="shared" si="6"/>
        <v>2.4561403508771931E-4</v>
      </c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ALH22" s="290"/>
    </row>
    <row r="23" spans="1:996" ht="15" x14ac:dyDescent="0.25">
      <c r="A23" s="387" t="s">
        <v>467</v>
      </c>
      <c r="B23" s="387"/>
      <c r="C23" s="387"/>
      <c r="D23" s="388" t="s">
        <v>468</v>
      </c>
      <c r="E23" s="388" t="s">
        <v>468</v>
      </c>
      <c r="F23" s="389" t="s">
        <v>469</v>
      </c>
      <c r="G23" s="389" t="s">
        <v>470</v>
      </c>
      <c r="H23" s="389" t="s">
        <v>471</v>
      </c>
      <c r="I23" s="390" t="s">
        <v>472</v>
      </c>
      <c r="J23" s="390" t="s">
        <v>472</v>
      </c>
      <c r="K23" s="390" t="s">
        <v>473</v>
      </c>
      <c r="L23" s="391" t="s">
        <v>474</v>
      </c>
      <c r="M23" s="391" t="s">
        <v>475</v>
      </c>
      <c r="N23" s="392" t="s">
        <v>475</v>
      </c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ALH23" s="290"/>
    </row>
    <row r="24" spans="1:996" ht="15" hidden="1" x14ac:dyDescent="0.25">
      <c r="A24" s="290"/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ALE24" s="257"/>
      <c r="ALF24" s="257"/>
      <c r="ALG24" s="257"/>
      <c r="ALH24" s="257"/>
    </row>
    <row r="25" spans="1:996" ht="15" hidden="1" x14ac:dyDescent="0.25">
      <c r="A25" s="290"/>
      <c r="B25" s="290"/>
      <c r="C25" s="290"/>
      <c r="D25" s="290"/>
      <c r="E25" s="290"/>
      <c r="F25" s="290"/>
      <c r="G25" s="290"/>
      <c r="H25" s="290"/>
      <c r="I25" s="290"/>
      <c r="J25" s="290"/>
      <c r="K25" s="290"/>
      <c r="L25" s="393">
        <f>30/7</f>
        <v>4.2857142857142856</v>
      </c>
      <c r="M25" s="393">
        <v>40</v>
      </c>
      <c r="N25" s="393">
        <f>L25*M25</f>
        <v>171.42857142857142</v>
      </c>
      <c r="O25" s="393"/>
      <c r="P25" s="393"/>
      <c r="Q25" s="393"/>
      <c r="R25" s="393"/>
      <c r="S25" s="393"/>
      <c r="T25" s="393"/>
      <c r="U25" s="393"/>
      <c r="V25" s="393"/>
      <c r="W25" s="393"/>
      <c r="X25" s="393"/>
      <c r="Y25" s="393"/>
      <c r="ALE25" s="257"/>
      <c r="ALF25" s="257"/>
      <c r="ALG25" s="257"/>
      <c r="ALH25" s="257"/>
    </row>
    <row r="26" spans="1:996" ht="15" hidden="1" x14ac:dyDescent="0.25">
      <c r="A26" s="290"/>
      <c r="B26" s="290"/>
      <c r="C26" s="290"/>
      <c r="D26" s="290"/>
      <c r="E26" s="290"/>
      <c r="F26" s="290"/>
      <c r="G26" s="290"/>
      <c r="H26" s="290"/>
      <c r="I26" s="290"/>
      <c r="J26" s="290"/>
      <c r="K26" s="290"/>
      <c r="L26" s="393"/>
      <c r="M26" s="393"/>
      <c r="N26" s="393">
        <f>N25*6</f>
        <v>1028.5714285714284</v>
      </c>
      <c r="O26" s="393" t="s">
        <v>476</v>
      </c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ALE26" s="257"/>
      <c r="ALF26" s="257"/>
      <c r="ALG26" s="257"/>
      <c r="ALH26" s="257"/>
    </row>
    <row r="177" spans="4:4" x14ac:dyDescent="0.2">
      <c r="D177">
        <f>(1/'Prod. GEXCAX'!L17)*(1/('Prod. GEXCAX'!L18))*8</f>
        <v>3.8910265219183722</v>
      </c>
    </row>
  </sheetData>
  <mergeCells count="21">
    <mergeCell ref="M2:M3"/>
    <mergeCell ref="N2:N3"/>
    <mergeCell ref="O2:O3"/>
    <mergeCell ref="P2:S2"/>
    <mergeCell ref="T2:U2"/>
    <mergeCell ref="C1:H1"/>
    <mergeCell ref="I1:K1"/>
    <mergeCell ref="L1:N1"/>
    <mergeCell ref="V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AMK198"/>
  <sheetViews>
    <sheetView zoomScale="75" zoomScaleNormal="75" workbookViewId="0">
      <pane ySplit="10" topLeftCell="A11" activePane="bottomLeft" state="frozen"/>
      <selection pane="bottomLeft" activeCell="M178" sqref="M178"/>
    </sheetView>
  </sheetViews>
  <sheetFormatPr defaultRowHeight="14.25" x14ac:dyDescent="0.2"/>
  <cols>
    <col min="1" max="1" width="58.125" style="393" customWidth="1"/>
    <col min="2" max="2" width="16.25" style="393" customWidth="1"/>
    <col min="3" max="12" width="14" style="393" customWidth="1"/>
    <col min="13" max="13" width="15.125" style="393" customWidth="1"/>
    <col min="14" max="14" width="10.5" style="393" customWidth="1"/>
    <col min="15" max="15" width="14.25" style="393" customWidth="1"/>
    <col min="16" max="1025" width="10.5" style="393" customWidth="1"/>
  </cols>
  <sheetData>
    <row r="1" spans="1:9" ht="15.75" x14ac:dyDescent="0.2">
      <c r="A1" s="768" t="s">
        <v>477</v>
      </c>
      <c r="B1" s="768"/>
      <c r="C1" s="768"/>
      <c r="D1" s="768"/>
      <c r="E1" s="768"/>
      <c r="F1" s="768"/>
      <c r="G1" s="768"/>
      <c r="H1" s="768"/>
      <c r="I1" s="768"/>
    </row>
    <row r="2" spans="1:9" ht="15.75" x14ac:dyDescent="0.2">
      <c r="A2" s="769" t="s">
        <v>478</v>
      </c>
      <c r="B2" s="769"/>
      <c r="C2" s="769"/>
      <c r="D2" s="769"/>
      <c r="E2" s="769"/>
      <c r="F2" s="769"/>
      <c r="G2" s="769"/>
      <c r="H2" s="769"/>
      <c r="I2" s="769"/>
    </row>
    <row r="3" spans="1:9" ht="15.75" customHeight="1" x14ac:dyDescent="0.2">
      <c r="A3" s="769" t="s">
        <v>479</v>
      </c>
      <c r="B3" s="769"/>
      <c r="C3" s="769"/>
      <c r="D3" s="769"/>
      <c r="E3" s="769"/>
      <c r="F3" s="769"/>
      <c r="G3" s="769"/>
      <c r="H3" s="769"/>
      <c r="I3" s="769"/>
    </row>
    <row r="4" spans="1:9" ht="24" x14ac:dyDescent="0.2">
      <c r="A4" s="394"/>
      <c r="B4" s="395"/>
      <c r="C4" s="770" t="s">
        <v>480</v>
      </c>
      <c r="D4" s="770"/>
      <c r="E4" s="771" t="s">
        <v>481</v>
      </c>
      <c r="F4" s="771"/>
      <c r="G4" s="397" t="s">
        <v>482</v>
      </c>
      <c r="H4" s="398" t="s">
        <v>483</v>
      </c>
      <c r="I4" s="399" t="s">
        <v>484</v>
      </c>
    </row>
    <row r="5" spans="1:9" x14ac:dyDescent="0.2">
      <c r="A5" s="400"/>
      <c r="B5" s="401" t="s">
        <v>485</v>
      </c>
      <c r="C5" s="772">
        <f>MC!$I11</f>
        <v>0</v>
      </c>
      <c r="D5" s="772"/>
      <c r="E5" s="772">
        <f>MC!$J11</f>
        <v>0</v>
      </c>
      <c r="F5" s="772"/>
      <c r="G5" s="403">
        <f>MC!$K11</f>
        <v>0</v>
      </c>
      <c r="H5" s="404">
        <f>MC!$H13</f>
        <v>0</v>
      </c>
      <c r="I5" s="404">
        <f>MC!$I12</f>
        <v>0</v>
      </c>
    </row>
    <row r="6" spans="1:9" x14ac:dyDescent="0.2">
      <c r="A6" s="400"/>
      <c r="B6" s="401" t="s">
        <v>486</v>
      </c>
      <c r="C6" s="773">
        <f>MC!$J8</f>
        <v>0</v>
      </c>
      <c r="D6" s="773"/>
      <c r="E6" s="797">
        <f>MC!$J8</f>
        <v>0</v>
      </c>
      <c r="F6" s="797"/>
      <c r="G6" s="406">
        <f>MC!$J8</f>
        <v>0</v>
      </c>
      <c r="H6" s="407">
        <f>MC!$J8</f>
        <v>0</v>
      </c>
      <c r="I6" s="407">
        <f>MC!$J8</f>
        <v>0</v>
      </c>
    </row>
    <row r="7" spans="1:9" x14ac:dyDescent="0.2">
      <c r="A7" s="400"/>
      <c r="B7" s="401" t="s">
        <v>487</v>
      </c>
      <c r="C7" s="773">
        <f>MC!$H8</f>
        <v>0</v>
      </c>
      <c r="D7" s="773"/>
      <c r="E7" s="797">
        <f>MC!$H8</f>
        <v>0</v>
      </c>
      <c r="F7" s="797"/>
      <c r="G7" s="406">
        <f>MC!$H8</f>
        <v>0</v>
      </c>
      <c r="H7" s="407">
        <f>MC!$H8</f>
        <v>0</v>
      </c>
      <c r="I7" s="407">
        <f>MC!$H8</f>
        <v>0</v>
      </c>
    </row>
    <row r="8" spans="1:9" x14ac:dyDescent="0.2">
      <c r="A8" s="400"/>
      <c r="B8" s="401" t="s">
        <v>488</v>
      </c>
      <c r="C8" s="774">
        <f>MC!$K8</f>
        <v>0</v>
      </c>
      <c r="D8" s="774"/>
      <c r="E8" s="775">
        <f>MC!$K8</f>
        <v>0</v>
      </c>
      <c r="F8" s="775"/>
      <c r="G8" s="409">
        <f>MC!$K8</f>
        <v>0</v>
      </c>
      <c r="H8" s="410">
        <f>MC!$K8</f>
        <v>0</v>
      </c>
      <c r="I8" s="410">
        <f>MC!$K8</f>
        <v>0</v>
      </c>
    </row>
    <row r="9" spans="1:9" x14ac:dyDescent="0.2">
      <c r="A9" s="776"/>
      <c r="B9" s="776"/>
      <c r="C9" s="776"/>
      <c r="D9" s="776"/>
      <c r="E9" s="776"/>
      <c r="F9" s="776"/>
      <c r="G9" s="776"/>
      <c r="H9" s="776"/>
      <c r="I9" s="776"/>
    </row>
    <row r="10" spans="1:9" ht="56.1" customHeight="1" x14ac:dyDescent="0.2">
      <c r="A10" s="411" t="s">
        <v>489</v>
      </c>
      <c r="B10" s="412" t="s">
        <v>490</v>
      </c>
      <c r="C10" s="413" t="s">
        <v>491</v>
      </c>
      <c r="D10" s="413" t="s">
        <v>492</v>
      </c>
      <c r="E10" s="413" t="s">
        <v>493</v>
      </c>
      <c r="F10" s="413" t="s">
        <v>494</v>
      </c>
      <c r="G10" s="413" t="s">
        <v>495</v>
      </c>
      <c r="H10" s="413" t="s">
        <v>496</v>
      </c>
      <c r="I10" s="414" t="s">
        <v>497</v>
      </c>
    </row>
    <row r="11" spans="1:9" ht="14.25" customHeight="1" x14ac:dyDescent="0.2">
      <c r="A11" s="777" t="s">
        <v>498</v>
      </c>
      <c r="B11" s="777"/>
      <c r="C11" s="777"/>
      <c r="D11" s="777"/>
      <c r="E11" s="777"/>
      <c r="F11" s="777"/>
      <c r="G11" s="777"/>
      <c r="H11" s="777"/>
      <c r="I11" s="777"/>
    </row>
    <row r="12" spans="1:9" ht="15.75" customHeight="1" x14ac:dyDescent="0.2">
      <c r="A12" s="415" t="s">
        <v>499</v>
      </c>
      <c r="B12" s="416" t="s">
        <v>500</v>
      </c>
      <c r="C12" s="416" t="s">
        <v>501</v>
      </c>
      <c r="D12" s="416" t="s">
        <v>501</v>
      </c>
      <c r="E12" s="416" t="s">
        <v>501</v>
      </c>
      <c r="F12" s="416" t="s">
        <v>501</v>
      </c>
      <c r="G12" s="416" t="s">
        <v>501</v>
      </c>
      <c r="H12" s="416" t="s">
        <v>501</v>
      </c>
      <c r="I12" s="417" t="s">
        <v>501</v>
      </c>
    </row>
    <row r="13" spans="1:9" ht="15.75" customHeight="1" x14ac:dyDescent="0.2">
      <c r="A13" s="418" t="s">
        <v>502</v>
      </c>
      <c r="B13" s="419"/>
      <c r="C13" s="420">
        <f>C5</f>
        <v>0</v>
      </c>
      <c r="D13" s="420">
        <f>C5</f>
        <v>0</v>
      </c>
      <c r="E13" s="421">
        <f>E5</f>
        <v>0</v>
      </c>
      <c r="F13" s="421">
        <f>E5</f>
        <v>0</v>
      </c>
      <c r="G13" s="421">
        <f>G5</f>
        <v>0</v>
      </c>
      <c r="H13" s="421">
        <f>H5</f>
        <v>0</v>
      </c>
      <c r="I13" s="422">
        <f>I5</f>
        <v>0</v>
      </c>
    </row>
    <row r="14" spans="1:9" ht="15.75" customHeight="1" x14ac:dyDescent="0.2">
      <c r="A14" s="418" t="s">
        <v>503</v>
      </c>
      <c r="B14" s="423" t="s">
        <v>504</v>
      </c>
      <c r="C14" s="420">
        <f>C5*0.4</f>
        <v>0</v>
      </c>
      <c r="D14" s="420">
        <f>C5*0.2</f>
        <v>0</v>
      </c>
      <c r="E14" s="420">
        <f>E5*0.4</f>
        <v>0</v>
      </c>
      <c r="F14" s="420">
        <f>E5*0.2</f>
        <v>0</v>
      </c>
      <c r="G14" s="420">
        <f>G5*0.2</f>
        <v>0</v>
      </c>
      <c r="H14" s="424" t="s">
        <v>85</v>
      </c>
      <c r="I14" s="425" t="s">
        <v>85</v>
      </c>
    </row>
    <row r="15" spans="1:9" ht="15.75" customHeight="1" x14ac:dyDescent="0.2">
      <c r="A15" s="418" t="s">
        <v>505</v>
      </c>
      <c r="B15" s="426"/>
      <c r="C15" s="424" t="s">
        <v>85</v>
      </c>
      <c r="D15" s="424" t="s">
        <v>85</v>
      </c>
      <c r="E15" s="427" t="s">
        <v>85</v>
      </c>
      <c r="F15" s="427" t="s">
        <v>85</v>
      </c>
      <c r="G15" s="427" t="s">
        <v>85</v>
      </c>
      <c r="H15" s="427" t="s">
        <v>85</v>
      </c>
      <c r="I15" s="425" t="s">
        <v>85</v>
      </c>
    </row>
    <row r="16" spans="1:9" ht="15.75" customHeight="1" x14ac:dyDescent="0.2">
      <c r="A16" s="418" t="s">
        <v>506</v>
      </c>
      <c r="B16" s="426"/>
      <c r="C16" s="424" t="s">
        <v>85</v>
      </c>
      <c r="D16" s="424" t="s">
        <v>85</v>
      </c>
      <c r="E16" s="427" t="s">
        <v>85</v>
      </c>
      <c r="F16" s="427" t="s">
        <v>85</v>
      </c>
      <c r="G16" s="427" t="s">
        <v>85</v>
      </c>
      <c r="H16" s="427" t="s">
        <v>85</v>
      </c>
      <c r="I16" s="425" t="s">
        <v>85</v>
      </c>
    </row>
    <row r="17" spans="1:9" ht="15.75" customHeight="1" x14ac:dyDescent="0.2">
      <c r="A17" s="418" t="s">
        <v>507</v>
      </c>
      <c r="B17" s="426"/>
      <c r="C17" s="424" t="s">
        <v>85</v>
      </c>
      <c r="D17" s="424" t="s">
        <v>85</v>
      </c>
      <c r="E17" s="427" t="s">
        <v>85</v>
      </c>
      <c r="F17" s="427" t="s">
        <v>85</v>
      </c>
      <c r="G17" s="427" t="s">
        <v>85</v>
      </c>
      <c r="H17" s="427" t="s">
        <v>85</v>
      </c>
      <c r="I17" s="425" t="s">
        <v>85</v>
      </c>
    </row>
    <row r="18" spans="1:9" ht="15.75" customHeight="1" x14ac:dyDescent="0.2">
      <c r="A18" s="418" t="s">
        <v>508</v>
      </c>
      <c r="B18" s="428"/>
      <c r="C18" s="424" t="s">
        <v>85</v>
      </c>
      <c r="D18" s="424" t="s">
        <v>85</v>
      </c>
      <c r="E18" s="424" t="s">
        <v>85</v>
      </c>
      <c r="F18" s="424" t="s">
        <v>85</v>
      </c>
      <c r="G18" s="424" t="s">
        <v>85</v>
      </c>
      <c r="H18" s="427" t="s">
        <v>85</v>
      </c>
      <c r="I18" s="425" t="s">
        <v>85</v>
      </c>
    </row>
    <row r="19" spans="1:9" ht="15.75" customHeight="1" x14ac:dyDescent="0.2">
      <c r="A19" s="429" t="s">
        <v>509</v>
      </c>
      <c r="B19" s="430"/>
      <c r="C19" s="431">
        <f t="shared" ref="C19:I19" si="0">SUM(C13:C18)</f>
        <v>0</v>
      </c>
      <c r="D19" s="432">
        <f t="shared" si="0"/>
        <v>0</v>
      </c>
      <c r="E19" s="432">
        <f t="shared" si="0"/>
        <v>0</v>
      </c>
      <c r="F19" s="432">
        <f t="shared" si="0"/>
        <v>0</v>
      </c>
      <c r="G19" s="432">
        <f t="shared" si="0"/>
        <v>0</v>
      </c>
      <c r="H19" s="432">
        <f t="shared" si="0"/>
        <v>0</v>
      </c>
      <c r="I19" s="433">
        <f t="shared" si="0"/>
        <v>0</v>
      </c>
    </row>
    <row r="20" spans="1:9" ht="15.75" customHeight="1" x14ac:dyDescent="0.2">
      <c r="A20" s="778"/>
      <c r="B20" s="778"/>
      <c r="C20" s="435"/>
      <c r="D20" s="435"/>
      <c r="E20" s="436"/>
      <c r="F20" s="436"/>
      <c r="G20" s="436"/>
      <c r="H20" s="436"/>
      <c r="I20" s="437"/>
    </row>
    <row r="21" spans="1:9" ht="14.25" customHeight="1" x14ac:dyDescent="0.2">
      <c r="A21" s="777" t="s">
        <v>510</v>
      </c>
      <c r="B21" s="777"/>
      <c r="C21" s="777"/>
      <c r="D21" s="777"/>
      <c r="E21" s="777"/>
      <c r="F21" s="777"/>
      <c r="G21" s="777"/>
      <c r="H21" s="777"/>
      <c r="I21" s="777"/>
    </row>
    <row r="22" spans="1:9" ht="28.35" customHeight="1" x14ac:dyDescent="0.2">
      <c r="A22" s="438" t="s">
        <v>511</v>
      </c>
      <c r="B22" s="439" t="s">
        <v>500</v>
      </c>
      <c r="C22" s="439" t="s">
        <v>501</v>
      </c>
      <c r="D22" s="439" t="s">
        <v>501</v>
      </c>
      <c r="E22" s="439" t="s">
        <v>501</v>
      </c>
      <c r="F22" s="439" t="s">
        <v>501</v>
      </c>
      <c r="G22" s="439" t="s">
        <v>501</v>
      </c>
      <c r="H22" s="439" t="s">
        <v>501</v>
      </c>
      <c r="I22" s="440" t="s">
        <v>501</v>
      </c>
    </row>
    <row r="23" spans="1:9" ht="15.75" customHeight="1" x14ac:dyDescent="0.2">
      <c r="A23" s="441" t="s">
        <v>512</v>
      </c>
      <c r="B23" s="442">
        <f>1/12</f>
        <v>8.3333333333333329E-2</v>
      </c>
      <c r="C23" s="420">
        <f t="shared" ref="C23:I23" si="1">ROUND($B23*C$19,2)</f>
        <v>0</v>
      </c>
      <c r="D23" s="420">
        <f t="shared" si="1"/>
        <v>0</v>
      </c>
      <c r="E23" s="420">
        <f t="shared" si="1"/>
        <v>0</v>
      </c>
      <c r="F23" s="420">
        <f t="shared" si="1"/>
        <v>0</v>
      </c>
      <c r="G23" s="420">
        <f t="shared" si="1"/>
        <v>0</v>
      </c>
      <c r="H23" s="420">
        <f t="shared" si="1"/>
        <v>0</v>
      </c>
      <c r="I23" s="422">
        <f t="shared" si="1"/>
        <v>0</v>
      </c>
    </row>
    <row r="24" spans="1:9" x14ac:dyDescent="0.2">
      <c r="A24" s="441" t="s">
        <v>513</v>
      </c>
      <c r="B24" s="442">
        <f>1/3*1/12</f>
        <v>2.7777777777777776E-2</v>
      </c>
      <c r="C24" s="420">
        <f t="shared" ref="C24:I24" si="2">C$19*$B$24</f>
        <v>0</v>
      </c>
      <c r="D24" s="420">
        <f t="shared" si="2"/>
        <v>0</v>
      </c>
      <c r="E24" s="420">
        <f t="shared" si="2"/>
        <v>0</v>
      </c>
      <c r="F24" s="420">
        <f t="shared" si="2"/>
        <v>0</v>
      </c>
      <c r="G24" s="420">
        <f t="shared" si="2"/>
        <v>0</v>
      </c>
      <c r="H24" s="420">
        <f t="shared" si="2"/>
        <v>0</v>
      </c>
      <c r="I24" s="422">
        <f t="shared" si="2"/>
        <v>0</v>
      </c>
    </row>
    <row r="25" spans="1:9" ht="14.25" customHeight="1" x14ac:dyDescent="0.2">
      <c r="A25" s="429" t="s">
        <v>509</v>
      </c>
      <c r="B25" s="443">
        <f t="shared" ref="B25:I25" si="3">SUM(B23:B24)</f>
        <v>0.1111111111111111</v>
      </c>
      <c r="C25" s="444">
        <f t="shared" si="3"/>
        <v>0</v>
      </c>
      <c r="D25" s="444">
        <f t="shared" si="3"/>
        <v>0</v>
      </c>
      <c r="E25" s="444">
        <f t="shared" si="3"/>
        <v>0</v>
      </c>
      <c r="F25" s="444">
        <f t="shared" si="3"/>
        <v>0</v>
      </c>
      <c r="G25" s="444">
        <f t="shared" si="3"/>
        <v>0</v>
      </c>
      <c r="H25" s="444">
        <f t="shared" si="3"/>
        <v>0</v>
      </c>
      <c r="I25" s="445">
        <f t="shared" si="3"/>
        <v>0</v>
      </c>
    </row>
    <row r="26" spans="1:9" x14ac:dyDescent="0.2">
      <c r="A26" s="438" t="s">
        <v>514</v>
      </c>
      <c r="B26" s="439" t="s">
        <v>500</v>
      </c>
      <c r="C26" s="439" t="s">
        <v>501</v>
      </c>
      <c r="D26" s="439" t="s">
        <v>501</v>
      </c>
      <c r="E26" s="439" t="s">
        <v>501</v>
      </c>
      <c r="F26" s="439" t="s">
        <v>501</v>
      </c>
      <c r="G26" s="439" t="s">
        <v>501</v>
      </c>
      <c r="H26" s="439" t="s">
        <v>501</v>
      </c>
      <c r="I26" s="440" t="s">
        <v>501</v>
      </c>
    </row>
    <row r="27" spans="1:9" ht="15.75" customHeight="1" x14ac:dyDescent="0.2">
      <c r="A27" s="438" t="s">
        <v>515</v>
      </c>
      <c r="B27" s="446"/>
      <c r="C27" s="446"/>
      <c r="D27" s="446"/>
      <c r="E27" s="446"/>
      <c r="F27" s="446"/>
      <c r="G27" s="446"/>
      <c r="H27" s="447"/>
      <c r="I27" s="448"/>
    </row>
    <row r="28" spans="1:9" ht="14.25" customHeight="1" x14ac:dyDescent="0.2">
      <c r="A28" s="441" t="s">
        <v>516</v>
      </c>
      <c r="B28" s="442">
        <v>0.2</v>
      </c>
      <c r="C28" s="449">
        <f>ROUND(($C$19+$C$25)*B28,2)</f>
        <v>0</v>
      </c>
      <c r="D28" s="449">
        <f t="shared" ref="D28:I35" si="4">ROUND((D$19+D$25)*$B28,2)</f>
        <v>0</v>
      </c>
      <c r="E28" s="449">
        <f t="shared" si="4"/>
        <v>0</v>
      </c>
      <c r="F28" s="449">
        <f t="shared" si="4"/>
        <v>0</v>
      </c>
      <c r="G28" s="449">
        <f t="shared" si="4"/>
        <v>0</v>
      </c>
      <c r="H28" s="449">
        <f t="shared" si="4"/>
        <v>0</v>
      </c>
      <c r="I28" s="450">
        <f t="shared" si="4"/>
        <v>0</v>
      </c>
    </row>
    <row r="29" spans="1:9" ht="15.75" customHeight="1" x14ac:dyDescent="0.2">
      <c r="A29" s="441" t="s">
        <v>517</v>
      </c>
      <c r="B29" s="442">
        <v>2.5000000000000001E-2</v>
      </c>
      <c r="C29" s="449">
        <f t="shared" ref="C29:C35" si="5">ROUND((C$19+C$25)*$B29,2)</f>
        <v>0</v>
      </c>
      <c r="D29" s="449">
        <f t="shared" si="4"/>
        <v>0</v>
      </c>
      <c r="E29" s="449">
        <f t="shared" si="4"/>
        <v>0</v>
      </c>
      <c r="F29" s="449">
        <f t="shared" si="4"/>
        <v>0</v>
      </c>
      <c r="G29" s="449">
        <f t="shared" si="4"/>
        <v>0</v>
      </c>
      <c r="H29" s="449">
        <f t="shared" si="4"/>
        <v>0</v>
      </c>
      <c r="I29" s="450">
        <f t="shared" si="4"/>
        <v>0</v>
      </c>
    </row>
    <row r="30" spans="1:9" ht="15.75" customHeight="1" x14ac:dyDescent="0.2">
      <c r="A30" s="441" t="s">
        <v>518</v>
      </c>
      <c r="B30" s="442">
        <v>0.03</v>
      </c>
      <c r="C30" s="449">
        <f t="shared" si="5"/>
        <v>0</v>
      </c>
      <c r="D30" s="449">
        <f t="shared" si="4"/>
        <v>0</v>
      </c>
      <c r="E30" s="449">
        <f t="shared" si="4"/>
        <v>0</v>
      </c>
      <c r="F30" s="449">
        <f t="shared" si="4"/>
        <v>0</v>
      </c>
      <c r="G30" s="449">
        <f t="shared" si="4"/>
        <v>0</v>
      </c>
      <c r="H30" s="449">
        <f t="shared" si="4"/>
        <v>0</v>
      </c>
      <c r="I30" s="450">
        <f t="shared" si="4"/>
        <v>0</v>
      </c>
    </row>
    <row r="31" spans="1:9" ht="15.75" customHeight="1" x14ac:dyDescent="0.2">
      <c r="A31" s="441" t="s">
        <v>519</v>
      </c>
      <c r="B31" s="442">
        <v>1.4999999999999999E-2</v>
      </c>
      <c r="C31" s="449">
        <f t="shared" si="5"/>
        <v>0</v>
      </c>
      <c r="D31" s="449">
        <f t="shared" si="4"/>
        <v>0</v>
      </c>
      <c r="E31" s="449">
        <f t="shared" si="4"/>
        <v>0</v>
      </c>
      <c r="F31" s="449">
        <f t="shared" si="4"/>
        <v>0</v>
      </c>
      <c r="G31" s="449">
        <f t="shared" si="4"/>
        <v>0</v>
      </c>
      <c r="H31" s="449">
        <f t="shared" si="4"/>
        <v>0</v>
      </c>
      <c r="I31" s="450">
        <f t="shared" si="4"/>
        <v>0</v>
      </c>
    </row>
    <row r="32" spans="1:9" ht="15.75" customHeight="1" x14ac:dyDescent="0.2">
      <c r="A32" s="441" t="s">
        <v>520</v>
      </c>
      <c r="B32" s="442">
        <v>0.01</v>
      </c>
      <c r="C32" s="449">
        <f t="shared" si="5"/>
        <v>0</v>
      </c>
      <c r="D32" s="449">
        <f t="shared" si="4"/>
        <v>0</v>
      </c>
      <c r="E32" s="449">
        <f t="shared" si="4"/>
        <v>0</v>
      </c>
      <c r="F32" s="449">
        <f t="shared" si="4"/>
        <v>0</v>
      </c>
      <c r="G32" s="449">
        <f t="shared" si="4"/>
        <v>0</v>
      </c>
      <c r="H32" s="449">
        <f t="shared" si="4"/>
        <v>0</v>
      </c>
      <c r="I32" s="450">
        <f t="shared" si="4"/>
        <v>0</v>
      </c>
    </row>
    <row r="33" spans="1:9" ht="15.75" customHeight="1" x14ac:dyDescent="0.2">
      <c r="A33" s="441" t="s">
        <v>521</v>
      </c>
      <c r="B33" s="442">
        <v>6.0000000000000001E-3</v>
      </c>
      <c r="C33" s="449">
        <f t="shared" si="5"/>
        <v>0</v>
      </c>
      <c r="D33" s="449">
        <f t="shared" si="4"/>
        <v>0</v>
      </c>
      <c r="E33" s="449">
        <f t="shared" si="4"/>
        <v>0</v>
      </c>
      <c r="F33" s="449">
        <f t="shared" si="4"/>
        <v>0</v>
      </c>
      <c r="G33" s="449">
        <f t="shared" si="4"/>
        <v>0</v>
      </c>
      <c r="H33" s="449">
        <f t="shared" si="4"/>
        <v>0</v>
      </c>
      <c r="I33" s="450">
        <f t="shared" si="4"/>
        <v>0</v>
      </c>
    </row>
    <row r="34" spans="1:9" ht="15.75" customHeight="1" x14ac:dyDescent="0.2">
      <c r="A34" s="441" t="s">
        <v>522</v>
      </c>
      <c r="B34" s="442">
        <v>2E-3</v>
      </c>
      <c r="C34" s="449">
        <f t="shared" si="5"/>
        <v>0</v>
      </c>
      <c r="D34" s="449">
        <f t="shared" si="4"/>
        <v>0</v>
      </c>
      <c r="E34" s="449">
        <f t="shared" si="4"/>
        <v>0</v>
      </c>
      <c r="F34" s="449">
        <f t="shared" si="4"/>
        <v>0</v>
      </c>
      <c r="G34" s="449">
        <f t="shared" si="4"/>
        <v>0</v>
      </c>
      <c r="H34" s="449">
        <f t="shared" si="4"/>
        <v>0</v>
      </c>
      <c r="I34" s="450">
        <f t="shared" si="4"/>
        <v>0</v>
      </c>
    </row>
    <row r="35" spans="1:9" ht="15.75" customHeight="1" x14ac:dyDescent="0.2">
      <c r="A35" s="441" t="s">
        <v>523</v>
      </c>
      <c r="B35" s="442">
        <v>0.08</v>
      </c>
      <c r="C35" s="449">
        <f t="shared" si="5"/>
        <v>0</v>
      </c>
      <c r="D35" s="449">
        <f t="shared" si="4"/>
        <v>0</v>
      </c>
      <c r="E35" s="449">
        <f t="shared" si="4"/>
        <v>0</v>
      </c>
      <c r="F35" s="449">
        <f t="shared" si="4"/>
        <v>0</v>
      </c>
      <c r="G35" s="449">
        <f t="shared" si="4"/>
        <v>0</v>
      </c>
      <c r="H35" s="449">
        <f t="shared" si="4"/>
        <v>0</v>
      </c>
      <c r="I35" s="450">
        <f t="shared" si="4"/>
        <v>0</v>
      </c>
    </row>
    <row r="36" spans="1:9" ht="15.75" customHeight="1" x14ac:dyDescent="0.2">
      <c r="A36" s="429" t="s">
        <v>509</v>
      </c>
      <c r="B36" s="443">
        <f t="shared" ref="B36:I36" si="6">SUM(B28:B35)</f>
        <v>0.36800000000000005</v>
      </c>
      <c r="C36" s="444">
        <f t="shared" si="6"/>
        <v>0</v>
      </c>
      <c r="D36" s="444">
        <f t="shared" si="6"/>
        <v>0</v>
      </c>
      <c r="E36" s="444">
        <f t="shared" si="6"/>
        <v>0</v>
      </c>
      <c r="F36" s="444">
        <f t="shared" si="6"/>
        <v>0</v>
      </c>
      <c r="G36" s="444">
        <f t="shared" si="6"/>
        <v>0</v>
      </c>
      <c r="H36" s="444">
        <f t="shared" si="6"/>
        <v>0</v>
      </c>
      <c r="I36" s="445">
        <f t="shared" si="6"/>
        <v>0</v>
      </c>
    </row>
    <row r="37" spans="1:9" ht="15.75" customHeight="1" x14ac:dyDescent="0.2">
      <c r="A37" s="438" t="s">
        <v>524</v>
      </c>
      <c r="B37" s="439" t="s">
        <v>525</v>
      </c>
      <c r="C37" s="439" t="s">
        <v>501</v>
      </c>
      <c r="D37" s="439" t="s">
        <v>501</v>
      </c>
      <c r="E37" s="439" t="s">
        <v>501</v>
      </c>
      <c r="F37" s="439" t="s">
        <v>501</v>
      </c>
      <c r="G37" s="439" t="s">
        <v>501</v>
      </c>
      <c r="H37" s="439" t="s">
        <v>501</v>
      </c>
      <c r="I37" s="440" t="s">
        <v>501</v>
      </c>
    </row>
    <row r="38" spans="1:9" ht="15.75" customHeight="1" x14ac:dyDescent="0.2">
      <c r="A38" s="441" t="s">
        <v>526</v>
      </c>
      <c r="B38" s="451">
        <f>MC!D102</f>
        <v>0</v>
      </c>
      <c r="C38" s="420">
        <f t="shared" ref="C38:I38" si="7">ROUND(((2*22*$B$38)-0.06*C$13),2)</f>
        <v>0</v>
      </c>
      <c r="D38" s="420">
        <f t="shared" si="7"/>
        <v>0</v>
      </c>
      <c r="E38" s="420">
        <f t="shared" si="7"/>
        <v>0</v>
      </c>
      <c r="F38" s="420">
        <f t="shared" si="7"/>
        <v>0</v>
      </c>
      <c r="G38" s="420">
        <f t="shared" si="7"/>
        <v>0</v>
      </c>
      <c r="H38" s="420">
        <f t="shared" si="7"/>
        <v>0</v>
      </c>
      <c r="I38" s="422">
        <f t="shared" si="7"/>
        <v>0</v>
      </c>
    </row>
    <row r="39" spans="1:9" ht="15.75" customHeight="1" x14ac:dyDescent="0.2">
      <c r="A39" s="441" t="s">
        <v>527</v>
      </c>
      <c r="B39" s="452"/>
      <c r="C39" s="449">
        <f>MC!$K$19</f>
        <v>0</v>
      </c>
      <c r="D39" s="449">
        <f>MC!$K$19</f>
        <v>0</v>
      </c>
      <c r="E39" s="449">
        <f>MC!$K$20</f>
        <v>0</v>
      </c>
      <c r="F39" s="449">
        <f>MC!$K$20</f>
        <v>0</v>
      </c>
      <c r="G39" s="449">
        <f>MC!$K$20</f>
        <v>0</v>
      </c>
      <c r="H39" s="449">
        <f>MC!$K$19</f>
        <v>0</v>
      </c>
      <c r="I39" s="450">
        <f>MC!$K$19</f>
        <v>0</v>
      </c>
    </row>
    <row r="40" spans="1:9" ht="15.75" customHeight="1" x14ac:dyDescent="0.2">
      <c r="A40" s="441" t="s">
        <v>528</v>
      </c>
      <c r="B40" s="442"/>
      <c r="C40" s="453" t="s">
        <v>85</v>
      </c>
      <c r="D40" s="453" t="s">
        <v>85</v>
      </c>
      <c r="E40" s="453" t="s">
        <v>85</v>
      </c>
      <c r="F40" s="453" t="s">
        <v>85</v>
      </c>
      <c r="G40" s="453" t="s">
        <v>85</v>
      </c>
      <c r="H40" s="453" t="s">
        <v>85</v>
      </c>
      <c r="I40" s="454" t="s">
        <v>85</v>
      </c>
    </row>
    <row r="41" spans="1:9" ht="15.75" customHeight="1" x14ac:dyDescent="0.2">
      <c r="A41" s="441" t="s">
        <v>529</v>
      </c>
      <c r="B41" s="455"/>
      <c r="C41" s="453" t="s">
        <v>85</v>
      </c>
      <c r="D41" s="453" t="s">
        <v>85</v>
      </c>
      <c r="E41" s="453" t="s">
        <v>85</v>
      </c>
      <c r="F41" s="453" t="s">
        <v>85</v>
      </c>
      <c r="G41" s="453" t="s">
        <v>85</v>
      </c>
      <c r="H41" s="456" t="s">
        <v>85</v>
      </c>
      <c r="I41" s="454" t="s">
        <v>85</v>
      </c>
    </row>
    <row r="42" spans="1:9" ht="15.75" customHeight="1" x14ac:dyDescent="0.2">
      <c r="A42" s="441" t="s">
        <v>530</v>
      </c>
      <c r="B42" s="457">
        <f>MC!E27</f>
        <v>0</v>
      </c>
      <c r="C42" s="449">
        <f t="shared" ref="C42:I42" si="8">$B42</f>
        <v>0</v>
      </c>
      <c r="D42" s="449">
        <f t="shared" si="8"/>
        <v>0</v>
      </c>
      <c r="E42" s="449">
        <f t="shared" si="8"/>
        <v>0</v>
      </c>
      <c r="F42" s="449">
        <f t="shared" si="8"/>
        <v>0</v>
      </c>
      <c r="G42" s="449">
        <f t="shared" si="8"/>
        <v>0</v>
      </c>
      <c r="H42" s="449">
        <f t="shared" si="8"/>
        <v>0</v>
      </c>
      <c r="I42" s="450">
        <f t="shared" si="8"/>
        <v>0</v>
      </c>
    </row>
    <row r="43" spans="1:9" ht="15.75" customHeight="1" x14ac:dyDescent="0.2">
      <c r="A43" s="441" t="s">
        <v>531</v>
      </c>
      <c r="B43" s="442"/>
      <c r="C43" s="453" t="s">
        <v>85</v>
      </c>
      <c r="D43" s="453" t="s">
        <v>85</v>
      </c>
      <c r="E43" s="453" t="s">
        <v>85</v>
      </c>
      <c r="F43" s="453" t="s">
        <v>85</v>
      </c>
      <c r="G43" s="453" t="s">
        <v>85</v>
      </c>
      <c r="H43" s="456" t="s">
        <v>85</v>
      </c>
      <c r="I43" s="454" t="s">
        <v>85</v>
      </c>
    </row>
    <row r="44" spans="1:9" ht="15.75" customHeight="1" x14ac:dyDescent="0.2">
      <c r="A44" s="429" t="s">
        <v>509</v>
      </c>
      <c r="B44" s="430"/>
      <c r="C44" s="444">
        <f t="shared" ref="C44:I44" si="9">SUM(C38:C43)</f>
        <v>0</v>
      </c>
      <c r="D44" s="444">
        <f t="shared" si="9"/>
        <v>0</v>
      </c>
      <c r="E44" s="444">
        <f t="shared" si="9"/>
        <v>0</v>
      </c>
      <c r="F44" s="444">
        <f t="shared" si="9"/>
        <v>0</v>
      </c>
      <c r="G44" s="444">
        <f t="shared" si="9"/>
        <v>0</v>
      </c>
      <c r="H44" s="444">
        <f t="shared" si="9"/>
        <v>0</v>
      </c>
      <c r="I44" s="445">
        <f t="shared" si="9"/>
        <v>0</v>
      </c>
    </row>
    <row r="45" spans="1:9" x14ac:dyDescent="0.2">
      <c r="A45" s="415" t="s">
        <v>532</v>
      </c>
      <c r="B45" s="416" t="s">
        <v>500</v>
      </c>
      <c r="C45" s="416" t="s">
        <v>501</v>
      </c>
      <c r="D45" s="416" t="s">
        <v>501</v>
      </c>
      <c r="E45" s="416" t="s">
        <v>501</v>
      </c>
      <c r="F45" s="416" t="s">
        <v>501</v>
      </c>
      <c r="G45" s="416" t="s">
        <v>501</v>
      </c>
      <c r="H45" s="416" t="s">
        <v>501</v>
      </c>
      <c r="I45" s="417" t="s">
        <v>501</v>
      </c>
    </row>
    <row r="46" spans="1:9" ht="15.75" customHeight="1" x14ac:dyDescent="0.2">
      <c r="A46" s="441" t="s">
        <v>511</v>
      </c>
      <c r="B46" s="458">
        <f t="shared" ref="B46:I46" si="10">B25</f>
        <v>0.1111111111111111</v>
      </c>
      <c r="C46" s="459">
        <f t="shared" si="10"/>
        <v>0</v>
      </c>
      <c r="D46" s="459">
        <f t="shared" si="10"/>
        <v>0</v>
      </c>
      <c r="E46" s="459">
        <f t="shared" si="10"/>
        <v>0</v>
      </c>
      <c r="F46" s="459">
        <f t="shared" si="10"/>
        <v>0</v>
      </c>
      <c r="G46" s="459">
        <f t="shared" si="10"/>
        <v>0</v>
      </c>
      <c r="H46" s="459">
        <f t="shared" si="10"/>
        <v>0</v>
      </c>
      <c r="I46" s="460">
        <f t="shared" si="10"/>
        <v>0</v>
      </c>
    </row>
    <row r="47" spans="1:9" ht="15.75" customHeight="1" x14ac:dyDescent="0.2">
      <c r="A47" s="441" t="s">
        <v>533</v>
      </c>
      <c r="B47" s="458">
        <f t="shared" ref="B47:I47" si="11">B36</f>
        <v>0.36800000000000005</v>
      </c>
      <c r="C47" s="459">
        <f t="shared" si="11"/>
        <v>0</v>
      </c>
      <c r="D47" s="459">
        <f t="shared" si="11"/>
        <v>0</v>
      </c>
      <c r="E47" s="459">
        <f t="shared" si="11"/>
        <v>0</v>
      </c>
      <c r="F47" s="459">
        <f t="shared" si="11"/>
        <v>0</v>
      </c>
      <c r="G47" s="459">
        <f t="shared" si="11"/>
        <v>0</v>
      </c>
      <c r="H47" s="459">
        <f t="shared" si="11"/>
        <v>0</v>
      </c>
      <c r="I47" s="460">
        <f t="shared" si="11"/>
        <v>0</v>
      </c>
    </row>
    <row r="48" spans="1:9" ht="15.75" customHeight="1" x14ac:dyDescent="0.2">
      <c r="A48" s="441" t="s">
        <v>524</v>
      </c>
      <c r="B48" s="458"/>
      <c r="C48" s="459">
        <f t="shared" ref="C48:I48" si="12">C44</f>
        <v>0</v>
      </c>
      <c r="D48" s="459">
        <f t="shared" si="12"/>
        <v>0</v>
      </c>
      <c r="E48" s="459">
        <f t="shared" si="12"/>
        <v>0</v>
      </c>
      <c r="F48" s="459">
        <f t="shared" si="12"/>
        <v>0</v>
      </c>
      <c r="G48" s="459">
        <f t="shared" si="12"/>
        <v>0</v>
      </c>
      <c r="H48" s="459">
        <f t="shared" si="12"/>
        <v>0</v>
      </c>
      <c r="I48" s="460">
        <f t="shared" si="12"/>
        <v>0</v>
      </c>
    </row>
    <row r="49" spans="1:9" ht="15.75" customHeight="1" x14ac:dyDescent="0.2">
      <c r="A49" s="429" t="s">
        <v>509</v>
      </c>
      <c r="B49" s="430"/>
      <c r="C49" s="444">
        <f t="shared" ref="C49:I49" si="13">SUM(C46:C48)</f>
        <v>0</v>
      </c>
      <c r="D49" s="431">
        <f t="shared" si="13"/>
        <v>0</v>
      </c>
      <c r="E49" s="431">
        <f t="shared" si="13"/>
        <v>0</v>
      </c>
      <c r="F49" s="444">
        <f t="shared" si="13"/>
        <v>0</v>
      </c>
      <c r="G49" s="444">
        <f t="shared" si="13"/>
        <v>0</v>
      </c>
      <c r="H49" s="444">
        <f t="shared" si="13"/>
        <v>0</v>
      </c>
      <c r="I49" s="445">
        <f t="shared" si="13"/>
        <v>0</v>
      </c>
    </row>
    <row r="50" spans="1:9" ht="14.25" customHeight="1" x14ac:dyDescent="0.2">
      <c r="A50" s="778"/>
      <c r="B50" s="778"/>
      <c r="C50" s="778"/>
      <c r="D50" s="778"/>
      <c r="E50" s="778"/>
      <c r="F50" s="778"/>
      <c r="G50" s="778"/>
      <c r="H50" s="778"/>
      <c r="I50" s="778"/>
    </row>
    <row r="51" spans="1:9" s="461" customFormat="1" ht="12.75" customHeight="1" x14ac:dyDescent="0.2">
      <c r="A51" s="777" t="s">
        <v>534</v>
      </c>
      <c r="B51" s="777"/>
      <c r="C51" s="777"/>
      <c r="D51" s="777"/>
      <c r="E51" s="777"/>
      <c r="F51" s="777"/>
      <c r="G51" s="777"/>
      <c r="H51" s="777"/>
      <c r="I51" s="777"/>
    </row>
    <row r="52" spans="1:9" ht="15.75" customHeight="1" x14ac:dyDescent="0.2">
      <c r="A52" s="415" t="s">
        <v>535</v>
      </c>
      <c r="B52" s="416" t="s">
        <v>500</v>
      </c>
      <c r="C52" s="416" t="s">
        <v>501</v>
      </c>
      <c r="D52" s="416" t="s">
        <v>501</v>
      </c>
      <c r="E52" s="416" t="s">
        <v>501</v>
      </c>
      <c r="F52" s="416" t="s">
        <v>501</v>
      </c>
      <c r="G52" s="416" t="s">
        <v>501</v>
      </c>
      <c r="H52" s="416" t="s">
        <v>501</v>
      </c>
      <c r="I52" s="417" t="s">
        <v>501</v>
      </c>
    </row>
    <row r="53" spans="1:9" ht="15.75" customHeight="1" x14ac:dyDescent="0.2">
      <c r="A53" s="438" t="s">
        <v>536</v>
      </c>
      <c r="B53" s="462"/>
      <c r="C53" s="462"/>
      <c r="D53" s="462"/>
      <c r="E53" s="462"/>
      <c r="F53" s="462"/>
      <c r="G53" s="462"/>
      <c r="H53" s="463"/>
      <c r="I53" s="464"/>
    </row>
    <row r="54" spans="1:9" ht="15.75" customHeight="1" x14ac:dyDescent="0.2">
      <c r="A54" s="441" t="s">
        <v>537</v>
      </c>
      <c r="B54" s="458">
        <f>1/12*0.05</f>
        <v>4.1666666666666666E-3</v>
      </c>
      <c r="C54" s="465">
        <f t="shared" ref="C54:I54" si="14">C19*$B54</f>
        <v>0</v>
      </c>
      <c r="D54" s="465">
        <f t="shared" si="14"/>
        <v>0</v>
      </c>
      <c r="E54" s="465">
        <f t="shared" si="14"/>
        <v>0</v>
      </c>
      <c r="F54" s="465">
        <f t="shared" si="14"/>
        <v>0</v>
      </c>
      <c r="G54" s="465">
        <f t="shared" si="14"/>
        <v>0</v>
      </c>
      <c r="H54" s="465">
        <f t="shared" si="14"/>
        <v>0</v>
      </c>
      <c r="I54" s="466">
        <f t="shared" si="14"/>
        <v>0</v>
      </c>
    </row>
    <row r="55" spans="1:9" x14ac:dyDescent="0.2">
      <c r="A55" s="441" t="s">
        <v>538</v>
      </c>
      <c r="B55" s="458">
        <f>B35*B54</f>
        <v>3.3333333333333332E-4</v>
      </c>
      <c r="C55" s="465">
        <f t="shared" ref="C55:I55" si="15">$B$55*C19</f>
        <v>0</v>
      </c>
      <c r="D55" s="465">
        <f t="shared" si="15"/>
        <v>0</v>
      </c>
      <c r="E55" s="465">
        <f t="shared" si="15"/>
        <v>0</v>
      </c>
      <c r="F55" s="465">
        <f t="shared" si="15"/>
        <v>0</v>
      </c>
      <c r="G55" s="465">
        <f t="shared" si="15"/>
        <v>0</v>
      </c>
      <c r="H55" s="465">
        <f t="shared" si="15"/>
        <v>0</v>
      </c>
      <c r="I55" s="466">
        <f t="shared" si="15"/>
        <v>0</v>
      </c>
    </row>
    <row r="56" spans="1:9" x14ac:dyDescent="0.2">
      <c r="A56" s="441" t="s">
        <v>539</v>
      </c>
      <c r="B56" s="458">
        <v>0</v>
      </c>
      <c r="C56" s="465">
        <f t="shared" ref="C56:I56" si="16">C35*$B56</f>
        <v>0</v>
      </c>
      <c r="D56" s="465">
        <f t="shared" si="16"/>
        <v>0</v>
      </c>
      <c r="E56" s="465">
        <f t="shared" si="16"/>
        <v>0</v>
      </c>
      <c r="F56" s="465">
        <f t="shared" si="16"/>
        <v>0</v>
      </c>
      <c r="G56" s="465">
        <f t="shared" si="16"/>
        <v>0</v>
      </c>
      <c r="H56" s="465">
        <f t="shared" si="16"/>
        <v>0</v>
      </c>
      <c r="I56" s="466">
        <f t="shared" si="16"/>
        <v>0</v>
      </c>
    </row>
    <row r="57" spans="1:9" x14ac:dyDescent="0.2">
      <c r="A57" s="441" t="s">
        <v>540</v>
      </c>
      <c r="B57" s="458">
        <f>1/12*1/30*7</f>
        <v>1.9444444444444441E-2</v>
      </c>
      <c r="C57" s="459">
        <f t="shared" ref="C57:I57" si="17">C19*$B57</f>
        <v>0</v>
      </c>
      <c r="D57" s="459">
        <f t="shared" si="17"/>
        <v>0</v>
      </c>
      <c r="E57" s="459">
        <f t="shared" si="17"/>
        <v>0</v>
      </c>
      <c r="F57" s="459">
        <f t="shared" si="17"/>
        <v>0</v>
      </c>
      <c r="G57" s="459">
        <f t="shared" si="17"/>
        <v>0</v>
      </c>
      <c r="H57" s="459">
        <f t="shared" si="17"/>
        <v>0</v>
      </c>
      <c r="I57" s="460">
        <f t="shared" si="17"/>
        <v>0</v>
      </c>
    </row>
    <row r="58" spans="1:9" x14ac:dyDescent="0.2">
      <c r="A58" s="441" t="s">
        <v>541</v>
      </c>
      <c r="B58" s="458">
        <f>B36*B57</f>
        <v>7.1555555555555556E-3</v>
      </c>
      <c r="C58" s="459">
        <f t="shared" ref="C58:I58" si="18">$B58*C19</f>
        <v>0</v>
      </c>
      <c r="D58" s="459">
        <f t="shared" si="18"/>
        <v>0</v>
      </c>
      <c r="E58" s="459">
        <f t="shared" si="18"/>
        <v>0</v>
      </c>
      <c r="F58" s="459">
        <f t="shared" si="18"/>
        <v>0</v>
      </c>
      <c r="G58" s="459">
        <f t="shared" si="18"/>
        <v>0</v>
      </c>
      <c r="H58" s="459">
        <f t="shared" si="18"/>
        <v>0</v>
      </c>
      <c r="I58" s="460">
        <f t="shared" si="18"/>
        <v>0</v>
      </c>
    </row>
    <row r="59" spans="1:9" x14ac:dyDescent="0.2">
      <c r="A59" s="441" t="s">
        <v>542</v>
      </c>
      <c r="B59" s="458">
        <f>B35*40/100*90/100*(1+1/12+1/12+1/3*1/12)</f>
        <v>3.4399999999999993E-2</v>
      </c>
      <c r="C59" s="459">
        <f t="shared" ref="C59:I59" si="19">C19*$B59</f>
        <v>0</v>
      </c>
      <c r="D59" s="459">
        <f t="shared" si="19"/>
        <v>0</v>
      </c>
      <c r="E59" s="459">
        <f t="shared" si="19"/>
        <v>0</v>
      </c>
      <c r="F59" s="459">
        <f t="shared" si="19"/>
        <v>0</v>
      </c>
      <c r="G59" s="459">
        <f t="shared" si="19"/>
        <v>0</v>
      </c>
      <c r="H59" s="459">
        <f t="shared" si="19"/>
        <v>0</v>
      </c>
      <c r="I59" s="460">
        <f t="shared" si="19"/>
        <v>0</v>
      </c>
    </row>
    <row r="60" spans="1:9" ht="14.25" customHeight="1" x14ac:dyDescent="0.2">
      <c r="A60" s="429" t="s">
        <v>509</v>
      </c>
      <c r="B60" s="443">
        <f t="shared" ref="B60:I60" si="20">SUM(B54:B59)</f>
        <v>6.5499999999999989E-2</v>
      </c>
      <c r="C60" s="431">
        <f t="shared" si="20"/>
        <v>0</v>
      </c>
      <c r="D60" s="431">
        <f t="shared" si="20"/>
        <v>0</v>
      </c>
      <c r="E60" s="431">
        <f t="shared" si="20"/>
        <v>0</v>
      </c>
      <c r="F60" s="431">
        <f t="shared" si="20"/>
        <v>0</v>
      </c>
      <c r="G60" s="431">
        <f t="shared" si="20"/>
        <v>0</v>
      </c>
      <c r="H60" s="432">
        <f t="shared" si="20"/>
        <v>0</v>
      </c>
      <c r="I60" s="433">
        <f t="shared" si="20"/>
        <v>0</v>
      </c>
    </row>
    <row r="61" spans="1:9" ht="14.25" customHeight="1" x14ac:dyDescent="0.2">
      <c r="A61" s="779"/>
      <c r="B61" s="779"/>
      <c r="C61" s="779"/>
      <c r="D61" s="779"/>
      <c r="E61" s="779"/>
      <c r="F61" s="779"/>
      <c r="G61" s="779"/>
      <c r="H61" s="779"/>
      <c r="I61" s="779"/>
    </row>
    <row r="62" spans="1:9" ht="15.75" customHeight="1" x14ac:dyDescent="0.2">
      <c r="A62" s="777" t="s">
        <v>543</v>
      </c>
      <c r="B62" s="777"/>
      <c r="C62" s="777"/>
      <c r="D62" s="777"/>
      <c r="E62" s="777"/>
      <c r="F62" s="777"/>
      <c r="G62" s="777"/>
      <c r="H62" s="777"/>
      <c r="I62" s="777"/>
    </row>
    <row r="63" spans="1:9" ht="14.25" customHeight="1" x14ac:dyDescent="0.2">
      <c r="A63" s="438" t="s">
        <v>42</v>
      </c>
      <c r="B63" s="439" t="s">
        <v>500</v>
      </c>
      <c r="C63" s="439" t="s">
        <v>501</v>
      </c>
      <c r="D63" s="439" t="s">
        <v>501</v>
      </c>
      <c r="E63" s="439" t="s">
        <v>501</v>
      </c>
      <c r="F63" s="439" t="s">
        <v>501</v>
      </c>
      <c r="G63" s="439" t="s">
        <v>501</v>
      </c>
      <c r="H63" s="439" t="s">
        <v>501</v>
      </c>
      <c r="I63" s="439" t="s">
        <v>501</v>
      </c>
    </row>
    <row r="64" spans="1:9" ht="14.25" customHeight="1" x14ac:dyDescent="0.2">
      <c r="A64" s="441" t="s">
        <v>43</v>
      </c>
      <c r="B64" s="442">
        <f>1/12</f>
        <v>8.3333333333333329E-2</v>
      </c>
      <c r="C64" s="449">
        <f t="shared" ref="C64:I67" si="21">$B64*(C$19+C$49+C$60)</f>
        <v>0</v>
      </c>
      <c r="D64" s="449">
        <f t="shared" si="21"/>
        <v>0</v>
      </c>
      <c r="E64" s="449">
        <f t="shared" si="21"/>
        <v>0</v>
      </c>
      <c r="F64" s="449">
        <f t="shared" si="21"/>
        <v>0</v>
      </c>
      <c r="G64" s="449">
        <f t="shared" si="21"/>
        <v>0</v>
      </c>
      <c r="H64" s="449">
        <f t="shared" si="21"/>
        <v>0</v>
      </c>
      <c r="I64" s="450">
        <f t="shared" si="21"/>
        <v>0</v>
      </c>
    </row>
    <row r="65" spans="1:9" x14ac:dyDescent="0.2">
      <c r="A65" s="441" t="s">
        <v>544</v>
      </c>
      <c r="B65" s="442">
        <f>MC!E54/30/12</f>
        <v>1.3538888888888885E-2</v>
      </c>
      <c r="C65" s="449">
        <f t="shared" si="21"/>
        <v>0</v>
      </c>
      <c r="D65" s="449">
        <f t="shared" si="21"/>
        <v>0</v>
      </c>
      <c r="E65" s="449">
        <f t="shared" si="21"/>
        <v>0</v>
      </c>
      <c r="F65" s="449">
        <f t="shared" si="21"/>
        <v>0</v>
      </c>
      <c r="G65" s="449">
        <f t="shared" si="21"/>
        <v>0</v>
      </c>
      <c r="H65" s="449">
        <f t="shared" si="21"/>
        <v>0</v>
      </c>
      <c r="I65" s="450">
        <f t="shared" si="21"/>
        <v>0</v>
      </c>
    </row>
    <row r="66" spans="1:9" x14ac:dyDescent="0.2">
      <c r="A66" s="441" t="s">
        <v>545</v>
      </c>
      <c r="B66" s="467">
        <f>(5/30)/12*MC!F56*MC!C57</f>
        <v>1.0764583333333333E-4</v>
      </c>
      <c r="C66" s="449">
        <f t="shared" si="21"/>
        <v>0</v>
      </c>
      <c r="D66" s="449">
        <f t="shared" si="21"/>
        <v>0</v>
      </c>
      <c r="E66" s="449">
        <f t="shared" si="21"/>
        <v>0</v>
      </c>
      <c r="F66" s="449">
        <f t="shared" si="21"/>
        <v>0</v>
      </c>
      <c r="G66" s="449">
        <f t="shared" si="21"/>
        <v>0</v>
      </c>
      <c r="H66" s="449">
        <f t="shared" si="21"/>
        <v>0</v>
      </c>
      <c r="I66" s="450">
        <f t="shared" si="21"/>
        <v>0</v>
      </c>
    </row>
    <row r="67" spans="1:9" ht="14.25" customHeight="1" x14ac:dyDescent="0.2">
      <c r="A67" s="441" t="s">
        <v>546</v>
      </c>
      <c r="B67" s="467">
        <f>MC!C59/30/12</f>
        <v>2.6830555555555553E-3</v>
      </c>
      <c r="C67" s="449">
        <f t="shared" si="21"/>
        <v>0</v>
      </c>
      <c r="D67" s="449">
        <f t="shared" si="21"/>
        <v>0</v>
      </c>
      <c r="E67" s="449">
        <f t="shared" si="21"/>
        <v>0</v>
      </c>
      <c r="F67" s="449">
        <f t="shared" si="21"/>
        <v>0</v>
      </c>
      <c r="G67" s="449">
        <f t="shared" si="21"/>
        <v>0</v>
      </c>
      <c r="H67" s="449">
        <f t="shared" si="21"/>
        <v>0</v>
      </c>
      <c r="I67" s="450">
        <f t="shared" si="21"/>
        <v>0</v>
      </c>
    </row>
    <row r="68" spans="1:9" ht="14.25" customHeight="1" x14ac:dyDescent="0.2">
      <c r="A68" s="441" t="s">
        <v>508</v>
      </c>
      <c r="B68" s="442"/>
      <c r="C68" s="453" t="s">
        <v>85</v>
      </c>
      <c r="D68" s="453" t="s">
        <v>85</v>
      </c>
      <c r="E68" s="453" t="s">
        <v>85</v>
      </c>
      <c r="F68" s="453" t="s">
        <v>85</v>
      </c>
      <c r="G68" s="453" t="s">
        <v>85</v>
      </c>
      <c r="H68" s="456" t="s">
        <v>85</v>
      </c>
      <c r="I68" s="454" t="s">
        <v>85</v>
      </c>
    </row>
    <row r="69" spans="1:9" ht="14.25" customHeight="1" x14ac:dyDescent="0.2">
      <c r="A69" s="468" t="s">
        <v>547</v>
      </c>
      <c r="B69" s="469">
        <f t="shared" ref="B69:I69" si="22">SUM(B64:B68)</f>
        <v>9.9662923611111107E-2</v>
      </c>
      <c r="C69" s="470">
        <f t="shared" si="22"/>
        <v>0</v>
      </c>
      <c r="D69" s="470">
        <f t="shared" si="22"/>
        <v>0</v>
      </c>
      <c r="E69" s="470">
        <f t="shared" si="22"/>
        <v>0</v>
      </c>
      <c r="F69" s="470">
        <f t="shared" si="22"/>
        <v>0</v>
      </c>
      <c r="G69" s="470">
        <f t="shared" si="22"/>
        <v>0</v>
      </c>
      <c r="H69" s="470">
        <f t="shared" si="22"/>
        <v>0</v>
      </c>
      <c r="I69" s="471">
        <f t="shared" si="22"/>
        <v>0</v>
      </c>
    </row>
    <row r="70" spans="1:9" ht="14.25" customHeight="1" x14ac:dyDescent="0.2">
      <c r="A70" s="438" t="s">
        <v>548</v>
      </c>
      <c r="B70" s="439" t="s">
        <v>500</v>
      </c>
      <c r="C70" s="439" t="s">
        <v>501</v>
      </c>
      <c r="D70" s="439" t="s">
        <v>501</v>
      </c>
      <c r="E70" s="439" t="s">
        <v>501</v>
      </c>
      <c r="F70" s="439" t="s">
        <v>501</v>
      </c>
      <c r="G70" s="439" t="s">
        <v>501</v>
      </c>
      <c r="H70" s="439" t="s">
        <v>501</v>
      </c>
      <c r="I70" s="440" t="s">
        <v>501</v>
      </c>
    </row>
    <row r="71" spans="1:9" ht="14.25" customHeight="1" x14ac:dyDescent="0.2">
      <c r="A71" s="441" t="s">
        <v>549</v>
      </c>
      <c r="B71" s="442"/>
      <c r="C71" s="453" t="s">
        <v>85</v>
      </c>
      <c r="D71" s="453" t="s">
        <v>85</v>
      </c>
      <c r="E71" s="453" t="s">
        <v>85</v>
      </c>
      <c r="F71" s="453" t="s">
        <v>85</v>
      </c>
      <c r="G71" s="453" t="s">
        <v>85</v>
      </c>
      <c r="H71" s="456" t="s">
        <v>85</v>
      </c>
      <c r="I71" s="454" t="s">
        <v>85</v>
      </c>
    </row>
    <row r="72" spans="1:9" ht="14.25" customHeight="1" x14ac:dyDescent="0.2">
      <c r="A72" s="468" t="s">
        <v>547</v>
      </c>
      <c r="B72" s="469"/>
      <c r="C72" s="472" t="str">
        <f t="shared" ref="C72:I72" si="23">C71</f>
        <v>-</v>
      </c>
      <c r="D72" s="472" t="str">
        <f t="shared" si="23"/>
        <v>-</v>
      </c>
      <c r="E72" s="472" t="str">
        <f t="shared" si="23"/>
        <v>-</v>
      </c>
      <c r="F72" s="472" t="str">
        <f t="shared" si="23"/>
        <v>-</v>
      </c>
      <c r="G72" s="472" t="str">
        <f t="shared" si="23"/>
        <v>-</v>
      </c>
      <c r="H72" s="472" t="str">
        <f t="shared" si="23"/>
        <v>-</v>
      </c>
      <c r="I72" s="473" t="str">
        <f t="shared" si="23"/>
        <v>-</v>
      </c>
    </row>
    <row r="73" spans="1:9" ht="14.25" customHeight="1" x14ac:dyDescent="0.2">
      <c r="A73" s="438" t="s">
        <v>64</v>
      </c>
      <c r="B73" s="439" t="s">
        <v>500</v>
      </c>
      <c r="C73" s="439" t="s">
        <v>501</v>
      </c>
      <c r="D73" s="439" t="s">
        <v>501</v>
      </c>
      <c r="E73" s="439" t="s">
        <v>501</v>
      </c>
      <c r="F73" s="439" t="s">
        <v>501</v>
      </c>
      <c r="G73" s="439" t="s">
        <v>501</v>
      </c>
      <c r="H73" s="439" t="s">
        <v>501</v>
      </c>
      <c r="I73" s="440" t="s">
        <v>501</v>
      </c>
    </row>
    <row r="74" spans="1:9" ht="14.25" customHeight="1" x14ac:dyDescent="0.2">
      <c r="A74" s="441" t="s">
        <v>65</v>
      </c>
      <c r="B74" s="442">
        <f>120/30*MC!C62*MC!C63</f>
        <v>6.18624E-3</v>
      </c>
      <c r="C74" s="449">
        <f t="shared" ref="C74:I74" si="24">(((C19*2)+ (C19*1/3))+(C36)+(C44-C38-C39))*$B$74</f>
        <v>0</v>
      </c>
      <c r="D74" s="449">
        <f t="shared" si="24"/>
        <v>0</v>
      </c>
      <c r="E74" s="449">
        <f t="shared" si="24"/>
        <v>0</v>
      </c>
      <c r="F74" s="449">
        <f t="shared" si="24"/>
        <v>0</v>
      </c>
      <c r="G74" s="449">
        <f t="shared" si="24"/>
        <v>0</v>
      </c>
      <c r="H74" s="449">
        <f t="shared" si="24"/>
        <v>0</v>
      </c>
      <c r="I74" s="450">
        <f t="shared" si="24"/>
        <v>0</v>
      </c>
    </row>
    <row r="75" spans="1:9" ht="15.75" customHeight="1" x14ac:dyDescent="0.2">
      <c r="A75" s="468" t="s">
        <v>509</v>
      </c>
      <c r="B75" s="469"/>
      <c r="C75" s="472">
        <f t="shared" ref="C75:I75" si="25">C74</f>
        <v>0</v>
      </c>
      <c r="D75" s="472">
        <f t="shared" si="25"/>
        <v>0</v>
      </c>
      <c r="E75" s="472">
        <f t="shared" si="25"/>
        <v>0</v>
      </c>
      <c r="F75" s="472">
        <f t="shared" si="25"/>
        <v>0</v>
      </c>
      <c r="G75" s="472">
        <f t="shared" si="25"/>
        <v>0</v>
      </c>
      <c r="H75" s="472">
        <f t="shared" si="25"/>
        <v>0</v>
      </c>
      <c r="I75" s="473">
        <f t="shared" si="25"/>
        <v>0</v>
      </c>
    </row>
    <row r="76" spans="1:9" x14ac:dyDescent="0.2">
      <c r="A76" s="415" t="s">
        <v>550</v>
      </c>
      <c r="B76" s="416" t="s">
        <v>500</v>
      </c>
      <c r="C76" s="416" t="s">
        <v>501</v>
      </c>
      <c r="D76" s="416" t="s">
        <v>501</v>
      </c>
      <c r="E76" s="416" t="s">
        <v>501</v>
      </c>
      <c r="F76" s="416" t="s">
        <v>501</v>
      </c>
      <c r="G76" s="416" t="s">
        <v>501</v>
      </c>
      <c r="H76" s="416" t="s">
        <v>501</v>
      </c>
      <c r="I76" s="417" t="s">
        <v>501</v>
      </c>
    </row>
    <row r="77" spans="1:9" x14ac:dyDescent="0.2">
      <c r="A77" s="441" t="s">
        <v>42</v>
      </c>
      <c r="B77" s="458">
        <f t="shared" ref="B77:I77" si="26">B69</f>
        <v>9.9662923611111107E-2</v>
      </c>
      <c r="C77" s="459">
        <f t="shared" si="26"/>
        <v>0</v>
      </c>
      <c r="D77" s="459">
        <f t="shared" si="26"/>
        <v>0</v>
      </c>
      <c r="E77" s="459">
        <f t="shared" si="26"/>
        <v>0</v>
      </c>
      <c r="F77" s="459">
        <f t="shared" si="26"/>
        <v>0</v>
      </c>
      <c r="G77" s="459">
        <f t="shared" si="26"/>
        <v>0</v>
      </c>
      <c r="H77" s="459">
        <f t="shared" si="26"/>
        <v>0</v>
      </c>
      <c r="I77" s="460">
        <f t="shared" si="26"/>
        <v>0</v>
      </c>
    </row>
    <row r="78" spans="1:9" ht="15.75" customHeight="1" x14ac:dyDescent="0.2">
      <c r="A78" s="441" t="s">
        <v>548</v>
      </c>
      <c r="B78" s="458">
        <f t="shared" ref="B78:I78" si="27">B72</f>
        <v>0</v>
      </c>
      <c r="C78" s="459" t="str">
        <f t="shared" si="27"/>
        <v>-</v>
      </c>
      <c r="D78" s="459" t="str">
        <f t="shared" si="27"/>
        <v>-</v>
      </c>
      <c r="E78" s="459" t="str">
        <f t="shared" si="27"/>
        <v>-</v>
      </c>
      <c r="F78" s="459" t="str">
        <f t="shared" si="27"/>
        <v>-</v>
      </c>
      <c r="G78" s="459" t="str">
        <f t="shared" si="27"/>
        <v>-</v>
      </c>
      <c r="H78" s="459" t="str">
        <f t="shared" si="27"/>
        <v>-</v>
      </c>
      <c r="I78" s="460" t="str">
        <f t="shared" si="27"/>
        <v>-</v>
      </c>
    </row>
    <row r="79" spans="1:9" ht="15.75" customHeight="1" x14ac:dyDescent="0.2">
      <c r="A79" s="441" t="s">
        <v>64</v>
      </c>
      <c r="B79" s="458">
        <f t="shared" ref="B79:I79" si="28">B74</f>
        <v>6.18624E-3</v>
      </c>
      <c r="C79" s="459">
        <f t="shared" si="28"/>
        <v>0</v>
      </c>
      <c r="D79" s="459">
        <f t="shared" si="28"/>
        <v>0</v>
      </c>
      <c r="E79" s="459">
        <f t="shared" si="28"/>
        <v>0</v>
      </c>
      <c r="F79" s="459">
        <f t="shared" si="28"/>
        <v>0</v>
      </c>
      <c r="G79" s="459">
        <f t="shared" si="28"/>
        <v>0</v>
      </c>
      <c r="H79" s="459">
        <f t="shared" si="28"/>
        <v>0</v>
      </c>
      <c r="I79" s="460">
        <f t="shared" si="28"/>
        <v>0</v>
      </c>
    </row>
    <row r="80" spans="1:9" ht="15.75" customHeight="1" x14ac:dyDescent="0.2">
      <c r="A80" s="429" t="s">
        <v>509</v>
      </c>
      <c r="B80" s="430"/>
      <c r="C80" s="444">
        <f t="shared" ref="C80:I80" si="29">SUM(C77:C79)</f>
        <v>0</v>
      </c>
      <c r="D80" s="444">
        <f t="shared" si="29"/>
        <v>0</v>
      </c>
      <c r="E80" s="444">
        <f t="shared" si="29"/>
        <v>0</v>
      </c>
      <c r="F80" s="444">
        <f t="shared" si="29"/>
        <v>0</v>
      </c>
      <c r="G80" s="444">
        <f t="shared" si="29"/>
        <v>0</v>
      </c>
      <c r="H80" s="444">
        <f t="shared" si="29"/>
        <v>0</v>
      </c>
      <c r="I80" s="445">
        <f t="shared" si="29"/>
        <v>0</v>
      </c>
    </row>
    <row r="81" spans="1:9" ht="15.75" customHeight="1" x14ac:dyDescent="0.2">
      <c r="A81" s="434"/>
      <c r="B81" s="435"/>
      <c r="C81" s="435"/>
      <c r="D81" s="435"/>
      <c r="E81" s="435"/>
      <c r="F81" s="435"/>
      <c r="G81" s="435"/>
      <c r="H81" s="436"/>
      <c r="I81" s="437"/>
    </row>
    <row r="82" spans="1:9" ht="15.75" customHeight="1" x14ac:dyDescent="0.2">
      <c r="A82" s="474" t="s">
        <v>551</v>
      </c>
      <c r="B82" s="475"/>
      <c r="C82" s="475"/>
      <c r="D82" s="475"/>
      <c r="E82" s="475"/>
      <c r="F82" s="475"/>
      <c r="G82" s="475"/>
      <c r="H82" s="475"/>
      <c r="I82" s="476"/>
    </row>
    <row r="83" spans="1:9" ht="15.75" customHeight="1" x14ac:dyDescent="0.2">
      <c r="A83" s="415" t="s">
        <v>552</v>
      </c>
      <c r="B83" s="416" t="s">
        <v>553</v>
      </c>
      <c r="C83" s="416" t="s">
        <v>501</v>
      </c>
      <c r="D83" s="416" t="s">
        <v>501</v>
      </c>
      <c r="E83" s="416" t="s">
        <v>501</v>
      </c>
      <c r="F83" s="416" t="s">
        <v>501</v>
      </c>
      <c r="G83" s="416" t="s">
        <v>501</v>
      </c>
      <c r="H83" s="416" t="s">
        <v>501</v>
      </c>
      <c r="I83" s="417" t="s">
        <v>501</v>
      </c>
    </row>
    <row r="84" spans="1:9" ht="15.75" customHeight="1" x14ac:dyDescent="0.2">
      <c r="A84" s="441" t="s">
        <v>554</v>
      </c>
      <c r="B84" s="477"/>
      <c r="C84" s="420">
        <f>Insumos!$K119</f>
        <v>0</v>
      </c>
      <c r="D84" s="420">
        <f>Insumos!$K119</f>
        <v>0</v>
      </c>
      <c r="E84" s="420">
        <f>Insumos!$K119</f>
        <v>0</v>
      </c>
      <c r="F84" s="420">
        <f>Insumos!$K119</f>
        <v>0</v>
      </c>
      <c r="G84" s="420">
        <f>Insumos!$K119</f>
        <v>0</v>
      </c>
      <c r="H84" s="420">
        <f>Insumos!$K119</f>
        <v>0</v>
      </c>
      <c r="I84" s="422">
        <f>Insumos!$K118</f>
        <v>0</v>
      </c>
    </row>
    <row r="85" spans="1:9" x14ac:dyDescent="0.2">
      <c r="A85" s="478" t="s">
        <v>555</v>
      </c>
      <c r="B85" s="477"/>
      <c r="C85" s="420">
        <f>Insumos!$G60</f>
        <v>0</v>
      </c>
      <c r="D85" s="420">
        <f>Insumos!$G60</f>
        <v>0</v>
      </c>
      <c r="E85" s="420">
        <f>Insumos!$G60</f>
        <v>0</v>
      </c>
      <c r="F85" s="420">
        <f>Insumos!$G60</f>
        <v>0</v>
      </c>
      <c r="G85" s="420">
        <f>Insumos!$G60</f>
        <v>0</v>
      </c>
      <c r="H85" s="424" t="s">
        <v>85</v>
      </c>
      <c r="I85" s="425" t="s">
        <v>85</v>
      </c>
    </row>
    <row r="86" spans="1:9" x14ac:dyDescent="0.2">
      <c r="A86" s="478" t="s">
        <v>556</v>
      </c>
      <c r="B86" s="479"/>
      <c r="C86" s="420">
        <f>Insumos!$K100</f>
        <v>0</v>
      </c>
      <c r="D86" s="420">
        <f>Insumos!$K100</f>
        <v>0</v>
      </c>
      <c r="E86" s="420">
        <f>Insumos!$K100</f>
        <v>0</v>
      </c>
      <c r="F86" s="420">
        <f>Insumos!$K100</f>
        <v>0</v>
      </c>
      <c r="G86" s="420">
        <f>Insumos!$K100</f>
        <v>0</v>
      </c>
      <c r="H86" s="424" t="s">
        <v>85</v>
      </c>
      <c r="I86" s="425" t="s">
        <v>85</v>
      </c>
    </row>
    <row r="87" spans="1:9" ht="15.75" customHeight="1" x14ac:dyDescent="0.2">
      <c r="A87" s="478" t="s">
        <v>557</v>
      </c>
      <c r="B87" s="477"/>
      <c r="C87" s="420">
        <f>Insumos!$I130</f>
        <v>0</v>
      </c>
      <c r="D87" s="420">
        <f>Insumos!$I130</f>
        <v>0</v>
      </c>
      <c r="E87" s="420">
        <f>Insumos!$H130</f>
        <v>0</v>
      </c>
      <c r="F87" s="420">
        <f>Insumos!$H130</f>
        <v>0</v>
      </c>
      <c r="G87" s="420">
        <f>Insumos!$H130</f>
        <v>0</v>
      </c>
      <c r="H87" s="424" t="s">
        <v>85</v>
      </c>
      <c r="I87" s="425" t="s">
        <v>85</v>
      </c>
    </row>
    <row r="88" spans="1:9" ht="15.75" customHeight="1" x14ac:dyDescent="0.2">
      <c r="A88" s="478" t="s">
        <v>558</v>
      </c>
      <c r="B88" s="442">
        <v>0.12</v>
      </c>
      <c r="C88" s="424" t="s">
        <v>85</v>
      </c>
      <c r="D88" s="424" t="s">
        <v>85</v>
      </c>
      <c r="E88" s="424" t="s">
        <v>85</v>
      </c>
      <c r="F88" s="424" t="s">
        <v>85</v>
      </c>
      <c r="G88" s="424" t="s">
        <v>85</v>
      </c>
      <c r="H88" s="421">
        <f>B88*(H123+H124+H84)</f>
        <v>0</v>
      </c>
      <c r="I88" s="425" t="s">
        <v>85</v>
      </c>
    </row>
    <row r="89" spans="1:9" ht="15.75" customHeight="1" x14ac:dyDescent="0.2">
      <c r="A89" s="480" t="s">
        <v>559</v>
      </c>
      <c r="B89" s="481"/>
      <c r="C89" s="482"/>
      <c r="D89" s="482"/>
      <c r="E89" s="482"/>
      <c r="F89" s="482"/>
      <c r="G89" s="482"/>
      <c r="H89" s="483"/>
      <c r="I89" s="484">
        <f>Insumos!H146</f>
        <v>0</v>
      </c>
    </row>
    <row r="90" spans="1:9" ht="15.75" customHeight="1" x14ac:dyDescent="0.2">
      <c r="A90" s="478" t="s">
        <v>560</v>
      </c>
      <c r="B90" s="442"/>
      <c r="C90" s="424"/>
      <c r="D90" s="424"/>
      <c r="E90" s="424"/>
      <c r="F90" s="424"/>
      <c r="G90" s="424"/>
      <c r="H90" s="421"/>
      <c r="I90" s="425"/>
    </row>
    <row r="91" spans="1:9" ht="15.75" customHeight="1" x14ac:dyDescent="0.2">
      <c r="A91" s="468" t="s">
        <v>509</v>
      </c>
      <c r="B91" s="485"/>
      <c r="C91" s="470">
        <f t="shared" ref="C91:I91" si="30">SUM(C84:C90)</f>
        <v>0</v>
      </c>
      <c r="D91" s="470">
        <f t="shared" si="30"/>
        <v>0</v>
      </c>
      <c r="E91" s="470">
        <f t="shared" si="30"/>
        <v>0</v>
      </c>
      <c r="F91" s="470">
        <f t="shared" si="30"/>
        <v>0</v>
      </c>
      <c r="G91" s="470">
        <f t="shared" si="30"/>
        <v>0</v>
      </c>
      <c r="H91" s="470">
        <f t="shared" si="30"/>
        <v>0</v>
      </c>
      <c r="I91" s="470">
        <f t="shared" si="30"/>
        <v>0</v>
      </c>
    </row>
    <row r="92" spans="1:9" ht="15.75" customHeight="1" x14ac:dyDescent="0.2">
      <c r="A92" s="778"/>
      <c r="B92" s="778"/>
      <c r="C92" s="486"/>
      <c r="D92" s="486"/>
      <c r="E92" s="486"/>
      <c r="F92" s="486"/>
      <c r="G92" s="486"/>
      <c r="H92" s="487"/>
      <c r="I92" s="488"/>
    </row>
    <row r="93" spans="1:9" ht="15.75" customHeight="1" x14ac:dyDescent="0.2">
      <c r="A93" s="474" t="s">
        <v>561</v>
      </c>
      <c r="B93" s="475"/>
      <c r="C93" s="475"/>
      <c r="D93" s="475"/>
      <c r="E93" s="475"/>
      <c r="F93" s="475"/>
      <c r="G93" s="475"/>
      <c r="H93" s="475"/>
      <c r="I93" s="476"/>
    </row>
    <row r="94" spans="1:9" ht="15.75" customHeight="1" x14ac:dyDescent="0.2">
      <c r="A94" s="415" t="s">
        <v>562</v>
      </c>
      <c r="B94" s="416" t="s">
        <v>500</v>
      </c>
      <c r="C94" s="416" t="s">
        <v>501</v>
      </c>
      <c r="D94" s="416" t="s">
        <v>501</v>
      </c>
      <c r="E94" s="416" t="s">
        <v>501</v>
      </c>
      <c r="F94" s="416" t="s">
        <v>501</v>
      </c>
      <c r="G94" s="416" t="s">
        <v>501</v>
      </c>
      <c r="H94" s="416" t="s">
        <v>501</v>
      </c>
      <c r="I94" s="417" t="s">
        <v>501</v>
      </c>
    </row>
    <row r="95" spans="1:9" ht="15.75" customHeight="1" x14ac:dyDescent="0.2">
      <c r="A95" s="418" t="s">
        <v>70</v>
      </c>
      <c r="B95" s="442">
        <f>MC!C66</f>
        <v>0</v>
      </c>
      <c r="C95" s="449">
        <f t="shared" ref="C95:I95" si="31">(C$19+C$49+C$60+C$80+C$91)*$B$95</f>
        <v>0</v>
      </c>
      <c r="D95" s="449">
        <f t="shared" si="31"/>
        <v>0</v>
      </c>
      <c r="E95" s="449">
        <f t="shared" si="31"/>
        <v>0</v>
      </c>
      <c r="F95" s="449">
        <f t="shared" si="31"/>
        <v>0</v>
      </c>
      <c r="G95" s="449">
        <f t="shared" si="31"/>
        <v>0</v>
      </c>
      <c r="H95" s="449">
        <f t="shared" si="31"/>
        <v>0</v>
      </c>
      <c r="I95" s="450">
        <f t="shared" si="31"/>
        <v>0</v>
      </c>
    </row>
    <row r="96" spans="1:9" x14ac:dyDescent="0.2">
      <c r="A96" s="418" t="s">
        <v>71</v>
      </c>
      <c r="B96" s="442">
        <f>MC!C67</f>
        <v>0</v>
      </c>
      <c r="C96" s="449">
        <f t="shared" ref="C96:I96" si="32">(C$19+C$49+C$60+C$80+C$91+C95)*$B$96</f>
        <v>0</v>
      </c>
      <c r="D96" s="449">
        <f t="shared" si="32"/>
        <v>0</v>
      </c>
      <c r="E96" s="449">
        <f t="shared" si="32"/>
        <v>0</v>
      </c>
      <c r="F96" s="449">
        <f t="shared" si="32"/>
        <v>0</v>
      </c>
      <c r="G96" s="449">
        <f t="shared" si="32"/>
        <v>0</v>
      </c>
      <c r="H96" s="449">
        <f t="shared" si="32"/>
        <v>0</v>
      </c>
      <c r="I96" s="450">
        <f t="shared" si="32"/>
        <v>0</v>
      </c>
    </row>
    <row r="97" spans="1:10" x14ac:dyDescent="0.2">
      <c r="A97" s="489" t="s">
        <v>563</v>
      </c>
      <c r="B97" s="490">
        <f>B98+B99</f>
        <v>0.1125</v>
      </c>
      <c r="C97" s="491">
        <f t="shared" ref="C97:I97" si="33">((C19+C49+C60+C80+C91+C95+C96)/(1-($B$97)))*$B$97</f>
        <v>0</v>
      </c>
      <c r="D97" s="491">
        <f t="shared" si="33"/>
        <v>0</v>
      </c>
      <c r="E97" s="491">
        <f t="shared" si="33"/>
        <v>0</v>
      </c>
      <c r="F97" s="491">
        <f t="shared" si="33"/>
        <v>0</v>
      </c>
      <c r="G97" s="491">
        <f t="shared" si="33"/>
        <v>0</v>
      </c>
      <c r="H97" s="491">
        <f t="shared" si="33"/>
        <v>0</v>
      </c>
      <c r="I97" s="492">
        <f t="shared" si="33"/>
        <v>0</v>
      </c>
    </row>
    <row r="98" spans="1:10" x14ac:dyDescent="0.2">
      <c r="A98" s="418" t="s">
        <v>564</v>
      </c>
      <c r="B98" s="442">
        <f>0.0165+0.076</f>
        <v>9.2499999999999999E-2</v>
      </c>
      <c r="C98" s="493">
        <f t="shared" ref="C98:I98" si="34">((C$19+C$49+C$60+C$80+C$91+C$95+C$96)/(1-($B$97)))*$B$98</f>
        <v>0</v>
      </c>
      <c r="D98" s="493">
        <f t="shared" si="34"/>
        <v>0</v>
      </c>
      <c r="E98" s="493">
        <f t="shared" si="34"/>
        <v>0</v>
      </c>
      <c r="F98" s="493">
        <f t="shared" si="34"/>
        <v>0</v>
      </c>
      <c r="G98" s="493">
        <f t="shared" si="34"/>
        <v>0</v>
      </c>
      <c r="H98" s="493">
        <f t="shared" si="34"/>
        <v>0</v>
      </c>
      <c r="I98" s="494">
        <f t="shared" si="34"/>
        <v>0</v>
      </c>
    </row>
    <row r="99" spans="1:10" x14ac:dyDescent="0.2">
      <c r="A99" s="418" t="s">
        <v>565</v>
      </c>
      <c r="B99" s="442">
        <v>0.02</v>
      </c>
      <c r="C99" s="495">
        <f t="shared" ref="C99:I99" si="35">((C$19+C$49+C$60+C$80+C$91+C$95+C$96)/(1-($B$97)))*$B$99</f>
        <v>0</v>
      </c>
      <c r="D99" s="495">
        <f t="shared" si="35"/>
        <v>0</v>
      </c>
      <c r="E99" s="495">
        <f t="shared" si="35"/>
        <v>0</v>
      </c>
      <c r="F99" s="495">
        <f t="shared" si="35"/>
        <v>0</v>
      </c>
      <c r="G99" s="495">
        <f t="shared" si="35"/>
        <v>0</v>
      </c>
      <c r="H99" s="495">
        <f t="shared" si="35"/>
        <v>0</v>
      </c>
      <c r="I99" s="496">
        <f t="shared" si="35"/>
        <v>0</v>
      </c>
    </row>
    <row r="100" spans="1:10" x14ac:dyDescent="0.2">
      <c r="A100" s="489" t="s">
        <v>566</v>
      </c>
      <c r="B100" s="490">
        <f>B101+B102</f>
        <v>0.11749999999999999</v>
      </c>
      <c r="C100" s="491">
        <f t="shared" ref="C100:I100" si="36">((C19+C49+C60+C80+C91+C95+C96)/(1-($B$100)))*$B$100</f>
        <v>0</v>
      </c>
      <c r="D100" s="491">
        <f t="shared" si="36"/>
        <v>0</v>
      </c>
      <c r="E100" s="491">
        <f t="shared" si="36"/>
        <v>0</v>
      </c>
      <c r="F100" s="491">
        <f t="shared" si="36"/>
        <v>0</v>
      </c>
      <c r="G100" s="491">
        <f t="shared" si="36"/>
        <v>0</v>
      </c>
      <c r="H100" s="491">
        <f t="shared" si="36"/>
        <v>0</v>
      </c>
      <c r="I100" s="492">
        <f t="shared" si="36"/>
        <v>0</v>
      </c>
    </row>
    <row r="101" spans="1:10" x14ac:dyDescent="0.2">
      <c r="A101" s="418" t="s">
        <v>564</v>
      </c>
      <c r="B101" s="442">
        <f>0.0165+0.076</f>
        <v>9.2499999999999999E-2</v>
      </c>
      <c r="C101" s="493">
        <f t="shared" ref="C101:I101" si="37">((C19+C49+C60+C80+C91+C95+C96)/(1-($B$100)))*$B$101</f>
        <v>0</v>
      </c>
      <c r="D101" s="493">
        <f t="shared" si="37"/>
        <v>0</v>
      </c>
      <c r="E101" s="493">
        <f t="shared" si="37"/>
        <v>0</v>
      </c>
      <c r="F101" s="493">
        <f t="shared" si="37"/>
        <v>0</v>
      </c>
      <c r="G101" s="493">
        <f t="shared" si="37"/>
        <v>0</v>
      </c>
      <c r="H101" s="493">
        <f t="shared" si="37"/>
        <v>0</v>
      </c>
      <c r="I101" s="494">
        <f t="shared" si="37"/>
        <v>0</v>
      </c>
    </row>
    <row r="102" spans="1:10" x14ac:dyDescent="0.2">
      <c r="A102" s="418" t="s">
        <v>565</v>
      </c>
      <c r="B102" s="442">
        <v>2.5000000000000001E-2</v>
      </c>
      <c r="C102" s="495">
        <f t="shared" ref="C102:I102" si="38">((C$19+C$49+C$60+C$80+C$91+C$95+C$96)/(1-($B$100)))*$B$102</f>
        <v>0</v>
      </c>
      <c r="D102" s="495">
        <f t="shared" si="38"/>
        <v>0</v>
      </c>
      <c r="E102" s="495">
        <f t="shared" si="38"/>
        <v>0</v>
      </c>
      <c r="F102" s="495">
        <f t="shared" si="38"/>
        <v>0</v>
      </c>
      <c r="G102" s="495">
        <f t="shared" si="38"/>
        <v>0</v>
      </c>
      <c r="H102" s="495">
        <f t="shared" si="38"/>
        <v>0</v>
      </c>
      <c r="I102" s="496">
        <f t="shared" si="38"/>
        <v>0</v>
      </c>
    </row>
    <row r="103" spans="1:10" x14ac:dyDescent="0.2">
      <c r="A103" s="489" t="s">
        <v>567</v>
      </c>
      <c r="B103" s="490">
        <f>B104+B105</f>
        <v>0.1225</v>
      </c>
      <c r="C103" s="491">
        <f t="shared" ref="C103:I103" si="39">((C19+C49+C60+C80+C91+C95+C96)/(1-($B$103)))*$B$103</f>
        <v>0</v>
      </c>
      <c r="D103" s="491">
        <f t="shared" si="39"/>
        <v>0</v>
      </c>
      <c r="E103" s="491">
        <f t="shared" si="39"/>
        <v>0</v>
      </c>
      <c r="F103" s="491">
        <f t="shared" si="39"/>
        <v>0</v>
      </c>
      <c r="G103" s="491">
        <f t="shared" si="39"/>
        <v>0</v>
      </c>
      <c r="H103" s="491">
        <f t="shared" si="39"/>
        <v>0</v>
      </c>
      <c r="I103" s="492">
        <f t="shared" si="39"/>
        <v>0</v>
      </c>
    </row>
    <row r="104" spans="1:10" x14ac:dyDescent="0.2">
      <c r="A104" s="418" t="s">
        <v>564</v>
      </c>
      <c r="B104" s="442">
        <f>0.0165+0.076</f>
        <v>9.2499999999999999E-2</v>
      </c>
      <c r="C104" s="493">
        <f t="shared" ref="C104:I104" si="40">((C19+C49+C60+C80+C91+C95+C96)/(1-($B$103)))*$B$104</f>
        <v>0</v>
      </c>
      <c r="D104" s="493">
        <f t="shared" si="40"/>
        <v>0</v>
      </c>
      <c r="E104" s="493">
        <f t="shared" si="40"/>
        <v>0</v>
      </c>
      <c r="F104" s="493">
        <f t="shared" si="40"/>
        <v>0</v>
      </c>
      <c r="G104" s="493">
        <f t="shared" si="40"/>
        <v>0</v>
      </c>
      <c r="H104" s="493">
        <f t="shared" si="40"/>
        <v>0</v>
      </c>
      <c r="I104" s="494">
        <f t="shared" si="40"/>
        <v>0</v>
      </c>
    </row>
    <row r="105" spans="1:10" x14ac:dyDescent="0.2">
      <c r="A105" s="418" t="s">
        <v>565</v>
      </c>
      <c r="B105" s="442">
        <v>0.03</v>
      </c>
      <c r="C105" s="495">
        <f t="shared" ref="C105:I105" si="41">((C19+C49+C60+C80+C91+C95+C96)/(1-($B$103)))*$B$105</f>
        <v>0</v>
      </c>
      <c r="D105" s="495">
        <f t="shared" si="41"/>
        <v>0</v>
      </c>
      <c r="E105" s="495">
        <f t="shared" si="41"/>
        <v>0</v>
      </c>
      <c r="F105" s="495">
        <f t="shared" si="41"/>
        <v>0</v>
      </c>
      <c r="G105" s="495">
        <f t="shared" si="41"/>
        <v>0</v>
      </c>
      <c r="H105" s="495">
        <f t="shared" si="41"/>
        <v>0</v>
      </c>
      <c r="I105" s="496">
        <f t="shared" si="41"/>
        <v>0</v>
      </c>
      <c r="J105" s="497"/>
    </row>
    <row r="106" spans="1:10" x14ac:dyDescent="0.2">
      <c r="A106" s="489" t="s">
        <v>568</v>
      </c>
      <c r="B106" s="490">
        <f>B107+B108</f>
        <v>0.13250000000000001</v>
      </c>
      <c r="C106" s="491">
        <f t="shared" ref="C106:I106" si="42">((C19+C49+C60+C80+C91+C95+C96)/(1-($B$106)))*$B$106</f>
        <v>0</v>
      </c>
      <c r="D106" s="491">
        <f t="shared" si="42"/>
        <v>0</v>
      </c>
      <c r="E106" s="491">
        <f t="shared" si="42"/>
        <v>0</v>
      </c>
      <c r="F106" s="491">
        <f t="shared" si="42"/>
        <v>0</v>
      </c>
      <c r="G106" s="491">
        <f t="shared" si="42"/>
        <v>0</v>
      </c>
      <c r="H106" s="491">
        <f t="shared" si="42"/>
        <v>0</v>
      </c>
      <c r="I106" s="492">
        <f t="shared" si="42"/>
        <v>0</v>
      </c>
    </row>
    <row r="107" spans="1:10" x14ac:dyDescent="0.2">
      <c r="A107" s="418" t="s">
        <v>564</v>
      </c>
      <c r="B107" s="442">
        <f>0.0165+0.076</f>
        <v>9.2499999999999999E-2</v>
      </c>
      <c r="C107" s="493">
        <f t="shared" ref="C107:I107" si="43">((C19+C49+C60+C80+C91+C95+C96)/(1-($B$106)))*$B$107</f>
        <v>0</v>
      </c>
      <c r="D107" s="493">
        <f t="shared" si="43"/>
        <v>0</v>
      </c>
      <c r="E107" s="493">
        <f t="shared" si="43"/>
        <v>0</v>
      </c>
      <c r="F107" s="493">
        <f t="shared" si="43"/>
        <v>0</v>
      </c>
      <c r="G107" s="493">
        <f t="shared" si="43"/>
        <v>0</v>
      </c>
      <c r="H107" s="493">
        <f t="shared" si="43"/>
        <v>0</v>
      </c>
      <c r="I107" s="494">
        <f t="shared" si="43"/>
        <v>0</v>
      </c>
    </row>
    <row r="108" spans="1:10" x14ac:dyDescent="0.2">
      <c r="A108" s="418" t="s">
        <v>565</v>
      </c>
      <c r="B108" s="442">
        <v>0.04</v>
      </c>
      <c r="C108" s="495">
        <f t="shared" ref="C108:I108" si="44">((C19+C49+C60+C80+C91+C95+C96)/(1-($B$106)))*$B$108</f>
        <v>0</v>
      </c>
      <c r="D108" s="495">
        <f t="shared" si="44"/>
        <v>0</v>
      </c>
      <c r="E108" s="495">
        <f t="shared" si="44"/>
        <v>0</v>
      </c>
      <c r="F108" s="495">
        <f t="shared" si="44"/>
        <v>0</v>
      </c>
      <c r="G108" s="495">
        <f t="shared" si="44"/>
        <v>0</v>
      </c>
      <c r="H108" s="495">
        <f t="shared" si="44"/>
        <v>0</v>
      </c>
      <c r="I108" s="496">
        <f t="shared" si="44"/>
        <v>0</v>
      </c>
    </row>
    <row r="109" spans="1:10" x14ac:dyDescent="0.2">
      <c r="A109" s="489" t="s">
        <v>569</v>
      </c>
      <c r="B109" s="490">
        <f>B110+B111</f>
        <v>0.14250000000000002</v>
      </c>
      <c r="C109" s="491">
        <f t="shared" ref="C109:I109" si="45">((C19+C49+C60+C80+C91+C95+C96)/(1-($B$109)))*$B$109</f>
        <v>0</v>
      </c>
      <c r="D109" s="491">
        <f t="shared" si="45"/>
        <v>0</v>
      </c>
      <c r="E109" s="491">
        <f t="shared" si="45"/>
        <v>0</v>
      </c>
      <c r="F109" s="491">
        <f t="shared" si="45"/>
        <v>0</v>
      </c>
      <c r="G109" s="491">
        <f t="shared" si="45"/>
        <v>0</v>
      </c>
      <c r="H109" s="491">
        <f t="shared" si="45"/>
        <v>0</v>
      </c>
      <c r="I109" s="492">
        <f t="shared" si="45"/>
        <v>0</v>
      </c>
    </row>
    <row r="110" spans="1:10" x14ac:dyDescent="0.2">
      <c r="A110" s="418" t="s">
        <v>564</v>
      </c>
      <c r="B110" s="442">
        <f>0.0165+0.076</f>
        <v>9.2499999999999999E-2</v>
      </c>
      <c r="C110" s="498">
        <f t="shared" ref="C110:I110" si="46">((C19+C49+C60+C80+C91+C95+C96)/(1-($B$109)))*$B$110</f>
        <v>0</v>
      </c>
      <c r="D110" s="498">
        <f t="shared" si="46"/>
        <v>0</v>
      </c>
      <c r="E110" s="498">
        <f t="shared" si="46"/>
        <v>0</v>
      </c>
      <c r="F110" s="498">
        <f t="shared" si="46"/>
        <v>0</v>
      </c>
      <c r="G110" s="498">
        <f t="shared" si="46"/>
        <v>0</v>
      </c>
      <c r="H110" s="498">
        <f t="shared" si="46"/>
        <v>0</v>
      </c>
      <c r="I110" s="499">
        <f t="shared" si="46"/>
        <v>0</v>
      </c>
    </row>
    <row r="111" spans="1:10" x14ac:dyDescent="0.2">
      <c r="A111" s="418" t="s">
        <v>565</v>
      </c>
      <c r="B111" s="500">
        <v>0.05</v>
      </c>
      <c r="C111" s="501">
        <f t="shared" ref="C111:I111" si="47">((C19+C49+C60+C80+C91+C95+C96)/(1-($B$109)))*$B$111</f>
        <v>0</v>
      </c>
      <c r="D111" s="501">
        <f t="shared" si="47"/>
        <v>0</v>
      </c>
      <c r="E111" s="501">
        <f t="shared" si="47"/>
        <v>0</v>
      </c>
      <c r="F111" s="501">
        <f t="shared" si="47"/>
        <v>0</v>
      </c>
      <c r="G111" s="501">
        <f t="shared" si="47"/>
        <v>0</v>
      </c>
      <c r="H111" s="501">
        <f t="shared" si="47"/>
        <v>0</v>
      </c>
      <c r="I111" s="502">
        <f t="shared" si="47"/>
        <v>0</v>
      </c>
    </row>
    <row r="112" spans="1:10" x14ac:dyDescent="0.2">
      <c r="A112" s="780" t="s">
        <v>570</v>
      </c>
      <c r="B112" s="503">
        <v>0.02</v>
      </c>
      <c r="C112" s="504">
        <f t="shared" ref="C112:I112" si="48">C95+C96+C97</f>
        <v>0</v>
      </c>
      <c r="D112" s="504">
        <f t="shared" si="48"/>
        <v>0</v>
      </c>
      <c r="E112" s="504">
        <f t="shared" si="48"/>
        <v>0</v>
      </c>
      <c r="F112" s="504">
        <f t="shared" si="48"/>
        <v>0</v>
      </c>
      <c r="G112" s="504">
        <f t="shared" si="48"/>
        <v>0</v>
      </c>
      <c r="H112" s="504">
        <f t="shared" si="48"/>
        <v>0</v>
      </c>
      <c r="I112" s="505">
        <f t="shared" si="48"/>
        <v>0</v>
      </c>
    </row>
    <row r="113" spans="1:10" x14ac:dyDescent="0.2">
      <c r="A113" s="780"/>
      <c r="B113" s="506">
        <v>2.5000000000000001E-2</v>
      </c>
      <c r="C113" s="507">
        <f t="shared" ref="C113:I113" si="49">C95+C96+C100</f>
        <v>0</v>
      </c>
      <c r="D113" s="507">
        <f t="shared" si="49"/>
        <v>0</v>
      </c>
      <c r="E113" s="507">
        <f t="shared" si="49"/>
        <v>0</v>
      </c>
      <c r="F113" s="507">
        <f t="shared" si="49"/>
        <v>0</v>
      </c>
      <c r="G113" s="507">
        <f t="shared" si="49"/>
        <v>0</v>
      </c>
      <c r="H113" s="507">
        <f t="shared" si="49"/>
        <v>0</v>
      </c>
      <c r="I113" s="508">
        <f t="shared" si="49"/>
        <v>0</v>
      </c>
    </row>
    <row r="114" spans="1:10" ht="15.75" customHeight="1" x14ac:dyDescent="0.2">
      <c r="A114" s="780"/>
      <c r="B114" s="506">
        <v>0.03</v>
      </c>
      <c r="C114" s="507">
        <f t="shared" ref="C114:I114" si="50">C95+C96+C103</f>
        <v>0</v>
      </c>
      <c r="D114" s="507">
        <f t="shared" si="50"/>
        <v>0</v>
      </c>
      <c r="E114" s="507">
        <f t="shared" si="50"/>
        <v>0</v>
      </c>
      <c r="F114" s="507">
        <f t="shared" si="50"/>
        <v>0</v>
      </c>
      <c r="G114" s="507">
        <f t="shared" si="50"/>
        <v>0</v>
      </c>
      <c r="H114" s="507">
        <f t="shared" si="50"/>
        <v>0</v>
      </c>
      <c r="I114" s="508">
        <f t="shared" si="50"/>
        <v>0</v>
      </c>
      <c r="J114" s="497"/>
    </row>
    <row r="115" spans="1:10" ht="15.75" customHeight="1" x14ac:dyDescent="0.2">
      <c r="A115" s="780"/>
      <c r="B115" s="506">
        <v>0.04</v>
      </c>
      <c r="C115" s="507">
        <f t="shared" ref="C115:I115" si="51">C95+C96+C106</f>
        <v>0</v>
      </c>
      <c r="D115" s="507">
        <f t="shared" si="51"/>
        <v>0</v>
      </c>
      <c r="E115" s="507">
        <f t="shared" si="51"/>
        <v>0</v>
      </c>
      <c r="F115" s="507">
        <f t="shared" si="51"/>
        <v>0</v>
      </c>
      <c r="G115" s="507">
        <f t="shared" si="51"/>
        <v>0</v>
      </c>
      <c r="H115" s="507">
        <f t="shared" si="51"/>
        <v>0</v>
      </c>
      <c r="I115" s="508">
        <f t="shared" si="51"/>
        <v>0</v>
      </c>
    </row>
    <row r="116" spans="1:10" ht="15.75" customHeight="1" x14ac:dyDescent="0.2">
      <c r="A116" s="780"/>
      <c r="B116" s="509">
        <v>0.05</v>
      </c>
      <c r="C116" s="510">
        <f t="shared" ref="C116:I116" si="52">C95+C96+C109</f>
        <v>0</v>
      </c>
      <c r="D116" s="510">
        <f t="shared" si="52"/>
        <v>0</v>
      </c>
      <c r="E116" s="510">
        <f t="shared" si="52"/>
        <v>0</v>
      </c>
      <c r="F116" s="510">
        <f t="shared" si="52"/>
        <v>0</v>
      </c>
      <c r="G116" s="510">
        <f t="shared" si="52"/>
        <v>0</v>
      </c>
      <c r="H116" s="510">
        <f t="shared" si="52"/>
        <v>0</v>
      </c>
      <c r="I116" s="511">
        <f t="shared" si="52"/>
        <v>0</v>
      </c>
    </row>
    <row r="117" spans="1:10" ht="15.75" customHeight="1" x14ac:dyDescent="0.2">
      <c r="A117" s="418" t="s">
        <v>571</v>
      </c>
      <c r="B117" s="512"/>
      <c r="C117" s="513"/>
      <c r="D117" s="513"/>
      <c r="E117" s="513"/>
      <c r="F117" s="513"/>
      <c r="G117" s="513"/>
      <c r="H117" s="514"/>
      <c r="I117" s="515"/>
    </row>
    <row r="118" spans="1:10" ht="24.75" customHeight="1" x14ac:dyDescent="0.2">
      <c r="A118" s="516"/>
      <c r="B118" s="517"/>
      <c r="C118" s="518"/>
      <c r="D118" s="518"/>
      <c r="E118" s="518"/>
      <c r="F118" s="518"/>
      <c r="G118" s="518"/>
      <c r="H118" s="519"/>
      <c r="I118" s="520"/>
    </row>
    <row r="119" spans="1:10" ht="15.75" customHeight="1" x14ac:dyDescent="0.2">
      <c r="A119" s="781"/>
      <c r="B119" s="781"/>
      <c r="C119" s="781"/>
      <c r="D119" s="781"/>
      <c r="E119" s="781"/>
      <c r="F119" s="781"/>
      <c r="G119" s="781"/>
      <c r="H119" s="781"/>
      <c r="I119" s="781"/>
    </row>
    <row r="120" spans="1:10" ht="15.75" customHeight="1" x14ac:dyDescent="0.2">
      <c r="A120" s="782"/>
      <c r="B120" s="782"/>
      <c r="C120" s="782"/>
      <c r="D120" s="782"/>
      <c r="E120" s="782"/>
      <c r="F120" s="782"/>
      <c r="G120" s="782"/>
      <c r="H120" s="782"/>
      <c r="I120" s="782"/>
    </row>
    <row r="121" spans="1:10" ht="54.75" customHeight="1" x14ac:dyDescent="0.2">
      <c r="A121" s="783" t="s">
        <v>572</v>
      </c>
      <c r="B121" s="783"/>
      <c r="C121" s="521" t="str">
        <f t="shared" ref="C121:I121" si="53">C10</f>
        <v>Servente 40h (banheirista)
(insalubridade 40%)</v>
      </c>
      <c r="D121" s="521" t="str">
        <f t="shared" si="53"/>
        <v>Servente 40h
(insalubridade 20%)</v>
      </c>
      <c r="E121" s="521" t="str">
        <f t="shared" si="53"/>
        <v>Servente 30h (banheirista)
(insalubridade 40%)</v>
      </c>
      <c r="F121" s="521" t="str">
        <f t="shared" si="53"/>
        <v>Servente 30h
(insalubridade 20%)</v>
      </c>
      <c r="G121" s="521" t="str">
        <f t="shared" si="53"/>
        <v>Servente 20h
(insalubridade 20%)</v>
      </c>
      <c r="H121" s="522" t="str">
        <f t="shared" si="53"/>
        <v>Limpador alpinista 44h (limpeza de esquadrias com risco)</v>
      </c>
      <c r="I121" s="523" t="str">
        <f t="shared" si="53"/>
        <v>Encarregada 40h</v>
      </c>
    </row>
    <row r="122" spans="1:10" ht="15.75" customHeight="1" x14ac:dyDescent="0.2">
      <c r="A122" s="784" t="s">
        <v>573</v>
      </c>
      <c r="B122" s="784"/>
      <c r="C122" s="524" t="s">
        <v>501</v>
      </c>
      <c r="D122" s="524" t="s">
        <v>501</v>
      </c>
      <c r="E122" s="524" t="s">
        <v>501</v>
      </c>
      <c r="F122" s="524" t="s">
        <v>501</v>
      </c>
      <c r="G122" s="524" t="s">
        <v>501</v>
      </c>
      <c r="H122" s="524" t="s">
        <v>501</v>
      </c>
      <c r="I122" s="525" t="s">
        <v>501</v>
      </c>
    </row>
    <row r="123" spans="1:10" ht="14.25" customHeight="1" x14ac:dyDescent="0.2">
      <c r="A123" s="785" t="s">
        <v>574</v>
      </c>
      <c r="B123" s="785"/>
      <c r="C123" s="526">
        <f t="shared" ref="C123:I123" si="54">C19</f>
        <v>0</v>
      </c>
      <c r="D123" s="526">
        <f t="shared" si="54"/>
        <v>0</v>
      </c>
      <c r="E123" s="526">
        <f t="shared" si="54"/>
        <v>0</v>
      </c>
      <c r="F123" s="526">
        <f t="shared" si="54"/>
        <v>0</v>
      </c>
      <c r="G123" s="526">
        <f t="shared" si="54"/>
        <v>0</v>
      </c>
      <c r="H123" s="526">
        <f t="shared" si="54"/>
        <v>0</v>
      </c>
      <c r="I123" s="527">
        <f t="shared" si="54"/>
        <v>0</v>
      </c>
    </row>
    <row r="124" spans="1:10" ht="14.25" customHeight="1" x14ac:dyDescent="0.2">
      <c r="A124" s="786" t="s">
        <v>575</v>
      </c>
      <c r="B124" s="786"/>
      <c r="C124" s="528">
        <f t="shared" ref="C124:I124" si="55">C49</f>
        <v>0</v>
      </c>
      <c r="D124" s="528">
        <f t="shared" si="55"/>
        <v>0</v>
      </c>
      <c r="E124" s="528">
        <f t="shared" si="55"/>
        <v>0</v>
      </c>
      <c r="F124" s="528">
        <f t="shared" si="55"/>
        <v>0</v>
      </c>
      <c r="G124" s="528">
        <f t="shared" si="55"/>
        <v>0</v>
      </c>
      <c r="H124" s="528">
        <f t="shared" si="55"/>
        <v>0</v>
      </c>
      <c r="I124" s="529">
        <f t="shared" si="55"/>
        <v>0</v>
      </c>
    </row>
    <row r="125" spans="1:10" ht="14.25" customHeight="1" x14ac:dyDescent="0.2">
      <c r="A125" s="786" t="s">
        <v>576</v>
      </c>
      <c r="B125" s="786"/>
      <c r="C125" s="528">
        <f t="shared" ref="C125:I125" si="56">C60</f>
        <v>0</v>
      </c>
      <c r="D125" s="528">
        <f t="shared" si="56"/>
        <v>0</v>
      </c>
      <c r="E125" s="528">
        <f t="shared" si="56"/>
        <v>0</v>
      </c>
      <c r="F125" s="528">
        <f t="shared" si="56"/>
        <v>0</v>
      </c>
      <c r="G125" s="528">
        <f t="shared" si="56"/>
        <v>0</v>
      </c>
      <c r="H125" s="528">
        <f t="shared" si="56"/>
        <v>0</v>
      </c>
      <c r="I125" s="529">
        <f t="shared" si="56"/>
        <v>0</v>
      </c>
    </row>
    <row r="126" spans="1:10" ht="14.25" customHeight="1" x14ac:dyDescent="0.2">
      <c r="A126" s="786" t="s">
        <v>577</v>
      </c>
      <c r="B126" s="786"/>
      <c r="C126" s="528">
        <f t="shared" ref="C126:H126" si="57">C80</f>
        <v>0</v>
      </c>
      <c r="D126" s="528">
        <f t="shared" si="57"/>
        <v>0</v>
      </c>
      <c r="E126" s="528">
        <f t="shared" si="57"/>
        <v>0</v>
      </c>
      <c r="F126" s="528">
        <f t="shared" si="57"/>
        <v>0</v>
      </c>
      <c r="G126" s="528">
        <f t="shared" si="57"/>
        <v>0</v>
      </c>
      <c r="H126" s="528">
        <f t="shared" si="57"/>
        <v>0</v>
      </c>
      <c r="I126" s="529">
        <f>I69</f>
        <v>0</v>
      </c>
    </row>
    <row r="127" spans="1:10" ht="15.75" customHeight="1" x14ac:dyDescent="0.2">
      <c r="A127" s="786" t="s">
        <v>578</v>
      </c>
      <c r="B127" s="786"/>
      <c r="C127" s="528">
        <f t="shared" ref="C127:I127" si="58">C91</f>
        <v>0</v>
      </c>
      <c r="D127" s="528">
        <f t="shared" si="58"/>
        <v>0</v>
      </c>
      <c r="E127" s="528">
        <f t="shared" si="58"/>
        <v>0</v>
      </c>
      <c r="F127" s="528">
        <f t="shared" si="58"/>
        <v>0</v>
      </c>
      <c r="G127" s="528">
        <f t="shared" si="58"/>
        <v>0</v>
      </c>
      <c r="H127" s="528">
        <f t="shared" si="58"/>
        <v>0</v>
      </c>
      <c r="I127" s="529">
        <f t="shared" si="58"/>
        <v>0</v>
      </c>
    </row>
    <row r="128" spans="1:10" ht="15.75" customHeight="1" x14ac:dyDescent="0.2">
      <c r="A128" s="787" t="s">
        <v>579</v>
      </c>
      <c r="B128" s="787"/>
      <c r="C128" s="530">
        <f t="shared" ref="C128:I128" si="59">SUM(C123:C127)</f>
        <v>0</v>
      </c>
      <c r="D128" s="530">
        <f t="shared" si="59"/>
        <v>0</v>
      </c>
      <c r="E128" s="530">
        <f t="shared" si="59"/>
        <v>0</v>
      </c>
      <c r="F128" s="530">
        <f t="shared" si="59"/>
        <v>0</v>
      </c>
      <c r="G128" s="530">
        <f t="shared" si="59"/>
        <v>0</v>
      </c>
      <c r="H128" s="531">
        <f t="shared" si="59"/>
        <v>0</v>
      </c>
      <c r="I128" s="532">
        <f t="shared" si="59"/>
        <v>0</v>
      </c>
    </row>
    <row r="129" spans="1:9" ht="15.75" customHeight="1" x14ac:dyDescent="0.2">
      <c r="A129" s="788" t="s">
        <v>580</v>
      </c>
      <c r="B129" s="788"/>
      <c r="C129" s="533">
        <f t="shared" ref="C129:I133" si="60">C112</f>
        <v>0</v>
      </c>
      <c r="D129" s="533">
        <f t="shared" si="60"/>
        <v>0</v>
      </c>
      <c r="E129" s="533">
        <f t="shared" si="60"/>
        <v>0</v>
      </c>
      <c r="F129" s="533">
        <f t="shared" si="60"/>
        <v>0</v>
      </c>
      <c r="G129" s="533">
        <f t="shared" si="60"/>
        <v>0</v>
      </c>
      <c r="H129" s="533">
        <f t="shared" si="60"/>
        <v>0</v>
      </c>
      <c r="I129" s="534">
        <f t="shared" si="60"/>
        <v>0</v>
      </c>
    </row>
    <row r="130" spans="1:9" ht="15.75" customHeight="1" x14ac:dyDescent="0.2">
      <c r="A130" s="786" t="s">
        <v>581</v>
      </c>
      <c r="B130" s="786"/>
      <c r="C130" s="535">
        <f t="shared" si="60"/>
        <v>0</v>
      </c>
      <c r="D130" s="535">
        <f t="shared" si="60"/>
        <v>0</v>
      </c>
      <c r="E130" s="535">
        <f t="shared" si="60"/>
        <v>0</v>
      </c>
      <c r="F130" s="535">
        <f t="shared" si="60"/>
        <v>0</v>
      </c>
      <c r="G130" s="535">
        <f t="shared" si="60"/>
        <v>0</v>
      </c>
      <c r="H130" s="535">
        <f t="shared" si="60"/>
        <v>0</v>
      </c>
      <c r="I130" s="536">
        <f t="shared" si="60"/>
        <v>0</v>
      </c>
    </row>
    <row r="131" spans="1:9" ht="15.75" customHeight="1" x14ac:dyDescent="0.2">
      <c r="A131" s="786" t="s">
        <v>582</v>
      </c>
      <c r="B131" s="786"/>
      <c r="C131" s="535">
        <f t="shared" si="60"/>
        <v>0</v>
      </c>
      <c r="D131" s="535">
        <f t="shared" si="60"/>
        <v>0</v>
      </c>
      <c r="E131" s="535">
        <f t="shared" si="60"/>
        <v>0</v>
      </c>
      <c r="F131" s="535">
        <f t="shared" si="60"/>
        <v>0</v>
      </c>
      <c r="G131" s="535">
        <f t="shared" si="60"/>
        <v>0</v>
      </c>
      <c r="H131" s="535">
        <f t="shared" si="60"/>
        <v>0</v>
      </c>
      <c r="I131" s="536">
        <f t="shared" si="60"/>
        <v>0</v>
      </c>
    </row>
    <row r="132" spans="1:9" ht="15.75" customHeight="1" x14ac:dyDescent="0.2">
      <c r="A132" s="786" t="s">
        <v>583</v>
      </c>
      <c r="B132" s="786"/>
      <c r="C132" s="535">
        <f t="shared" si="60"/>
        <v>0</v>
      </c>
      <c r="D132" s="535">
        <f t="shared" si="60"/>
        <v>0</v>
      </c>
      <c r="E132" s="535">
        <f t="shared" si="60"/>
        <v>0</v>
      </c>
      <c r="F132" s="535">
        <f t="shared" si="60"/>
        <v>0</v>
      </c>
      <c r="G132" s="535">
        <f t="shared" si="60"/>
        <v>0</v>
      </c>
      <c r="H132" s="535">
        <f t="shared" si="60"/>
        <v>0</v>
      </c>
      <c r="I132" s="536">
        <f t="shared" si="60"/>
        <v>0</v>
      </c>
    </row>
    <row r="133" spans="1:9" ht="15.75" customHeight="1" x14ac:dyDescent="0.2">
      <c r="A133" s="788" t="s">
        <v>584</v>
      </c>
      <c r="B133" s="788"/>
      <c r="C133" s="535">
        <f t="shared" si="60"/>
        <v>0</v>
      </c>
      <c r="D133" s="535">
        <f t="shared" si="60"/>
        <v>0</v>
      </c>
      <c r="E133" s="535">
        <f t="shared" si="60"/>
        <v>0</v>
      </c>
      <c r="F133" s="535">
        <f t="shared" si="60"/>
        <v>0</v>
      </c>
      <c r="G133" s="535">
        <f t="shared" si="60"/>
        <v>0</v>
      </c>
      <c r="H133" s="535">
        <f t="shared" si="60"/>
        <v>0</v>
      </c>
      <c r="I133" s="536">
        <f t="shared" si="60"/>
        <v>0</v>
      </c>
    </row>
    <row r="134" spans="1:9" ht="15.75" customHeight="1" x14ac:dyDescent="0.2">
      <c r="A134" s="537" t="s">
        <v>585</v>
      </c>
      <c r="B134" s="538"/>
      <c r="C134" s="539">
        <f t="shared" ref="C134:I134" si="61">C128+C129</f>
        <v>0</v>
      </c>
      <c r="D134" s="539">
        <f t="shared" si="61"/>
        <v>0</v>
      </c>
      <c r="E134" s="539">
        <f t="shared" si="61"/>
        <v>0</v>
      </c>
      <c r="F134" s="539">
        <f t="shared" si="61"/>
        <v>0</v>
      </c>
      <c r="G134" s="539">
        <f t="shared" si="61"/>
        <v>0</v>
      </c>
      <c r="H134" s="539">
        <f t="shared" si="61"/>
        <v>0</v>
      </c>
      <c r="I134" s="540">
        <f t="shared" si="61"/>
        <v>0</v>
      </c>
    </row>
    <row r="135" spans="1:9" ht="15.75" customHeight="1" x14ac:dyDescent="0.2">
      <c r="A135" s="541" t="s">
        <v>586</v>
      </c>
      <c r="B135" s="542"/>
      <c r="C135" s="543">
        <f t="shared" ref="C135:I135" si="62">C128+C130</f>
        <v>0</v>
      </c>
      <c r="D135" s="543">
        <f t="shared" si="62"/>
        <v>0</v>
      </c>
      <c r="E135" s="543">
        <f t="shared" si="62"/>
        <v>0</v>
      </c>
      <c r="F135" s="543">
        <f t="shared" si="62"/>
        <v>0</v>
      </c>
      <c r="G135" s="543">
        <f t="shared" si="62"/>
        <v>0</v>
      </c>
      <c r="H135" s="543">
        <f t="shared" si="62"/>
        <v>0</v>
      </c>
      <c r="I135" s="544">
        <f t="shared" si="62"/>
        <v>0</v>
      </c>
    </row>
    <row r="136" spans="1:9" ht="15.75" customHeight="1" x14ac:dyDescent="0.2">
      <c r="A136" s="541" t="s">
        <v>587</v>
      </c>
      <c r="B136" s="542"/>
      <c r="C136" s="543">
        <f t="shared" ref="C136:I136" si="63">C128+C131</f>
        <v>0</v>
      </c>
      <c r="D136" s="543">
        <f t="shared" si="63"/>
        <v>0</v>
      </c>
      <c r="E136" s="543">
        <f t="shared" si="63"/>
        <v>0</v>
      </c>
      <c r="F136" s="543">
        <f t="shared" si="63"/>
        <v>0</v>
      </c>
      <c r="G136" s="543">
        <f t="shared" si="63"/>
        <v>0</v>
      </c>
      <c r="H136" s="543">
        <f t="shared" si="63"/>
        <v>0</v>
      </c>
      <c r="I136" s="544">
        <f t="shared" si="63"/>
        <v>0</v>
      </c>
    </row>
    <row r="137" spans="1:9" ht="15.75" customHeight="1" x14ac:dyDescent="0.2">
      <c r="A137" s="541" t="s">
        <v>588</v>
      </c>
      <c r="B137" s="542"/>
      <c r="C137" s="543">
        <f t="shared" ref="C137:I137" si="64">C128+C132</f>
        <v>0</v>
      </c>
      <c r="D137" s="543">
        <f t="shared" si="64"/>
        <v>0</v>
      </c>
      <c r="E137" s="543">
        <f t="shared" si="64"/>
        <v>0</v>
      </c>
      <c r="F137" s="543">
        <f t="shared" si="64"/>
        <v>0</v>
      </c>
      <c r="G137" s="543">
        <f t="shared" si="64"/>
        <v>0</v>
      </c>
      <c r="H137" s="543">
        <f t="shared" si="64"/>
        <v>0</v>
      </c>
      <c r="I137" s="544">
        <f t="shared" si="64"/>
        <v>0</v>
      </c>
    </row>
    <row r="138" spans="1:9" ht="15.75" customHeight="1" x14ac:dyDescent="0.2">
      <c r="A138" s="541" t="s">
        <v>589</v>
      </c>
      <c r="B138" s="542"/>
      <c r="C138" s="543">
        <f t="shared" ref="C138:I138" si="65">C128+C133</f>
        <v>0</v>
      </c>
      <c r="D138" s="543">
        <f t="shared" si="65"/>
        <v>0</v>
      </c>
      <c r="E138" s="543">
        <f t="shared" si="65"/>
        <v>0</v>
      </c>
      <c r="F138" s="543">
        <f t="shared" si="65"/>
        <v>0</v>
      </c>
      <c r="G138" s="543">
        <f t="shared" si="65"/>
        <v>0</v>
      </c>
      <c r="H138" s="543">
        <f t="shared" si="65"/>
        <v>0</v>
      </c>
      <c r="I138" s="544">
        <f t="shared" si="65"/>
        <v>0</v>
      </c>
    </row>
    <row r="139" spans="1:9" ht="15.75" customHeight="1" x14ac:dyDescent="0.2">
      <c r="A139" s="545" t="s">
        <v>590</v>
      </c>
      <c r="B139" s="546"/>
      <c r="C139" s="547">
        <f>C134/200</f>
        <v>0</v>
      </c>
      <c r="D139" s="547"/>
      <c r="E139" s="547"/>
      <c r="F139" s="547"/>
      <c r="G139" s="547"/>
      <c r="H139" s="548"/>
      <c r="I139" s="549"/>
    </row>
    <row r="140" spans="1:9" ht="15.75" customHeight="1" x14ac:dyDescent="0.2">
      <c r="A140" s="550" t="s">
        <v>591</v>
      </c>
      <c r="B140" s="551"/>
      <c r="C140" s="552">
        <f>C135/200</f>
        <v>0</v>
      </c>
      <c r="D140" s="552"/>
      <c r="E140" s="552"/>
      <c r="F140" s="552"/>
      <c r="G140" s="552"/>
      <c r="H140" s="553"/>
      <c r="I140" s="554"/>
    </row>
    <row r="141" spans="1:9" ht="15.75" customHeight="1" x14ac:dyDescent="0.2">
      <c r="A141" s="550" t="s">
        <v>592</v>
      </c>
      <c r="B141" s="551"/>
      <c r="C141" s="552">
        <f>C136/200</f>
        <v>0</v>
      </c>
      <c r="D141" s="552"/>
      <c r="E141" s="552"/>
      <c r="F141" s="552"/>
      <c r="G141" s="552"/>
      <c r="H141" s="553"/>
      <c r="I141" s="554"/>
    </row>
    <row r="142" spans="1:9" ht="15.75" customHeight="1" x14ac:dyDescent="0.2">
      <c r="A142" s="550" t="s">
        <v>593</v>
      </c>
      <c r="B142" s="551"/>
      <c r="C142" s="552">
        <f>C137/200</f>
        <v>0</v>
      </c>
      <c r="D142" s="552"/>
      <c r="E142" s="552"/>
      <c r="F142" s="552"/>
      <c r="G142" s="552"/>
      <c r="H142" s="553"/>
      <c r="I142" s="554"/>
    </row>
    <row r="143" spans="1:9" ht="15.75" customHeight="1" x14ac:dyDescent="0.2">
      <c r="A143" s="555" t="s">
        <v>594</v>
      </c>
      <c r="B143" s="556"/>
      <c r="C143" s="557">
        <f>C138/200</f>
        <v>0</v>
      </c>
      <c r="D143" s="557"/>
      <c r="E143" s="557"/>
      <c r="F143" s="557"/>
      <c r="G143" s="557"/>
      <c r="H143" s="558"/>
      <c r="I143" s="559"/>
    </row>
    <row r="144" spans="1:9" x14ac:dyDescent="0.2">
      <c r="A144" s="560"/>
    </row>
    <row r="145" spans="1:15" ht="14.25" customHeight="1" x14ac:dyDescent="0.2">
      <c r="A145" s="789" t="s">
        <v>595</v>
      </c>
      <c r="B145" s="789"/>
      <c r="C145" s="789" t="s">
        <v>596</v>
      </c>
      <c r="D145" s="789"/>
      <c r="E145" s="790" t="s">
        <v>597</v>
      </c>
      <c r="F145" s="790"/>
      <c r="G145" s="789" t="s">
        <v>598</v>
      </c>
      <c r="H145" s="789"/>
      <c r="I145" s="789" t="s">
        <v>599</v>
      </c>
      <c r="J145" s="789"/>
      <c r="K145" s="789" t="s">
        <v>600</v>
      </c>
      <c r="L145" s="789"/>
    </row>
    <row r="146" spans="1:15" ht="25.5" x14ac:dyDescent="0.2">
      <c r="A146" s="561" t="s">
        <v>601</v>
      </c>
      <c r="B146" s="562" t="s">
        <v>602</v>
      </c>
      <c r="C146" s="562" t="s">
        <v>603</v>
      </c>
      <c r="D146" s="562" t="s">
        <v>604</v>
      </c>
      <c r="E146" s="562" t="s">
        <v>603</v>
      </c>
      <c r="F146" s="562" t="s">
        <v>604</v>
      </c>
      <c r="G146" s="562" t="s">
        <v>603</v>
      </c>
      <c r="H146" s="562" t="s">
        <v>604</v>
      </c>
      <c r="I146" s="562" t="s">
        <v>603</v>
      </c>
      <c r="J146" s="562" t="s">
        <v>604</v>
      </c>
      <c r="K146" s="562" t="s">
        <v>603</v>
      </c>
      <c r="L146" s="562" t="s">
        <v>604</v>
      </c>
    </row>
    <row r="147" spans="1:15" x14ac:dyDescent="0.2">
      <c r="A147" s="563" t="s">
        <v>605</v>
      </c>
      <c r="B147" s="564">
        <f>1/'Prod. GEXPSF'!D18</f>
        <v>1.25E-3</v>
      </c>
      <c r="C147" s="565">
        <f>D134</f>
        <v>0</v>
      </c>
      <c r="D147" s="565">
        <f>B147*C147</f>
        <v>0</v>
      </c>
      <c r="E147" s="565">
        <f>D135</f>
        <v>0</v>
      </c>
      <c r="F147" s="565">
        <f>B147*E147</f>
        <v>0</v>
      </c>
      <c r="G147" s="565">
        <f>D136</f>
        <v>0</v>
      </c>
      <c r="H147" s="565">
        <f>B147*G147</f>
        <v>0</v>
      </c>
      <c r="I147" s="565">
        <f>D137</f>
        <v>0</v>
      </c>
      <c r="J147" s="565">
        <f>B147*I147</f>
        <v>0</v>
      </c>
      <c r="K147" s="565">
        <f>D138</f>
        <v>0</v>
      </c>
      <c r="L147" s="565">
        <f>B147*K147</f>
        <v>0</v>
      </c>
    </row>
    <row r="148" spans="1:15" x14ac:dyDescent="0.2">
      <c r="A148" s="566" t="s">
        <v>606</v>
      </c>
      <c r="B148" s="564">
        <f>B147/'Prod. GEXPSF'!Q18</f>
        <v>5.6818181818181818E-5</v>
      </c>
      <c r="C148" s="565">
        <f>I134</f>
        <v>0</v>
      </c>
      <c r="D148" s="565">
        <f>C148*B148</f>
        <v>0</v>
      </c>
      <c r="E148" s="565">
        <f>C148</f>
        <v>0</v>
      </c>
      <c r="F148" s="565">
        <f>B148*E148</f>
        <v>0</v>
      </c>
      <c r="G148" s="565">
        <f>C148</f>
        <v>0</v>
      </c>
      <c r="H148" s="565">
        <f>B148*G148</f>
        <v>0</v>
      </c>
      <c r="I148" s="565">
        <f>C148</f>
        <v>0</v>
      </c>
      <c r="J148" s="565">
        <f>B148*I148</f>
        <v>0</v>
      </c>
      <c r="K148" s="565">
        <f>C148</f>
        <v>0</v>
      </c>
      <c r="L148" s="565">
        <f>B148*K148</f>
        <v>0</v>
      </c>
      <c r="M148" s="791" t="s">
        <v>607</v>
      </c>
      <c r="N148" s="791"/>
      <c r="O148" s="567" t="s">
        <v>608</v>
      </c>
    </row>
    <row r="149" spans="1:15" x14ac:dyDescent="0.2">
      <c r="A149" s="568" t="s">
        <v>609</v>
      </c>
      <c r="B149" s="569"/>
      <c r="C149" s="570"/>
      <c r="D149" s="570">
        <f>SUM(D147:D148)</f>
        <v>0</v>
      </c>
      <c r="E149" s="570"/>
      <c r="F149" s="570">
        <f>SUM(F147:F148)</f>
        <v>0</v>
      </c>
      <c r="G149" s="570"/>
      <c r="H149" s="570">
        <f>SUM(H147:H148)</f>
        <v>0</v>
      </c>
      <c r="I149" s="570"/>
      <c r="J149" s="570">
        <f>SUM(J147:J148)</f>
        <v>0</v>
      </c>
      <c r="K149" s="570"/>
      <c r="L149" s="570">
        <f>SUM(L147:L148)</f>
        <v>0</v>
      </c>
      <c r="M149" s="571">
        <v>3.08</v>
      </c>
      <c r="N149" s="572">
        <v>5.56</v>
      </c>
    </row>
    <row r="150" spans="1:15" x14ac:dyDescent="0.2">
      <c r="A150" s="560"/>
    </row>
    <row r="151" spans="1:15" ht="14.25" customHeight="1" x14ac:dyDescent="0.2">
      <c r="A151" s="789" t="s">
        <v>610</v>
      </c>
      <c r="B151" s="789"/>
      <c r="C151" s="789" t="s">
        <v>596</v>
      </c>
      <c r="D151" s="789"/>
      <c r="E151" s="790" t="s">
        <v>597</v>
      </c>
      <c r="F151" s="790"/>
      <c r="G151" s="789" t="s">
        <v>598</v>
      </c>
      <c r="H151" s="789"/>
      <c r="I151" s="789" t="s">
        <v>599</v>
      </c>
      <c r="J151" s="789"/>
      <c r="K151" s="789" t="s">
        <v>600</v>
      </c>
      <c r="L151" s="789"/>
    </row>
    <row r="152" spans="1:15" ht="25.5" x14ac:dyDescent="0.2">
      <c r="A152" s="561" t="s">
        <v>601</v>
      </c>
      <c r="B152" s="562" t="s">
        <v>602</v>
      </c>
      <c r="C152" s="562" t="s">
        <v>603</v>
      </c>
      <c r="D152" s="562" t="s">
        <v>604</v>
      </c>
      <c r="E152" s="562" t="s">
        <v>603</v>
      </c>
      <c r="F152" s="562" t="s">
        <v>604</v>
      </c>
      <c r="G152" s="562" t="s">
        <v>603</v>
      </c>
      <c r="H152" s="562" t="s">
        <v>604</v>
      </c>
      <c r="I152" s="562" t="s">
        <v>603</v>
      </c>
      <c r="J152" s="562" t="s">
        <v>604</v>
      </c>
      <c r="K152" s="562" t="s">
        <v>603</v>
      </c>
      <c r="L152" s="562" t="s">
        <v>604</v>
      </c>
    </row>
    <row r="153" spans="1:15" x14ac:dyDescent="0.2">
      <c r="A153" s="563" t="s">
        <v>605</v>
      </c>
      <c r="B153" s="564">
        <f>1/'Prod. GEXPSF'!E18</f>
        <v>1.25E-3</v>
      </c>
      <c r="C153" s="573">
        <f>C134</f>
        <v>0</v>
      </c>
      <c r="D153" s="565">
        <f>B153*C153</f>
        <v>0</v>
      </c>
      <c r="E153" s="573">
        <f>C135</f>
        <v>0</v>
      </c>
      <c r="F153" s="565">
        <f>B153*E153</f>
        <v>0</v>
      </c>
      <c r="G153" s="573">
        <f>C136</f>
        <v>0</v>
      </c>
      <c r="H153" s="565">
        <f>B153*G153</f>
        <v>0</v>
      </c>
      <c r="I153" s="573">
        <f>C137</f>
        <v>0</v>
      </c>
      <c r="J153" s="565">
        <f>B153*I153</f>
        <v>0</v>
      </c>
      <c r="K153" s="573">
        <f>C138</f>
        <v>0</v>
      </c>
      <c r="L153" s="565">
        <f>B153*K153</f>
        <v>0</v>
      </c>
    </row>
    <row r="154" spans="1:15" x14ac:dyDescent="0.2">
      <c r="A154" s="566" t="s">
        <v>606</v>
      </c>
      <c r="B154" s="564">
        <f>B153/'Prod. GEXPSF'!Q18</f>
        <v>5.6818181818181818E-5</v>
      </c>
      <c r="C154" s="565">
        <f>I134</f>
        <v>0</v>
      </c>
      <c r="D154" s="565">
        <f>C154*B154</f>
        <v>0</v>
      </c>
      <c r="E154" s="565">
        <f>C154</f>
        <v>0</v>
      </c>
      <c r="F154" s="565">
        <f>B154*E154</f>
        <v>0</v>
      </c>
      <c r="G154" s="565">
        <f>C154</f>
        <v>0</v>
      </c>
      <c r="H154" s="565">
        <f>B154*G154</f>
        <v>0</v>
      </c>
      <c r="I154" s="565">
        <f>C154</f>
        <v>0</v>
      </c>
      <c r="J154" s="565">
        <f>B154*I154</f>
        <v>0</v>
      </c>
      <c r="K154" s="565">
        <f>C154</f>
        <v>0</v>
      </c>
      <c r="L154" s="565">
        <f>B154*K154</f>
        <v>0</v>
      </c>
      <c r="M154" s="791" t="s">
        <v>607</v>
      </c>
      <c r="N154" s="791"/>
      <c r="O154" s="567" t="s">
        <v>608</v>
      </c>
    </row>
    <row r="155" spans="1:15" x14ac:dyDescent="0.2">
      <c r="A155" s="568" t="s">
        <v>609</v>
      </c>
      <c r="B155" s="569"/>
      <c r="C155" s="570"/>
      <c r="D155" s="570">
        <f>SUM(D153:D154)</f>
        <v>0</v>
      </c>
      <c r="E155" s="570"/>
      <c r="F155" s="570">
        <f>SUM(F153:F154)</f>
        <v>0</v>
      </c>
      <c r="G155" s="570"/>
      <c r="H155" s="570">
        <f>SUM(H153:H154)</f>
        <v>0</v>
      </c>
      <c r="I155" s="570"/>
      <c r="J155" s="570">
        <f>SUM(J153:J154)</f>
        <v>0</v>
      </c>
      <c r="K155" s="570"/>
      <c r="L155" s="570">
        <f>SUM(L153:L154)</f>
        <v>0</v>
      </c>
      <c r="M155" s="571">
        <v>3.08</v>
      </c>
      <c r="N155" s="572">
        <v>5.56</v>
      </c>
    </row>
    <row r="156" spans="1:15" x14ac:dyDescent="0.2">
      <c r="A156" s="574"/>
      <c r="B156" s="575"/>
      <c r="C156" s="575"/>
      <c r="D156" s="575"/>
      <c r="E156" s="576"/>
      <c r="F156" s="576"/>
      <c r="G156" s="576"/>
      <c r="H156" s="576"/>
    </row>
    <row r="157" spans="1:15" ht="14.25" customHeight="1" x14ac:dyDescent="0.2">
      <c r="A157" s="790" t="s">
        <v>611</v>
      </c>
      <c r="B157" s="790"/>
      <c r="C157" s="790" t="s">
        <v>596</v>
      </c>
      <c r="D157" s="790"/>
      <c r="E157" s="790" t="s">
        <v>597</v>
      </c>
      <c r="F157" s="790"/>
      <c r="G157" s="790" t="s">
        <v>598</v>
      </c>
      <c r="H157" s="790"/>
      <c r="I157" s="790" t="s">
        <v>599</v>
      </c>
      <c r="J157" s="790"/>
      <c r="K157" s="790" t="s">
        <v>600</v>
      </c>
      <c r="L157" s="790"/>
    </row>
    <row r="158" spans="1:15" ht="25.5" x14ac:dyDescent="0.2">
      <c r="A158" s="561" t="s">
        <v>601</v>
      </c>
      <c r="B158" s="562" t="s">
        <v>612</v>
      </c>
      <c r="C158" s="562" t="s">
        <v>603</v>
      </c>
      <c r="D158" s="562" t="s">
        <v>604</v>
      </c>
      <c r="E158" s="562" t="s">
        <v>603</v>
      </c>
      <c r="F158" s="562" t="s">
        <v>604</v>
      </c>
      <c r="G158" s="562" t="s">
        <v>603</v>
      </c>
      <c r="H158" s="562" t="s">
        <v>604</v>
      </c>
      <c r="I158" s="562" t="s">
        <v>603</v>
      </c>
      <c r="J158" s="562" t="s">
        <v>604</v>
      </c>
      <c r="K158" s="562" t="s">
        <v>603</v>
      </c>
      <c r="L158" s="562" t="s">
        <v>604</v>
      </c>
    </row>
    <row r="159" spans="1:15" x14ac:dyDescent="0.2">
      <c r="A159" s="563" t="s">
        <v>605</v>
      </c>
      <c r="B159" s="577">
        <f>1/'Prod. GEXPSF'!F18</f>
        <v>6.6666666666666664E-4</v>
      </c>
      <c r="C159" s="578">
        <f>D134</f>
        <v>0</v>
      </c>
      <c r="D159" s="565">
        <f>B159*C159</f>
        <v>0</v>
      </c>
      <c r="E159" s="565">
        <f>D135</f>
        <v>0</v>
      </c>
      <c r="F159" s="565">
        <f>B159*E159</f>
        <v>0</v>
      </c>
      <c r="G159" s="565">
        <f>D136</f>
        <v>0</v>
      </c>
      <c r="H159" s="565">
        <f>B159*G159</f>
        <v>0</v>
      </c>
      <c r="I159" s="565">
        <f>D137</f>
        <v>0</v>
      </c>
      <c r="J159" s="565">
        <f>B159*I159</f>
        <v>0</v>
      </c>
      <c r="K159" s="565">
        <f>D138</f>
        <v>0</v>
      </c>
      <c r="L159" s="565">
        <f>B159*K159</f>
        <v>0</v>
      </c>
    </row>
    <row r="160" spans="1:15" x14ac:dyDescent="0.2">
      <c r="A160" s="566" t="s">
        <v>606</v>
      </c>
      <c r="B160" s="564">
        <f>B159/'Prod. GEXPSF'!Q18</f>
        <v>3.0303030303030302E-5</v>
      </c>
      <c r="C160" s="565">
        <f>I134</f>
        <v>0</v>
      </c>
      <c r="D160" s="565">
        <f>B160*C160</f>
        <v>0</v>
      </c>
      <c r="E160" s="565">
        <f>C160</f>
        <v>0</v>
      </c>
      <c r="F160" s="565">
        <f>B160*E160</f>
        <v>0</v>
      </c>
      <c r="G160" s="565">
        <f>C160</f>
        <v>0</v>
      </c>
      <c r="H160" s="565">
        <f>B160*G160</f>
        <v>0</v>
      </c>
      <c r="I160" s="565">
        <f>C160</f>
        <v>0</v>
      </c>
      <c r="J160" s="565">
        <f>B160*I160</f>
        <v>0</v>
      </c>
      <c r="K160" s="565">
        <f>C160</f>
        <v>0</v>
      </c>
      <c r="L160" s="565">
        <f>B160*K160</f>
        <v>0</v>
      </c>
    </row>
    <row r="161" spans="1:12" x14ac:dyDescent="0.2">
      <c r="A161" s="568" t="s">
        <v>613</v>
      </c>
      <c r="B161" s="569"/>
      <c r="C161" s="570"/>
      <c r="D161" s="570">
        <f>SUM(D159:D160)</f>
        <v>0</v>
      </c>
      <c r="E161" s="570"/>
      <c r="F161" s="570">
        <f>SUM(F159:F160)</f>
        <v>0</v>
      </c>
      <c r="G161" s="570"/>
      <c r="H161" s="570">
        <f>SUM(H159:H160)</f>
        <v>0</v>
      </c>
      <c r="I161" s="570"/>
      <c r="J161" s="570">
        <f>SUM(J159:J160)</f>
        <v>0</v>
      </c>
      <c r="K161" s="570"/>
      <c r="L161" s="570">
        <f>SUM(L159:L160)</f>
        <v>0</v>
      </c>
    </row>
    <row r="162" spans="1:12" x14ac:dyDescent="0.2">
      <c r="A162" s="574"/>
      <c r="B162" s="579"/>
      <c r="C162" s="579"/>
      <c r="D162" s="579"/>
      <c r="E162" s="579"/>
      <c r="F162" s="579"/>
      <c r="G162" s="579"/>
      <c r="H162" s="579"/>
    </row>
    <row r="163" spans="1:12" ht="14.25" customHeight="1" x14ac:dyDescent="0.2">
      <c r="A163" s="790" t="s">
        <v>614</v>
      </c>
      <c r="B163" s="790"/>
      <c r="C163" s="790" t="s">
        <v>596</v>
      </c>
      <c r="D163" s="790"/>
      <c r="E163" s="790" t="s">
        <v>597</v>
      </c>
      <c r="F163" s="790"/>
      <c r="G163" s="790" t="s">
        <v>598</v>
      </c>
      <c r="H163" s="790"/>
      <c r="I163" s="790" t="s">
        <v>599</v>
      </c>
      <c r="J163" s="790"/>
      <c r="K163" s="790" t="s">
        <v>600</v>
      </c>
      <c r="L163" s="790"/>
    </row>
    <row r="164" spans="1:12" ht="25.5" x14ac:dyDescent="0.2">
      <c r="A164" s="561" t="s">
        <v>601</v>
      </c>
      <c r="B164" s="562" t="s">
        <v>612</v>
      </c>
      <c r="C164" s="562" t="s">
        <v>603</v>
      </c>
      <c r="D164" s="562" t="s">
        <v>604</v>
      </c>
      <c r="E164" s="562" t="s">
        <v>603</v>
      </c>
      <c r="F164" s="562" t="s">
        <v>604</v>
      </c>
      <c r="G164" s="562" t="s">
        <v>603</v>
      </c>
      <c r="H164" s="562" t="s">
        <v>604</v>
      </c>
      <c r="I164" s="562" t="s">
        <v>603</v>
      </c>
      <c r="J164" s="562" t="s">
        <v>604</v>
      </c>
      <c r="K164" s="562" t="s">
        <v>603</v>
      </c>
      <c r="L164" s="562" t="s">
        <v>604</v>
      </c>
    </row>
    <row r="165" spans="1:12" x14ac:dyDescent="0.2">
      <c r="A165" s="563" t="s">
        <v>605</v>
      </c>
      <c r="B165" s="577">
        <f>1/'Prod. GEXPSF'!G18</f>
        <v>1E-3</v>
      </c>
      <c r="C165" s="578">
        <f>D134</f>
        <v>0</v>
      </c>
      <c r="D165" s="565">
        <f>B165*C165</f>
        <v>0</v>
      </c>
      <c r="E165" s="565">
        <f>D135</f>
        <v>0</v>
      </c>
      <c r="F165" s="565">
        <f>B165*E165</f>
        <v>0</v>
      </c>
      <c r="G165" s="565">
        <f>D136</f>
        <v>0</v>
      </c>
      <c r="H165" s="565">
        <f>B165*G165</f>
        <v>0</v>
      </c>
      <c r="I165" s="565">
        <f>D137</f>
        <v>0</v>
      </c>
      <c r="J165" s="565">
        <f>B165*I165</f>
        <v>0</v>
      </c>
      <c r="K165" s="565">
        <f>D138</f>
        <v>0</v>
      </c>
      <c r="L165" s="565">
        <f>B165*K165</f>
        <v>0</v>
      </c>
    </row>
    <row r="166" spans="1:12" x14ac:dyDescent="0.2">
      <c r="A166" s="566" t="s">
        <v>606</v>
      </c>
      <c r="B166" s="564">
        <f>B165/'Prod. GEXPSF'!Q18</f>
        <v>4.5454545454545459E-5</v>
      </c>
      <c r="C166" s="565">
        <f>I134</f>
        <v>0</v>
      </c>
      <c r="D166" s="565">
        <f>B166*C166</f>
        <v>0</v>
      </c>
      <c r="E166" s="565">
        <f>C166</f>
        <v>0</v>
      </c>
      <c r="F166" s="565">
        <f>B166*E166</f>
        <v>0</v>
      </c>
      <c r="G166" s="565">
        <f>C166</f>
        <v>0</v>
      </c>
      <c r="H166" s="565">
        <f>B166*G166</f>
        <v>0</v>
      </c>
      <c r="I166" s="565">
        <f>C166</f>
        <v>0</v>
      </c>
      <c r="J166" s="565">
        <f>B166*I166</f>
        <v>0</v>
      </c>
      <c r="K166" s="565">
        <f>C166</f>
        <v>0</v>
      </c>
      <c r="L166" s="565">
        <f>B166*K166</f>
        <v>0</v>
      </c>
    </row>
    <row r="167" spans="1:12" x14ac:dyDescent="0.2">
      <c r="A167" s="568" t="s">
        <v>613</v>
      </c>
      <c r="B167" s="569"/>
      <c r="C167" s="570"/>
      <c r="D167" s="570">
        <f>SUM(D165:D166)</f>
        <v>0</v>
      </c>
      <c r="E167" s="570"/>
      <c r="F167" s="570">
        <f>SUM(F165:F166)</f>
        <v>0</v>
      </c>
      <c r="G167" s="570"/>
      <c r="H167" s="570">
        <f>SUM(H165:H166)</f>
        <v>0</v>
      </c>
      <c r="I167" s="570"/>
      <c r="J167" s="570">
        <f>SUM(J165:J166)</f>
        <v>0</v>
      </c>
      <c r="K167" s="570"/>
      <c r="L167" s="570">
        <f>SUM(L165:L166)</f>
        <v>0</v>
      </c>
    </row>
    <row r="168" spans="1:12" x14ac:dyDescent="0.2">
      <c r="A168" s="574"/>
      <c r="B168" s="579"/>
      <c r="C168" s="579"/>
      <c r="D168" s="579"/>
      <c r="E168" s="579"/>
      <c r="F168" s="579"/>
      <c r="G168" s="579"/>
      <c r="H168" s="579"/>
    </row>
    <row r="169" spans="1:12" ht="14.25" customHeight="1" x14ac:dyDescent="0.2">
      <c r="A169" s="790" t="s">
        <v>615</v>
      </c>
      <c r="B169" s="790"/>
      <c r="C169" s="790" t="s">
        <v>596</v>
      </c>
      <c r="D169" s="790"/>
      <c r="E169" s="790" t="s">
        <v>597</v>
      </c>
      <c r="F169" s="790"/>
      <c r="G169" s="790" t="s">
        <v>598</v>
      </c>
      <c r="H169" s="790"/>
      <c r="I169" s="790" t="s">
        <v>599</v>
      </c>
      <c r="J169" s="790"/>
      <c r="K169" s="790" t="s">
        <v>600</v>
      </c>
      <c r="L169" s="790"/>
    </row>
    <row r="170" spans="1:12" ht="25.5" x14ac:dyDescent="0.2">
      <c r="A170" s="561" t="s">
        <v>601</v>
      </c>
      <c r="B170" s="562" t="s">
        <v>612</v>
      </c>
      <c r="C170" s="562" t="s">
        <v>603</v>
      </c>
      <c r="D170" s="562" t="s">
        <v>604</v>
      </c>
      <c r="E170" s="562" t="s">
        <v>603</v>
      </c>
      <c r="F170" s="562" t="s">
        <v>604</v>
      </c>
      <c r="G170" s="562" t="s">
        <v>603</v>
      </c>
      <c r="H170" s="562" t="s">
        <v>604</v>
      </c>
      <c r="I170" s="562" t="s">
        <v>603</v>
      </c>
      <c r="J170" s="562" t="s">
        <v>604</v>
      </c>
      <c r="K170" s="562" t="s">
        <v>603</v>
      </c>
      <c r="L170" s="562" t="s">
        <v>604</v>
      </c>
    </row>
    <row r="171" spans="1:12" x14ac:dyDescent="0.2">
      <c r="A171" s="563" t="s">
        <v>605</v>
      </c>
      <c r="B171" s="577">
        <f>1/'Prod. GEXPSF'!H18</f>
        <v>5.0000000000000001E-3</v>
      </c>
      <c r="C171" s="573">
        <f>C134</f>
        <v>0</v>
      </c>
      <c r="D171" s="565">
        <f>B171*C171</f>
        <v>0</v>
      </c>
      <c r="E171" s="573">
        <f>C135</f>
        <v>0</v>
      </c>
      <c r="F171" s="565">
        <f>B171*E171</f>
        <v>0</v>
      </c>
      <c r="G171" s="573">
        <f>C136</f>
        <v>0</v>
      </c>
      <c r="H171" s="565">
        <f>B171*G171</f>
        <v>0</v>
      </c>
      <c r="I171" s="573">
        <f>C137</f>
        <v>0</v>
      </c>
      <c r="J171" s="565">
        <f>B171*I171</f>
        <v>0</v>
      </c>
      <c r="K171" s="573">
        <f>C138</f>
        <v>0</v>
      </c>
      <c r="L171" s="565">
        <f>B171*K171</f>
        <v>0</v>
      </c>
    </row>
    <row r="172" spans="1:12" x14ac:dyDescent="0.2">
      <c r="A172" s="566" t="s">
        <v>606</v>
      </c>
      <c r="B172" s="564">
        <f>B171/'Prod. GEXPSF'!Q18</f>
        <v>2.2727272727272727E-4</v>
      </c>
      <c r="C172" s="565">
        <f>I134</f>
        <v>0</v>
      </c>
      <c r="D172" s="565">
        <f>C172*B172</f>
        <v>0</v>
      </c>
      <c r="E172" s="565">
        <f>C172</f>
        <v>0</v>
      </c>
      <c r="F172" s="565">
        <f>B172*E172</f>
        <v>0</v>
      </c>
      <c r="G172" s="565">
        <f>C172</f>
        <v>0</v>
      </c>
      <c r="H172" s="565">
        <f>B172*G172</f>
        <v>0</v>
      </c>
      <c r="I172" s="565">
        <f>C172</f>
        <v>0</v>
      </c>
      <c r="J172" s="565">
        <f>B172*I172</f>
        <v>0</v>
      </c>
      <c r="K172" s="565">
        <f>C172</f>
        <v>0</v>
      </c>
      <c r="L172" s="565">
        <f>B172*K172</f>
        <v>0</v>
      </c>
    </row>
    <row r="173" spans="1:12" x14ac:dyDescent="0.2">
      <c r="A173" s="568" t="s">
        <v>613</v>
      </c>
      <c r="B173" s="569"/>
      <c r="C173" s="570"/>
      <c r="D173" s="570">
        <f>SUM(D171:D172)</f>
        <v>0</v>
      </c>
      <c r="E173" s="570"/>
      <c r="F173" s="570">
        <f>SUM(F171:F172)</f>
        <v>0</v>
      </c>
      <c r="G173" s="570"/>
      <c r="H173" s="570">
        <f>SUM(H171:H172)</f>
        <v>0</v>
      </c>
      <c r="I173" s="570"/>
      <c r="J173" s="570">
        <f>SUM(J171:J172)</f>
        <v>0</v>
      </c>
      <c r="K173" s="570"/>
      <c r="L173" s="570">
        <f>SUM(L171:L172)</f>
        <v>0</v>
      </c>
    </row>
    <row r="174" spans="1:12" x14ac:dyDescent="0.2">
      <c r="A174" s="574"/>
      <c r="B174" s="580"/>
      <c r="C174" s="580"/>
      <c r="D174" s="580"/>
      <c r="E174" s="580"/>
      <c r="F174" s="580"/>
      <c r="G174" s="580"/>
      <c r="H174" s="580"/>
    </row>
    <row r="175" spans="1:12" ht="14.25" customHeight="1" x14ac:dyDescent="0.2">
      <c r="A175" s="792" t="s">
        <v>616</v>
      </c>
      <c r="B175" s="792"/>
      <c r="C175" s="792" t="s">
        <v>596</v>
      </c>
      <c r="D175" s="792"/>
      <c r="E175" s="792" t="s">
        <v>597</v>
      </c>
      <c r="F175" s="792"/>
      <c r="G175" s="792" t="s">
        <v>598</v>
      </c>
      <c r="H175" s="792"/>
      <c r="I175" s="792" t="s">
        <v>599</v>
      </c>
      <c r="J175" s="792"/>
      <c r="K175" s="792" t="s">
        <v>600</v>
      </c>
      <c r="L175" s="792"/>
    </row>
    <row r="176" spans="1:12" ht="25.5" x14ac:dyDescent="0.2">
      <c r="A176" s="561" t="s">
        <v>601</v>
      </c>
      <c r="B176" s="562" t="s">
        <v>612</v>
      </c>
      <c r="C176" s="562" t="s">
        <v>603</v>
      </c>
      <c r="D176" s="562" t="s">
        <v>604</v>
      </c>
      <c r="E176" s="562" t="s">
        <v>603</v>
      </c>
      <c r="F176" s="562" t="s">
        <v>604</v>
      </c>
      <c r="G176" s="562" t="s">
        <v>603</v>
      </c>
      <c r="H176" s="562" t="s">
        <v>604</v>
      </c>
      <c r="I176" s="562" t="s">
        <v>603</v>
      </c>
      <c r="J176" s="562" t="s">
        <v>604</v>
      </c>
      <c r="K176" s="562" t="s">
        <v>603</v>
      </c>
      <c r="L176" s="562" t="s">
        <v>604</v>
      </c>
    </row>
    <row r="177" spans="1:14" x14ac:dyDescent="0.2">
      <c r="A177" s="563" t="s">
        <v>617</v>
      </c>
      <c r="B177" s="577">
        <f>1/'Prod. GEXPSF'!I18</f>
        <v>4.1666666666666669E-4</v>
      </c>
      <c r="C177" s="565">
        <f>D134</f>
        <v>0</v>
      </c>
      <c r="D177" s="565">
        <f>B177*C177</f>
        <v>0</v>
      </c>
      <c r="E177" s="565">
        <f>D135</f>
        <v>0</v>
      </c>
      <c r="F177" s="565">
        <f>B177*E177</f>
        <v>0</v>
      </c>
      <c r="G177" s="565">
        <f>D136</f>
        <v>0</v>
      </c>
      <c r="H177" s="565">
        <f>B177*G177</f>
        <v>0</v>
      </c>
      <c r="I177" s="565">
        <f>D137</f>
        <v>0</v>
      </c>
      <c r="J177" s="565">
        <f>B177*I177</f>
        <v>0</v>
      </c>
      <c r="K177" s="565">
        <f>D138</f>
        <v>0</v>
      </c>
      <c r="L177" s="565">
        <f>B177*K177</f>
        <v>0</v>
      </c>
    </row>
    <row r="178" spans="1:14" x14ac:dyDescent="0.2">
      <c r="A178" s="566" t="s">
        <v>606</v>
      </c>
      <c r="B178" s="564">
        <f>B177/'Prod. GEXPSF'!Q18</f>
        <v>1.8939393939393939E-5</v>
      </c>
      <c r="C178" s="565">
        <f>I134</f>
        <v>0</v>
      </c>
      <c r="D178" s="565">
        <f>B178*C178</f>
        <v>0</v>
      </c>
      <c r="E178" s="565">
        <f>C178</f>
        <v>0</v>
      </c>
      <c r="F178" s="565">
        <f>B178*E178</f>
        <v>0</v>
      </c>
      <c r="G178" s="565">
        <f>C178</f>
        <v>0</v>
      </c>
      <c r="H178" s="565">
        <f>B178*G178</f>
        <v>0</v>
      </c>
      <c r="I178" s="565">
        <f>C178</f>
        <v>0</v>
      </c>
      <c r="J178" s="565">
        <f>B178*I178</f>
        <v>0</v>
      </c>
      <c r="K178" s="565">
        <f>C178</f>
        <v>0</v>
      </c>
      <c r="L178" s="565">
        <f>B178*K178</f>
        <v>0</v>
      </c>
      <c r="M178" s="791"/>
      <c r="N178" s="791"/>
    </row>
    <row r="179" spans="1:14" x14ac:dyDescent="0.2">
      <c r="A179" s="581" t="s">
        <v>618</v>
      </c>
      <c r="B179" s="582"/>
      <c r="C179" s="583"/>
      <c r="D179" s="584">
        <f>SUM(D177:D178)</f>
        <v>0</v>
      </c>
      <c r="E179" s="583"/>
      <c r="F179" s="584">
        <f>SUM(F177:F178)</f>
        <v>0</v>
      </c>
      <c r="G179" s="583"/>
      <c r="H179" s="584">
        <f>SUM(H177:H178)</f>
        <v>0</v>
      </c>
      <c r="I179" s="583"/>
      <c r="J179" s="584">
        <f>SUM(J177:J178)</f>
        <v>0</v>
      </c>
      <c r="K179" s="583"/>
      <c r="L179" s="584">
        <f>SUM(L177:L178)</f>
        <v>0</v>
      </c>
      <c r="M179" s="571"/>
      <c r="N179" s="572"/>
    </row>
    <row r="180" spans="1:14" x14ac:dyDescent="0.2">
      <c r="A180" s="563" t="s">
        <v>619</v>
      </c>
      <c r="B180" s="577">
        <f>1/'Prod. GEXPSF'!J18</f>
        <v>1.0000000000000001E-5</v>
      </c>
      <c r="C180" s="565">
        <f>D134</f>
        <v>0</v>
      </c>
      <c r="D180" s="565">
        <f>B180*C180</f>
        <v>0</v>
      </c>
      <c r="E180" s="565">
        <f>D135</f>
        <v>0</v>
      </c>
      <c r="F180" s="565">
        <f>B180*E180</f>
        <v>0</v>
      </c>
      <c r="G180" s="565">
        <f>D136</f>
        <v>0</v>
      </c>
      <c r="H180" s="565">
        <f>B180*G180</f>
        <v>0</v>
      </c>
      <c r="I180" s="565">
        <f>D137</f>
        <v>0</v>
      </c>
      <c r="J180" s="565">
        <f>B180*I180</f>
        <v>0</v>
      </c>
      <c r="K180" s="565">
        <f>D138</f>
        <v>0</v>
      </c>
      <c r="L180" s="565">
        <f>B180*K180</f>
        <v>0</v>
      </c>
    </row>
    <row r="181" spans="1:14" x14ac:dyDescent="0.2">
      <c r="A181" s="566" t="s">
        <v>606</v>
      </c>
      <c r="B181" s="564">
        <f>B180/'Prod. GEXPSF'!Q18</f>
        <v>4.5454545454545457E-7</v>
      </c>
      <c r="C181" s="565">
        <f>I134</f>
        <v>0</v>
      </c>
      <c r="D181" s="565">
        <f>B181*C181</f>
        <v>0</v>
      </c>
      <c r="E181" s="565">
        <f>C181</f>
        <v>0</v>
      </c>
      <c r="F181" s="565">
        <f>B181*E181</f>
        <v>0</v>
      </c>
      <c r="G181" s="565">
        <f>C181</f>
        <v>0</v>
      </c>
      <c r="H181" s="565">
        <f>B181*G181</f>
        <v>0</v>
      </c>
      <c r="I181" s="565">
        <f>C181</f>
        <v>0</v>
      </c>
      <c r="J181" s="565">
        <f>B181*I181</f>
        <v>0</v>
      </c>
      <c r="K181" s="565">
        <f>C181</f>
        <v>0</v>
      </c>
      <c r="L181" s="565">
        <f>B181*K181</f>
        <v>0</v>
      </c>
    </row>
    <row r="182" spans="1:14" x14ac:dyDescent="0.2">
      <c r="A182" s="581" t="s">
        <v>620</v>
      </c>
      <c r="B182" s="585"/>
      <c r="C182" s="583"/>
      <c r="D182" s="584">
        <f>SUM(D180:D181)</f>
        <v>0</v>
      </c>
      <c r="E182" s="583"/>
      <c r="F182" s="584">
        <f>SUM(F180:F181)</f>
        <v>0</v>
      </c>
      <c r="G182" s="583"/>
      <c r="H182" s="584">
        <f>SUM(H180:H181)</f>
        <v>0</v>
      </c>
      <c r="I182" s="583"/>
      <c r="J182" s="584">
        <f>SUM(J180:J181)</f>
        <v>0</v>
      </c>
      <c r="K182" s="583"/>
      <c r="L182" s="584">
        <f>SUM(L180:L181)</f>
        <v>0</v>
      </c>
    </row>
    <row r="183" spans="1:14" x14ac:dyDescent="0.2">
      <c r="A183" s="563" t="s">
        <v>621</v>
      </c>
      <c r="B183" s="577">
        <f>1/'Prod. GEXPSF'!K18</f>
        <v>1.1111111111111112E-4</v>
      </c>
      <c r="C183" s="565">
        <f>D134</f>
        <v>0</v>
      </c>
      <c r="D183" s="565">
        <f>B183*C183</f>
        <v>0</v>
      </c>
      <c r="E183" s="565">
        <f>D135</f>
        <v>0</v>
      </c>
      <c r="F183" s="565">
        <f>B183*E183</f>
        <v>0</v>
      </c>
      <c r="G183" s="565">
        <f>D136</f>
        <v>0</v>
      </c>
      <c r="H183" s="565">
        <f>B183*G183</f>
        <v>0</v>
      </c>
      <c r="I183" s="565">
        <f>D137</f>
        <v>0</v>
      </c>
      <c r="J183" s="565">
        <f>B183*I183</f>
        <v>0</v>
      </c>
      <c r="K183" s="565">
        <f>D138</f>
        <v>0</v>
      </c>
      <c r="L183" s="565">
        <f>B183*K183</f>
        <v>0</v>
      </c>
    </row>
    <row r="184" spans="1:14" x14ac:dyDescent="0.2">
      <c r="A184" s="566" t="s">
        <v>606</v>
      </c>
      <c r="B184" s="564">
        <f>B183/'Prod. GEXPSF'!Q18</f>
        <v>5.0505050505050507E-6</v>
      </c>
      <c r="C184" s="565">
        <f>I134</f>
        <v>0</v>
      </c>
      <c r="D184" s="565">
        <f>B184*C184</f>
        <v>0</v>
      </c>
      <c r="E184" s="565">
        <f>C184</f>
        <v>0</v>
      </c>
      <c r="F184" s="565">
        <f>B184*E184</f>
        <v>0</v>
      </c>
      <c r="G184" s="565">
        <f>C184</f>
        <v>0</v>
      </c>
      <c r="H184" s="565">
        <f>B184*G184</f>
        <v>0</v>
      </c>
      <c r="I184" s="565">
        <f>C184</f>
        <v>0</v>
      </c>
      <c r="J184" s="565">
        <f>B184*I184</f>
        <v>0</v>
      </c>
      <c r="K184" s="565">
        <f>C184</f>
        <v>0</v>
      </c>
      <c r="L184" s="565">
        <f>B184*K184</f>
        <v>0</v>
      </c>
    </row>
    <row r="185" spans="1:14" x14ac:dyDescent="0.2">
      <c r="A185" s="581" t="s">
        <v>622</v>
      </c>
      <c r="B185" s="585"/>
      <c r="C185" s="583"/>
      <c r="D185" s="584">
        <f>SUM(D183:D184)</f>
        <v>0</v>
      </c>
      <c r="E185" s="583"/>
      <c r="F185" s="584">
        <f>SUM(F183:F184)</f>
        <v>0</v>
      </c>
      <c r="G185" s="583"/>
      <c r="H185" s="584">
        <f>SUM(H183:H184)</f>
        <v>0</v>
      </c>
      <c r="I185" s="583"/>
      <c r="J185" s="584">
        <f>SUM(J183:J184)</f>
        <v>0</v>
      </c>
      <c r="K185" s="583"/>
      <c r="L185" s="584">
        <f>SUM(L183:L184)</f>
        <v>0</v>
      </c>
    </row>
    <row r="186" spans="1:14" x14ac:dyDescent="0.2">
      <c r="A186" s="574"/>
      <c r="B186" s="579"/>
      <c r="C186" s="579"/>
      <c r="D186" s="579"/>
      <c r="E186" s="579"/>
      <c r="F186" s="579"/>
      <c r="G186" s="579"/>
      <c r="H186" s="579"/>
    </row>
    <row r="187" spans="1:14" ht="14.25" customHeight="1" x14ac:dyDescent="0.2">
      <c r="A187" s="793" t="s">
        <v>623</v>
      </c>
      <c r="B187" s="793"/>
      <c r="C187" s="793" t="s">
        <v>596</v>
      </c>
      <c r="D187" s="793"/>
      <c r="E187" s="793" t="s">
        <v>597</v>
      </c>
      <c r="F187" s="793"/>
      <c r="G187" s="793" t="s">
        <v>598</v>
      </c>
      <c r="H187" s="793"/>
      <c r="I187" s="793" t="s">
        <v>599</v>
      </c>
      <c r="J187" s="793"/>
      <c r="K187" s="793" t="s">
        <v>600</v>
      </c>
      <c r="L187" s="793"/>
    </row>
    <row r="188" spans="1:14" ht="25.5" x14ac:dyDescent="0.2">
      <c r="A188" s="561" t="s">
        <v>601</v>
      </c>
      <c r="B188" s="562" t="s">
        <v>612</v>
      </c>
      <c r="C188" s="562" t="s">
        <v>603</v>
      </c>
      <c r="D188" s="562" t="s">
        <v>604</v>
      </c>
      <c r="E188" s="562" t="s">
        <v>603</v>
      </c>
      <c r="F188" s="562" t="s">
        <v>604</v>
      </c>
      <c r="G188" s="562" t="s">
        <v>603</v>
      </c>
      <c r="H188" s="562" t="s">
        <v>604</v>
      </c>
      <c r="I188" s="562" t="s">
        <v>603</v>
      </c>
      <c r="J188" s="562" t="s">
        <v>604</v>
      </c>
      <c r="K188" s="562" t="s">
        <v>603</v>
      </c>
      <c r="L188" s="562" t="s">
        <v>604</v>
      </c>
    </row>
    <row r="189" spans="1:14" x14ac:dyDescent="0.2">
      <c r="A189" s="586" t="s">
        <v>624</v>
      </c>
      <c r="B189" s="577">
        <f>(1/'Prod. GEXPSF'!L18)*(1/(30/7*44*6))*8</f>
        <v>4.4191919191919199E-5</v>
      </c>
      <c r="C189" s="587">
        <f>H134</f>
        <v>0</v>
      </c>
      <c r="D189" s="565">
        <f>B189*C189</f>
        <v>0</v>
      </c>
      <c r="E189" s="587">
        <f>H135</f>
        <v>0</v>
      </c>
      <c r="F189" s="565">
        <f>B189*E189</f>
        <v>0</v>
      </c>
      <c r="G189" s="587">
        <f>H136</f>
        <v>0</v>
      </c>
      <c r="H189" s="565">
        <f>B189*G189</f>
        <v>0</v>
      </c>
      <c r="I189" s="587">
        <f>H137</f>
        <v>0</v>
      </c>
      <c r="J189" s="565">
        <f>B189*I189</f>
        <v>0</v>
      </c>
      <c r="K189" s="587">
        <f>H138</f>
        <v>0</v>
      </c>
      <c r="L189" s="565">
        <f>B189*K189</f>
        <v>0</v>
      </c>
    </row>
    <row r="190" spans="1:14" x14ac:dyDescent="0.2">
      <c r="A190" s="566" t="s">
        <v>606</v>
      </c>
      <c r="B190" s="577">
        <f>B189/4</f>
        <v>1.10479797979798E-5</v>
      </c>
      <c r="C190" s="565">
        <f>I134</f>
        <v>0</v>
      </c>
      <c r="D190" s="565">
        <f>B190*C190</f>
        <v>0</v>
      </c>
      <c r="E190" s="565">
        <f>C190</f>
        <v>0</v>
      </c>
      <c r="F190" s="565">
        <f>B190*E190</f>
        <v>0</v>
      </c>
      <c r="G190" s="565">
        <f>C190</f>
        <v>0</v>
      </c>
      <c r="H190" s="565">
        <f>B190*G190</f>
        <v>0</v>
      </c>
      <c r="I190" s="565">
        <f>C190</f>
        <v>0</v>
      </c>
      <c r="J190" s="565">
        <f>B190*I190</f>
        <v>0</v>
      </c>
      <c r="K190" s="565">
        <f>C190</f>
        <v>0</v>
      </c>
      <c r="L190" s="565">
        <f>B190*K190</f>
        <v>0</v>
      </c>
      <c r="M190" s="791"/>
      <c r="N190" s="791"/>
    </row>
    <row r="191" spans="1:14" x14ac:dyDescent="0.2">
      <c r="A191" s="588" t="s">
        <v>625</v>
      </c>
      <c r="B191" s="589"/>
      <c r="C191" s="590"/>
      <c r="D191" s="591">
        <f>SUM(D189:D190)</f>
        <v>0</v>
      </c>
      <c r="E191" s="590"/>
      <c r="F191" s="591">
        <f>SUM(F189:F190)</f>
        <v>0</v>
      </c>
      <c r="G191" s="590"/>
      <c r="H191" s="591">
        <f>SUM(H189:H190)</f>
        <v>0</v>
      </c>
      <c r="I191" s="590"/>
      <c r="J191" s="591">
        <f>SUM(J189:J190)</f>
        <v>0</v>
      </c>
      <c r="K191" s="590"/>
      <c r="L191" s="591">
        <f>SUM(L189:L190)</f>
        <v>0</v>
      </c>
      <c r="M191" s="571"/>
      <c r="N191" s="572"/>
    </row>
    <row r="192" spans="1:14" x14ac:dyDescent="0.2">
      <c r="A192" s="586" t="s">
        <v>626</v>
      </c>
      <c r="B192" s="577">
        <f>1/'Prod. GEXPSF'!M18*16*(1/188.76)</f>
        <v>2.2306242401936183E-4</v>
      </c>
      <c r="C192" s="565">
        <f>D134</f>
        <v>0</v>
      </c>
      <c r="D192" s="565">
        <f>B192*C192</f>
        <v>0</v>
      </c>
      <c r="E192" s="565">
        <f>D135</f>
        <v>0</v>
      </c>
      <c r="F192" s="565">
        <f>B192*E192</f>
        <v>0</v>
      </c>
      <c r="G192" s="565">
        <f>D136</f>
        <v>0</v>
      </c>
      <c r="H192" s="565">
        <f>B192*G192</f>
        <v>0</v>
      </c>
      <c r="I192" s="565">
        <f>D137</f>
        <v>0</v>
      </c>
      <c r="J192" s="565">
        <f>B192*I192</f>
        <v>0</v>
      </c>
      <c r="K192" s="565">
        <f>D138</f>
        <v>0</v>
      </c>
      <c r="L192" s="565">
        <f>B192*K192</f>
        <v>0</v>
      </c>
    </row>
    <row r="193" spans="1:14" x14ac:dyDescent="0.2">
      <c r="A193" s="566" t="s">
        <v>606</v>
      </c>
      <c r="B193" s="577">
        <f>1/('Prod. GEXPSF'!Q18*'Prod. GEXPSF'!M18)*16*(1/188.76)</f>
        <v>1.0139201091789175E-5</v>
      </c>
      <c r="C193" s="565">
        <f>I134</f>
        <v>0</v>
      </c>
      <c r="D193" s="565">
        <f>B193*C193</f>
        <v>0</v>
      </c>
      <c r="E193" s="565">
        <f>C193</f>
        <v>0</v>
      </c>
      <c r="F193" s="565">
        <f>B193*E193</f>
        <v>0</v>
      </c>
      <c r="G193" s="565">
        <f>C193</f>
        <v>0</v>
      </c>
      <c r="H193" s="565">
        <f>B193*G193</f>
        <v>0</v>
      </c>
      <c r="I193" s="565">
        <f>C193</f>
        <v>0</v>
      </c>
      <c r="J193" s="565">
        <f>B193*I193</f>
        <v>0</v>
      </c>
      <c r="K193" s="565">
        <f>C193</f>
        <v>0</v>
      </c>
      <c r="L193" s="565">
        <f>B193*K193</f>
        <v>0</v>
      </c>
      <c r="M193" s="791"/>
      <c r="N193" s="791"/>
    </row>
    <row r="194" spans="1:14" x14ac:dyDescent="0.2">
      <c r="A194" s="588" t="s">
        <v>627</v>
      </c>
      <c r="B194" s="589"/>
      <c r="C194" s="590"/>
      <c r="D194" s="591">
        <f>SUM(D192:D193)</f>
        <v>0</v>
      </c>
      <c r="E194" s="590"/>
      <c r="F194" s="591">
        <f>SUM(F192:F193)</f>
        <v>0</v>
      </c>
      <c r="G194" s="590"/>
      <c r="H194" s="591">
        <f>SUM(H192:H193)</f>
        <v>0</v>
      </c>
      <c r="I194" s="590"/>
      <c r="J194" s="591">
        <f>SUM(J192:J193)</f>
        <v>0</v>
      </c>
      <c r="K194" s="590"/>
      <c r="L194" s="591">
        <f>SUM(L192:L193)</f>
        <v>0</v>
      </c>
      <c r="M194" s="571"/>
      <c r="N194" s="572"/>
    </row>
    <row r="195" spans="1:14" x14ac:dyDescent="0.2">
      <c r="A195" s="563" t="s">
        <v>628</v>
      </c>
      <c r="B195" s="577">
        <f>1/'Prod. GEXPSF'!N18*16*(1/188.76)</f>
        <v>2.2306242401936183E-4</v>
      </c>
      <c r="C195" s="565">
        <f>D134</f>
        <v>0</v>
      </c>
      <c r="D195" s="565">
        <f>B195*C195</f>
        <v>0</v>
      </c>
      <c r="E195" s="565">
        <f>D135</f>
        <v>0</v>
      </c>
      <c r="F195" s="565">
        <f>B195*E195</f>
        <v>0</v>
      </c>
      <c r="G195" s="565">
        <f>D136</f>
        <v>0</v>
      </c>
      <c r="H195" s="565">
        <f>B195*G195</f>
        <v>0</v>
      </c>
      <c r="I195" s="565">
        <f>D137</f>
        <v>0</v>
      </c>
      <c r="J195" s="565">
        <f>B195*I195</f>
        <v>0</v>
      </c>
      <c r="K195" s="565">
        <f>D138</f>
        <v>0</v>
      </c>
      <c r="L195" s="565">
        <f>B195*K195</f>
        <v>0</v>
      </c>
    </row>
    <row r="196" spans="1:14" x14ac:dyDescent="0.2">
      <c r="A196" s="566" t="s">
        <v>606</v>
      </c>
      <c r="B196" s="577">
        <f>1/('Prod. GEXPSF'!Q18*'Prod. GEXPSF'!N18)*16*(1/188.76)</f>
        <v>1.0139201091789175E-5</v>
      </c>
      <c r="C196" s="565">
        <f>I134</f>
        <v>0</v>
      </c>
      <c r="D196" s="565">
        <f>B196*C196</f>
        <v>0</v>
      </c>
      <c r="E196" s="565">
        <f>C196</f>
        <v>0</v>
      </c>
      <c r="F196" s="565">
        <f>B196*E196</f>
        <v>0</v>
      </c>
      <c r="G196" s="565">
        <f>C196</f>
        <v>0</v>
      </c>
      <c r="H196" s="565">
        <f>B196*G196</f>
        <v>0</v>
      </c>
      <c r="I196" s="565">
        <f>C196</f>
        <v>0</v>
      </c>
      <c r="J196" s="565">
        <f>B196*I196</f>
        <v>0</v>
      </c>
      <c r="K196" s="565">
        <f>C196</f>
        <v>0</v>
      </c>
      <c r="L196" s="565">
        <f>B196*K196</f>
        <v>0</v>
      </c>
      <c r="M196" s="791"/>
      <c r="N196" s="791"/>
    </row>
    <row r="197" spans="1:14" x14ac:dyDescent="0.2">
      <c r="A197" s="588" t="s">
        <v>629</v>
      </c>
      <c r="B197" s="589"/>
      <c r="C197" s="590"/>
      <c r="D197" s="591">
        <f>SUM(D195:D196)</f>
        <v>0</v>
      </c>
      <c r="E197" s="590"/>
      <c r="F197" s="591">
        <f>SUM(F195:F196)</f>
        <v>0</v>
      </c>
      <c r="G197" s="590"/>
      <c r="H197" s="591">
        <f>SUM(H195:H196)</f>
        <v>0</v>
      </c>
      <c r="I197" s="590"/>
      <c r="J197" s="591">
        <f>SUM(J195:J196)</f>
        <v>0</v>
      </c>
      <c r="K197" s="590"/>
      <c r="L197" s="591">
        <f>SUM(L195:L196)</f>
        <v>0</v>
      </c>
      <c r="M197" s="571"/>
      <c r="N197" s="572"/>
    </row>
    <row r="198" spans="1:14" x14ac:dyDescent="0.2">
      <c r="A198" s="560"/>
    </row>
  </sheetData>
  <mergeCells count="86">
    <mergeCell ref="M190:N190"/>
    <mergeCell ref="M193:N193"/>
    <mergeCell ref="M196:N196"/>
    <mergeCell ref="K175:L175"/>
    <mergeCell ref="M178:N178"/>
    <mergeCell ref="K187:L187"/>
    <mergeCell ref="A187:B187"/>
    <mergeCell ref="C187:D187"/>
    <mergeCell ref="E187:F187"/>
    <mergeCell ref="G187:H187"/>
    <mergeCell ref="I187:J187"/>
    <mergeCell ref="A175:B175"/>
    <mergeCell ref="C175:D175"/>
    <mergeCell ref="E175:F175"/>
    <mergeCell ref="G175:H175"/>
    <mergeCell ref="I175:J175"/>
    <mergeCell ref="K163:L163"/>
    <mergeCell ref="A169:B169"/>
    <mergeCell ref="C169:D169"/>
    <mergeCell ref="E169:F169"/>
    <mergeCell ref="G169:H169"/>
    <mergeCell ref="I169:J169"/>
    <mergeCell ref="K169:L169"/>
    <mergeCell ref="A163:B163"/>
    <mergeCell ref="C163:D163"/>
    <mergeCell ref="E163:F163"/>
    <mergeCell ref="G163:H163"/>
    <mergeCell ref="I163:J163"/>
    <mergeCell ref="M154:N154"/>
    <mergeCell ref="A157:B157"/>
    <mergeCell ref="C157:D157"/>
    <mergeCell ref="E157:F157"/>
    <mergeCell ref="G157:H157"/>
    <mergeCell ref="I157:J157"/>
    <mergeCell ref="K157:L157"/>
    <mergeCell ref="G145:H145"/>
    <mergeCell ref="I145:J145"/>
    <mergeCell ref="K145:L145"/>
    <mergeCell ref="M148:N148"/>
    <mergeCell ref="A151:B151"/>
    <mergeCell ref="C151:D151"/>
    <mergeCell ref="E151:F151"/>
    <mergeCell ref="G151:H151"/>
    <mergeCell ref="I151:J151"/>
    <mergeCell ref="K151:L151"/>
    <mergeCell ref="A132:B132"/>
    <mergeCell ref="A133:B133"/>
    <mergeCell ref="A145:B145"/>
    <mergeCell ref="C145:D145"/>
    <mergeCell ref="E145:F145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92:B92"/>
    <mergeCell ref="A112:A116"/>
    <mergeCell ref="A119:I119"/>
    <mergeCell ref="A120:I120"/>
    <mergeCell ref="A121:B121"/>
    <mergeCell ref="A21:I21"/>
    <mergeCell ref="A50:I50"/>
    <mergeCell ref="A51:I51"/>
    <mergeCell ref="A61:I61"/>
    <mergeCell ref="A62:I62"/>
    <mergeCell ref="C8:D8"/>
    <mergeCell ref="E8:F8"/>
    <mergeCell ref="A9:I9"/>
    <mergeCell ref="A11:I11"/>
    <mergeCell ref="A20:B20"/>
    <mergeCell ref="C5:D5"/>
    <mergeCell ref="E5:F5"/>
    <mergeCell ref="C6:D6"/>
    <mergeCell ref="E6:F6"/>
    <mergeCell ref="C7:D7"/>
    <mergeCell ref="E7:F7"/>
    <mergeCell ref="A1:I1"/>
    <mergeCell ref="A2:I2"/>
    <mergeCell ref="A3:I3"/>
    <mergeCell ref="C4:D4"/>
    <mergeCell ref="E4:F4"/>
  </mergeCells>
  <hyperlinks>
    <hyperlink ref="O148" r:id="rId1"/>
    <hyperlink ref="O154" r:id="rId2"/>
  </hyperlink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AMF139"/>
  <sheetViews>
    <sheetView zoomScale="75" zoomScaleNormal="75" workbookViewId="0">
      <pane ySplit="10" topLeftCell="A11" activePane="bottomLeft" state="frozen"/>
      <selection pane="bottomLeft" activeCell="E15" sqref="E15"/>
    </sheetView>
  </sheetViews>
  <sheetFormatPr defaultRowHeight="14.25" x14ac:dyDescent="0.2"/>
  <cols>
    <col min="1" max="1" width="55.5" style="393" customWidth="1"/>
    <col min="2" max="5" width="14" style="393" customWidth="1"/>
    <col min="6" max="1020" width="9" style="393" customWidth="1"/>
    <col min="1021" max="1025" width="8.625" customWidth="1"/>
  </cols>
  <sheetData>
    <row r="1" spans="1:5" ht="15.75" x14ac:dyDescent="0.2">
      <c r="A1" s="768" t="s">
        <v>477</v>
      </c>
      <c r="B1" s="768"/>
      <c r="C1" s="768"/>
      <c r="D1" s="768"/>
      <c r="E1" s="768"/>
    </row>
    <row r="2" spans="1:5" ht="15.75" x14ac:dyDescent="0.2">
      <c r="A2" s="769" t="s">
        <v>478</v>
      </c>
      <c r="B2" s="769"/>
      <c r="C2" s="769"/>
      <c r="D2" s="769"/>
      <c r="E2" s="769"/>
    </row>
    <row r="3" spans="1:5" ht="15.75" customHeight="1" x14ac:dyDescent="0.2">
      <c r="A3" s="769" t="s">
        <v>479</v>
      </c>
      <c r="B3" s="769"/>
      <c r="C3" s="769"/>
      <c r="D3" s="769"/>
      <c r="E3" s="769"/>
    </row>
    <row r="4" spans="1:5" ht="15.75" x14ac:dyDescent="0.2">
      <c r="A4" s="394"/>
      <c r="B4" s="395"/>
      <c r="C4" s="396" t="s">
        <v>480</v>
      </c>
      <c r="D4" s="399" t="s">
        <v>481</v>
      </c>
      <c r="E4" s="399" t="s">
        <v>482</v>
      </c>
    </row>
    <row r="5" spans="1:5" x14ac:dyDescent="0.2">
      <c r="A5" s="400"/>
      <c r="B5" s="401" t="s">
        <v>485</v>
      </c>
      <c r="C5" s="402">
        <f>MC!$I11</f>
        <v>0</v>
      </c>
      <c r="D5" s="402">
        <f>MC!$J11</f>
        <v>0</v>
      </c>
      <c r="E5" s="404">
        <f>MC!$K11</f>
        <v>0</v>
      </c>
    </row>
    <row r="6" spans="1:5" x14ac:dyDescent="0.2">
      <c r="A6" s="400"/>
      <c r="B6" s="401" t="s">
        <v>486</v>
      </c>
      <c r="C6" s="405">
        <f>MC!$J8</f>
        <v>0</v>
      </c>
      <c r="D6" s="405">
        <f>MC!$J8</f>
        <v>0</v>
      </c>
      <c r="E6" s="407">
        <f>MC!$J8</f>
        <v>0</v>
      </c>
    </row>
    <row r="7" spans="1:5" x14ac:dyDescent="0.2">
      <c r="A7" s="400"/>
      <c r="B7" s="401" t="s">
        <v>487</v>
      </c>
      <c r="C7" s="405">
        <f>MC!$H8</f>
        <v>0</v>
      </c>
      <c r="D7" s="405">
        <f>MC!$H8</f>
        <v>0</v>
      </c>
      <c r="E7" s="407">
        <f>MC!$H8</f>
        <v>0</v>
      </c>
    </row>
    <row r="8" spans="1:5" x14ac:dyDescent="0.2">
      <c r="A8" s="400"/>
      <c r="B8" s="401" t="s">
        <v>488</v>
      </c>
      <c r="C8" s="408">
        <f>MC!$K8</f>
        <v>0</v>
      </c>
      <c r="D8" s="408">
        <f>MC!$K8</f>
        <v>0</v>
      </c>
      <c r="E8" s="410">
        <f>MC!$K8</f>
        <v>0</v>
      </c>
    </row>
    <row r="9" spans="1:5" x14ac:dyDescent="0.2">
      <c r="A9" s="776"/>
      <c r="B9" s="776"/>
      <c r="C9" s="776"/>
      <c r="D9" s="776"/>
      <c r="E9" s="776"/>
    </row>
    <row r="10" spans="1:5" ht="66.75" customHeight="1" x14ac:dyDescent="0.2">
      <c r="A10" s="411" t="s">
        <v>489</v>
      </c>
      <c r="B10" s="412" t="s">
        <v>490</v>
      </c>
      <c r="C10" s="412" t="s">
        <v>630</v>
      </c>
      <c r="D10" s="592" t="s">
        <v>631</v>
      </c>
      <c r="E10" s="593" t="s">
        <v>632</v>
      </c>
    </row>
    <row r="11" spans="1:5" ht="14.25" customHeight="1" x14ac:dyDescent="0.2">
      <c r="A11" s="777" t="s">
        <v>498</v>
      </c>
      <c r="B11" s="777"/>
      <c r="C11" s="777"/>
      <c r="D11" s="777"/>
      <c r="E11" s="777"/>
    </row>
    <row r="12" spans="1:5" ht="14.25" customHeight="1" x14ac:dyDescent="0.2">
      <c r="A12" s="415" t="s">
        <v>499</v>
      </c>
      <c r="B12" s="416" t="s">
        <v>500</v>
      </c>
      <c r="C12" s="416" t="s">
        <v>501</v>
      </c>
      <c r="D12" s="594" t="s">
        <v>501</v>
      </c>
      <c r="E12" s="595" t="s">
        <v>501</v>
      </c>
    </row>
    <row r="13" spans="1:5" ht="14.25" customHeight="1" x14ac:dyDescent="0.2">
      <c r="A13" s="418" t="s">
        <v>502</v>
      </c>
      <c r="B13" s="419"/>
      <c r="C13" s="420">
        <f>C5</f>
        <v>0</v>
      </c>
      <c r="D13" s="420">
        <f>D5</f>
        <v>0</v>
      </c>
      <c r="E13" s="422">
        <f>E5</f>
        <v>0</v>
      </c>
    </row>
    <row r="14" spans="1:5" ht="14.25" customHeight="1" x14ac:dyDescent="0.2">
      <c r="A14" s="418" t="s">
        <v>503</v>
      </c>
      <c r="B14" s="442">
        <v>0.2</v>
      </c>
      <c r="C14" s="420">
        <f>C13*$B$14</f>
        <v>0</v>
      </c>
      <c r="D14" s="596">
        <f>D13*$B$14</f>
        <v>0</v>
      </c>
      <c r="E14" s="597">
        <f>B14*E13</f>
        <v>0</v>
      </c>
    </row>
    <row r="15" spans="1:5" ht="14.25" customHeight="1" x14ac:dyDescent="0.2">
      <c r="A15" s="418" t="s">
        <v>505</v>
      </c>
      <c r="B15" s="426"/>
      <c r="C15" s="420"/>
      <c r="D15" s="596"/>
      <c r="E15" s="597"/>
    </row>
    <row r="16" spans="1:5" ht="14.25" customHeight="1" x14ac:dyDescent="0.2">
      <c r="A16" s="418" t="s">
        <v>506</v>
      </c>
      <c r="B16" s="426"/>
      <c r="C16" s="420"/>
      <c r="D16" s="596"/>
      <c r="E16" s="597"/>
    </row>
    <row r="17" spans="1:5" ht="14.25" customHeight="1" x14ac:dyDescent="0.2">
      <c r="A17" s="418" t="s">
        <v>507</v>
      </c>
      <c r="B17" s="426"/>
      <c r="C17" s="420"/>
      <c r="D17" s="596"/>
      <c r="E17" s="597"/>
    </row>
    <row r="18" spans="1:5" ht="14.25" customHeight="1" x14ac:dyDescent="0.2">
      <c r="A18" s="418" t="s">
        <v>508</v>
      </c>
      <c r="B18" s="428"/>
      <c r="C18" s="420"/>
      <c r="D18" s="596"/>
      <c r="E18" s="597"/>
    </row>
    <row r="19" spans="1:5" ht="14.25" customHeight="1" x14ac:dyDescent="0.2">
      <c r="A19" s="429" t="s">
        <v>509</v>
      </c>
      <c r="B19" s="430"/>
      <c r="C19" s="444">
        <f>SUM(C13:C18)</f>
        <v>0</v>
      </c>
      <c r="D19" s="598">
        <f>SUM(D13:D18)</f>
        <v>0</v>
      </c>
      <c r="E19" s="599">
        <f>SUM(E13:E18)</f>
        <v>0</v>
      </c>
    </row>
    <row r="20" spans="1:5" ht="14.25" customHeight="1" x14ac:dyDescent="0.2">
      <c r="A20" s="778"/>
      <c r="B20" s="778"/>
      <c r="C20" s="778"/>
      <c r="D20" s="778"/>
      <c r="E20" s="778"/>
    </row>
    <row r="21" spans="1:5" ht="14.25" customHeight="1" x14ac:dyDescent="0.2">
      <c r="A21" s="794" t="s">
        <v>510</v>
      </c>
      <c r="B21" s="794"/>
      <c r="C21" s="794"/>
      <c r="D21" s="794"/>
      <c r="E21" s="794"/>
    </row>
    <row r="22" spans="1:5" ht="14.25" customHeight="1" x14ac:dyDescent="0.2">
      <c r="A22" s="438" t="s">
        <v>511</v>
      </c>
      <c r="B22" s="439" t="s">
        <v>500</v>
      </c>
      <c r="C22" s="439" t="s">
        <v>501</v>
      </c>
      <c r="D22" s="600" t="s">
        <v>501</v>
      </c>
      <c r="E22" s="601" t="s">
        <v>501</v>
      </c>
    </row>
    <row r="23" spans="1:5" ht="14.25" customHeight="1" x14ac:dyDescent="0.2">
      <c r="A23" s="441" t="s">
        <v>512</v>
      </c>
      <c r="B23" s="442">
        <f>1/12</f>
        <v>8.3333333333333329E-2</v>
      </c>
      <c r="C23" s="420">
        <f>ROUND($B23*C$19,2)</f>
        <v>0</v>
      </c>
      <c r="D23" s="596">
        <f>ROUND($B23*D$19,2)</f>
        <v>0</v>
      </c>
      <c r="E23" s="597">
        <f>ROUND($B23*E$19,2)</f>
        <v>0</v>
      </c>
    </row>
    <row r="24" spans="1:5" ht="14.25" customHeight="1" x14ac:dyDescent="0.2">
      <c r="A24" s="441" t="s">
        <v>513</v>
      </c>
      <c r="B24" s="442">
        <f>1/3*1/12</f>
        <v>2.7777777777777776E-2</v>
      </c>
      <c r="C24" s="420">
        <f>C$19*$B$24</f>
        <v>0</v>
      </c>
      <c r="D24" s="596">
        <f>D$19*$B$24</f>
        <v>0</v>
      </c>
      <c r="E24" s="597">
        <f>E$19*$B$24</f>
        <v>0</v>
      </c>
    </row>
    <row r="25" spans="1:5" ht="14.25" customHeight="1" x14ac:dyDescent="0.2">
      <c r="A25" s="429" t="s">
        <v>509</v>
      </c>
      <c r="B25" s="443">
        <f>SUM(B23:B24)</f>
        <v>0.1111111111111111</v>
      </c>
      <c r="C25" s="444">
        <f>SUM(C23:C24)</f>
        <v>0</v>
      </c>
      <c r="D25" s="598">
        <f>SUM(D23:D24)</f>
        <v>0</v>
      </c>
      <c r="E25" s="599">
        <f>SUM(E23:E24)</f>
        <v>0</v>
      </c>
    </row>
    <row r="26" spans="1:5" ht="14.25" customHeight="1" x14ac:dyDescent="0.2">
      <c r="A26" s="438" t="s">
        <v>514</v>
      </c>
      <c r="B26" s="439" t="s">
        <v>500</v>
      </c>
      <c r="C26" s="439" t="s">
        <v>501</v>
      </c>
      <c r="D26" s="600" t="s">
        <v>501</v>
      </c>
      <c r="E26" s="601" t="s">
        <v>501</v>
      </c>
    </row>
    <row r="27" spans="1:5" ht="14.25" customHeight="1" x14ac:dyDescent="0.2">
      <c r="A27" s="438" t="s">
        <v>515</v>
      </c>
      <c r="B27" s="446"/>
      <c r="C27" s="446"/>
      <c r="D27" s="602"/>
      <c r="E27" s="603"/>
    </row>
    <row r="28" spans="1:5" ht="14.25" customHeight="1" x14ac:dyDescent="0.2">
      <c r="A28" s="441" t="s">
        <v>516</v>
      </c>
      <c r="B28" s="442">
        <v>0.2</v>
      </c>
      <c r="C28" s="604">
        <f t="shared" ref="C28:E35" si="0">ROUND((C$19+C$25)*$B28,2)</f>
        <v>0</v>
      </c>
      <c r="D28" s="604">
        <f t="shared" si="0"/>
        <v>0</v>
      </c>
      <c r="E28" s="605">
        <f t="shared" si="0"/>
        <v>0</v>
      </c>
    </row>
    <row r="29" spans="1:5" ht="14.25" customHeight="1" x14ac:dyDescent="0.2">
      <c r="A29" s="441" t="s">
        <v>517</v>
      </c>
      <c r="B29" s="442">
        <v>2.5000000000000001E-2</v>
      </c>
      <c r="C29" s="604">
        <f t="shared" si="0"/>
        <v>0</v>
      </c>
      <c r="D29" s="604">
        <f t="shared" si="0"/>
        <v>0</v>
      </c>
      <c r="E29" s="605">
        <f t="shared" si="0"/>
        <v>0</v>
      </c>
    </row>
    <row r="30" spans="1:5" ht="14.25" customHeight="1" x14ac:dyDescent="0.2">
      <c r="A30" s="441" t="s">
        <v>518</v>
      </c>
      <c r="B30" s="442">
        <v>0.03</v>
      </c>
      <c r="C30" s="604">
        <f t="shared" si="0"/>
        <v>0</v>
      </c>
      <c r="D30" s="604">
        <f t="shared" si="0"/>
        <v>0</v>
      </c>
      <c r="E30" s="605">
        <f t="shared" si="0"/>
        <v>0</v>
      </c>
    </row>
    <row r="31" spans="1:5" ht="14.25" customHeight="1" x14ac:dyDescent="0.2">
      <c r="A31" s="441" t="s">
        <v>519</v>
      </c>
      <c r="B31" s="442">
        <v>1.4999999999999999E-2</v>
      </c>
      <c r="C31" s="604">
        <f t="shared" si="0"/>
        <v>0</v>
      </c>
      <c r="D31" s="604">
        <f t="shared" si="0"/>
        <v>0</v>
      </c>
      <c r="E31" s="605">
        <f t="shared" si="0"/>
        <v>0</v>
      </c>
    </row>
    <row r="32" spans="1:5" ht="14.25" customHeight="1" x14ac:dyDescent="0.2">
      <c r="A32" s="441" t="s">
        <v>520</v>
      </c>
      <c r="B32" s="442">
        <v>0.01</v>
      </c>
      <c r="C32" s="604">
        <f t="shared" si="0"/>
        <v>0</v>
      </c>
      <c r="D32" s="604">
        <f t="shared" si="0"/>
        <v>0</v>
      </c>
      <c r="E32" s="605">
        <f t="shared" si="0"/>
        <v>0</v>
      </c>
    </row>
    <row r="33" spans="1:5" ht="14.25" customHeight="1" x14ac:dyDescent="0.2">
      <c r="A33" s="441" t="s">
        <v>521</v>
      </c>
      <c r="B33" s="442">
        <v>6.0000000000000001E-3</v>
      </c>
      <c r="C33" s="604">
        <f t="shared" si="0"/>
        <v>0</v>
      </c>
      <c r="D33" s="604">
        <f t="shared" si="0"/>
        <v>0</v>
      </c>
      <c r="E33" s="605">
        <f t="shared" si="0"/>
        <v>0</v>
      </c>
    </row>
    <row r="34" spans="1:5" ht="14.25" customHeight="1" x14ac:dyDescent="0.2">
      <c r="A34" s="441" t="s">
        <v>522</v>
      </c>
      <c r="B34" s="442">
        <v>2E-3</v>
      </c>
      <c r="C34" s="604">
        <f t="shared" si="0"/>
        <v>0</v>
      </c>
      <c r="D34" s="604">
        <f t="shared" si="0"/>
        <v>0</v>
      </c>
      <c r="E34" s="605">
        <f t="shared" si="0"/>
        <v>0</v>
      </c>
    </row>
    <row r="35" spans="1:5" ht="14.25" customHeight="1" x14ac:dyDescent="0.2">
      <c r="A35" s="441" t="s">
        <v>523</v>
      </c>
      <c r="B35" s="442">
        <v>0.08</v>
      </c>
      <c r="C35" s="604">
        <f t="shared" si="0"/>
        <v>0</v>
      </c>
      <c r="D35" s="604">
        <f t="shared" si="0"/>
        <v>0</v>
      </c>
      <c r="E35" s="605">
        <f t="shared" si="0"/>
        <v>0</v>
      </c>
    </row>
    <row r="36" spans="1:5" ht="14.25" customHeight="1" x14ac:dyDescent="0.2">
      <c r="A36" s="429" t="s">
        <v>509</v>
      </c>
      <c r="B36" s="443">
        <f>SUM(B28:B35)</f>
        <v>0.36800000000000005</v>
      </c>
      <c r="C36" s="444">
        <f>SUM(C27:C35)</f>
        <v>0</v>
      </c>
      <c r="D36" s="598">
        <f>SUM(D27:D35)</f>
        <v>0</v>
      </c>
      <c r="E36" s="599">
        <f>SUM(E27:E35)</f>
        <v>0</v>
      </c>
    </row>
    <row r="37" spans="1:5" ht="14.25" customHeight="1" x14ac:dyDescent="0.2">
      <c r="A37" s="438" t="s">
        <v>524</v>
      </c>
      <c r="B37" s="439" t="s">
        <v>525</v>
      </c>
      <c r="C37" s="439" t="s">
        <v>501</v>
      </c>
      <c r="D37" s="600" t="s">
        <v>501</v>
      </c>
      <c r="E37" s="440" t="s">
        <v>501</v>
      </c>
    </row>
    <row r="38" spans="1:5" ht="14.25" customHeight="1" x14ac:dyDescent="0.2">
      <c r="A38" s="441" t="s">
        <v>526</v>
      </c>
      <c r="B38" s="451">
        <f>MC!D102</f>
        <v>0</v>
      </c>
      <c r="C38" s="420">
        <f>ROUND(((2*22*$B$38)-0.06*C$13),2)</f>
        <v>0</v>
      </c>
      <c r="D38" s="596">
        <f>ROUND(((2*22*$B$38)-0.06*D$13),2)</f>
        <v>0</v>
      </c>
      <c r="E38" s="597">
        <f>ROUND(((2*22*$B$38)-0.06*E$13),2)</f>
        <v>0</v>
      </c>
    </row>
    <row r="39" spans="1:5" ht="14.25" customHeight="1" x14ac:dyDescent="0.2">
      <c r="A39" s="441" t="s">
        <v>527</v>
      </c>
      <c r="B39" s="452"/>
      <c r="C39" s="449">
        <f>MC!K19</f>
        <v>0</v>
      </c>
      <c r="D39" s="604">
        <f>MC!K20</f>
        <v>0</v>
      </c>
      <c r="E39" s="605">
        <f>MC!K20</f>
        <v>0</v>
      </c>
    </row>
    <row r="40" spans="1:5" ht="14.25" customHeight="1" x14ac:dyDescent="0.2">
      <c r="A40" s="441" t="s">
        <v>528</v>
      </c>
      <c r="B40" s="442">
        <f>MC!C24</f>
        <v>0</v>
      </c>
      <c r="C40" s="449"/>
      <c r="D40" s="604"/>
      <c r="E40" s="605"/>
    </row>
    <row r="41" spans="1:5" ht="14.25" customHeight="1" x14ac:dyDescent="0.2">
      <c r="A41" s="441" t="s">
        <v>633</v>
      </c>
      <c r="B41" s="455">
        <f>MC!E26</f>
        <v>0</v>
      </c>
      <c r="C41" s="449">
        <f>B41</f>
        <v>0</v>
      </c>
      <c r="D41" s="604">
        <f>B41</f>
        <v>0</v>
      </c>
      <c r="E41" s="605"/>
    </row>
    <row r="42" spans="1:5" ht="14.25" customHeight="1" x14ac:dyDescent="0.2">
      <c r="A42" s="441" t="s">
        <v>634</v>
      </c>
      <c r="B42" s="455">
        <f>MC!E27</f>
        <v>0</v>
      </c>
      <c r="C42" s="449">
        <f>$B42</f>
        <v>0</v>
      </c>
      <c r="D42" s="449">
        <f>$B42</f>
        <v>0</v>
      </c>
      <c r="E42" s="450">
        <f>$B42</f>
        <v>0</v>
      </c>
    </row>
    <row r="43" spans="1:5" ht="14.25" customHeight="1" x14ac:dyDescent="0.2">
      <c r="A43" s="441" t="s">
        <v>531</v>
      </c>
      <c r="B43" s="442"/>
      <c r="C43" s="449"/>
      <c r="D43" s="604"/>
      <c r="E43" s="605"/>
    </row>
    <row r="44" spans="1:5" ht="14.25" customHeight="1" x14ac:dyDescent="0.2">
      <c r="A44" s="429" t="s">
        <v>509</v>
      </c>
      <c r="B44" s="430"/>
      <c r="C44" s="444">
        <f>SUM(C38:C43)</f>
        <v>0</v>
      </c>
      <c r="D44" s="598">
        <f>SUM(D38:D43)</f>
        <v>0</v>
      </c>
      <c r="E44" s="599">
        <f>SUM(E38:E43)</f>
        <v>0</v>
      </c>
    </row>
    <row r="45" spans="1:5" ht="14.25" customHeight="1" x14ac:dyDescent="0.2">
      <c r="A45" s="415" t="s">
        <v>532</v>
      </c>
      <c r="B45" s="416" t="s">
        <v>500</v>
      </c>
      <c r="C45" s="416" t="s">
        <v>501</v>
      </c>
      <c r="D45" s="594" t="s">
        <v>501</v>
      </c>
      <c r="E45" s="595" t="s">
        <v>501</v>
      </c>
    </row>
    <row r="46" spans="1:5" ht="14.25" customHeight="1" x14ac:dyDescent="0.2">
      <c r="A46" s="441" t="s">
        <v>511</v>
      </c>
      <c r="B46" s="458">
        <f>B25</f>
        <v>0.1111111111111111</v>
      </c>
      <c r="C46" s="459">
        <f>C25</f>
        <v>0</v>
      </c>
      <c r="D46" s="606">
        <f>D25</f>
        <v>0</v>
      </c>
      <c r="E46" s="607">
        <f>E25</f>
        <v>0</v>
      </c>
    </row>
    <row r="47" spans="1:5" ht="14.25" customHeight="1" x14ac:dyDescent="0.2">
      <c r="A47" s="441" t="s">
        <v>533</v>
      </c>
      <c r="B47" s="458">
        <f>B36</f>
        <v>0.36800000000000005</v>
      </c>
      <c r="C47" s="459">
        <f>C36</f>
        <v>0</v>
      </c>
      <c r="D47" s="606">
        <f>D36</f>
        <v>0</v>
      </c>
      <c r="E47" s="607">
        <f>E36</f>
        <v>0</v>
      </c>
    </row>
    <row r="48" spans="1:5" ht="14.25" customHeight="1" x14ac:dyDescent="0.2">
      <c r="A48" s="441" t="s">
        <v>524</v>
      </c>
      <c r="B48" s="458"/>
      <c r="C48" s="459">
        <f>C44</f>
        <v>0</v>
      </c>
      <c r="D48" s="606">
        <f>D44</f>
        <v>0</v>
      </c>
      <c r="E48" s="607">
        <f>E44</f>
        <v>0</v>
      </c>
    </row>
    <row r="49" spans="1:5" ht="14.25" customHeight="1" x14ac:dyDescent="0.2">
      <c r="A49" s="429" t="s">
        <v>509</v>
      </c>
      <c r="B49" s="430"/>
      <c r="C49" s="444">
        <f>SUM(C46:C48)</f>
        <v>0</v>
      </c>
      <c r="D49" s="598">
        <f>SUM(D46:D48)</f>
        <v>0</v>
      </c>
      <c r="E49" s="599">
        <f>SUM(E46:E48)</f>
        <v>0</v>
      </c>
    </row>
    <row r="50" spans="1:5" ht="14.25" customHeight="1" x14ac:dyDescent="0.2">
      <c r="A50" s="778"/>
      <c r="B50" s="778"/>
      <c r="C50" s="778"/>
      <c r="D50" s="778"/>
      <c r="E50" s="778"/>
    </row>
    <row r="51" spans="1:5" s="461" customFormat="1" ht="14.25" customHeight="1" x14ac:dyDescent="0.2">
      <c r="A51" s="794" t="s">
        <v>534</v>
      </c>
      <c r="B51" s="794"/>
      <c r="C51" s="794"/>
      <c r="D51" s="794"/>
      <c r="E51" s="794"/>
    </row>
    <row r="52" spans="1:5" ht="14.25" customHeight="1" x14ac:dyDescent="0.2">
      <c r="A52" s="415" t="s">
        <v>535</v>
      </c>
      <c r="B52" s="416" t="s">
        <v>500</v>
      </c>
      <c r="C52" s="416" t="s">
        <v>501</v>
      </c>
      <c r="D52" s="594" t="s">
        <v>501</v>
      </c>
      <c r="E52" s="595" t="s">
        <v>501</v>
      </c>
    </row>
    <row r="53" spans="1:5" ht="14.25" customHeight="1" x14ac:dyDescent="0.2">
      <c r="A53" s="438" t="s">
        <v>536</v>
      </c>
      <c r="B53" s="462"/>
      <c r="C53" s="462"/>
      <c r="D53" s="608"/>
      <c r="E53" s="609"/>
    </row>
    <row r="54" spans="1:5" ht="14.25" customHeight="1" x14ac:dyDescent="0.2">
      <c r="A54" s="441" t="s">
        <v>537</v>
      </c>
      <c r="B54" s="458">
        <f>1/12*0.05</f>
        <v>4.1666666666666666E-3</v>
      </c>
      <c r="C54" s="465">
        <f>C19*$B54</f>
        <v>0</v>
      </c>
      <c r="D54" s="610">
        <f>D19*$B54</f>
        <v>0</v>
      </c>
      <c r="E54" s="611">
        <f>E19*$B54</f>
        <v>0</v>
      </c>
    </row>
    <row r="55" spans="1:5" ht="14.25" customHeight="1" x14ac:dyDescent="0.2">
      <c r="A55" s="441" t="s">
        <v>538</v>
      </c>
      <c r="B55" s="458">
        <f>B35*B54</f>
        <v>3.3333333333333332E-4</v>
      </c>
      <c r="C55" s="465">
        <f>$B$55*C19</f>
        <v>0</v>
      </c>
      <c r="D55" s="610">
        <f>$B$55*D19</f>
        <v>0</v>
      </c>
      <c r="E55" s="611">
        <f>$B$55*E19</f>
        <v>0</v>
      </c>
    </row>
    <row r="56" spans="1:5" ht="14.25" customHeight="1" x14ac:dyDescent="0.2">
      <c r="A56" s="441" t="s">
        <v>539</v>
      </c>
      <c r="B56" s="458">
        <v>0</v>
      </c>
      <c r="C56" s="465">
        <f>C35*$B56</f>
        <v>0</v>
      </c>
      <c r="D56" s="610">
        <f>D35*$B56</f>
        <v>0</v>
      </c>
      <c r="E56" s="611">
        <f>E35*$B56</f>
        <v>0</v>
      </c>
    </row>
    <row r="57" spans="1:5" ht="14.25" customHeight="1" x14ac:dyDescent="0.2">
      <c r="A57" s="441" t="s">
        <v>540</v>
      </c>
      <c r="B57" s="458">
        <f>1/12*1/30*7</f>
        <v>1.9444444444444441E-2</v>
      </c>
      <c r="C57" s="459">
        <f>C19*$B57</f>
        <v>0</v>
      </c>
      <c r="D57" s="606">
        <f>D19*$B57</f>
        <v>0</v>
      </c>
      <c r="E57" s="607">
        <f>E19*$B57</f>
        <v>0</v>
      </c>
    </row>
    <row r="58" spans="1:5" ht="14.25" customHeight="1" x14ac:dyDescent="0.2">
      <c r="A58" s="441" t="s">
        <v>541</v>
      </c>
      <c r="B58" s="458">
        <f>B36*B57</f>
        <v>7.1555555555555556E-3</v>
      </c>
      <c r="C58" s="459">
        <f>$B58*C19</f>
        <v>0</v>
      </c>
      <c r="D58" s="606">
        <f>$B58*D19</f>
        <v>0</v>
      </c>
      <c r="E58" s="607">
        <f>$B58*E19</f>
        <v>0</v>
      </c>
    </row>
    <row r="59" spans="1:5" ht="14.25" customHeight="1" x14ac:dyDescent="0.2">
      <c r="A59" s="441" t="s">
        <v>542</v>
      </c>
      <c r="B59" s="458">
        <f>B35*40/100*90/100*(1+1/12+1/12+1/3*1/12)</f>
        <v>3.4399999999999993E-2</v>
      </c>
      <c r="C59" s="459">
        <f>C19*$B59</f>
        <v>0</v>
      </c>
      <c r="D59" s="606">
        <f>D19*$B59</f>
        <v>0</v>
      </c>
      <c r="E59" s="607">
        <f>E19*$B59</f>
        <v>0</v>
      </c>
    </row>
    <row r="60" spans="1:5" ht="14.25" customHeight="1" x14ac:dyDescent="0.2">
      <c r="A60" s="429" t="s">
        <v>509</v>
      </c>
      <c r="B60" s="443">
        <f>SUM(B54:B59)</f>
        <v>6.5499999999999989E-2</v>
      </c>
      <c r="C60" s="431">
        <f>SUM(C54:C59)</f>
        <v>0</v>
      </c>
      <c r="D60" s="612">
        <f>SUM(D54:D59)</f>
        <v>0</v>
      </c>
      <c r="E60" s="613">
        <f>SUM(E54:E59)</f>
        <v>0</v>
      </c>
    </row>
    <row r="61" spans="1:5" ht="14.25" customHeight="1" x14ac:dyDescent="0.2">
      <c r="A61" s="778"/>
      <c r="B61" s="778"/>
      <c r="C61" s="778"/>
      <c r="D61" s="778"/>
      <c r="E61" s="778"/>
    </row>
    <row r="62" spans="1:5" ht="14.25" customHeight="1" x14ac:dyDescent="0.2">
      <c r="A62" s="794" t="s">
        <v>543</v>
      </c>
      <c r="B62" s="794"/>
      <c r="C62" s="794"/>
      <c r="D62" s="794"/>
      <c r="E62" s="794"/>
    </row>
    <row r="63" spans="1:5" ht="14.25" customHeight="1" x14ac:dyDescent="0.2">
      <c r="A63" s="438" t="s">
        <v>42</v>
      </c>
      <c r="B63" s="439" t="s">
        <v>500</v>
      </c>
      <c r="C63" s="439" t="s">
        <v>501</v>
      </c>
      <c r="D63" s="439" t="s">
        <v>501</v>
      </c>
      <c r="E63" s="440" t="s">
        <v>501</v>
      </c>
    </row>
    <row r="64" spans="1:5" ht="14.25" customHeight="1" x14ac:dyDescent="0.2">
      <c r="A64" s="441" t="s">
        <v>43</v>
      </c>
      <c r="B64" s="442">
        <f>1/12</f>
        <v>8.3333333333333329E-2</v>
      </c>
      <c r="C64" s="604">
        <f t="shared" ref="C64:E67" si="1">$B64*(C$19+C$49+C$60)</f>
        <v>0</v>
      </c>
      <c r="D64" s="604">
        <f t="shared" si="1"/>
        <v>0</v>
      </c>
      <c r="E64" s="605">
        <f t="shared" si="1"/>
        <v>0</v>
      </c>
    </row>
    <row r="65" spans="1:5" ht="14.25" customHeight="1" x14ac:dyDescent="0.2">
      <c r="A65" s="441" t="s">
        <v>544</v>
      </c>
      <c r="B65" s="442">
        <f>MC!E54/30/12</f>
        <v>1.3538888888888885E-2</v>
      </c>
      <c r="C65" s="604">
        <f t="shared" si="1"/>
        <v>0</v>
      </c>
      <c r="D65" s="604">
        <f t="shared" si="1"/>
        <v>0</v>
      </c>
      <c r="E65" s="605">
        <f t="shared" si="1"/>
        <v>0</v>
      </c>
    </row>
    <row r="66" spans="1:5" ht="14.25" customHeight="1" x14ac:dyDescent="0.2">
      <c r="A66" s="441" t="s">
        <v>545</v>
      </c>
      <c r="B66" s="467">
        <f>(5/30)/12*MC!F56*MC!C57</f>
        <v>1.0764583333333333E-4</v>
      </c>
      <c r="C66" s="604">
        <f t="shared" si="1"/>
        <v>0</v>
      </c>
      <c r="D66" s="604">
        <f t="shared" si="1"/>
        <v>0</v>
      </c>
      <c r="E66" s="605">
        <f t="shared" si="1"/>
        <v>0</v>
      </c>
    </row>
    <row r="67" spans="1:5" ht="14.25" customHeight="1" x14ac:dyDescent="0.2">
      <c r="A67" s="441" t="s">
        <v>546</v>
      </c>
      <c r="B67" s="467">
        <f>MC!C59/30/12</f>
        <v>2.6830555555555553E-3</v>
      </c>
      <c r="C67" s="604">
        <f t="shared" si="1"/>
        <v>0</v>
      </c>
      <c r="D67" s="604">
        <f t="shared" si="1"/>
        <v>0</v>
      </c>
      <c r="E67" s="605">
        <f t="shared" si="1"/>
        <v>0</v>
      </c>
    </row>
    <row r="68" spans="1:5" ht="14.25" customHeight="1" x14ac:dyDescent="0.2">
      <c r="A68" s="441" t="s">
        <v>508</v>
      </c>
      <c r="B68" s="442"/>
      <c r="C68" s="449"/>
      <c r="D68" s="604"/>
      <c r="E68" s="605"/>
    </row>
    <row r="69" spans="1:5" ht="14.25" customHeight="1" x14ac:dyDescent="0.2">
      <c r="A69" s="468" t="s">
        <v>547</v>
      </c>
      <c r="B69" s="469">
        <f>SUM(B64:B68)</f>
        <v>9.9662923611111107E-2</v>
      </c>
      <c r="C69" s="470">
        <f>SUM(C64:C68)</f>
        <v>0</v>
      </c>
      <c r="D69" s="614">
        <f>SUM(D64:D68)</f>
        <v>0</v>
      </c>
      <c r="E69" s="615">
        <f>SUM(E64:E68)</f>
        <v>0</v>
      </c>
    </row>
    <row r="70" spans="1:5" ht="14.25" customHeight="1" x14ac:dyDescent="0.2">
      <c r="A70" s="438" t="s">
        <v>548</v>
      </c>
      <c r="B70" s="439" t="s">
        <v>500</v>
      </c>
      <c r="C70" s="439" t="s">
        <v>501</v>
      </c>
      <c r="D70" s="439" t="s">
        <v>501</v>
      </c>
      <c r="E70" s="440" t="s">
        <v>501</v>
      </c>
    </row>
    <row r="71" spans="1:5" ht="14.25" customHeight="1" x14ac:dyDescent="0.2">
      <c r="A71" s="441" t="s">
        <v>549</v>
      </c>
      <c r="B71" s="442"/>
      <c r="C71" s="449"/>
      <c r="D71" s="604"/>
      <c r="E71" s="605"/>
    </row>
    <row r="72" spans="1:5" ht="14.25" customHeight="1" x14ac:dyDescent="0.2">
      <c r="A72" s="468" t="s">
        <v>547</v>
      </c>
      <c r="B72" s="469"/>
      <c r="C72" s="470">
        <f>C71</f>
        <v>0</v>
      </c>
      <c r="D72" s="614"/>
      <c r="E72" s="615"/>
    </row>
    <row r="73" spans="1:5" ht="14.25" customHeight="1" x14ac:dyDescent="0.2">
      <c r="A73" s="438" t="s">
        <v>64</v>
      </c>
      <c r="B73" s="439" t="s">
        <v>500</v>
      </c>
      <c r="C73" s="439" t="s">
        <v>501</v>
      </c>
      <c r="D73" s="439" t="s">
        <v>501</v>
      </c>
      <c r="E73" s="440" t="s">
        <v>501</v>
      </c>
    </row>
    <row r="74" spans="1:5" ht="14.25" customHeight="1" x14ac:dyDescent="0.2">
      <c r="A74" s="441" t="s">
        <v>65</v>
      </c>
      <c r="B74" s="442">
        <f>120/30*MC!C62*MC!C63</f>
        <v>6.18624E-3</v>
      </c>
      <c r="C74" s="449">
        <f>(((C19*2)+ (C19*1/3))+(C36)+(C44-C38-C39))*$B$74</f>
        <v>0</v>
      </c>
      <c r="D74" s="604">
        <f>(((D19*2)+ (D19*1/3))+(D36)+(D44-D38-D39))*$B$74</f>
        <v>0</v>
      </c>
      <c r="E74" s="605">
        <f>(((E19*2)+ (E19*1/3))+(E36)+(E44-E38-E39))*$B$74</f>
        <v>0</v>
      </c>
    </row>
    <row r="75" spans="1:5" ht="14.25" customHeight="1" x14ac:dyDescent="0.2">
      <c r="A75" s="468" t="s">
        <v>509</v>
      </c>
      <c r="B75" s="469"/>
      <c r="C75" s="470"/>
      <c r="D75" s="614"/>
      <c r="E75" s="615"/>
    </row>
    <row r="76" spans="1:5" ht="14.25" customHeight="1" x14ac:dyDescent="0.2">
      <c r="A76" s="415" t="s">
        <v>550</v>
      </c>
      <c r="B76" s="416" t="s">
        <v>500</v>
      </c>
      <c r="C76" s="416" t="s">
        <v>501</v>
      </c>
      <c r="D76" s="594" t="s">
        <v>501</v>
      </c>
      <c r="E76" s="595" t="s">
        <v>501</v>
      </c>
    </row>
    <row r="77" spans="1:5" ht="14.25" customHeight="1" x14ac:dyDescent="0.2">
      <c r="A77" s="441" t="s">
        <v>42</v>
      </c>
      <c r="B77" s="458">
        <f>B69</f>
        <v>9.9662923611111107E-2</v>
      </c>
      <c r="C77" s="459">
        <f>C69</f>
        <v>0</v>
      </c>
      <c r="D77" s="606">
        <f>D69</f>
        <v>0</v>
      </c>
      <c r="E77" s="607">
        <f>E69</f>
        <v>0</v>
      </c>
    </row>
    <row r="78" spans="1:5" ht="14.25" customHeight="1" x14ac:dyDescent="0.2">
      <c r="A78" s="441" t="s">
        <v>548</v>
      </c>
      <c r="B78" s="458">
        <f>B72</f>
        <v>0</v>
      </c>
      <c r="C78" s="459">
        <f>C72</f>
        <v>0</v>
      </c>
      <c r="D78" s="606">
        <f>D72</f>
        <v>0</v>
      </c>
      <c r="E78" s="607">
        <f>E72</f>
        <v>0</v>
      </c>
    </row>
    <row r="79" spans="1:5" ht="14.25" customHeight="1" x14ac:dyDescent="0.2">
      <c r="A79" s="441" t="s">
        <v>64</v>
      </c>
      <c r="B79" s="458">
        <f>B74</f>
        <v>6.18624E-3</v>
      </c>
      <c r="C79" s="459">
        <f>C74</f>
        <v>0</v>
      </c>
      <c r="D79" s="606">
        <f>D74</f>
        <v>0</v>
      </c>
      <c r="E79" s="607">
        <f>E74</f>
        <v>0</v>
      </c>
    </row>
    <row r="80" spans="1:5" ht="14.25" customHeight="1" x14ac:dyDescent="0.2">
      <c r="A80" s="429" t="s">
        <v>509</v>
      </c>
      <c r="B80" s="430"/>
      <c r="C80" s="444">
        <f>SUM(C77:C79)</f>
        <v>0</v>
      </c>
      <c r="D80" s="598">
        <f>SUM(D77:D79)</f>
        <v>0</v>
      </c>
      <c r="E80" s="599">
        <f>SUM(E77:E79)</f>
        <v>0</v>
      </c>
    </row>
    <row r="81" spans="1:5" ht="14.25" customHeight="1" x14ac:dyDescent="0.2">
      <c r="A81" s="778"/>
      <c r="B81" s="778"/>
      <c r="C81" s="778"/>
      <c r="D81" s="778"/>
      <c r="E81" s="778"/>
    </row>
    <row r="82" spans="1:5" ht="14.25" customHeight="1" x14ac:dyDescent="0.2">
      <c r="A82" s="796" t="s">
        <v>551</v>
      </c>
      <c r="B82" s="796"/>
      <c r="C82" s="796"/>
      <c r="D82" s="796"/>
      <c r="E82" s="796"/>
    </row>
    <row r="83" spans="1:5" ht="14.25" customHeight="1" x14ac:dyDescent="0.2">
      <c r="A83" s="415" t="s">
        <v>552</v>
      </c>
      <c r="B83" s="416" t="s">
        <v>525</v>
      </c>
      <c r="C83" s="416" t="s">
        <v>501</v>
      </c>
      <c r="D83" s="594" t="s">
        <v>501</v>
      </c>
      <c r="E83" s="595" t="s">
        <v>501</v>
      </c>
    </row>
    <row r="84" spans="1:5" ht="14.25" customHeight="1" x14ac:dyDescent="0.2">
      <c r="A84" s="441" t="s">
        <v>554</v>
      </c>
      <c r="B84" s="616"/>
      <c r="C84" s="596">
        <f>Insumos!$K119</f>
        <v>0</v>
      </c>
      <c r="D84" s="596">
        <f>Insumos!$K119</f>
        <v>0</v>
      </c>
      <c r="E84" s="597">
        <f>Insumos!$K119</f>
        <v>0</v>
      </c>
    </row>
    <row r="85" spans="1:5" ht="14.25" customHeight="1" x14ac:dyDescent="0.2">
      <c r="A85" s="478" t="s">
        <v>555</v>
      </c>
      <c r="B85" s="616"/>
      <c r="C85" s="596">
        <f>Insumos!$G70</f>
        <v>0</v>
      </c>
      <c r="D85" s="596">
        <f>Insumos!$G70</f>
        <v>0</v>
      </c>
      <c r="E85" s="597">
        <f>Insumos!$G70</f>
        <v>0</v>
      </c>
    </row>
    <row r="86" spans="1:5" ht="14.25" customHeight="1" x14ac:dyDescent="0.2">
      <c r="A86" s="478" t="s">
        <v>556</v>
      </c>
      <c r="B86" s="617"/>
      <c r="C86" s="596">
        <f>$B86</f>
        <v>0</v>
      </c>
      <c r="D86" s="596">
        <f>$B86</f>
        <v>0</v>
      </c>
      <c r="E86" s="597">
        <f>$B86</f>
        <v>0</v>
      </c>
    </row>
    <row r="87" spans="1:5" ht="14.25" customHeight="1" x14ac:dyDescent="0.2">
      <c r="A87" s="478" t="s">
        <v>557</v>
      </c>
      <c r="B87" s="619"/>
      <c r="C87" s="596">
        <f>Insumos!$I123</f>
        <v>0</v>
      </c>
      <c r="D87" s="596">
        <f>Insumos!$H123</f>
        <v>0</v>
      </c>
      <c r="E87" s="597">
        <f>Insumos!$H123</f>
        <v>0</v>
      </c>
    </row>
    <row r="88" spans="1:5" ht="14.25" customHeight="1" x14ac:dyDescent="0.2">
      <c r="A88" s="468" t="s">
        <v>509</v>
      </c>
      <c r="B88" s="485"/>
      <c r="C88" s="470">
        <f>SUM(C84:C87)</f>
        <v>0</v>
      </c>
      <c r="D88" s="614">
        <f>SUM(D84:D87)</f>
        <v>0</v>
      </c>
      <c r="E88" s="615">
        <f>SUM(E84:E87)</f>
        <v>0</v>
      </c>
    </row>
    <row r="89" spans="1:5" ht="14.25" customHeight="1" x14ac:dyDescent="0.2">
      <c r="A89" s="778"/>
      <c r="B89" s="778"/>
      <c r="C89" s="778"/>
      <c r="D89" s="778"/>
      <c r="E89" s="778"/>
    </row>
    <row r="90" spans="1:5" ht="14.25" customHeight="1" x14ac:dyDescent="0.2">
      <c r="A90" s="795" t="s">
        <v>561</v>
      </c>
      <c r="B90" s="795"/>
      <c r="C90" s="795"/>
      <c r="D90" s="795"/>
      <c r="E90" s="795"/>
    </row>
    <row r="91" spans="1:5" ht="14.25" customHeight="1" x14ac:dyDescent="0.2">
      <c r="A91" s="415" t="s">
        <v>562</v>
      </c>
      <c r="B91" s="416" t="s">
        <v>500</v>
      </c>
      <c r="C91" s="416" t="s">
        <v>501</v>
      </c>
      <c r="D91" s="594" t="s">
        <v>501</v>
      </c>
      <c r="E91" s="595" t="s">
        <v>501</v>
      </c>
    </row>
    <row r="92" spans="1:5" ht="14.25" customHeight="1" x14ac:dyDescent="0.2">
      <c r="A92" s="418" t="s">
        <v>70</v>
      </c>
      <c r="B92" s="442">
        <v>0.03</v>
      </c>
      <c r="C92" s="449">
        <f>($C$19+$C$49+$C$60+$C$80+$C$88)*$B$92</f>
        <v>0</v>
      </c>
      <c r="D92" s="604">
        <f>(D$19+D$49+D$60+D$80+D$88)*$B$92</f>
        <v>0</v>
      </c>
      <c r="E92" s="605">
        <f>(E$19+E$49+E$60+E$80+E$88)*$B$92</f>
        <v>0</v>
      </c>
    </row>
    <row r="93" spans="1:5" ht="14.25" customHeight="1" x14ac:dyDescent="0.2">
      <c r="A93" s="418" t="s">
        <v>71</v>
      </c>
      <c r="B93" s="442">
        <v>6.7900000000000002E-2</v>
      </c>
      <c r="C93" s="449">
        <f>($C$19+$C$49+$C$60+$C$80+$C$88+C92)*B93</f>
        <v>0</v>
      </c>
      <c r="D93" s="604">
        <f>(D$19+D$49+D$60+D$80+D$88+D$92)*$B$93</f>
        <v>0</v>
      </c>
      <c r="E93" s="605">
        <f>(E$19+E$49+E$60+E$80+E$88+E$92)*$B$93</f>
        <v>0</v>
      </c>
    </row>
    <row r="94" spans="1:5" ht="14.25" customHeight="1" x14ac:dyDescent="0.2">
      <c r="A94" s="489" t="s">
        <v>563</v>
      </c>
      <c r="B94" s="490">
        <f>B95+B96</f>
        <v>0.1125</v>
      </c>
      <c r="C94" s="491">
        <f>((C19+C49+C60+C80+C88+C92+C93)/(1-($B$94)))*$B$94</f>
        <v>0</v>
      </c>
      <c r="D94" s="620">
        <f>((D19+D49+D60+D80+D88+D92+D93)/(1-($B$94)))*$B$94</f>
        <v>0</v>
      </c>
      <c r="E94" s="621">
        <f>((E19+E49+E60+E80+E88+E92+E93)/(1-($B$94)))*$B$94</f>
        <v>0</v>
      </c>
    </row>
    <row r="95" spans="1:5" ht="14.25" customHeight="1" x14ac:dyDescent="0.2">
      <c r="A95" s="418" t="s">
        <v>564</v>
      </c>
      <c r="B95" s="442">
        <f>0.0165+0.076</f>
        <v>9.2499999999999999E-2</v>
      </c>
      <c r="C95" s="498">
        <f>((C$19+C$49+C$60+C$80+C$88+C$92+C$93)/(1-($B$94)))*$B$95</f>
        <v>0</v>
      </c>
      <c r="D95" s="622">
        <f>((D$19+D$49+D$60+D$80+D$88+D$92+D$93)/(1-($B$94)))*$B$95</f>
        <v>0</v>
      </c>
      <c r="E95" s="623">
        <f>((E$19+E$49+E$60+E$80+E$88+E$92+E$93)/(1-($B$94)))*$B$95</f>
        <v>0</v>
      </c>
    </row>
    <row r="96" spans="1:5" ht="14.25" customHeight="1" x14ac:dyDescent="0.2">
      <c r="A96" s="418" t="s">
        <v>565</v>
      </c>
      <c r="B96" s="442">
        <v>0.02</v>
      </c>
      <c r="C96" s="501">
        <f>((C$19+C$49+C$60+C$80+C$88+C$92+C$93)/(1-($B$94)))*$B$96</f>
        <v>0</v>
      </c>
      <c r="D96" s="622">
        <f>((D$19+D$49+D$60+D$80+D$88+D$92+D$93)/(1-($B$94)))*$B$96</f>
        <v>0</v>
      </c>
      <c r="E96" s="623">
        <f>((E$19+E$49+E$60+E$80+E$88+E$92+E$93)/(1-($B$94)))*$B$96</f>
        <v>0</v>
      </c>
    </row>
    <row r="97" spans="1:6" ht="14.25" customHeight="1" x14ac:dyDescent="0.2">
      <c r="A97" s="489" t="s">
        <v>566</v>
      </c>
      <c r="B97" s="490">
        <f>B98+B99</f>
        <v>0.11749999999999999</v>
      </c>
      <c r="C97" s="491">
        <f>((C19+C49+C60+C80+C88+C92+C93)/(1-($B$97)))*$B$97</f>
        <v>0</v>
      </c>
      <c r="D97" s="620">
        <f>((D19+D49+D60+D80+D88+D92+D93)/(1-($B$97)))*$B$97</f>
        <v>0</v>
      </c>
      <c r="E97" s="621">
        <f>((E19+E49+E60+E80+E88+E92+E93)/(1-($B$97)))*$B$97</f>
        <v>0</v>
      </c>
    </row>
    <row r="98" spans="1:6" ht="14.25" customHeight="1" x14ac:dyDescent="0.2">
      <c r="A98" s="418" t="s">
        <v>564</v>
      </c>
      <c r="B98" s="442">
        <f>0.0165+0.076</f>
        <v>9.2499999999999999E-2</v>
      </c>
      <c r="C98" s="493">
        <f>((C19+C49+C60+C80+C88+C92+C93)/(1-($B$97)))*$B$98</f>
        <v>0</v>
      </c>
      <c r="D98" s="624">
        <f>((D19+D49+D60+D80+D88+D92+D93)/(1-($B$97)))*$B$98</f>
        <v>0</v>
      </c>
      <c r="E98" s="625">
        <f>((E19+E49+E60+E80+E88+E92+E93)/(1-($B$97)))*$B$98</f>
        <v>0</v>
      </c>
    </row>
    <row r="99" spans="1:6" ht="14.25" customHeight="1" x14ac:dyDescent="0.2">
      <c r="A99" s="418" t="s">
        <v>565</v>
      </c>
      <c r="B99" s="442">
        <v>2.5000000000000001E-2</v>
      </c>
      <c r="C99" s="495">
        <f>((C$19+C$49+C$60+C$80+C$88+C$92+C$93)/(1-($B$97)))*$B$99</f>
        <v>0</v>
      </c>
      <c r="D99" s="624">
        <f>((D$19+D$49+D$60+D$80+D$88+D$92+D$93)/(1-($B$97)))*$B$99</f>
        <v>0</v>
      </c>
      <c r="E99" s="625">
        <f>((E$19+E$49+E$60+E$80+E$88+E$92+E$93)/(1-($B$97)))*$B$99</f>
        <v>0</v>
      </c>
    </row>
    <row r="100" spans="1:6" ht="14.25" customHeight="1" x14ac:dyDescent="0.2">
      <c r="A100" s="489" t="s">
        <v>567</v>
      </c>
      <c r="B100" s="490">
        <f>B101+B102</f>
        <v>0.1225</v>
      </c>
      <c r="C100" s="491">
        <f>((C19+C49+C60+C80+C88+C92+C93)/(1-($B$100)))*$B$100</f>
        <v>0</v>
      </c>
      <c r="D100" s="620">
        <f>((D19+D49+D60+D80+D88+D92+D93)/(1-($B$100)))*$B$100</f>
        <v>0</v>
      </c>
      <c r="E100" s="621">
        <f>((E19+E49+E60+E80+E88+E92+E93)/(1-($B$100)))*$B$100</f>
        <v>0</v>
      </c>
    </row>
    <row r="101" spans="1:6" ht="14.25" customHeight="1" x14ac:dyDescent="0.2">
      <c r="A101" s="418" t="s">
        <v>564</v>
      </c>
      <c r="B101" s="442">
        <f>0.0165+0.076</f>
        <v>9.2499999999999999E-2</v>
      </c>
      <c r="C101" s="493">
        <f>((C19+C49+C60+C80+C88+C92+C93)/(1-($B$100)))*$B$101</f>
        <v>0</v>
      </c>
      <c r="D101" s="624">
        <f>((D19+D49+D60+D80+D88+D92+D93)/(1-($B$100)))*$B$101</f>
        <v>0</v>
      </c>
      <c r="E101" s="625">
        <f>((E19+E49+E60+E80+E88+E92+E93)/(1-($B$100)))*$B$101</f>
        <v>0</v>
      </c>
    </row>
    <row r="102" spans="1:6" ht="14.25" customHeight="1" x14ac:dyDescent="0.2">
      <c r="A102" s="418" t="s">
        <v>565</v>
      </c>
      <c r="B102" s="442">
        <v>0.03</v>
      </c>
      <c r="C102" s="495">
        <f>((C19+C49+C60+C80+C88+C92+C93)/(1-($B$100)))*$B$102</f>
        <v>0</v>
      </c>
      <c r="D102" s="624">
        <f>((D19+D49+D60+D80+D88+D92+D93)/(1-($B$100)))*$B$102</f>
        <v>0</v>
      </c>
      <c r="E102" s="625">
        <f>((E19+E49+E60+E80+E88+E92+E93)/(1-($B$100)))*$B$102</f>
        <v>0</v>
      </c>
      <c r="F102" s="497"/>
    </row>
    <row r="103" spans="1:6" ht="14.25" customHeight="1" x14ac:dyDescent="0.2">
      <c r="A103" s="489" t="s">
        <v>568</v>
      </c>
      <c r="B103" s="490">
        <f>B104+B105</f>
        <v>0.13250000000000001</v>
      </c>
      <c r="C103" s="491">
        <f>((C19+C49+C60+C80+C88+C92+C93)/(1-($B$103)))*$B$103</f>
        <v>0</v>
      </c>
      <c r="D103" s="620">
        <f>((D19+D49+D60+D80+D88+D92+D93)/(1-($B$103)))*$B$103</f>
        <v>0</v>
      </c>
      <c r="E103" s="621">
        <f>((E19+E49+E60+E80+E88+E92+E93)/(1-($B$103)))*$B$103</f>
        <v>0</v>
      </c>
    </row>
    <row r="104" spans="1:6" ht="14.25" customHeight="1" x14ac:dyDescent="0.2">
      <c r="A104" s="418" t="s">
        <v>564</v>
      </c>
      <c r="B104" s="442">
        <f>0.0165+0.076</f>
        <v>9.2499999999999999E-2</v>
      </c>
      <c r="C104" s="493">
        <f>((C19+C49+C60+C80+C88+C92+C93)/(1-($B$103)))*$B$104</f>
        <v>0</v>
      </c>
      <c r="D104" s="624">
        <f>((D19+D49+D60+D80+D88+D92+D93)/(1-($B$103)))*$B$104</f>
        <v>0</v>
      </c>
      <c r="E104" s="625">
        <f>((E19+E49+E60+E80+E88+E92+E93)/(1-($B$103)))*$B$104</f>
        <v>0</v>
      </c>
    </row>
    <row r="105" spans="1:6" ht="14.25" customHeight="1" x14ac:dyDescent="0.2">
      <c r="A105" s="418" t="s">
        <v>565</v>
      </c>
      <c r="B105" s="442">
        <v>0.04</v>
      </c>
      <c r="C105" s="495">
        <f>((C19+C49+C60+C80+C88+C92+C93)/(1-($B$103)))*$B$105</f>
        <v>0</v>
      </c>
      <c r="D105" s="624">
        <f>((D19+D49+D60+D80+D88+D92+D93)/(1-($B$103)))*$B$105</f>
        <v>0</v>
      </c>
      <c r="E105" s="625">
        <f>((E19+E49+E60+E80+E88+E92+E93)/(1-($B$103)))*$B$105</f>
        <v>0</v>
      </c>
    </row>
    <row r="106" spans="1:6" ht="14.25" customHeight="1" x14ac:dyDescent="0.2">
      <c r="A106" s="489" t="s">
        <v>569</v>
      </c>
      <c r="B106" s="490">
        <f>B107+B108</f>
        <v>0.14250000000000002</v>
      </c>
      <c r="C106" s="491">
        <f>((C19+C49+C60+C80+C88+C92+C93)/(1-($B$106)))*$B$106</f>
        <v>0</v>
      </c>
      <c r="D106" s="620">
        <f>((D19+D49+D60+D80+D88+D92+D93)/(1-($B$106)))*$B$106</f>
        <v>0</v>
      </c>
      <c r="E106" s="621">
        <f>((E19+E49+E60+E80+E88+E92+E93)/(1-($B$106)))*$B$106</f>
        <v>0</v>
      </c>
    </row>
    <row r="107" spans="1:6" ht="14.25" customHeight="1" x14ac:dyDescent="0.2">
      <c r="A107" s="418" t="s">
        <v>564</v>
      </c>
      <c r="B107" s="442">
        <f>0.0165+0.076</f>
        <v>9.2499999999999999E-2</v>
      </c>
      <c r="C107" s="498">
        <f>((C19+C49+C60+C80+C88+C92+C93)/(1-($B$106)))*$B$107</f>
        <v>0</v>
      </c>
      <c r="D107" s="622">
        <f>((D19+D49+D60+D80+D88+D92+D93)/(1-($B$106)))*$B$107</f>
        <v>0</v>
      </c>
      <c r="E107" s="623">
        <f>((E19+E49+E60+E80+E88+E92+E93)/(1-($B$106)))*$B$107</f>
        <v>0</v>
      </c>
    </row>
    <row r="108" spans="1:6" ht="14.25" customHeight="1" x14ac:dyDescent="0.2">
      <c r="A108" s="418" t="s">
        <v>565</v>
      </c>
      <c r="B108" s="500">
        <v>0.05</v>
      </c>
      <c r="C108" s="501">
        <f>((C19+C49+C60+C80+C88+C92+C93)/(1-($B$106)))*$B$108</f>
        <v>0</v>
      </c>
      <c r="D108" s="626">
        <f>((D19+D49+D60+D80+D88+D92+D93)/(1-($B$106)))*$B$108</f>
        <v>0</v>
      </c>
      <c r="E108" s="627">
        <f>((E19+E49+E60+E80+E88+E92+E93)/(1-($B$106)))*$B$108</f>
        <v>0</v>
      </c>
    </row>
    <row r="109" spans="1:6" ht="14.25" customHeight="1" x14ac:dyDescent="0.2">
      <c r="A109" s="780" t="s">
        <v>570</v>
      </c>
      <c r="B109" s="503">
        <v>0.02</v>
      </c>
      <c r="C109" s="504">
        <f>C92+C93+C94</f>
        <v>0</v>
      </c>
      <c r="D109" s="628">
        <f>D92+D93+D94</f>
        <v>0</v>
      </c>
      <c r="E109" s="629">
        <f>E92+E93+E94</f>
        <v>0</v>
      </c>
    </row>
    <row r="110" spans="1:6" ht="14.25" customHeight="1" x14ac:dyDescent="0.2">
      <c r="A110" s="780"/>
      <c r="B110" s="506">
        <v>2.5000000000000001E-2</v>
      </c>
      <c r="C110" s="507">
        <f>C92+C93+C97</f>
        <v>0</v>
      </c>
      <c r="D110" s="630">
        <f>D92+D93+D97</f>
        <v>0</v>
      </c>
      <c r="E110" s="631">
        <f>E92+E93+E97</f>
        <v>0</v>
      </c>
    </row>
    <row r="111" spans="1:6" ht="14.25" customHeight="1" x14ac:dyDescent="0.2">
      <c r="A111" s="780"/>
      <c r="B111" s="506">
        <v>0.03</v>
      </c>
      <c r="C111" s="507">
        <f>C92+C93+C100</f>
        <v>0</v>
      </c>
      <c r="D111" s="630">
        <f>D92+D93+D100</f>
        <v>0</v>
      </c>
      <c r="E111" s="631">
        <f>E92+E93+E100</f>
        <v>0</v>
      </c>
      <c r="F111" s="497"/>
    </row>
    <row r="112" spans="1:6" ht="14.25" customHeight="1" x14ac:dyDescent="0.2">
      <c r="A112" s="780"/>
      <c r="B112" s="506">
        <v>0.04</v>
      </c>
      <c r="C112" s="507">
        <f>C92+C93+C103</f>
        <v>0</v>
      </c>
      <c r="D112" s="630">
        <f>D92+D93+D103</f>
        <v>0</v>
      </c>
      <c r="E112" s="631">
        <f>E92+E93+E103</f>
        <v>0</v>
      </c>
    </row>
    <row r="113" spans="1:5" ht="14.25" customHeight="1" x14ac:dyDescent="0.2">
      <c r="A113" s="780"/>
      <c r="B113" s="509">
        <v>0.05</v>
      </c>
      <c r="C113" s="510">
        <f>C92+C93+C106</f>
        <v>0</v>
      </c>
      <c r="D113" s="632">
        <f>D92+D93+D106</f>
        <v>0</v>
      </c>
      <c r="E113" s="633">
        <f>E92+E93+E106</f>
        <v>0</v>
      </c>
    </row>
    <row r="114" spans="1:5" ht="7.5" customHeight="1" x14ac:dyDescent="0.2">
      <c r="A114" s="781"/>
      <c r="B114" s="781"/>
      <c r="C114" s="781"/>
      <c r="D114" s="781"/>
      <c r="E114" s="781"/>
    </row>
    <row r="115" spans="1:5" ht="7.5" customHeight="1" x14ac:dyDescent="0.2">
      <c r="A115" s="782"/>
      <c r="B115" s="782"/>
      <c r="C115" s="782"/>
      <c r="D115" s="782"/>
      <c r="E115" s="782"/>
    </row>
    <row r="116" spans="1:5" ht="54.75" customHeight="1" x14ac:dyDescent="0.2">
      <c r="A116" s="783" t="s">
        <v>572</v>
      </c>
      <c r="B116" s="783"/>
      <c r="C116" s="521" t="str">
        <f>C10</f>
        <v>Servente 40h
COVID</v>
      </c>
      <c r="D116" s="634" t="str">
        <f>D10</f>
        <v>Servente 30h
COVID</v>
      </c>
      <c r="E116" s="635" t="str">
        <f>E10</f>
        <v>Servente 20h
COVID</v>
      </c>
    </row>
    <row r="117" spans="1:5" ht="15.75" customHeight="1" x14ac:dyDescent="0.2">
      <c r="A117" s="784" t="s">
        <v>573</v>
      </c>
      <c r="B117" s="784"/>
      <c r="C117" s="524" t="s">
        <v>501</v>
      </c>
      <c r="D117" s="636" t="s">
        <v>501</v>
      </c>
      <c r="E117" s="637" t="s">
        <v>501</v>
      </c>
    </row>
    <row r="118" spans="1:5" ht="14.25" customHeight="1" x14ac:dyDescent="0.2">
      <c r="A118" s="785" t="s">
        <v>574</v>
      </c>
      <c r="B118" s="785"/>
      <c r="C118" s="526">
        <f>C19</f>
        <v>0</v>
      </c>
      <c r="D118" s="638">
        <f>D19</f>
        <v>0</v>
      </c>
      <c r="E118" s="639">
        <f>E19</f>
        <v>0</v>
      </c>
    </row>
    <row r="119" spans="1:5" ht="14.25" customHeight="1" x14ac:dyDescent="0.2">
      <c r="A119" s="786" t="s">
        <v>575</v>
      </c>
      <c r="B119" s="786"/>
      <c r="C119" s="528">
        <f>C49</f>
        <v>0</v>
      </c>
      <c r="D119" s="640">
        <f>D49</f>
        <v>0</v>
      </c>
      <c r="E119" s="641">
        <f>E49</f>
        <v>0</v>
      </c>
    </row>
    <row r="120" spans="1:5" ht="14.25" customHeight="1" x14ac:dyDescent="0.2">
      <c r="A120" s="786" t="s">
        <v>576</v>
      </c>
      <c r="B120" s="786"/>
      <c r="C120" s="528">
        <f>C60</f>
        <v>0</v>
      </c>
      <c r="D120" s="640">
        <f>D60</f>
        <v>0</v>
      </c>
      <c r="E120" s="641">
        <f>E60</f>
        <v>0</v>
      </c>
    </row>
    <row r="121" spans="1:5" ht="14.25" customHeight="1" x14ac:dyDescent="0.2">
      <c r="A121" s="786" t="s">
        <v>577</v>
      </c>
      <c r="B121" s="786"/>
      <c r="C121" s="528">
        <f>C80</f>
        <v>0</v>
      </c>
      <c r="D121" s="640">
        <f>D80</f>
        <v>0</v>
      </c>
      <c r="E121" s="641">
        <f>E80</f>
        <v>0</v>
      </c>
    </row>
    <row r="122" spans="1:5" ht="15.75" customHeight="1" x14ac:dyDescent="0.2">
      <c r="A122" s="786" t="s">
        <v>578</v>
      </c>
      <c r="B122" s="786"/>
      <c r="C122" s="528">
        <f>C88</f>
        <v>0</v>
      </c>
      <c r="D122" s="640">
        <f>D88</f>
        <v>0</v>
      </c>
      <c r="E122" s="641">
        <f>E88</f>
        <v>0</v>
      </c>
    </row>
    <row r="123" spans="1:5" ht="15.75" customHeight="1" x14ac:dyDescent="0.2">
      <c r="A123" s="787" t="s">
        <v>579</v>
      </c>
      <c r="B123" s="787"/>
      <c r="C123" s="530">
        <f>SUM(C118:C122)</f>
        <v>0</v>
      </c>
      <c r="D123" s="642">
        <f>SUM(D118:D122)</f>
        <v>0</v>
      </c>
      <c r="E123" s="643">
        <f>SUM(E118:E122)</f>
        <v>0</v>
      </c>
    </row>
    <row r="124" spans="1:5" ht="15.75" customHeight="1" x14ac:dyDescent="0.2">
      <c r="A124" s="788" t="s">
        <v>580</v>
      </c>
      <c r="B124" s="788"/>
      <c r="C124" s="533">
        <f t="shared" ref="C124:E128" si="2">C109</f>
        <v>0</v>
      </c>
      <c r="D124" s="642">
        <f t="shared" si="2"/>
        <v>0</v>
      </c>
      <c r="E124" s="643">
        <f t="shared" si="2"/>
        <v>0</v>
      </c>
    </row>
    <row r="125" spans="1:5" ht="15.75" customHeight="1" x14ac:dyDescent="0.2">
      <c r="A125" s="786" t="s">
        <v>581</v>
      </c>
      <c r="B125" s="786"/>
      <c r="C125" s="535">
        <f t="shared" si="2"/>
        <v>0</v>
      </c>
      <c r="D125" s="642">
        <f t="shared" si="2"/>
        <v>0</v>
      </c>
      <c r="E125" s="643">
        <f t="shared" si="2"/>
        <v>0</v>
      </c>
    </row>
    <row r="126" spans="1:5" ht="15.75" customHeight="1" x14ac:dyDescent="0.2">
      <c r="A126" s="786" t="s">
        <v>582</v>
      </c>
      <c r="B126" s="786"/>
      <c r="C126" s="535">
        <f t="shared" si="2"/>
        <v>0</v>
      </c>
      <c r="D126" s="642">
        <f t="shared" si="2"/>
        <v>0</v>
      </c>
      <c r="E126" s="643">
        <f t="shared" si="2"/>
        <v>0</v>
      </c>
    </row>
    <row r="127" spans="1:5" ht="15.75" customHeight="1" x14ac:dyDescent="0.2">
      <c r="A127" s="786" t="s">
        <v>583</v>
      </c>
      <c r="B127" s="786"/>
      <c r="C127" s="535">
        <f t="shared" si="2"/>
        <v>0</v>
      </c>
      <c r="D127" s="642">
        <f t="shared" si="2"/>
        <v>0</v>
      </c>
      <c r="E127" s="643">
        <f t="shared" si="2"/>
        <v>0</v>
      </c>
    </row>
    <row r="128" spans="1:5" ht="15.75" customHeight="1" x14ac:dyDescent="0.2">
      <c r="A128" s="788" t="s">
        <v>584</v>
      </c>
      <c r="B128" s="788"/>
      <c r="C128" s="535">
        <f t="shared" si="2"/>
        <v>0</v>
      </c>
      <c r="D128" s="644">
        <f t="shared" si="2"/>
        <v>0</v>
      </c>
      <c r="E128" s="645">
        <f t="shared" si="2"/>
        <v>0</v>
      </c>
    </row>
    <row r="129" spans="1:5" ht="15.75" customHeight="1" x14ac:dyDescent="0.2">
      <c r="A129" s="537" t="s">
        <v>585</v>
      </c>
      <c r="B129" s="538"/>
      <c r="C129" s="539">
        <f>C123+C124</f>
        <v>0</v>
      </c>
      <c r="D129" s="539">
        <f>D123+D124</f>
        <v>0</v>
      </c>
      <c r="E129" s="540">
        <f>E123+E124</f>
        <v>0</v>
      </c>
    </row>
    <row r="130" spans="1:5" ht="15.75" customHeight="1" x14ac:dyDescent="0.2">
      <c r="A130" s="541" t="s">
        <v>586</v>
      </c>
      <c r="B130" s="542"/>
      <c r="C130" s="543">
        <f>C123+C125</f>
        <v>0</v>
      </c>
      <c r="D130" s="543">
        <f>D123+D125</f>
        <v>0</v>
      </c>
      <c r="E130" s="544">
        <f>E123+E125</f>
        <v>0</v>
      </c>
    </row>
    <row r="131" spans="1:5" ht="15.75" customHeight="1" x14ac:dyDescent="0.2">
      <c r="A131" s="541" t="s">
        <v>587</v>
      </c>
      <c r="B131" s="542"/>
      <c r="C131" s="543">
        <f>C123+C126</f>
        <v>0</v>
      </c>
      <c r="D131" s="543">
        <f>D123+D126</f>
        <v>0</v>
      </c>
      <c r="E131" s="544">
        <f>E123+E126</f>
        <v>0</v>
      </c>
    </row>
    <row r="132" spans="1:5" ht="15.75" customHeight="1" x14ac:dyDescent="0.2">
      <c r="A132" s="541" t="s">
        <v>588</v>
      </c>
      <c r="B132" s="542"/>
      <c r="C132" s="543">
        <f>C123+C127</f>
        <v>0</v>
      </c>
      <c r="D132" s="543">
        <f>D123+D127</f>
        <v>0</v>
      </c>
      <c r="E132" s="544">
        <f>E123+E127</f>
        <v>0</v>
      </c>
    </row>
    <row r="133" spans="1:5" ht="15.75" customHeight="1" x14ac:dyDescent="0.2">
      <c r="A133" s="541" t="s">
        <v>589</v>
      </c>
      <c r="B133" s="542"/>
      <c r="C133" s="543">
        <f>C123+C128</f>
        <v>0</v>
      </c>
      <c r="D133" s="646">
        <f>D123+D128</f>
        <v>0</v>
      </c>
      <c r="E133" s="647">
        <f>E123+E128</f>
        <v>0</v>
      </c>
    </row>
    <row r="134" spans="1:5" ht="15.75" customHeight="1" x14ac:dyDescent="0.2">
      <c r="A134" s="545" t="s">
        <v>590</v>
      </c>
      <c r="B134" s="546"/>
      <c r="C134" s="547">
        <f>C129/200</f>
        <v>0</v>
      </c>
      <c r="D134" s="547"/>
      <c r="E134" s="648"/>
    </row>
    <row r="135" spans="1:5" ht="15.75" customHeight="1" x14ac:dyDescent="0.2">
      <c r="A135" s="550" t="s">
        <v>591</v>
      </c>
      <c r="B135" s="551"/>
      <c r="C135" s="552">
        <f>C130/200</f>
        <v>0</v>
      </c>
      <c r="D135" s="552"/>
      <c r="E135" s="649"/>
    </row>
    <row r="136" spans="1:5" ht="15.75" customHeight="1" x14ac:dyDescent="0.2">
      <c r="A136" s="550" t="s">
        <v>592</v>
      </c>
      <c r="B136" s="551"/>
      <c r="C136" s="552">
        <f>C131/200</f>
        <v>0</v>
      </c>
      <c r="D136" s="552"/>
      <c r="E136" s="649"/>
    </row>
    <row r="137" spans="1:5" ht="15.75" customHeight="1" x14ac:dyDescent="0.2">
      <c r="A137" s="550" t="s">
        <v>593</v>
      </c>
      <c r="B137" s="551"/>
      <c r="C137" s="552">
        <f>C132/200</f>
        <v>0</v>
      </c>
      <c r="D137" s="552"/>
      <c r="E137" s="649"/>
    </row>
    <row r="138" spans="1:5" ht="15.75" customHeight="1" x14ac:dyDescent="0.2">
      <c r="A138" s="555" t="s">
        <v>594</v>
      </c>
      <c r="B138" s="556"/>
      <c r="C138" s="557">
        <f>C133/200</f>
        <v>0</v>
      </c>
      <c r="D138" s="557"/>
      <c r="E138" s="650"/>
    </row>
    <row r="139" spans="1:5" x14ac:dyDescent="0.2">
      <c r="A139" s="560"/>
    </row>
  </sheetData>
  <mergeCells count="31">
    <mergeCell ref="A128:B128"/>
    <mergeCell ref="A123:B123"/>
    <mergeCell ref="A124:B124"/>
    <mergeCell ref="A125:B125"/>
    <mergeCell ref="A126:B126"/>
    <mergeCell ref="A127:B127"/>
    <mergeCell ref="A118:B118"/>
    <mergeCell ref="A119:B119"/>
    <mergeCell ref="A120:B120"/>
    <mergeCell ref="A121:B121"/>
    <mergeCell ref="A122:B122"/>
    <mergeCell ref="A109:A113"/>
    <mergeCell ref="A114:E114"/>
    <mergeCell ref="A115:E115"/>
    <mergeCell ref="A116:B116"/>
    <mergeCell ref="A117:B117"/>
    <mergeCell ref="A62:E62"/>
    <mergeCell ref="A81:E81"/>
    <mergeCell ref="A82:E82"/>
    <mergeCell ref="A89:E89"/>
    <mergeCell ref="A90:E90"/>
    <mergeCell ref="A20:E20"/>
    <mergeCell ref="A21:E21"/>
    <mergeCell ref="A50:E50"/>
    <mergeCell ref="A51:E51"/>
    <mergeCell ref="A61:E61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43C0B"/>
  </sheetPr>
  <dimension ref="A1:ALZ1048509"/>
  <sheetViews>
    <sheetView topLeftCell="A64" zoomScale="96" zoomScaleNormal="96" workbookViewId="0">
      <selection activeCell="N96" sqref="N96"/>
    </sheetView>
  </sheetViews>
  <sheetFormatPr defaultRowHeight="14.25" x14ac:dyDescent="0.2"/>
  <cols>
    <col min="1" max="1" width="4.375" style="1" customWidth="1"/>
    <col min="2" max="2" width="41.875" style="1" customWidth="1"/>
    <col min="3" max="4" width="11.875" style="1" customWidth="1"/>
    <col min="5" max="13" width="11.875" style="2" customWidth="1"/>
    <col min="14" max="14" width="27.125" style="2" customWidth="1"/>
    <col min="15" max="15" width="10.75" style="2" customWidth="1"/>
    <col min="16" max="16" width="8.875" style="1" customWidth="1"/>
    <col min="17" max="17" width="10.375" style="1" customWidth="1"/>
    <col min="18" max="18" width="6.625" style="1" customWidth="1"/>
    <col min="19" max="19" width="6.25" style="1" customWidth="1"/>
    <col min="20" max="21" width="11.125" style="1" customWidth="1"/>
    <col min="22" max="22" width="12.5" style="1" customWidth="1"/>
    <col min="23" max="23" width="3.75" style="1" customWidth="1"/>
    <col min="24" max="24" width="8.125" style="1" customWidth="1"/>
    <col min="25" max="25" width="8" style="1" customWidth="1"/>
    <col min="26" max="1014" width="10.5" style="1" customWidth="1"/>
    <col min="1015" max="1025" width="10.5" customWidth="1"/>
  </cols>
  <sheetData>
    <row r="1" spans="1:13" ht="23.25" x14ac:dyDescent="0.2">
      <c r="A1" s="3"/>
      <c r="B1" s="691" t="s">
        <v>0</v>
      </c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</row>
    <row r="2" spans="1:13" x14ac:dyDescent="0.2">
      <c r="B2" s="4"/>
      <c r="C2" s="4"/>
      <c r="D2" s="4"/>
      <c r="E2" s="4"/>
    </row>
    <row r="3" spans="1:13" ht="26.1" customHeight="1" x14ac:dyDescent="0.2">
      <c r="B3" s="5" t="s">
        <v>1</v>
      </c>
      <c r="C3" s="692" t="s">
        <v>2</v>
      </c>
      <c r="D3" s="692"/>
      <c r="E3" s="6">
        <v>22</v>
      </c>
    </row>
    <row r="4" spans="1:13" x14ac:dyDescent="0.2">
      <c r="C4" s="693" t="s">
        <v>3</v>
      </c>
      <c r="D4" s="693"/>
      <c r="E4" s="7">
        <v>30</v>
      </c>
    </row>
    <row r="6" spans="1:13" ht="17.100000000000001" customHeight="1" x14ac:dyDescent="0.2">
      <c r="A6" s="3"/>
      <c r="B6" s="694" t="s">
        <v>4</v>
      </c>
      <c r="C6" s="694"/>
      <c r="D6" s="694"/>
      <c r="E6" s="694"/>
      <c r="F6" s="694"/>
      <c r="G6" s="694"/>
      <c r="H6" s="694"/>
      <c r="I6" s="694"/>
      <c r="J6" s="694"/>
      <c r="K6" s="694"/>
      <c r="L6" s="694"/>
      <c r="M6" s="694"/>
    </row>
    <row r="7" spans="1:13" x14ac:dyDescent="0.2">
      <c r="B7" s="8" t="s">
        <v>5</v>
      </c>
      <c r="C7" s="695" t="s">
        <v>6</v>
      </c>
      <c r="D7" s="695"/>
      <c r="E7" s="10" t="s">
        <v>7</v>
      </c>
      <c r="F7" s="9" t="s">
        <v>8</v>
      </c>
      <c r="H7" s="695" t="s">
        <v>6</v>
      </c>
      <c r="I7" s="695"/>
      <c r="J7" s="10" t="s">
        <v>7</v>
      </c>
      <c r="K7" s="9" t="s">
        <v>8</v>
      </c>
    </row>
    <row r="8" spans="1:13" x14ac:dyDescent="0.2">
      <c r="C8" s="696"/>
      <c r="D8" s="696"/>
      <c r="E8" s="12"/>
      <c r="F8" s="13"/>
      <c r="H8" s="696"/>
      <c r="I8" s="696"/>
      <c r="J8" s="12"/>
      <c r="K8" s="13"/>
    </row>
    <row r="9" spans="1:13" x14ac:dyDescent="0.2">
      <c r="C9" s="697" t="s">
        <v>9</v>
      </c>
      <c r="D9" s="697"/>
      <c r="E9" s="697"/>
      <c r="F9" s="697"/>
      <c r="H9" s="697" t="s">
        <v>9</v>
      </c>
      <c r="I9" s="697"/>
      <c r="J9" s="697"/>
      <c r="K9" s="697"/>
    </row>
    <row r="10" spans="1:13" x14ac:dyDescent="0.2">
      <c r="B10" s="698" t="s">
        <v>10</v>
      </c>
      <c r="C10" s="6">
        <v>44</v>
      </c>
      <c r="D10" s="6">
        <v>40</v>
      </c>
      <c r="E10" s="6">
        <v>30</v>
      </c>
      <c r="F10" s="6">
        <v>20</v>
      </c>
      <c r="H10" s="6">
        <v>44</v>
      </c>
      <c r="I10" s="6">
        <v>40</v>
      </c>
      <c r="J10" s="6">
        <v>30</v>
      </c>
      <c r="K10" s="6">
        <v>20</v>
      </c>
    </row>
    <row r="11" spans="1:13" x14ac:dyDescent="0.2">
      <c r="B11" s="698"/>
      <c r="C11" s="14"/>
      <c r="D11" s="15">
        <f>C11/C10*D10</f>
        <v>0</v>
      </c>
      <c r="E11" s="15">
        <f>C11/C10*E10</f>
        <v>0</v>
      </c>
      <c r="F11" s="15">
        <f>C11/C10*F10</f>
        <v>0</v>
      </c>
      <c r="H11" s="14"/>
      <c r="I11" s="15">
        <f>H11/H10*I10</f>
        <v>0</v>
      </c>
      <c r="J11" s="15">
        <f>H11/H10*J10</f>
        <v>0</v>
      </c>
      <c r="K11" s="15">
        <f>H11/H10*K10</f>
        <v>0</v>
      </c>
    </row>
    <row r="12" spans="1:13" x14ac:dyDescent="0.2">
      <c r="B12" s="8" t="s">
        <v>11</v>
      </c>
      <c r="C12" s="16"/>
      <c r="D12" s="15">
        <f>C12/C10*D10</f>
        <v>0</v>
      </c>
      <c r="E12" s="15">
        <f>C12/C10*E10</f>
        <v>0</v>
      </c>
      <c r="F12" s="15">
        <f>C12/C10*F10</f>
        <v>0</v>
      </c>
      <c r="H12" s="16"/>
      <c r="I12" s="15">
        <f>H12/H10*I10</f>
        <v>0</v>
      </c>
      <c r="J12" s="15">
        <f>H12/H10*J10</f>
        <v>0</v>
      </c>
      <c r="K12" s="15">
        <f>H12/H10*K10</f>
        <v>0</v>
      </c>
    </row>
    <row r="13" spans="1:13" x14ac:dyDescent="0.2">
      <c r="B13" s="8" t="s">
        <v>12</v>
      </c>
      <c r="C13" s="16"/>
      <c r="D13" s="15">
        <f>C13/C10*D10</f>
        <v>0</v>
      </c>
      <c r="E13" s="15">
        <f>C13/C10*E10</f>
        <v>0</v>
      </c>
      <c r="F13" s="15">
        <f>C13/C10*F10</f>
        <v>0</v>
      </c>
      <c r="H13" s="16"/>
      <c r="I13" s="15">
        <f>H13/H10*I10</f>
        <v>0</v>
      </c>
      <c r="J13" s="15">
        <f>H13/H10*J10</f>
        <v>0</v>
      </c>
      <c r="K13" s="15">
        <f>H13/H10*K10</f>
        <v>0</v>
      </c>
    </row>
    <row r="14" spans="1:13" x14ac:dyDescent="0.2">
      <c r="E14" s="2" t="s">
        <v>13</v>
      </c>
      <c r="H14" s="2" t="s">
        <v>14</v>
      </c>
    </row>
    <row r="15" spans="1:13" x14ac:dyDescent="0.2">
      <c r="B15" s="17" t="s">
        <v>15</v>
      </c>
      <c r="C15" s="18">
        <v>183.8</v>
      </c>
      <c r="D15" s="19"/>
    </row>
    <row r="16" spans="1:13" x14ac:dyDescent="0.2">
      <c r="B16" s="20" t="s">
        <v>16</v>
      </c>
    </row>
    <row r="17" spans="1:15" ht="15.75" x14ac:dyDescent="0.2">
      <c r="A17" s="3"/>
      <c r="B17" s="694" t="s">
        <v>17</v>
      </c>
      <c r="C17" s="694"/>
      <c r="D17" s="694"/>
      <c r="E17" s="694"/>
      <c r="F17" s="694"/>
      <c r="G17" s="694"/>
      <c r="H17" s="694"/>
      <c r="I17" s="694"/>
      <c r="J17" s="694"/>
      <c r="K17" s="694"/>
      <c r="L17" s="694"/>
      <c r="M17" s="694"/>
    </row>
    <row r="18" spans="1:15" x14ac:dyDescent="0.2">
      <c r="B18" s="21" t="s">
        <v>18</v>
      </c>
      <c r="C18" s="22" t="s">
        <v>19</v>
      </c>
      <c r="D18" s="23" t="s">
        <v>20</v>
      </c>
      <c r="E18" s="24" t="s">
        <v>21</v>
      </c>
      <c r="H18" s="22" t="s">
        <v>19</v>
      </c>
      <c r="I18" s="23" t="s">
        <v>20</v>
      </c>
      <c r="J18" s="23"/>
      <c r="K18" s="24" t="s">
        <v>21</v>
      </c>
    </row>
    <row r="19" spans="1:15" x14ac:dyDescent="0.2">
      <c r="B19" s="25" t="s">
        <v>22</v>
      </c>
      <c r="C19" s="26"/>
      <c r="D19" s="27">
        <v>0.19</v>
      </c>
      <c r="E19" s="28">
        <f>ROUND(C19*(1-D19),2)</f>
        <v>0</v>
      </c>
      <c r="H19" s="26"/>
      <c r="I19" s="27">
        <v>0.19</v>
      </c>
      <c r="J19" s="27"/>
      <c r="K19" s="28">
        <f>ROUND(H19*(1-I19),2)</f>
        <v>0</v>
      </c>
    </row>
    <row r="20" spans="1:15" ht="17.100000000000001" customHeight="1" x14ac:dyDescent="0.2">
      <c r="B20" s="5" t="s">
        <v>23</v>
      </c>
      <c r="C20" s="11"/>
      <c r="D20" s="29">
        <f>D19</f>
        <v>0.19</v>
      </c>
      <c r="E20" s="28">
        <f>ROUND(C20*(1-D20),2)</f>
        <v>0</v>
      </c>
      <c r="H20" s="11"/>
      <c r="I20" s="29">
        <f>I19</f>
        <v>0.19</v>
      </c>
      <c r="J20" s="29"/>
      <c r="K20" s="28">
        <f>ROUND(H20*(1-I20),2)</f>
        <v>0</v>
      </c>
    </row>
    <row r="21" spans="1:15" x14ac:dyDescent="0.2">
      <c r="B21" s="5" t="s">
        <v>24</v>
      </c>
      <c r="C21" s="11"/>
      <c r="D21" s="29">
        <v>0.06</v>
      </c>
      <c r="E21" s="11"/>
      <c r="H21" s="11"/>
      <c r="I21" s="29">
        <v>0.06</v>
      </c>
      <c r="J21" s="29"/>
      <c r="K21" s="11"/>
    </row>
    <row r="22" spans="1:15" ht="12.95" customHeight="1" x14ac:dyDescent="0.2">
      <c r="B22" s="5" t="s">
        <v>25</v>
      </c>
      <c r="C22" s="11"/>
      <c r="D22" s="29"/>
      <c r="E22" s="11"/>
      <c r="H22" s="11"/>
      <c r="I22" s="29"/>
      <c r="J22" s="29"/>
      <c r="K22" s="11"/>
    </row>
    <row r="23" spans="1:15" x14ac:dyDescent="0.2">
      <c r="B23" s="5" t="s">
        <v>26</v>
      </c>
      <c r="C23" s="15"/>
      <c r="D23" s="11"/>
      <c r="E23" s="15"/>
      <c r="H23" s="15"/>
      <c r="I23" s="11"/>
      <c r="J23" s="11"/>
      <c r="K23" s="15"/>
    </row>
    <row r="24" spans="1:15" x14ac:dyDescent="0.2">
      <c r="B24" s="30" t="s">
        <v>27</v>
      </c>
      <c r="C24" s="31"/>
      <c r="D24" s="15"/>
      <c r="E24" s="15"/>
      <c r="H24" s="31"/>
      <c r="I24" s="15"/>
      <c r="J24" s="15"/>
      <c r="K24" s="15"/>
    </row>
    <row r="25" spans="1:15" x14ac:dyDescent="0.2">
      <c r="B25" s="30"/>
      <c r="C25" s="32"/>
      <c r="D25" s="11"/>
      <c r="E25" s="15"/>
      <c r="H25" s="32"/>
      <c r="I25" s="11"/>
      <c r="J25" s="11"/>
      <c r="K25" s="15"/>
    </row>
    <row r="26" spans="1:15" ht="12.95" customHeight="1" x14ac:dyDescent="0.2">
      <c r="B26" s="33" t="s">
        <v>28</v>
      </c>
      <c r="C26" s="34"/>
      <c r="D26" s="29"/>
      <c r="E26" s="34"/>
      <c r="H26" s="34"/>
      <c r="I26" s="29"/>
      <c r="J26" s="29"/>
      <c r="K26" s="34"/>
    </row>
    <row r="27" spans="1:15" ht="12.95" customHeight="1" x14ac:dyDescent="0.2">
      <c r="B27" s="5" t="s">
        <v>29</v>
      </c>
      <c r="C27" s="35"/>
      <c r="D27" s="29"/>
      <c r="E27" s="34">
        <f>C27</f>
        <v>0</v>
      </c>
      <c r="H27" s="36"/>
      <c r="I27" s="29"/>
      <c r="J27" s="29"/>
      <c r="K27" s="34">
        <f>H27</f>
        <v>0</v>
      </c>
    </row>
    <row r="29" spans="1:15" x14ac:dyDescent="0.2">
      <c r="D29" s="2"/>
      <c r="K29" s="37"/>
    </row>
    <row r="30" spans="1:15" ht="15.75" x14ac:dyDescent="0.2">
      <c r="A30" s="3"/>
      <c r="B30" s="694" t="s">
        <v>30</v>
      </c>
      <c r="C30" s="694"/>
      <c r="D30" s="694"/>
      <c r="E30" s="694"/>
      <c r="F30" s="694"/>
      <c r="G30" s="694"/>
      <c r="H30" s="694"/>
      <c r="I30" s="694"/>
      <c r="J30" s="694"/>
      <c r="K30" s="694"/>
      <c r="L30" s="694"/>
      <c r="M30" s="694"/>
      <c r="N30" s="1"/>
      <c r="O30" s="1"/>
    </row>
    <row r="31" spans="1:15" x14ac:dyDescent="0.2">
      <c r="B31" s="699" t="s">
        <v>31</v>
      </c>
      <c r="C31" s="699"/>
      <c r="D31" s="699"/>
      <c r="E31" s="699"/>
      <c r="F31" s="699"/>
      <c r="G31" s="699"/>
      <c r="H31" s="699"/>
      <c r="I31" s="699"/>
      <c r="J31" s="699"/>
      <c r="K31" s="699"/>
      <c r="L31" s="699"/>
      <c r="M31" s="699"/>
    </row>
    <row r="32" spans="1:15" x14ac:dyDescent="0.2">
      <c r="B32" s="700" t="s">
        <v>32</v>
      </c>
      <c r="C32" s="700"/>
      <c r="D32" s="700"/>
      <c r="E32" s="700"/>
      <c r="F32" s="700"/>
      <c r="G32" s="700"/>
      <c r="H32" s="700"/>
      <c r="I32" s="700"/>
      <c r="J32" s="700"/>
      <c r="K32" s="700"/>
      <c r="L32" s="700"/>
      <c r="M32" s="700"/>
    </row>
    <row r="33" spans="1:15" x14ac:dyDescent="0.2">
      <c r="B33" s="699" t="s">
        <v>33</v>
      </c>
      <c r="C33" s="699"/>
      <c r="D33" s="699"/>
      <c r="E33" s="699"/>
      <c r="F33" s="699"/>
      <c r="G33" s="699"/>
      <c r="H33" s="699"/>
      <c r="I33" s="699"/>
      <c r="J33" s="699"/>
      <c r="K33" s="699"/>
      <c r="L33" s="699"/>
      <c r="M33" s="699"/>
    </row>
    <row r="34" spans="1:15" x14ac:dyDescent="0.2">
      <c r="B34" s="701" t="s">
        <v>34</v>
      </c>
      <c r="C34" s="701"/>
      <c r="D34" s="701"/>
      <c r="E34" s="701"/>
      <c r="F34" s="701"/>
      <c r="G34" s="701"/>
      <c r="H34" s="701"/>
      <c r="I34" s="701"/>
      <c r="J34" s="701"/>
      <c r="K34" s="701"/>
      <c r="L34" s="701"/>
      <c r="M34" s="701"/>
    </row>
    <row r="35" spans="1:15" x14ac:dyDescent="0.2">
      <c r="B35" s="699" t="s">
        <v>35</v>
      </c>
      <c r="C35" s="699"/>
      <c r="D35" s="699"/>
      <c r="E35" s="699"/>
      <c r="F35" s="699"/>
      <c r="G35" s="699"/>
      <c r="H35" s="699"/>
      <c r="I35" s="699"/>
      <c r="J35" s="699"/>
      <c r="K35" s="699"/>
      <c r="L35" s="699"/>
      <c r="M35" s="699"/>
    </row>
    <row r="36" spans="1:15" x14ac:dyDescent="0.2">
      <c r="B36" s="702" t="s">
        <v>36</v>
      </c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</row>
    <row r="37" spans="1:15" x14ac:dyDescent="0.2">
      <c r="B37" s="701" t="s">
        <v>37</v>
      </c>
      <c r="C37" s="701"/>
      <c r="D37" s="701"/>
      <c r="E37" s="701"/>
      <c r="F37" s="701"/>
      <c r="G37" s="701"/>
      <c r="H37" s="701"/>
      <c r="I37" s="701"/>
      <c r="J37" s="701"/>
      <c r="K37" s="701"/>
      <c r="L37" s="701"/>
      <c r="M37" s="701"/>
    </row>
    <row r="38" spans="1:15" ht="26.1" customHeight="1" x14ac:dyDescent="0.2">
      <c r="B38" s="703" t="s">
        <v>38</v>
      </c>
      <c r="C38" s="703"/>
      <c r="D38" s="703"/>
      <c r="E38" s="703"/>
      <c r="F38" s="703"/>
      <c r="G38" s="703"/>
      <c r="H38" s="703"/>
      <c r="I38" s="703"/>
      <c r="J38" s="703"/>
      <c r="K38" s="703"/>
      <c r="L38" s="703"/>
      <c r="M38" s="703"/>
    </row>
    <row r="39" spans="1:15" x14ac:dyDescent="0.2">
      <c r="B39" s="699" t="s">
        <v>39</v>
      </c>
      <c r="C39" s="699"/>
      <c r="D39" s="699"/>
      <c r="E39" s="699"/>
      <c r="F39" s="699"/>
      <c r="G39" s="699"/>
      <c r="H39" s="699"/>
      <c r="I39" s="699"/>
      <c r="J39" s="699"/>
      <c r="K39" s="699"/>
      <c r="L39" s="699"/>
      <c r="M39" s="699"/>
    </row>
    <row r="40" spans="1:15" x14ac:dyDescent="0.2">
      <c r="B40" s="701" t="s">
        <v>40</v>
      </c>
      <c r="C40" s="701"/>
      <c r="D40" s="701"/>
      <c r="E40" s="701"/>
      <c r="F40" s="701"/>
      <c r="G40" s="701"/>
      <c r="H40" s="701"/>
      <c r="I40" s="701"/>
      <c r="J40" s="701"/>
      <c r="K40" s="701"/>
      <c r="L40" s="701"/>
      <c r="M40" s="701"/>
      <c r="O40" s="37"/>
    </row>
    <row r="41" spans="1:15" x14ac:dyDescent="0.2">
      <c r="D41" s="2"/>
      <c r="O41" s="37"/>
    </row>
    <row r="42" spans="1:15" ht="15.75" x14ac:dyDescent="0.2">
      <c r="A42" s="3"/>
      <c r="B42" s="694" t="s">
        <v>41</v>
      </c>
      <c r="C42" s="694"/>
      <c r="D42" s="694"/>
      <c r="E42" s="694"/>
      <c r="F42" s="694"/>
      <c r="G42" s="694"/>
      <c r="H42" s="694"/>
      <c r="I42" s="694"/>
      <c r="J42" s="694"/>
      <c r="K42" s="694"/>
      <c r="L42" s="694"/>
      <c r="M42" s="694"/>
      <c r="N42" s="37"/>
      <c r="O42" s="37"/>
    </row>
    <row r="43" spans="1:15" x14ac:dyDescent="0.2">
      <c r="B43" s="699" t="s">
        <v>42</v>
      </c>
      <c r="C43" s="699"/>
      <c r="D43" s="699"/>
      <c r="E43" s="699"/>
      <c r="F43" s="699"/>
      <c r="G43" s="699"/>
      <c r="H43" s="699"/>
      <c r="I43" s="699"/>
      <c r="J43" s="699"/>
      <c r="K43" s="699"/>
      <c r="L43" s="699"/>
      <c r="M43" s="699"/>
      <c r="N43" s="37"/>
      <c r="O43" s="37"/>
    </row>
    <row r="44" spans="1:15" ht="26.1" customHeight="1" x14ac:dyDescent="0.2">
      <c r="B44" s="38" t="s">
        <v>43</v>
      </c>
      <c r="C44" s="704" t="s">
        <v>44</v>
      </c>
      <c r="D44" s="704"/>
      <c r="E44" s="704"/>
      <c r="F44" s="704"/>
      <c r="G44" s="704"/>
      <c r="H44" s="704"/>
      <c r="I44" s="704"/>
      <c r="J44" s="704"/>
      <c r="K44" s="704"/>
      <c r="L44" s="704"/>
      <c r="M44" s="704"/>
      <c r="N44" s="37"/>
      <c r="O44" s="37"/>
    </row>
    <row r="45" spans="1:15" ht="26.1" customHeight="1" x14ac:dyDescent="0.2">
      <c r="B45" s="39" t="s">
        <v>45</v>
      </c>
      <c r="C45" s="705" t="s">
        <v>46</v>
      </c>
      <c r="D45" s="705"/>
      <c r="E45" s="705"/>
      <c r="F45" s="705"/>
      <c r="G45" s="705"/>
      <c r="H45" s="705"/>
      <c r="I45" s="705"/>
      <c r="J45" s="705"/>
      <c r="K45" s="705"/>
      <c r="L45" s="705"/>
      <c r="M45" s="705"/>
      <c r="N45" s="37"/>
      <c r="O45" s="37"/>
    </row>
    <row r="46" spans="1:15" x14ac:dyDescent="0.2">
      <c r="B46" s="40"/>
      <c r="C46" s="706" t="s">
        <v>47</v>
      </c>
      <c r="D46" s="706"/>
      <c r="E46" s="41">
        <v>1</v>
      </c>
      <c r="F46" s="37"/>
      <c r="G46" s="37"/>
      <c r="H46" s="37"/>
      <c r="I46" s="37"/>
      <c r="J46" s="37"/>
      <c r="K46" s="37"/>
      <c r="L46" s="37"/>
      <c r="M46" s="37"/>
      <c r="N46" s="37"/>
      <c r="O46" s="37"/>
    </row>
    <row r="47" spans="1:15" x14ac:dyDescent="0.2">
      <c r="C47" s="706" t="s">
        <v>48</v>
      </c>
      <c r="D47" s="706"/>
      <c r="E47" s="41">
        <v>3.4931999999999999</v>
      </c>
      <c r="F47" s="37"/>
      <c r="G47" s="37" t="s">
        <v>49</v>
      </c>
      <c r="H47" s="37"/>
      <c r="I47" s="37"/>
      <c r="J47" s="37"/>
      <c r="K47" s="37"/>
      <c r="L47" s="37"/>
      <c r="M47" s="37"/>
      <c r="N47" s="37"/>
      <c r="O47" s="37"/>
    </row>
    <row r="48" spans="1:15" x14ac:dyDescent="0.2">
      <c r="C48" s="706" t="s">
        <v>50</v>
      </c>
      <c r="D48" s="706"/>
      <c r="E48" s="41">
        <v>0.26879999999999998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</row>
    <row r="49" spans="2:15" x14ac:dyDescent="0.2">
      <c r="C49" s="706" t="s">
        <v>51</v>
      </c>
      <c r="D49" s="706"/>
      <c r="E49" s="41">
        <v>4.2700000000000002E-2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</row>
    <row r="50" spans="2:15" x14ac:dyDescent="0.2">
      <c r="C50" s="706" t="s">
        <v>52</v>
      </c>
      <c r="D50" s="706"/>
      <c r="E50" s="41">
        <v>3.5499999999999997E-2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</row>
    <row r="51" spans="2:15" x14ac:dyDescent="0.2">
      <c r="C51" s="706" t="s">
        <v>53</v>
      </c>
      <c r="D51" s="706"/>
      <c r="E51" s="42">
        <v>0.02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</row>
    <row r="52" spans="2:15" x14ac:dyDescent="0.2">
      <c r="C52" s="706" t="s">
        <v>54</v>
      </c>
      <c r="D52" s="706"/>
      <c r="E52" s="42">
        <v>4.0000000000000001E-3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</row>
    <row r="53" spans="2:15" x14ac:dyDescent="0.2">
      <c r="C53" s="706" t="s">
        <v>55</v>
      </c>
      <c r="D53" s="706"/>
      <c r="E53" s="41">
        <v>9.7999999999999997E-3</v>
      </c>
      <c r="F53" s="37"/>
      <c r="G53" s="37"/>
      <c r="H53" s="37"/>
      <c r="I53" s="37"/>
      <c r="J53" s="37"/>
      <c r="K53" s="37"/>
      <c r="L53" s="37"/>
      <c r="M53" s="37"/>
      <c r="N53" s="37"/>
      <c r="O53" s="37"/>
    </row>
    <row r="54" spans="2:15" x14ac:dyDescent="0.2">
      <c r="C54" s="707" t="s">
        <v>56</v>
      </c>
      <c r="D54" s="707"/>
      <c r="E54" s="43">
        <f>SUM(E46:E53)</f>
        <v>4.8739999999999988</v>
      </c>
      <c r="F54" s="1"/>
      <c r="G54" s="1"/>
      <c r="H54" s="1"/>
      <c r="I54" s="1"/>
      <c r="J54" s="1"/>
      <c r="K54" s="1"/>
      <c r="L54" s="1"/>
      <c r="M54" s="1"/>
      <c r="N54" s="37"/>
      <c r="O54" s="37"/>
    </row>
    <row r="55" spans="2:15" x14ac:dyDescent="0.2">
      <c r="B55" s="44" t="s">
        <v>57</v>
      </c>
      <c r="C55" s="708" t="s">
        <v>58</v>
      </c>
      <c r="D55" s="708"/>
      <c r="E55" s="708"/>
      <c r="F55" s="708"/>
      <c r="G55" s="708"/>
      <c r="H55" s="708"/>
      <c r="I55" s="708"/>
      <c r="J55" s="708"/>
      <c r="K55" s="708"/>
      <c r="L55" s="708"/>
      <c r="M55" s="708"/>
      <c r="N55" s="37"/>
      <c r="O55" s="37"/>
    </row>
    <row r="56" spans="2:15" x14ac:dyDescent="0.2">
      <c r="B56" s="701" t="s">
        <v>59</v>
      </c>
      <c r="C56" s="701"/>
      <c r="D56" s="701"/>
      <c r="E56" s="701"/>
      <c r="F56" s="45">
        <v>1.4999999999999999E-2</v>
      </c>
      <c r="G56" s="46"/>
      <c r="H56" s="46"/>
      <c r="I56" s="46"/>
      <c r="J56" s="46"/>
      <c r="K56" s="46"/>
      <c r="L56" s="46"/>
      <c r="M56" s="47"/>
      <c r="N56" s="37"/>
      <c r="O56" s="37"/>
    </row>
    <row r="57" spans="2:15" ht="12.75" customHeight="1" x14ac:dyDescent="0.2">
      <c r="B57" s="48" t="s">
        <v>60</v>
      </c>
      <c r="C57" s="49">
        <v>0.51670000000000005</v>
      </c>
      <c r="D57" s="46"/>
      <c r="E57" s="46"/>
      <c r="F57" s="46"/>
      <c r="G57" s="46"/>
      <c r="H57" s="46"/>
      <c r="I57" s="46"/>
      <c r="J57" s="46"/>
      <c r="K57" s="46"/>
      <c r="L57" s="46"/>
      <c r="M57" s="47"/>
      <c r="N57" s="37"/>
      <c r="O57" s="37"/>
    </row>
    <row r="58" spans="2:15" ht="26.1" customHeight="1" x14ac:dyDescent="0.2">
      <c r="B58" s="50" t="s">
        <v>61</v>
      </c>
      <c r="C58" s="709" t="s">
        <v>62</v>
      </c>
      <c r="D58" s="709"/>
      <c r="E58" s="709"/>
      <c r="F58" s="709"/>
      <c r="G58" s="709"/>
      <c r="H58" s="709"/>
      <c r="I58" s="709"/>
      <c r="J58" s="709"/>
      <c r="K58" s="709"/>
      <c r="L58" s="709"/>
      <c r="M58" s="709"/>
      <c r="N58" s="37"/>
      <c r="O58" s="37"/>
    </row>
    <row r="59" spans="2:15" ht="12.75" customHeight="1" x14ac:dyDescent="0.2">
      <c r="B59" s="51" t="s">
        <v>63</v>
      </c>
      <c r="C59" s="52">
        <v>0.96589999999999998</v>
      </c>
      <c r="D59" s="53"/>
      <c r="E59" s="53"/>
      <c r="F59" s="53"/>
      <c r="G59" s="53"/>
      <c r="H59" s="53"/>
      <c r="I59" s="53"/>
      <c r="J59" s="53"/>
      <c r="K59" s="53"/>
      <c r="L59" s="53"/>
      <c r="M59" s="54"/>
      <c r="N59" s="37"/>
      <c r="O59" s="37"/>
    </row>
    <row r="60" spans="2:15" x14ac:dyDescent="0.2">
      <c r="B60" s="710" t="s">
        <v>64</v>
      </c>
      <c r="C60" s="710"/>
      <c r="D60" s="710"/>
      <c r="E60" s="710"/>
      <c r="F60" s="710"/>
      <c r="G60" s="710"/>
      <c r="H60" s="710"/>
      <c r="I60" s="710"/>
      <c r="J60" s="710"/>
      <c r="K60" s="710"/>
      <c r="L60" s="710"/>
      <c r="M60" s="710"/>
      <c r="N60" s="37"/>
      <c r="O60" s="37"/>
    </row>
    <row r="61" spans="2:15" ht="33" customHeight="1" x14ac:dyDescent="0.2">
      <c r="B61" s="55" t="s">
        <v>65</v>
      </c>
      <c r="C61" s="711" t="s">
        <v>66</v>
      </c>
      <c r="D61" s="711"/>
      <c r="E61" s="711"/>
      <c r="F61" s="711"/>
      <c r="G61" s="711"/>
      <c r="H61" s="711"/>
      <c r="I61" s="711"/>
      <c r="J61" s="711"/>
      <c r="K61" s="711"/>
      <c r="L61" s="711"/>
      <c r="M61" s="711"/>
      <c r="N61" s="37"/>
      <c r="O61" s="37"/>
    </row>
    <row r="62" spans="2:15" ht="12.75" customHeight="1" x14ac:dyDescent="0.2">
      <c r="B62" s="56" t="s">
        <v>67</v>
      </c>
      <c r="C62" s="57">
        <v>0.48330000000000001</v>
      </c>
      <c r="D62" s="58"/>
      <c r="E62" s="58"/>
      <c r="F62" s="58"/>
      <c r="G62" s="58"/>
      <c r="H62" s="58"/>
      <c r="I62" s="58"/>
      <c r="J62" s="58"/>
      <c r="K62" s="58"/>
      <c r="L62" s="58"/>
      <c r="M62" s="59"/>
      <c r="N62" s="37"/>
      <c r="O62" s="37"/>
    </row>
    <row r="63" spans="2:15" ht="12.75" customHeight="1" x14ac:dyDescent="0.2">
      <c r="B63" s="51" t="s">
        <v>68</v>
      </c>
      <c r="C63" s="52">
        <v>3.2000000000000002E-3</v>
      </c>
      <c r="D63" s="60"/>
      <c r="E63" s="53"/>
      <c r="F63" s="53"/>
      <c r="G63" s="53"/>
      <c r="H63" s="53"/>
      <c r="I63" s="53"/>
      <c r="J63" s="53"/>
      <c r="K63" s="53"/>
      <c r="L63" s="53"/>
      <c r="M63" s="54"/>
      <c r="N63" s="37"/>
      <c r="O63" s="37"/>
    </row>
    <row r="64" spans="2:15" ht="12.75" customHeight="1" x14ac:dyDescent="0.2">
      <c r="B64" s="61"/>
      <c r="C64" s="62"/>
      <c r="D64" s="62"/>
      <c r="E64" s="61"/>
      <c r="F64" s="61"/>
      <c r="G64" s="61"/>
      <c r="H64" s="61"/>
      <c r="I64" s="61"/>
      <c r="J64" s="61"/>
      <c r="K64" s="61"/>
      <c r="L64" s="61"/>
      <c r="M64" s="61"/>
      <c r="N64" s="37"/>
      <c r="O64" s="37"/>
    </row>
    <row r="65" spans="1:15" ht="12.75" customHeight="1" x14ac:dyDescent="0.2">
      <c r="A65" s="3"/>
      <c r="B65" s="712" t="s">
        <v>69</v>
      </c>
      <c r="C65" s="712"/>
      <c r="D65" s="712"/>
      <c r="E65" s="712"/>
      <c r="F65" s="712"/>
      <c r="G65" s="712"/>
      <c r="H65" s="712"/>
      <c r="I65" s="712"/>
      <c r="J65" s="712"/>
      <c r="K65" s="712"/>
      <c r="L65" s="712"/>
      <c r="M65" s="712"/>
      <c r="N65" s="37"/>
      <c r="O65" s="37"/>
    </row>
    <row r="66" spans="1:15" ht="12.75" customHeight="1" x14ac:dyDescent="0.2">
      <c r="B66" s="63" t="s">
        <v>70</v>
      </c>
      <c r="C66" s="64"/>
      <c r="D66" s="62"/>
      <c r="E66" s="61"/>
      <c r="F66" s="61"/>
      <c r="G66" s="61"/>
      <c r="H66" s="61"/>
      <c r="I66" s="61"/>
      <c r="J66" s="61"/>
      <c r="K66" s="61"/>
      <c r="L66" s="61"/>
      <c r="M66" s="61"/>
      <c r="N66" s="37"/>
      <c r="O66" s="37"/>
    </row>
    <row r="67" spans="1:15" ht="12.75" customHeight="1" x14ac:dyDescent="0.2">
      <c r="B67" s="39" t="s">
        <v>71</v>
      </c>
      <c r="C67" s="64"/>
      <c r="D67" s="62"/>
      <c r="E67" s="61"/>
      <c r="F67" s="61"/>
      <c r="G67" s="61"/>
      <c r="H67" s="61"/>
      <c r="I67" s="61"/>
      <c r="J67" s="61"/>
      <c r="K67" s="61"/>
      <c r="L67" s="61"/>
      <c r="M67" s="61"/>
      <c r="N67" s="37"/>
      <c r="O67" s="37"/>
    </row>
    <row r="68" spans="1:15" x14ac:dyDescent="0.2">
      <c r="N68" s="37"/>
      <c r="O68" s="37"/>
    </row>
    <row r="69" spans="1:15" ht="15.75" x14ac:dyDescent="0.2">
      <c r="A69" s="3"/>
      <c r="B69" s="694" t="s">
        <v>72</v>
      </c>
      <c r="C69" s="694"/>
      <c r="D69" s="694"/>
      <c r="E69" s="694"/>
      <c r="F69" s="694"/>
      <c r="G69" s="694"/>
      <c r="H69" s="694"/>
      <c r="I69" s="694"/>
      <c r="J69" s="694"/>
      <c r="K69" s="694"/>
      <c r="L69" s="694"/>
      <c r="M69" s="694"/>
    </row>
    <row r="70" spans="1:15" x14ac:dyDescent="0.2">
      <c r="B70" s="65" t="s">
        <v>73</v>
      </c>
      <c r="C70" s="66" t="s">
        <v>74</v>
      </c>
      <c r="D70" s="66" t="s">
        <v>75</v>
      </c>
      <c r="E70" s="67" t="s">
        <v>76</v>
      </c>
      <c r="F70" s="68" t="s">
        <v>77</v>
      </c>
      <c r="H70" s="713" t="s">
        <v>78</v>
      </c>
      <c r="I70" s="713"/>
      <c r="J70" s="66" t="s">
        <v>74</v>
      </c>
      <c r="K70" s="66" t="s">
        <v>75</v>
      </c>
      <c r="L70" s="67" t="s">
        <v>76</v>
      </c>
      <c r="M70" s="68" t="s">
        <v>77</v>
      </c>
    </row>
    <row r="71" spans="1:15" x14ac:dyDescent="0.2">
      <c r="B71" s="69" t="s">
        <v>79</v>
      </c>
      <c r="C71" s="70"/>
      <c r="D71" s="71"/>
      <c r="E71" s="72">
        <f>SUM('Prod. GEXCAX'!P4:U4,'Prod. GEXCAX'!Y4)</f>
        <v>2</v>
      </c>
      <c r="F71" s="73">
        <f t="shared" ref="F71:F82" si="0">E71*D71</f>
        <v>0</v>
      </c>
      <c r="H71" s="714" t="s">
        <v>80</v>
      </c>
      <c r="I71" s="714"/>
      <c r="J71" s="70"/>
      <c r="K71" s="71"/>
      <c r="L71" s="72">
        <f>SUM('Prod. GEXIJU'!P4:V4,'Prod. GEXIJU'!Z4)</f>
        <v>3</v>
      </c>
      <c r="M71" s="73">
        <f>L71*K71</f>
        <v>0</v>
      </c>
    </row>
    <row r="72" spans="1:15" x14ac:dyDescent="0.2">
      <c r="B72" s="74" t="s">
        <v>81</v>
      </c>
      <c r="C72" s="70"/>
      <c r="D72" s="71"/>
      <c r="E72" s="72">
        <f>SUM('Prod. GEXCAX'!P5:U5)</f>
        <v>4</v>
      </c>
      <c r="F72" s="73">
        <f t="shared" si="0"/>
        <v>0</v>
      </c>
      <c r="H72" s="715" t="s">
        <v>82</v>
      </c>
      <c r="I72" s="715"/>
      <c r="J72" s="70"/>
      <c r="K72" s="71"/>
      <c r="L72" s="72">
        <f>SUM('Prod. GEXIJU'!P5:V5)</f>
        <v>1</v>
      </c>
      <c r="M72" s="73">
        <f>L72*K72</f>
        <v>0</v>
      </c>
    </row>
    <row r="73" spans="1:15" x14ac:dyDescent="0.2">
      <c r="B73" s="74" t="s">
        <v>83</v>
      </c>
      <c r="C73" s="70"/>
      <c r="D73" s="71"/>
      <c r="E73" s="72">
        <f>SUM('Prod. GEXCAX'!P6:U6)</f>
        <v>2</v>
      </c>
      <c r="F73" s="73">
        <f t="shared" si="0"/>
        <v>0</v>
      </c>
      <c r="H73" s="715" t="s">
        <v>84</v>
      </c>
      <c r="I73" s="715"/>
      <c r="J73" s="70"/>
      <c r="K73" s="71"/>
      <c r="L73" s="72">
        <f>SUM('Prod. GEXIJU'!P6:V6)</f>
        <v>2</v>
      </c>
      <c r="M73" s="73" t="s">
        <v>85</v>
      </c>
    </row>
    <row r="74" spans="1:15" x14ac:dyDescent="0.2">
      <c r="B74" s="74" t="s">
        <v>86</v>
      </c>
      <c r="C74" s="70"/>
      <c r="D74" s="71"/>
      <c r="E74" s="72">
        <f>SUM('Prod. GEXCAX'!P7:U7)</f>
        <v>6</v>
      </c>
      <c r="F74" s="73">
        <f t="shared" si="0"/>
        <v>0</v>
      </c>
      <c r="H74" s="715" t="s">
        <v>87</v>
      </c>
      <c r="I74" s="715"/>
      <c r="J74" s="70"/>
      <c r="K74" s="71"/>
      <c r="L74" s="72">
        <f>SUM('Prod. GEXIJU'!P7:V7)</f>
        <v>3</v>
      </c>
      <c r="M74" s="73">
        <f>L74*K74</f>
        <v>0</v>
      </c>
    </row>
    <row r="75" spans="1:15" x14ac:dyDescent="0.2">
      <c r="B75" s="74" t="s">
        <v>88</v>
      </c>
      <c r="C75" s="70"/>
      <c r="D75" s="71"/>
      <c r="E75" s="72">
        <f>SUM('Prod. GEXCAX'!P8:U8)</f>
        <v>2</v>
      </c>
      <c r="F75" s="73">
        <f t="shared" si="0"/>
        <v>0</v>
      </c>
      <c r="H75" s="715" t="s">
        <v>89</v>
      </c>
      <c r="I75" s="715"/>
      <c r="J75" s="70"/>
      <c r="K75" s="71"/>
      <c r="L75" s="72">
        <f>SUM('Prod. GEXIJU'!P8:V8)</f>
        <v>3</v>
      </c>
      <c r="M75" s="73" t="s">
        <v>85</v>
      </c>
    </row>
    <row r="76" spans="1:15" x14ac:dyDescent="0.2">
      <c r="B76" s="74" t="s">
        <v>90</v>
      </c>
      <c r="C76" s="70"/>
      <c r="D76" s="71"/>
      <c r="E76" s="72">
        <f>SUM('Prod. GEXCAX'!P9:U9)</f>
        <v>2</v>
      </c>
      <c r="F76" s="73">
        <f t="shared" si="0"/>
        <v>0</v>
      </c>
      <c r="H76" s="715" t="s">
        <v>91</v>
      </c>
      <c r="I76" s="715"/>
      <c r="J76" s="70"/>
      <c r="K76" s="71"/>
      <c r="L76" s="72">
        <f>SUM('Prod. GEXIJU'!P9:V9)</f>
        <v>3</v>
      </c>
      <c r="M76" s="73">
        <f t="shared" ref="M76:M83" si="1">L76*K76</f>
        <v>0</v>
      </c>
    </row>
    <row r="77" spans="1:15" x14ac:dyDescent="0.2">
      <c r="B77" s="74" t="s">
        <v>92</v>
      </c>
      <c r="C77" s="70"/>
      <c r="D77" s="71"/>
      <c r="E77" s="72">
        <f>SUM('Prod. GEXCAX'!P10:U10)</f>
        <v>3</v>
      </c>
      <c r="F77" s="73">
        <f t="shared" si="0"/>
        <v>0</v>
      </c>
      <c r="H77" s="715" t="s">
        <v>93</v>
      </c>
      <c r="I77" s="715"/>
      <c r="J77" s="70"/>
      <c r="K77" s="71"/>
      <c r="L77" s="72">
        <f>SUM('Prod. GEXIJU'!P10:V10)</f>
        <v>3</v>
      </c>
      <c r="M77" s="73">
        <f t="shared" si="1"/>
        <v>0</v>
      </c>
    </row>
    <row r="78" spans="1:15" x14ac:dyDescent="0.2">
      <c r="B78" s="74" t="s">
        <v>94</v>
      </c>
      <c r="C78" s="70"/>
      <c r="D78" s="71"/>
      <c r="E78" s="72">
        <f>SUM('Prod. GEXCAX'!P11:U11)</f>
        <v>1</v>
      </c>
      <c r="F78" s="73">
        <f t="shared" si="0"/>
        <v>0</v>
      </c>
      <c r="H78" s="715" t="s">
        <v>95</v>
      </c>
      <c r="I78" s="715"/>
      <c r="J78" s="70"/>
      <c r="K78" s="71"/>
      <c r="L78" s="72">
        <f>SUM('Prod. GEXIJU'!P11:V11)</f>
        <v>2</v>
      </c>
      <c r="M78" s="73">
        <f t="shared" si="1"/>
        <v>0</v>
      </c>
    </row>
    <row r="79" spans="1:15" x14ac:dyDescent="0.2">
      <c r="B79" s="74" t="s">
        <v>96</v>
      </c>
      <c r="C79" s="70"/>
      <c r="D79" s="71"/>
      <c r="E79" s="72">
        <f>SUM('Prod. GEXCAX'!P12:U12)</f>
        <v>2</v>
      </c>
      <c r="F79" s="73">
        <f t="shared" si="0"/>
        <v>0</v>
      </c>
      <c r="H79" s="715" t="s">
        <v>97</v>
      </c>
      <c r="I79" s="715"/>
      <c r="J79" s="70"/>
      <c r="K79" s="71"/>
      <c r="L79" s="72">
        <f>SUM('Prod. GEXIJU'!P12:V12)</f>
        <v>3</v>
      </c>
      <c r="M79" s="73">
        <f t="shared" si="1"/>
        <v>0</v>
      </c>
    </row>
    <row r="80" spans="1:15" x14ac:dyDescent="0.2">
      <c r="B80" s="74" t="s">
        <v>98</v>
      </c>
      <c r="C80" s="70"/>
      <c r="D80" s="71"/>
      <c r="E80" s="72">
        <f>SUM('Prod. GEXCAX'!P13:U13)</f>
        <v>1</v>
      </c>
      <c r="F80" s="73">
        <f t="shared" si="0"/>
        <v>0</v>
      </c>
      <c r="H80" s="715" t="s">
        <v>99</v>
      </c>
      <c r="I80" s="715"/>
      <c r="J80" s="70"/>
      <c r="K80" s="71"/>
      <c r="L80" s="72">
        <f>SUM('Prod. GEXIJU'!P13:V13)</f>
        <v>3</v>
      </c>
      <c r="M80" s="73">
        <f t="shared" si="1"/>
        <v>0</v>
      </c>
    </row>
    <row r="81" spans="2:13" x14ac:dyDescent="0.2">
      <c r="B81" s="74" t="s">
        <v>100</v>
      </c>
      <c r="C81" s="70"/>
      <c r="D81" s="71"/>
      <c r="E81" s="72">
        <f>SUM('Prod. GEXCAX'!P14:U14)</f>
        <v>1</v>
      </c>
      <c r="F81" s="73">
        <f t="shared" si="0"/>
        <v>0</v>
      </c>
      <c r="H81" s="715" t="s">
        <v>101</v>
      </c>
      <c r="I81" s="715"/>
      <c r="J81" s="70"/>
      <c r="K81" s="71"/>
      <c r="L81" s="72">
        <f>SUM('Prod. GEXIJU'!P14:V14)</f>
        <v>3</v>
      </c>
      <c r="M81" s="73">
        <f t="shared" si="1"/>
        <v>0</v>
      </c>
    </row>
    <row r="82" spans="2:13" x14ac:dyDescent="0.2">
      <c r="B82" s="74" t="s">
        <v>102</v>
      </c>
      <c r="C82" s="70"/>
      <c r="D82" s="71"/>
      <c r="E82" s="72">
        <f>SUM('Prod. GEXCAX'!P15:U15)</f>
        <v>1</v>
      </c>
      <c r="F82" s="73">
        <f t="shared" si="0"/>
        <v>0</v>
      </c>
      <c r="H82" s="715" t="s">
        <v>103</v>
      </c>
      <c r="I82" s="715"/>
      <c r="J82" s="70"/>
      <c r="K82" s="71"/>
      <c r="L82" s="72">
        <f>SUM('Prod. GEXIJU'!P15:V15)</f>
        <v>2</v>
      </c>
      <c r="M82" s="73">
        <f t="shared" si="1"/>
        <v>0</v>
      </c>
    </row>
    <row r="83" spans="2:13" x14ac:dyDescent="0.2">
      <c r="B83" s="75" t="s">
        <v>104</v>
      </c>
      <c r="D83" s="76" t="e">
        <f>AVERAGE(D71:D82)</f>
        <v>#DIV/0!</v>
      </c>
      <c r="E83" s="72">
        <f>SUM(E71:E82)</f>
        <v>27</v>
      </c>
      <c r="F83" s="73">
        <f>SUM(F71:F82)</f>
        <v>0</v>
      </c>
      <c r="H83" s="715" t="s">
        <v>105</v>
      </c>
      <c r="I83" s="715"/>
      <c r="J83" s="70"/>
      <c r="K83" s="71"/>
      <c r="L83" s="72">
        <f>SUM('Prod. GEXIJU'!P16:V16)</f>
        <v>3</v>
      </c>
      <c r="M83" s="73">
        <f t="shared" si="1"/>
        <v>0</v>
      </c>
    </row>
    <row r="84" spans="2:13" x14ac:dyDescent="0.2">
      <c r="B84" s="77" t="s">
        <v>106</v>
      </c>
      <c r="C84" s="78"/>
      <c r="D84" s="79">
        <f>F83/E83</f>
        <v>0</v>
      </c>
      <c r="E84" s="80"/>
      <c r="F84" s="80"/>
      <c r="H84" s="715" t="s">
        <v>107</v>
      </c>
      <c r="I84" s="715"/>
      <c r="J84" s="70"/>
      <c r="K84" s="71"/>
      <c r="L84" s="72">
        <f>SUM('Prod. GEXIJU'!P17:V17)</f>
        <v>1</v>
      </c>
      <c r="M84" s="73" t="s">
        <v>85</v>
      </c>
    </row>
    <row r="85" spans="2:13" x14ac:dyDescent="0.2">
      <c r="E85" s="81"/>
      <c r="F85" s="82"/>
      <c r="H85" s="715" t="s">
        <v>108</v>
      </c>
      <c r="I85" s="715"/>
      <c r="J85" s="70"/>
      <c r="K85" s="71"/>
      <c r="L85" s="72">
        <f>SUM('Prod. GEXIJU'!P18:V18)</f>
        <v>1</v>
      </c>
      <c r="M85" s="73">
        <f>L85*K85</f>
        <v>0</v>
      </c>
    </row>
    <row r="86" spans="2:13" x14ac:dyDescent="0.2">
      <c r="E86" s="81"/>
      <c r="F86" s="82"/>
      <c r="H86" s="715" t="s">
        <v>109</v>
      </c>
      <c r="I86" s="715"/>
      <c r="J86" s="70"/>
      <c r="K86" s="71"/>
      <c r="L86" s="72">
        <f>SUM('Prod. GEXIJU'!P19:V19)</f>
        <v>1</v>
      </c>
      <c r="M86" s="73" t="s">
        <v>85</v>
      </c>
    </row>
    <row r="87" spans="2:13" x14ac:dyDescent="0.2">
      <c r="B87" s="65" t="s">
        <v>110</v>
      </c>
      <c r="C87" s="66" t="s">
        <v>74</v>
      </c>
      <c r="D87" s="66" t="s">
        <v>75</v>
      </c>
      <c r="E87" s="67" t="s">
        <v>76</v>
      </c>
      <c r="F87" s="68" t="s">
        <v>77</v>
      </c>
      <c r="H87" s="715" t="s">
        <v>111</v>
      </c>
      <c r="I87" s="715"/>
      <c r="J87" s="70"/>
      <c r="K87" s="71"/>
      <c r="L87" s="72">
        <f>SUM('Prod. GEXIJU'!P20:V20)</f>
        <v>1</v>
      </c>
      <c r="M87" s="73" t="s">
        <v>85</v>
      </c>
    </row>
    <row r="88" spans="2:13" x14ac:dyDescent="0.2">
      <c r="B88" s="83" t="s">
        <v>112</v>
      </c>
      <c r="C88" s="70"/>
      <c r="D88" s="84"/>
      <c r="E88" s="72">
        <f>SUM('Prod. GEXPSF'!P4:U4,'Prod. GEXPSF'!Y4)</f>
        <v>2</v>
      </c>
      <c r="F88" s="73">
        <f t="shared" ref="F88:F94" si="2">E88*D88</f>
        <v>0</v>
      </c>
      <c r="H88" s="716" t="s">
        <v>104</v>
      </c>
      <c r="I88" s="716"/>
      <c r="K88" s="76" t="e">
        <f>AVERAGE(K71:K87)</f>
        <v>#DIV/0!</v>
      </c>
      <c r="L88" s="72">
        <f>SUM(L71:L87)-L73-L75-L84-L86-L87</f>
        <v>30</v>
      </c>
      <c r="M88" s="73">
        <f>SUM(M71:M87)</f>
        <v>0</v>
      </c>
    </row>
    <row r="89" spans="2:13" x14ac:dyDescent="0.2">
      <c r="B89" s="85" t="s">
        <v>113</v>
      </c>
      <c r="C89" s="70"/>
      <c r="D89" s="84"/>
      <c r="E89" s="72">
        <f>SUM('Prod. GEXPSF'!P5:U5)</f>
        <v>5</v>
      </c>
      <c r="F89" s="73">
        <f t="shared" si="2"/>
        <v>0</v>
      </c>
      <c r="H89" s="717" t="s">
        <v>106</v>
      </c>
      <c r="I89" s="717"/>
      <c r="J89" s="78"/>
      <c r="K89" s="79">
        <f>M88/L88</f>
        <v>0</v>
      </c>
      <c r="L89" s="86"/>
      <c r="M89" s="87"/>
    </row>
    <row r="90" spans="2:13" x14ac:dyDescent="0.2">
      <c r="B90" s="85" t="s">
        <v>114</v>
      </c>
      <c r="C90" s="70"/>
      <c r="D90" s="84"/>
      <c r="E90" s="72">
        <f>SUM('Prod. GEXPSF'!P6:U6)</f>
        <v>5</v>
      </c>
      <c r="F90" s="73">
        <f t="shared" si="2"/>
        <v>0</v>
      </c>
      <c r="L90" s="88"/>
      <c r="M90" s="88"/>
    </row>
    <row r="91" spans="2:13" x14ac:dyDescent="0.2">
      <c r="B91" s="85" t="s">
        <v>115</v>
      </c>
      <c r="C91" s="70"/>
      <c r="D91" s="84"/>
      <c r="E91" s="72">
        <f>SUM('Prod. GEXPSF'!P7:U7)</f>
        <v>1</v>
      </c>
      <c r="F91" s="73">
        <f t="shared" si="2"/>
        <v>0</v>
      </c>
    </row>
    <row r="92" spans="2:13" x14ac:dyDescent="0.2">
      <c r="B92" s="85" t="s">
        <v>116</v>
      </c>
      <c r="C92" s="70"/>
      <c r="D92" s="84"/>
      <c r="E92" s="72">
        <f>SUM('Prod. GEXPSF'!P8:U8)</f>
        <v>2</v>
      </c>
      <c r="F92" s="73">
        <f t="shared" si="2"/>
        <v>0</v>
      </c>
    </row>
    <row r="93" spans="2:13" x14ac:dyDescent="0.2">
      <c r="B93" s="85" t="s">
        <v>117</v>
      </c>
      <c r="C93" s="70"/>
      <c r="D93" s="84"/>
      <c r="E93" s="72">
        <f>SUM('Prod. GEXPSF'!P9:U9)</f>
        <v>7</v>
      </c>
      <c r="F93" s="73">
        <f t="shared" si="2"/>
        <v>0</v>
      </c>
    </row>
    <row r="94" spans="2:13" x14ac:dyDescent="0.2">
      <c r="B94" s="85" t="s">
        <v>118</v>
      </c>
      <c r="C94" s="70"/>
      <c r="D94" s="84"/>
      <c r="E94" s="72">
        <f>SUM('Prod. GEXPSF'!P10:U10)</f>
        <v>3</v>
      </c>
      <c r="F94" s="73">
        <f t="shared" si="2"/>
        <v>0</v>
      </c>
    </row>
    <row r="95" spans="2:13" x14ac:dyDescent="0.2">
      <c r="B95" s="85" t="s">
        <v>119</v>
      </c>
      <c r="C95" s="70"/>
      <c r="D95" s="84"/>
      <c r="E95" s="72">
        <f>SUM('Prod. GEXPSF'!P11:U11)</f>
        <v>1</v>
      </c>
      <c r="F95" s="73" t="s">
        <v>85</v>
      </c>
    </row>
    <row r="96" spans="2:13" x14ac:dyDescent="0.2">
      <c r="B96" s="85" t="s">
        <v>120</v>
      </c>
      <c r="C96" s="70"/>
      <c r="D96" s="84"/>
      <c r="E96" s="72">
        <f>SUM('Prod. GEXPSF'!P12:U12)</f>
        <v>2</v>
      </c>
      <c r="F96" s="73" t="s">
        <v>85</v>
      </c>
    </row>
    <row r="97" spans="2:6" x14ac:dyDescent="0.2">
      <c r="B97" s="85" t="s">
        <v>121</v>
      </c>
      <c r="C97" s="70"/>
      <c r="D97" s="84"/>
      <c r="E97" s="72">
        <f>SUM('Prod. GEXPSF'!P13:U13)</f>
        <v>1</v>
      </c>
      <c r="F97" s="73">
        <f>E97*D97</f>
        <v>0</v>
      </c>
    </row>
    <row r="98" spans="2:6" x14ac:dyDescent="0.2">
      <c r="B98" s="85" t="s">
        <v>122</v>
      </c>
      <c r="C98" s="70"/>
      <c r="D98" s="84"/>
      <c r="E98" s="72">
        <f>SUM('Prod. GEXPSF'!P14:U14)</f>
        <v>1</v>
      </c>
      <c r="F98" s="73" t="s">
        <v>85</v>
      </c>
    </row>
    <row r="99" spans="2:6" x14ac:dyDescent="0.2">
      <c r="B99" s="85" t="s">
        <v>123</v>
      </c>
      <c r="C99" s="70"/>
      <c r="D99" s="84"/>
      <c r="E99" s="72">
        <f>SUM('Prod. GEXPSF'!P15:U15)</f>
        <v>1</v>
      </c>
      <c r="F99" s="73" t="s">
        <v>85</v>
      </c>
    </row>
    <row r="100" spans="2:6" x14ac:dyDescent="0.2">
      <c r="B100" s="85" t="s">
        <v>124</v>
      </c>
      <c r="C100" s="70"/>
      <c r="D100" s="84"/>
      <c r="E100" s="72">
        <f>SUM('Prod. GEXPSF'!P16:U16)</f>
        <v>1</v>
      </c>
      <c r="F100" s="73" t="s">
        <v>85</v>
      </c>
    </row>
    <row r="101" spans="2:6" x14ac:dyDescent="0.2">
      <c r="B101" s="75" t="s">
        <v>104</v>
      </c>
      <c r="D101" s="76" t="e">
        <f>AVERAGE(D88:D100)</f>
        <v>#DIV/0!</v>
      </c>
      <c r="E101" s="72">
        <f>SUM(E88:E100)-E95-E96-E98-E99-E100</f>
        <v>26</v>
      </c>
      <c r="F101" s="73">
        <f>SUM(F88:F100)</f>
        <v>0</v>
      </c>
    </row>
    <row r="102" spans="2:6" x14ac:dyDescent="0.2">
      <c r="B102" s="77" t="s">
        <v>106</v>
      </c>
      <c r="C102" s="78"/>
      <c r="D102" s="79">
        <f>F101/E101</f>
        <v>0</v>
      </c>
      <c r="E102" s="86"/>
      <c r="F102" s="87"/>
    </row>
    <row r="65447" ht="12.75" customHeight="1" x14ac:dyDescent="0.2"/>
    <row r="65448" ht="12.75" customHeight="1" x14ac:dyDescent="0.2"/>
    <row r="65449" ht="12.75" customHeight="1" x14ac:dyDescent="0.2"/>
    <row r="65450" ht="12.75" customHeight="1" x14ac:dyDescent="0.2"/>
    <row r="65451" ht="12.75" customHeight="1" x14ac:dyDescent="0.2"/>
    <row r="65452" ht="12.75" customHeight="1" x14ac:dyDescent="0.2"/>
    <row r="65453" ht="12.75" customHeight="1" x14ac:dyDescent="0.2"/>
    <row r="65454" ht="12.75" customHeight="1" x14ac:dyDescent="0.2"/>
    <row r="1048495" ht="12.75" customHeight="1" x14ac:dyDescent="0.2"/>
    <row r="1048496" ht="12.75" customHeight="1" x14ac:dyDescent="0.2"/>
    <row r="1048497" ht="12.75" customHeight="1" x14ac:dyDescent="0.2"/>
    <row r="1048498" ht="12.75" customHeight="1" x14ac:dyDescent="0.2"/>
    <row r="1048499" ht="12.75" customHeight="1" x14ac:dyDescent="0.2"/>
    <row r="1048500" ht="12.75" customHeight="1" x14ac:dyDescent="0.2"/>
    <row r="1048501" ht="12.75" customHeight="1" x14ac:dyDescent="0.2"/>
    <row r="1048502" ht="12.75" customHeight="1" x14ac:dyDescent="0.2"/>
    <row r="1048503" ht="12.75" customHeight="1" x14ac:dyDescent="0.2"/>
    <row r="1048504" ht="12.75" customHeight="1" x14ac:dyDescent="0.2"/>
    <row r="1048505" ht="12.75" customHeight="1" x14ac:dyDescent="0.2"/>
    <row r="1048506" ht="12.75" customHeight="1" x14ac:dyDescent="0.2"/>
    <row r="1048507" ht="12.75" customHeight="1" x14ac:dyDescent="0.2"/>
    <row r="1048508" ht="12.75" customHeight="1" x14ac:dyDescent="0.2"/>
    <row r="1048509" ht="12.75" customHeight="1" x14ac:dyDescent="0.2"/>
  </sheetData>
  <mergeCells count="63">
    <mergeCell ref="H88:I88"/>
    <mergeCell ref="H89:I89"/>
    <mergeCell ref="H83:I83"/>
    <mergeCell ref="H84:I84"/>
    <mergeCell ref="H85:I85"/>
    <mergeCell ref="H86:I86"/>
    <mergeCell ref="H87:I87"/>
    <mergeCell ref="H78:I78"/>
    <mergeCell ref="H79:I79"/>
    <mergeCell ref="H80:I80"/>
    <mergeCell ref="H81:I81"/>
    <mergeCell ref="H82:I82"/>
    <mergeCell ref="H73:I73"/>
    <mergeCell ref="H74:I74"/>
    <mergeCell ref="H75:I75"/>
    <mergeCell ref="H76:I76"/>
    <mergeCell ref="H77:I77"/>
    <mergeCell ref="B65:M65"/>
    <mergeCell ref="B69:M69"/>
    <mergeCell ref="H70:I70"/>
    <mergeCell ref="H71:I71"/>
    <mergeCell ref="H72:I72"/>
    <mergeCell ref="C55:M55"/>
    <mergeCell ref="B56:E56"/>
    <mergeCell ref="C58:M58"/>
    <mergeCell ref="B60:M60"/>
    <mergeCell ref="C61:M61"/>
    <mergeCell ref="C50:D50"/>
    <mergeCell ref="C51:D51"/>
    <mergeCell ref="C52:D52"/>
    <mergeCell ref="C53:D53"/>
    <mergeCell ref="C54:D54"/>
    <mergeCell ref="C45:M45"/>
    <mergeCell ref="C46:D46"/>
    <mergeCell ref="C47:D47"/>
    <mergeCell ref="C48:D48"/>
    <mergeCell ref="C49:D49"/>
    <mergeCell ref="B39:M39"/>
    <mergeCell ref="B40:M40"/>
    <mergeCell ref="B42:M42"/>
    <mergeCell ref="B43:M43"/>
    <mergeCell ref="C44:M44"/>
    <mergeCell ref="B34:M34"/>
    <mergeCell ref="B35:M35"/>
    <mergeCell ref="B36:M36"/>
    <mergeCell ref="B37:M37"/>
    <mergeCell ref="B38:M38"/>
    <mergeCell ref="B17:M17"/>
    <mergeCell ref="B30:M30"/>
    <mergeCell ref="B31:M31"/>
    <mergeCell ref="B32:M32"/>
    <mergeCell ref="B33:M33"/>
    <mergeCell ref="C8:D8"/>
    <mergeCell ref="H8:I8"/>
    <mergeCell ref="C9:F9"/>
    <mergeCell ref="H9:K9"/>
    <mergeCell ref="B10:B11"/>
    <mergeCell ref="B1:M1"/>
    <mergeCell ref="C3:D3"/>
    <mergeCell ref="C4:D4"/>
    <mergeCell ref="B6:M6"/>
    <mergeCell ref="C7:D7"/>
    <mergeCell ref="H7:I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5A11"/>
  </sheetPr>
  <dimension ref="A1:AMK147"/>
  <sheetViews>
    <sheetView showGridLines="0" topLeftCell="A57" zoomScale="75" zoomScaleNormal="75" workbookViewId="0">
      <pane xSplit="2" topLeftCell="C1" activePane="topRight" state="frozen"/>
      <selection pane="topRight" activeCell="N99" sqref="N99"/>
    </sheetView>
  </sheetViews>
  <sheetFormatPr defaultRowHeight="14.25" x14ac:dyDescent="0.2"/>
  <cols>
    <col min="1" max="1" width="51.125" style="89" customWidth="1"/>
    <col min="2" max="2" width="15.5" style="89" customWidth="1"/>
    <col min="3" max="4" width="15.625" style="89" customWidth="1"/>
    <col min="5" max="5" width="16" style="89" customWidth="1"/>
    <col min="6" max="6" width="17.375" style="89" customWidth="1"/>
    <col min="7" max="7" width="16.5" style="89" customWidth="1"/>
    <col min="8" max="9" width="15.25" style="89" customWidth="1"/>
    <col min="10" max="11" width="16" style="89" customWidth="1"/>
    <col min="12" max="12" width="10.5" style="89" customWidth="1"/>
    <col min="13" max="1025" width="9" style="89" customWidth="1"/>
  </cols>
  <sheetData>
    <row r="1" spans="1:19" s="90" customFormat="1" ht="20.25" customHeight="1" x14ac:dyDescent="0.2">
      <c r="A1" s="718" t="s">
        <v>125</v>
      </c>
      <c r="B1" s="718"/>
      <c r="C1" s="718"/>
      <c r="D1" s="718"/>
      <c r="E1" s="718"/>
      <c r="F1" s="718"/>
      <c r="G1" s="718"/>
      <c r="H1" s="718"/>
      <c r="J1" s="91" t="s">
        <v>126</v>
      </c>
      <c r="K1" s="92"/>
      <c r="L1" s="93"/>
      <c r="M1" s="92"/>
      <c r="N1" s="92"/>
      <c r="O1" s="92"/>
      <c r="P1" s="92"/>
      <c r="Q1" s="92"/>
      <c r="R1" s="92"/>
      <c r="S1" s="94"/>
    </row>
    <row r="2" spans="1:19" ht="52.5" customHeight="1" x14ac:dyDescent="0.2">
      <c r="A2" s="95" t="s">
        <v>127</v>
      </c>
      <c r="B2" s="96" t="s">
        <v>128</v>
      </c>
      <c r="C2" s="96" t="s">
        <v>129</v>
      </c>
      <c r="D2" s="96" t="s">
        <v>130</v>
      </c>
      <c r="E2" s="96" t="s">
        <v>131</v>
      </c>
      <c r="F2" s="97" t="s">
        <v>132</v>
      </c>
      <c r="G2" s="98" t="s">
        <v>133</v>
      </c>
      <c r="H2" s="99" t="s">
        <v>134</v>
      </c>
      <c r="J2" s="100" t="s">
        <v>135</v>
      </c>
      <c r="K2" s="101"/>
      <c r="L2" s="101"/>
      <c r="M2" s="101"/>
      <c r="N2" s="101"/>
      <c r="O2" s="101"/>
      <c r="P2" s="101"/>
      <c r="Q2" s="101"/>
      <c r="R2" s="101"/>
      <c r="S2" s="102"/>
    </row>
    <row r="3" spans="1:19" ht="15" customHeight="1" x14ac:dyDescent="0.2">
      <c r="A3" s="103" t="s">
        <v>136</v>
      </c>
      <c r="B3" s="104" t="s">
        <v>137</v>
      </c>
      <c r="C3" s="105">
        <v>0.31</v>
      </c>
      <c r="D3" s="106"/>
      <c r="E3" s="106"/>
      <c r="F3" s="107">
        <f t="shared" ref="F3:F36" si="0">(D3+E3)/2</f>
        <v>0</v>
      </c>
      <c r="G3" s="108">
        <f t="shared" ref="G3:G36" si="1">C3*F3</f>
        <v>0</v>
      </c>
      <c r="H3" s="109" t="s">
        <v>138</v>
      </c>
      <c r="J3" s="110" t="s">
        <v>139</v>
      </c>
      <c r="K3" s="111"/>
      <c r="L3" s="111"/>
      <c r="M3" s="111"/>
      <c r="N3" s="111"/>
      <c r="O3" s="111"/>
      <c r="P3" s="111"/>
      <c r="Q3" s="111"/>
      <c r="R3" s="111"/>
      <c r="S3" s="112"/>
    </row>
    <row r="4" spans="1:19" ht="15" customHeight="1" x14ac:dyDescent="0.2">
      <c r="A4" s="103" t="s">
        <v>140</v>
      </c>
      <c r="B4" s="104" t="s">
        <v>137</v>
      </c>
      <c r="C4" s="105">
        <v>4.74</v>
      </c>
      <c r="D4" s="106"/>
      <c r="E4" s="106"/>
      <c r="F4" s="107">
        <f t="shared" si="0"/>
        <v>0</v>
      </c>
      <c r="G4" s="108">
        <f t="shared" si="1"/>
        <v>0</v>
      </c>
      <c r="H4" s="113" t="s">
        <v>141</v>
      </c>
      <c r="J4" s="110" t="s">
        <v>142</v>
      </c>
      <c r="K4" s="111"/>
      <c r="L4" s="111"/>
      <c r="M4" s="111"/>
      <c r="N4" s="111"/>
      <c r="O4" s="111"/>
      <c r="P4" s="111"/>
      <c r="Q4" s="111"/>
      <c r="R4" s="111"/>
      <c r="S4" s="112"/>
    </row>
    <row r="5" spans="1:19" ht="15" customHeight="1" x14ac:dyDescent="0.2">
      <c r="A5" s="103" t="s">
        <v>143</v>
      </c>
      <c r="B5" s="104" t="s">
        <v>144</v>
      </c>
      <c r="C5" s="105">
        <v>2.02</v>
      </c>
      <c r="D5" s="106"/>
      <c r="E5" s="106"/>
      <c r="F5" s="107">
        <f t="shared" si="0"/>
        <v>0</v>
      </c>
      <c r="G5" s="108">
        <f t="shared" si="1"/>
        <v>0</v>
      </c>
      <c r="H5" s="113" t="s">
        <v>145</v>
      </c>
      <c r="J5" s="110" t="s">
        <v>146</v>
      </c>
      <c r="K5" s="111"/>
      <c r="L5" s="111"/>
      <c r="M5" s="111"/>
      <c r="N5" s="111"/>
      <c r="O5" s="111"/>
      <c r="P5" s="111"/>
      <c r="Q5" s="111"/>
      <c r="R5" s="111"/>
      <c r="S5" s="112"/>
    </row>
    <row r="6" spans="1:19" ht="15" customHeight="1" x14ac:dyDescent="0.2">
      <c r="A6" s="103" t="s">
        <v>147</v>
      </c>
      <c r="B6" s="104" t="s">
        <v>137</v>
      </c>
      <c r="C6" s="105">
        <v>2.52</v>
      </c>
      <c r="D6" s="106"/>
      <c r="E6" s="106"/>
      <c r="F6" s="107">
        <f t="shared" si="0"/>
        <v>0</v>
      </c>
      <c r="G6" s="108">
        <f t="shared" si="1"/>
        <v>0</v>
      </c>
      <c r="H6" s="113" t="s">
        <v>145</v>
      </c>
      <c r="J6" s="114" t="s">
        <v>148</v>
      </c>
      <c r="K6" s="115"/>
      <c r="L6" s="115"/>
      <c r="M6" s="115"/>
      <c r="N6" s="115"/>
      <c r="O6" s="115"/>
      <c r="P6" s="115"/>
      <c r="Q6" s="115"/>
      <c r="R6" s="115"/>
      <c r="S6" s="116"/>
    </row>
    <row r="7" spans="1:19" ht="15" customHeight="1" x14ac:dyDescent="0.2">
      <c r="A7" s="103" t="s">
        <v>149</v>
      </c>
      <c r="B7" s="104" t="s">
        <v>150</v>
      </c>
      <c r="C7" s="105">
        <v>0.3</v>
      </c>
      <c r="D7" s="106"/>
      <c r="E7" s="106"/>
      <c r="F7" s="107">
        <f t="shared" si="0"/>
        <v>0</v>
      </c>
      <c r="G7" s="108">
        <f t="shared" si="1"/>
        <v>0</v>
      </c>
      <c r="H7" s="113" t="s">
        <v>151</v>
      </c>
    </row>
    <row r="8" spans="1:19" ht="15" customHeight="1" x14ac:dyDescent="0.2">
      <c r="A8" s="103" t="s">
        <v>152</v>
      </c>
      <c r="B8" s="104" t="s">
        <v>150</v>
      </c>
      <c r="C8" s="105">
        <v>1.35</v>
      </c>
      <c r="D8" s="106"/>
      <c r="E8" s="106"/>
      <c r="F8" s="107">
        <f t="shared" si="0"/>
        <v>0</v>
      </c>
      <c r="G8" s="108">
        <f t="shared" si="1"/>
        <v>0</v>
      </c>
      <c r="H8" s="113" t="s">
        <v>153</v>
      </c>
    </row>
    <row r="9" spans="1:19" ht="15" customHeight="1" x14ac:dyDescent="0.2">
      <c r="A9" s="103" t="s">
        <v>154</v>
      </c>
      <c r="B9" s="104" t="s">
        <v>150</v>
      </c>
      <c r="C9" s="105">
        <v>0.2</v>
      </c>
      <c r="D9" s="106"/>
      <c r="E9" s="106"/>
      <c r="F9" s="107">
        <f t="shared" si="0"/>
        <v>0</v>
      </c>
      <c r="G9" s="108">
        <f t="shared" si="1"/>
        <v>0</v>
      </c>
      <c r="H9" s="113" t="s">
        <v>155</v>
      </c>
    </row>
    <row r="10" spans="1:19" ht="15" customHeight="1" x14ac:dyDescent="0.2">
      <c r="A10" s="103" t="s">
        <v>156</v>
      </c>
      <c r="B10" s="104" t="s">
        <v>150</v>
      </c>
      <c r="C10" s="105">
        <v>0.5</v>
      </c>
      <c r="D10" s="106"/>
      <c r="E10" s="106"/>
      <c r="F10" s="107">
        <f t="shared" si="0"/>
        <v>0</v>
      </c>
      <c r="G10" s="108">
        <f t="shared" si="1"/>
        <v>0</v>
      </c>
      <c r="H10" s="113" t="s">
        <v>157</v>
      </c>
    </row>
    <row r="11" spans="1:19" ht="15" customHeight="1" x14ac:dyDescent="0.2">
      <c r="A11" s="103" t="s">
        <v>158</v>
      </c>
      <c r="B11" s="104" t="s">
        <v>144</v>
      </c>
      <c r="C11" s="105">
        <v>1.43</v>
      </c>
      <c r="D11" s="106"/>
      <c r="E11" s="106"/>
      <c r="F11" s="107">
        <f t="shared" si="0"/>
        <v>0</v>
      </c>
      <c r="G11" s="108">
        <f t="shared" si="1"/>
        <v>0</v>
      </c>
      <c r="H11" s="113" t="s">
        <v>159</v>
      </c>
    </row>
    <row r="12" spans="1:19" ht="15" customHeight="1" x14ac:dyDescent="0.2">
      <c r="A12" s="103" t="s">
        <v>160</v>
      </c>
      <c r="B12" s="104" t="s">
        <v>161</v>
      </c>
      <c r="C12" s="105">
        <v>1.0900000000000001</v>
      </c>
      <c r="D12" s="106"/>
      <c r="E12" s="106"/>
      <c r="F12" s="107">
        <f t="shared" si="0"/>
        <v>0</v>
      </c>
      <c r="G12" s="108">
        <f t="shared" si="1"/>
        <v>0</v>
      </c>
      <c r="H12" s="113" t="s">
        <v>162</v>
      </c>
    </row>
    <row r="13" spans="1:19" ht="15" customHeight="1" x14ac:dyDescent="0.2">
      <c r="A13" s="103" t="s">
        <v>163</v>
      </c>
      <c r="B13" s="104" t="s">
        <v>161</v>
      </c>
      <c r="C13" s="105">
        <v>1.27</v>
      </c>
      <c r="D13" s="106"/>
      <c r="E13" s="106"/>
      <c r="F13" s="107">
        <f t="shared" si="0"/>
        <v>0</v>
      </c>
      <c r="G13" s="108">
        <f t="shared" si="1"/>
        <v>0</v>
      </c>
      <c r="H13" s="113" t="s">
        <v>164</v>
      </c>
    </row>
    <row r="14" spans="1:19" ht="15" customHeight="1" x14ac:dyDescent="0.2">
      <c r="A14" s="103" t="s">
        <v>165</v>
      </c>
      <c r="B14" s="104" t="s">
        <v>161</v>
      </c>
      <c r="C14" s="105">
        <v>2.2200000000000002</v>
      </c>
      <c r="D14" s="106"/>
      <c r="E14" s="106"/>
      <c r="F14" s="107">
        <f t="shared" si="0"/>
        <v>0</v>
      </c>
      <c r="G14" s="108">
        <f t="shared" si="1"/>
        <v>0</v>
      </c>
      <c r="H14" s="113" t="s">
        <v>153</v>
      </c>
    </row>
    <row r="15" spans="1:19" ht="15" customHeight="1" x14ac:dyDescent="0.2">
      <c r="A15" s="103" t="s">
        <v>166</v>
      </c>
      <c r="B15" s="104" t="s">
        <v>161</v>
      </c>
      <c r="C15" s="105">
        <v>2.41</v>
      </c>
      <c r="D15" s="106"/>
      <c r="E15" s="106"/>
      <c r="F15" s="107">
        <f t="shared" si="0"/>
        <v>0</v>
      </c>
      <c r="G15" s="108">
        <f t="shared" si="1"/>
        <v>0</v>
      </c>
      <c r="H15" s="113" t="s">
        <v>167</v>
      </c>
    </row>
    <row r="16" spans="1:19" ht="15" customHeight="1" x14ac:dyDescent="0.2">
      <c r="A16" s="103" t="s">
        <v>168</v>
      </c>
      <c r="B16" s="104" t="s">
        <v>161</v>
      </c>
      <c r="C16" s="105">
        <v>0.25</v>
      </c>
      <c r="D16" s="106"/>
      <c r="E16" s="106"/>
      <c r="F16" s="107">
        <f t="shared" si="0"/>
        <v>0</v>
      </c>
      <c r="G16" s="108">
        <f t="shared" si="1"/>
        <v>0</v>
      </c>
      <c r="H16" s="113" t="s">
        <v>169</v>
      </c>
    </row>
    <row r="17" spans="1:8" ht="15" customHeight="1" x14ac:dyDescent="0.2">
      <c r="A17" s="103" t="s">
        <v>170</v>
      </c>
      <c r="B17" s="104" t="s">
        <v>171</v>
      </c>
      <c r="C17" s="105">
        <v>0.65</v>
      </c>
      <c r="D17" s="106"/>
      <c r="E17" s="106"/>
      <c r="F17" s="107">
        <f t="shared" si="0"/>
        <v>0</v>
      </c>
      <c r="G17" s="108">
        <f t="shared" si="1"/>
        <v>0</v>
      </c>
      <c r="H17" s="113" t="s">
        <v>159</v>
      </c>
    </row>
    <row r="18" spans="1:8" ht="15" customHeight="1" x14ac:dyDescent="0.2">
      <c r="A18" s="103" t="s">
        <v>172</v>
      </c>
      <c r="B18" s="104" t="s">
        <v>144</v>
      </c>
      <c r="C18" s="105">
        <v>0.22</v>
      </c>
      <c r="D18" s="106"/>
      <c r="E18" s="106"/>
      <c r="F18" s="107">
        <f t="shared" si="0"/>
        <v>0</v>
      </c>
      <c r="G18" s="108">
        <f t="shared" si="1"/>
        <v>0</v>
      </c>
      <c r="H18" s="113" t="s">
        <v>173</v>
      </c>
    </row>
    <row r="19" spans="1:8" ht="15" customHeight="1" x14ac:dyDescent="0.2">
      <c r="A19" s="103" t="s">
        <v>174</v>
      </c>
      <c r="B19" s="104" t="s">
        <v>175</v>
      </c>
      <c r="C19" s="105">
        <v>1.61</v>
      </c>
      <c r="D19" s="106"/>
      <c r="E19" s="106"/>
      <c r="F19" s="107">
        <f t="shared" si="0"/>
        <v>0</v>
      </c>
      <c r="G19" s="108">
        <f t="shared" si="1"/>
        <v>0</v>
      </c>
      <c r="H19" s="113" t="s">
        <v>176</v>
      </c>
    </row>
    <row r="20" spans="1:8" ht="15" customHeight="1" x14ac:dyDescent="0.2">
      <c r="A20" s="103" t="s">
        <v>177</v>
      </c>
      <c r="B20" s="104" t="s">
        <v>144</v>
      </c>
      <c r="C20" s="105">
        <v>2.2000000000000002</v>
      </c>
      <c r="D20" s="106"/>
      <c r="E20" s="106"/>
      <c r="F20" s="107">
        <f t="shared" si="0"/>
        <v>0</v>
      </c>
      <c r="G20" s="108">
        <f t="shared" si="1"/>
        <v>0</v>
      </c>
      <c r="H20" s="113" t="s">
        <v>157</v>
      </c>
    </row>
    <row r="21" spans="1:8" ht="15" customHeight="1" x14ac:dyDescent="0.2">
      <c r="A21" s="103" t="s">
        <v>178</v>
      </c>
      <c r="B21" s="104" t="s">
        <v>179</v>
      </c>
      <c r="C21" s="105">
        <v>0.3</v>
      </c>
      <c r="D21" s="106"/>
      <c r="E21" s="106"/>
      <c r="F21" s="107">
        <f t="shared" si="0"/>
        <v>0</v>
      </c>
      <c r="G21" s="108">
        <f t="shared" si="1"/>
        <v>0</v>
      </c>
      <c r="H21" s="113" t="s">
        <v>145</v>
      </c>
    </row>
    <row r="22" spans="1:8" ht="15" customHeight="1" x14ac:dyDescent="0.2">
      <c r="A22" s="103" t="s">
        <v>180</v>
      </c>
      <c r="B22" s="104" t="s">
        <v>181</v>
      </c>
      <c r="C22" s="105">
        <v>2.2999999999999998</v>
      </c>
      <c r="D22" s="106"/>
      <c r="E22" s="106"/>
      <c r="F22" s="107">
        <f t="shared" si="0"/>
        <v>0</v>
      </c>
      <c r="G22" s="108">
        <f t="shared" si="1"/>
        <v>0</v>
      </c>
      <c r="H22" s="113" t="s">
        <v>157</v>
      </c>
    </row>
    <row r="23" spans="1:8" ht="15" customHeight="1" x14ac:dyDescent="0.2">
      <c r="A23" s="103" t="s">
        <v>182</v>
      </c>
      <c r="B23" s="104" t="s">
        <v>161</v>
      </c>
      <c r="C23" s="105">
        <v>1.48</v>
      </c>
      <c r="D23" s="106"/>
      <c r="E23" s="106"/>
      <c r="F23" s="107">
        <f t="shared" si="0"/>
        <v>0</v>
      </c>
      <c r="G23" s="108">
        <f t="shared" si="1"/>
        <v>0</v>
      </c>
      <c r="H23" s="113" t="s">
        <v>159</v>
      </c>
    </row>
    <row r="24" spans="1:8" ht="15" customHeight="1" x14ac:dyDescent="0.2">
      <c r="A24" s="103" t="s">
        <v>183</v>
      </c>
      <c r="B24" s="104" t="s">
        <v>161</v>
      </c>
      <c r="C24" s="105">
        <v>2.58</v>
      </c>
      <c r="D24" s="106"/>
      <c r="E24" s="106"/>
      <c r="F24" s="107">
        <f t="shared" si="0"/>
        <v>0</v>
      </c>
      <c r="G24" s="108">
        <f t="shared" si="1"/>
        <v>0</v>
      </c>
      <c r="H24" s="113" t="s">
        <v>157</v>
      </c>
    </row>
    <row r="25" spans="1:8" ht="15" customHeight="1" x14ac:dyDescent="0.2">
      <c r="A25" s="103" t="s">
        <v>184</v>
      </c>
      <c r="B25" s="104" t="s">
        <v>185</v>
      </c>
      <c r="C25" s="105">
        <v>0.62</v>
      </c>
      <c r="D25" s="106"/>
      <c r="E25" s="106"/>
      <c r="F25" s="107">
        <f t="shared" si="0"/>
        <v>0</v>
      </c>
      <c r="G25" s="108">
        <f t="shared" si="1"/>
        <v>0</v>
      </c>
      <c r="H25" s="113" t="s">
        <v>159</v>
      </c>
    </row>
    <row r="26" spans="1:8" ht="15" customHeight="1" x14ac:dyDescent="0.2">
      <c r="A26" s="103" t="s">
        <v>186</v>
      </c>
      <c r="B26" s="104" t="s">
        <v>187</v>
      </c>
      <c r="C26" s="105">
        <v>2.41</v>
      </c>
      <c r="D26" s="106"/>
      <c r="E26" s="106"/>
      <c r="F26" s="107">
        <f t="shared" si="0"/>
        <v>0</v>
      </c>
      <c r="G26" s="108">
        <f t="shared" si="1"/>
        <v>0</v>
      </c>
      <c r="H26" s="113" t="s">
        <v>159</v>
      </c>
    </row>
    <row r="27" spans="1:8" ht="15" customHeight="1" x14ac:dyDescent="0.2">
      <c r="A27" s="103" t="s">
        <v>188</v>
      </c>
      <c r="B27" s="104" t="s">
        <v>189</v>
      </c>
      <c r="C27" s="105">
        <v>5.88</v>
      </c>
      <c r="D27" s="106"/>
      <c r="E27" s="106"/>
      <c r="F27" s="107">
        <f t="shared" si="0"/>
        <v>0</v>
      </c>
      <c r="G27" s="108">
        <f t="shared" si="1"/>
        <v>0</v>
      </c>
      <c r="H27" s="113" t="s">
        <v>159</v>
      </c>
    </row>
    <row r="28" spans="1:8" ht="15" customHeight="1" x14ac:dyDescent="0.2">
      <c r="A28" s="103" t="s">
        <v>190</v>
      </c>
      <c r="B28" s="104" t="s">
        <v>191</v>
      </c>
      <c r="C28" s="105">
        <v>2.75</v>
      </c>
      <c r="D28" s="106"/>
      <c r="E28" s="106"/>
      <c r="F28" s="107">
        <f t="shared" si="0"/>
        <v>0</v>
      </c>
      <c r="G28" s="108">
        <f t="shared" si="1"/>
        <v>0</v>
      </c>
      <c r="H28" s="113" t="s">
        <v>159</v>
      </c>
    </row>
    <row r="29" spans="1:8" ht="15" customHeight="1" x14ac:dyDescent="0.2">
      <c r="A29" s="103" t="s">
        <v>192</v>
      </c>
      <c r="B29" s="104" t="s">
        <v>150</v>
      </c>
      <c r="C29" s="105">
        <v>0.67</v>
      </c>
      <c r="D29" s="106"/>
      <c r="E29" s="106"/>
      <c r="F29" s="107">
        <f t="shared" si="0"/>
        <v>0</v>
      </c>
      <c r="G29" s="108">
        <f t="shared" si="1"/>
        <v>0</v>
      </c>
      <c r="H29" s="113" t="s">
        <v>157</v>
      </c>
    </row>
    <row r="30" spans="1:8" ht="15" customHeight="1" x14ac:dyDescent="0.2">
      <c r="A30" s="103" t="s">
        <v>193</v>
      </c>
      <c r="B30" s="104" t="s">
        <v>161</v>
      </c>
      <c r="C30" s="105">
        <v>1.2</v>
      </c>
      <c r="D30" s="106"/>
      <c r="E30" s="106"/>
      <c r="F30" s="107">
        <f t="shared" si="0"/>
        <v>0</v>
      </c>
      <c r="G30" s="108">
        <f t="shared" si="1"/>
        <v>0</v>
      </c>
      <c r="H30" s="113" t="s">
        <v>157</v>
      </c>
    </row>
    <row r="31" spans="1:8" ht="15" customHeight="1" x14ac:dyDescent="0.2">
      <c r="A31" s="103" t="s">
        <v>194</v>
      </c>
      <c r="B31" s="104" t="s">
        <v>195</v>
      </c>
      <c r="C31" s="105">
        <v>0.79</v>
      </c>
      <c r="D31" s="106"/>
      <c r="E31" s="106"/>
      <c r="F31" s="107">
        <f t="shared" si="0"/>
        <v>0</v>
      </c>
      <c r="G31" s="108">
        <f t="shared" si="1"/>
        <v>0</v>
      </c>
      <c r="H31" s="113" t="s">
        <v>157</v>
      </c>
    </row>
    <row r="32" spans="1:8" ht="15" customHeight="1" x14ac:dyDescent="0.2">
      <c r="A32" s="103" t="s">
        <v>196</v>
      </c>
      <c r="B32" s="104" t="s">
        <v>150</v>
      </c>
      <c r="C32" s="105">
        <v>0.77</v>
      </c>
      <c r="D32" s="106"/>
      <c r="E32" s="106"/>
      <c r="F32" s="107">
        <f t="shared" si="0"/>
        <v>0</v>
      </c>
      <c r="G32" s="108">
        <f t="shared" si="1"/>
        <v>0</v>
      </c>
      <c r="H32" s="113" t="s">
        <v>159</v>
      </c>
    </row>
    <row r="33" spans="1:8" ht="15" customHeight="1" x14ac:dyDescent="0.2">
      <c r="A33" s="103" t="s">
        <v>197</v>
      </c>
      <c r="B33" s="104" t="s">
        <v>161</v>
      </c>
      <c r="C33" s="105">
        <v>1.53</v>
      </c>
      <c r="D33" s="106"/>
      <c r="E33" s="106"/>
      <c r="F33" s="107">
        <f t="shared" si="0"/>
        <v>0</v>
      </c>
      <c r="G33" s="108">
        <f t="shared" si="1"/>
        <v>0</v>
      </c>
      <c r="H33" s="113" t="s">
        <v>198</v>
      </c>
    </row>
    <row r="34" spans="1:8" ht="15" customHeight="1" x14ac:dyDescent="0.2">
      <c r="A34" s="103" t="s">
        <v>199</v>
      </c>
      <c r="B34" s="104" t="s">
        <v>200</v>
      </c>
      <c r="C34" s="105">
        <v>0.68</v>
      </c>
      <c r="D34" s="106"/>
      <c r="E34" s="106"/>
      <c r="F34" s="107">
        <f t="shared" si="0"/>
        <v>0</v>
      </c>
      <c r="G34" s="108">
        <f t="shared" si="1"/>
        <v>0</v>
      </c>
      <c r="H34" s="113" t="s">
        <v>201</v>
      </c>
    </row>
    <row r="35" spans="1:8" ht="15" customHeight="1" x14ac:dyDescent="0.2">
      <c r="A35" s="103" t="s">
        <v>202</v>
      </c>
      <c r="B35" s="104" t="s">
        <v>200</v>
      </c>
      <c r="C35" s="105">
        <v>0.65</v>
      </c>
      <c r="D35" s="106"/>
      <c r="E35" s="106"/>
      <c r="F35" s="107">
        <f t="shared" si="0"/>
        <v>0</v>
      </c>
      <c r="G35" s="108">
        <f t="shared" si="1"/>
        <v>0</v>
      </c>
      <c r="H35" s="113" t="s">
        <v>201</v>
      </c>
    </row>
    <row r="36" spans="1:8" ht="15" customHeight="1" x14ac:dyDescent="0.2">
      <c r="A36" s="117" t="s">
        <v>203</v>
      </c>
      <c r="B36" s="118" t="s">
        <v>200</v>
      </c>
      <c r="C36" s="119">
        <v>1.02</v>
      </c>
      <c r="D36" s="120"/>
      <c r="E36" s="120"/>
      <c r="F36" s="121">
        <f t="shared" si="0"/>
        <v>0</v>
      </c>
      <c r="G36" s="122">
        <f t="shared" si="1"/>
        <v>0</v>
      </c>
      <c r="H36" s="123" t="s">
        <v>157</v>
      </c>
    </row>
    <row r="37" spans="1:8" ht="20.25" customHeight="1" x14ac:dyDescent="0.2">
      <c r="A37" s="719" t="s">
        <v>204</v>
      </c>
      <c r="B37" s="719"/>
      <c r="C37" s="719"/>
      <c r="D37" s="719"/>
      <c r="E37" s="719"/>
      <c r="F37" s="719"/>
      <c r="G37" s="124">
        <f>SUM(G3:G36)</f>
        <v>0</v>
      </c>
    </row>
    <row r="38" spans="1:8" ht="20.25" customHeight="1" x14ac:dyDescent="0.2">
      <c r="A38" s="718" t="s">
        <v>205</v>
      </c>
      <c r="B38" s="718"/>
      <c r="C38" s="718"/>
      <c r="D38" s="718"/>
      <c r="E38" s="718"/>
      <c r="F38" s="718"/>
      <c r="G38" s="718"/>
      <c r="H38" s="718"/>
    </row>
    <row r="39" spans="1:8" ht="45.75" customHeight="1" x14ac:dyDescent="0.2">
      <c r="A39" s="95" t="s">
        <v>127</v>
      </c>
      <c r="B39" s="96" t="s">
        <v>128</v>
      </c>
      <c r="C39" s="96" t="s">
        <v>206</v>
      </c>
      <c r="D39" s="96" t="s">
        <v>130</v>
      </c>
      <c r="E39" s="96" t="s">
        <v>131</v>
      </c>
      <c r="F39" s="97" t="s">
        <v>132</v>
      </c>
      <c r="G39" s="125" t="s">
        <v>207</v>
      </c>
      <c r="H39" s="126" t="s">
        <v>134</v>
      </c>
    </row>
    <row r="40" spans="1:8" ht="15" customHeight="1" x14ac:dyDescent="0.2">
      <c r="A40" s="127" t="s">
        <v>208</v>
      </c>
      <c r="B40" s="128" t="s">
        <v>161</v>
      </c>
      <c r="C40" s="105">
        <v>3.19</v>
      </c>
      <c r="D40" s="129"/>
      <c r="E40" s="129"/>
      <c r="F40" s="107">
        <f t="shared" ref="F40:F58" si="2">(D40+E40)/2</f>
        <v>0</v>
      </c>
      <c r="G40" s="130">
        <f t="shared" ref="G40:G58" si="3">C40*F40/12</f>
        <v>0</v>
      </c>
      <c r="H40" s="131" t="s">
        <v>157</v>
      </c>
    </row>
    <row r="41" spans="1:8" ht="15" customHeight="1" x14ac:dyDescent="0.2">
      <c r="A41" s="132" t="s">
        <v>209</v>
      </c>
      <c r="B41" s="133" t="s">
        <v>161</v>
      </c>
      <c r="C41" s="105">
        <v>0.75</v>
      </c>
      <c r="D41" s="129"/>
      <c r="E41" s="129"/>
      <c r="F41" s="107">
        <f t="shared" si="2"/>
        <v>0</v>
      </c>
      <c r="G41" s="130">
        <f t="shared" si="3"/>
        <v>0</v>
      </c>
      <c r="H41" s="134" t="s">
        <v>159</v>
      </c>
    </row>
    <row r="42" spans="1:8" ht="15" customHeight="1" x14ac:dyDescent="0.2">
      <c r="A42" s="132" t="s">
        <v>210</v>
      </c>
      <c r="B42" s="133" t="s">
        <v>161</v>
      </c>
      <c r="C42" s="105">
        <v>0.75</v>
      </c>
      <c r="D42" s="129"/>
      <c r="E42" s="129"/>
      <c r="F42" s="107">
        <f t="shared" si="2"/>
        <v>0</v>
      </c>
      <c r="G42" s="130">
        <f t="shared" si="3"/>
        <v>0</v>
      </c>
      <c r="H42" s="134" t="s">
        <v>159</v>
      </c>
    </row>
    <row r="43" spans="1:8" ht="15" customHeight="1" x14ac:dyDescent="0.2">
      <c r="A43" s="132" t="s">
        <v>211</v>
      </c>
      <c r="B43" s="133" t="s">
        <v>161</v>
      </c>
      <c r="C43" s="105">
        <v>1.94</v>
      </c>
      <c r="D43" s="129"/>
      <c r="E43" s="129"/>
      <c r="F43" s="107">
        <f t="shared" si="2"/>
        <v>0</v>
      </c>
      <c r="G43" s="130">
        <f t="shared" si="3"/>
        <v>0</v>
      </c>
      <c r="H43" s="134" t="s">
        <v>157</v>
      </c>
    </row>
    <row r="44" spans="1:8" ht="15" customHeight="1" x14ac:dyDescent="0.2">
      <c r="A44" s="132" t="s">
        <v>212</v>
      </c>
      <c r="B44" s="133" t="s">
        <v>161</v>
      </c>
      <c r="C44" s="105">
        <v>2.85</v>
      </c>
      <c r="D44" s="129"/>
      <c r="E44" s="129"/>
      <c r="F44" s="107">
        <f t="shared" si="2"/>
        <v>0</v>
      </c>
      <c r="G44" s="130">
        <f t="shared" si="3"/>
        <v>0</v>
      </c>
      <c r="H44" s="134" t="s">
        <v>159</v>
      </c>
    </row>
    <row r="45" spans="1:8" ht="15" customHeight="1" x14ac:dyDescent="0.2">
      <c r="A45" s="132" t="s">
        <v>213</v>
      </c>
      <c r="B45" s="133" t="s">
        <v>161</v>
      </c>
      <c r="C45" s="105">
        <v>0.64</v>
      </c>
      <c r="D45" s="129"/>
      <c r="E45" s="129"/>
      <c r="F45" s="107">
        <f t="shared" si="2"/>
        <v>0</v>
      </c>
      <c r="G45" s="130">
        <f t="shared" si="3"/>
        <v>0</v>
      </c>
      <c r="H45" s="134" t="s">
        <v>157</v>
      </c>
    </row>
    <row r="46" spans="1:8" ht="15" customHeight="1" x14ac:dyDescent="0.2">
      <c r="A46" s="132" t="s">
        <v>214</v>
      </c>
      <c r="B46" s="133" t="s">
        <v>161</v>
      </c>
      <c r="C46" s="105">
        <v>1.6</v>
      </c>
      <c r="D46" s="129"/>
      <c r="E46" s="129"/>
      <c r="F46" s="107">
        <f t="shared" si="2"/>
        <v>0</v>
      </c>
      <c r="G46" s="130">
        <f t="shared" si="3"/>
        <v>0</v>
      </c>
      <c r="H46" s="134" t="s">
        <v>198</v>
      </c>
    </row>
    <row r="47" spans="1:8" ht="15" customHeight="1" x14ac:dyDescent="0.2">
      <c r="A47" s="132" t="s">
        <v>215</v>
      </c>
      <c r="B47" s="133" t="s">
        <v>161</v>
      </c>
      <c r="C47" s="105">
        <v>0.92</v>
      </c>
      <c r="D47" s="129"/>
      <c r="E47" s="129"/>
      <c r="F47" s="107">
        <f t="shared" si="2"/>
        <v>0</v>
      </c>
      <c r="G47" s="130">
        <f t="shared" si="3"/>
        <v>0</v>
      </c>
      <c r="H47" s="134" t="s">
        <v>157</v>
      </c>
    </row>
    <row r="48" spans="1:8" ht="15" customHeight="1" x14ac:dyDescent="0.2">
      <c r="A48" s="132" t="s">
        <v>216</v>
      </c>
      <c r="B48" s="133" t="s">
        <v>161</v>
      </c>
      <c r="C48" s="105">
        <v>1</v>
      </c>
      <c r="D48" s="129"/>
      <c r="E48" s="129"/>
      <c r="F48" s="107">
        <f t="shared" si="2"/>
        <v>0</v>
      </c>
      <c r="G48" s="130">
        <f t="shared" si="3"/>
        <v>0</v>
      </c>
      <c r="H48" s="134" t="s">
        <v>201</v>
      </c>
    </row>
    <row r="49" spans="1:8" ht="15" customHeight="1" x14ac:dyDescent="0.2">
      <c r="A49" s="132" t="s">
        <v>217</v>
      </c>
      <c r="B49" s="133" t="s">
        <v>161</v>
      </c>
      <c r="C49" s="105">
        <v>2.6</v>
      </c>
      <c r="D49" s="129"/>
      <c r="E49" s="129"/>
      <c r="F49" s="107">
        <f t="shared" si="2"/>
        <v>0</v>
      </c>
      <c r="G49" s="130">
        <f t="shared" si="3"/>
        <v>0</v>
      </c>
      <c r="H49" s="134" t="s">
        <v>201</v>
      </c>
    </row>
    <row r="50" spans="1:8" ht="15" customHeight="1" x14ac:dyDescent="0.25">
      <c r="A50" s="135" t="s">
        <v>218</v>
      </c>
      <c r="B50" s="136" t="s">
        <v>161</v>
      </c>
      <c r="C50" s="105">
        <v>4</v>
      </c>
      <c r="D50" s="129"/>
      <c r="E50" s="129"/>
      <c r="F50" s="107">
        <f t="shared" si="2"/>
        <v>0</v>
      </c>
      <c r="G50" s="130">
        <f t="shared" si="3"/>
        <v>0</v>
      </c>
      <c r="H50" s="137" t="s">
        <v>201</v>
      </c>
    </row>
    <row r="51" spans="1:8" ht="15" customHeight="1" x14ac:dyDescent="0.2">
      <c r="A51" s="132" t="s">
        <v>219</v>
      </c>
      <c r="B51" s="133" t="s">
        <v>161</v>
      </c>
      <c r="C51" s="105">
        <v>1</v>
      </c>
      <c r="D51" s="129"/>
      <c r="E51" s="129"/>
      <c r="F51" s="107">
        <f t="shared" si="2"/>
        <v>0</v>
      </c>
      <c r="G51" s="130">
        <f t="shared" si="3"/>
        <v>0</v>
      </c>
      <c r="H51" s="134" t="s">
        <v>157</v>
      </c>
    </row>
    <row r="52" spans="1:8" ht="15" customHeight="1" x14ac:dyDescent="0.2">
      <c r="A52" s="132" t="s">
        <v>220</v>
      </c>
      <c r="B52" s="133" t="s">
        <v>161</v>
      </c>
      <c r="C52" s="105">
        <v>1.24</v>
      </c>
      <c r="D52" s="129"/>
      <c r="E52" s="129"/>
      <c r="F52" s="107">
        <f t="shared" si="2"/>
        <v>0</v>
      </c>
      <c r="G52" s="130">
        <f t="shared" si="3"/>
        <v>0</v>
      </c>
      <c r="H52" s="134" t="s">
        <v>176</v>
      </c>
    </row>
    <row r="53" spans="1:8" ht="15" customHeight="1" x14ac:dyDescent="0.2">
      <c r="A53" s="132" t="s">
        <v>221</v>
      </c>
      <c r="B53" s="133" t="s">
        <v>161</v>
      </c>
      <c r="C53" s="105">
        <v>3.85</v>
      </c>
      <c r="D53" s="129"/>
      <c r="E53" s="129"/>
      <c r="F53" s="107">
        <f t="shared" si="2"/>
        <v>0</v>
      </c>
      <c r="G53" s="130">
        <f t="shared" si="3"/>
        <v>0</v>
      </c>
      <c r="H53" s="134" t="s">
        <v>201</v>
      </c>
    </row>
    <row r="54" spans="1:8" ht="15" customHeight="1" x14ac:dyDescent="0.2">
      <c r="A54" s="132" t="s">
        <v>222</v>
      </c>
      <c r="B54" s="133" t="s">
        <v>223</v>
      </c>
      <c r="C54" s="105">
        <v>0.64</v>
      </c>
      <c r="D54" s="129"/>
      <c r="E54" s="129"/>
      <c r="F54" s="107">
        <f t="shared" si="2"/>
        <v>0</v>
      </c>
      <c r="G54" s="130">
        <f t="shared" si="3"/>
        <v>0</v>
      </c>
      <c r="H54" s="134" t="s">
        <v>157</v>
      </c>
    </row>
    <row r="55" spans="1:8" ht="15" customHeight="1" x14ac:dyDescent="0.2">
      <c r="A55" s="132" t="s">
        <v>224</v>
      </c>
      <c r="B55" s="133" t="s">
        <v>161</v>
      </c>
      <c r="C55" s="105">
        <v>1.28</v>
      </c>
      <c r="D55" s="129"/>
      <c r="E55" s="129"/>
      <c r="F55" s="107">
        <f t="shared" si="2"/>
        <v>0</v>
      </c>
      <c r="G55" s="130">
        <f t="shared" si="3"/>
        <v>0</v>
      </c>
      <c r="H55" s="134" t="s">
        <v>225</v>
      </c>
    </row>
    <row r="56" spans="1:8" ht="15" customHeight="1" x14ac:dyDescent="0.2">
      <c r="A56" s="132" t="s">
        <v>226</v>
      </c>
      <c r="B56" s="133" t="s">
        <v>161</v>
      </c>
      <c r="C56" s="105">
        <v>0.99</v>
      </c>
      <c r="D56" s="129"/>
      <c r="E56" s="129"/>
      <c r="F56" s="107">
        <f t="shared" si="2"/>
        <v>0</v>
      </c>
      <c r="G56" s="130">
        <f t="shared" si="3"/>
        <v>0</v>
      </c>
      <c r="H56" s="134" t="s">
        <v>227</v>
      </c>
    </row>
    <row r="57" spans="1:8" ht="15" customHeight="1" x14ac:dyDescent="0.2">
      <c r="A57" s="132" t="s">
        <v>228</v>
      </c>
      <c r="B57" s="133" t="s">
        <v>161</v>
      </c>
      <c r="C57" s="105">
        <v>3.9</v>
      </c>
      <c r="D57" s="129"/>
      <c r="E57" s="129"/>
      <c r="F57" s="107">
        <f t="shared" si="2"/>
        <v>0</v>
      </c>
      <c r="G57" s="130">
        <f t="shared" si="3"/>
        <v>0</v>
      </c>
      <c r="H57" s="134" t="s">
        <v>229</v>
      </c>
    </row>
    <row r="58" spans="1:8" ht="15" customHeight="1" x14ac:dyDescent="0.2">
      <c r="A58" s="138" t="s">
        <v>230</v>
      </c>
      <c r="B58" s="139" t="s">
        <v>161</v>
      </c>
      <c r="C58" s="105">
        <v>1.48</v>
      </c>
      <c r="D58" s="140"/>
      <c r="E58" s="140"/>
      <c r="F58" s="121">
        <f t="shared" si="2"/>
        <v>0</v>
      </c>
      <c r="G58" s="141">
        <f t="shared" si="3"/>
        <v>0</v>
      </c>
      <c r="H58" s="142" t="s">
        <v>157</v>
      </c>
    </row>
    <row r="59" spans="1:8" ht="20.25" customHeight="1" x14ac:dyDescent="0.2">
      <c r="A59" s="719" t="s">
        <v>231</v>
      </c>
      <c r="B59" s="719"/>
      <c r="C59" s="719"/>
      <c r="D59" s="719"/>
      <c r="E59" s="719"/>
      <c r="F59" s="719"/>
      <c r="G59" s="124">
        <f>SUM(G40:G58)</f>
        <v>0</v>
      </c>
    </row>
    <row r="60" spans="1:8" ht="20.25" customHeight="1" x14ac:dyDescent="0.2">
      <c r="A60" s="719" t="s">
        <v>232</v>
      </c>
      <c r="B60" s="719"/>
      <c r="C60" s="719"/>
      <c r="D60" s="719"/>
      <c r="E60" s="719"/>
      <c r="F60" s="719"/>
      <c r="G60" s="143">
        <f>G59+G37</f>
        <v>0</v>
      </c>
    </row>
    <row r="61" spans="1:8" x14ac:dyDescent="0.2">
      <c r="A61" s="144"/>
      <c r="B61" s="145"/>
      <c r="C61" s="145"/>
      <c r="D61" s="145"/>
      <c r="E61" s="145"/>
      <c r="F61" s="145"/>
      <c r="G61" s="145"/>
      <c r="H61" s="146"/>
    </row>
    <row r="62" spans="1:8" ht="20.25" customHeight="1" x14ac:dyDescent="0.2">
      <c r="A62" s="718" t="s">
        <v>233</v>
      </c>
      <c r="B62" s="718"/>
      <c r="C62" s="718"/>
      <c r="D62" s="718"/>
      <c r="E62" s="718"/>
      <c r="F62" s="718"/>
      <c r="G62" s="718"/>
      <c r="H62" s="718"/>
    </row>
    <row r="63" spans="1:8" ht="54.75" customHeight="1" x14ac:dyDescent="0.2">
      <c r="A63" s="147" t="s">
        <v>127</v>
      </c>
      <c r="B63" s="148" t="s">
        <v>128</v>
      </c>
      <c r="C63" s="148" t="s">
        <v>234</v>
      </c>
      <c r="D63" s="96" t="s">
        <v>235</v>
      </c>
      <c r="E63" s="96" t="s">
        <v>131</v>
      </c>
      <c r="F63" s="97" t="s">
        <v>132</v>
      </c>
      <c r="G63" s="98" t="s">
        <v>236</v>
      </c>
      <c r="H63" s="149" t="s">
        <v>134</v>
      </c>
    </row>
    <row r="64" spans="1:8" ht="15" customHeight="1" x14ac:dyDescent="0.2">
      <c r="A64" s="135" t="s">
        <v>237</v>
      </c>
      <c r="B64" s="133" t="s">
        <v>137</v>
      </c>
      <c r="C64" s="150">
        <f>0.1*22</f>
        <v>2.2000000000000002</v>
      </c>
      <c r="D64" s="129"/>
      <c r="E64" s="129"/>
      <c r="F64" s="107">
        <f>(D64+E64)/2</f>
        <v>0</v>
      </c>
      <c r="G64" s="108">
        <f>C64*F64</f>
        <v>0</v>
      </c>
      <c r="H64" s="113" t="s">
        <v>238</v>
      </c>
    </row>
    <row r="65" spans="1:9" ht="15" customHeight="1" x14ac:dyDescent="0.2">
      <c r="A65" s="151" t="s">
        <v>147</v>
      </c>
      <c r="B65" s="133" t="s">
        <v>137</v>
      </c>
      <c r="C65" s="150">
        <f>0.5*22</f>
        <v>11</v>
      </c>
      <c r="D65" s="129"/>
      <c r="E65" s="129"/>
      <c r="F65" s="107">
        <f>(D65+E65)/2</f>
        <v>0</v>
      </c>
      <c r="G65" s="108">
        <f>C65*F65</f>
        <v>0</v>
      </c>
      <c r="H65" s="113" t="s">
        <v>145</v>
      </c>
    </row>
    <row r="66" spans="1:9" ht="15" customHeight="1" x14ac:dyDescent="0.2">
      <c r="A66" s="152" t="s">
        <v>166</v>
      </c>
      <c r="B66" s="139" t="s">
        <v>161</v>
      </c>
      <c r="C66" s="150">
        <v>4</v>
      </c>
      <c r="D66" s="129"/>
      <c r="E66" s="129"/>
      <c r="F66" s="107">
        <f>(D66+E66)/2</f>
        <v>0</v>
      </c>
      <c r="G66" s="108">
        <f>C66*F66</f>
        <v>0</v>
      </c>
      <c r="H66" s="153" t="s">
        <v>239</v>
      </c>
    </row>
    <row r="67" spans="1:9" ht="15" customHeight="1" x14ac:dyDescent="0.2">
      <c r="A67" s="154" t="s">
        <v>240</v>
      </c>
      <c r="B67" s="133" t="s">
        <v>200</v>
      </c>
      <c r="C67" s="150">
        <f>4*2*22</f>
        <v>176</v>
      </c>
      <c r="D67" s="140"/>
      <c r="E67" s="140"/>
      <c r="F67" s="107">
        <f>(D67+E67)/2</f>
        <v>0</v>
      </c>
      <c r="G67" s="108">
        <f>C67*F67</f>
        <v>0</v>
      </c>
      <c r="H67" s="153" t="s">
        <v>241</v>
      </c>
    </row>
    <row r="68" spans="1:9" ht="35.25" customHeight="1" x14ac:dyDescent="0.2">
      <c r="A68" s="147" t="s">
        <v>127</v>
      </c>
      <c r="B68" s="148" t="s">
        <v>128</v>
      </c>
      <c r="C68" s="148" t="s">
        <v>242</v>
      </c>
      <c r="D68" s="148" t="s">
        <v>235</v>
      </c>
      <c r="E68" s="148" t="s">
        <v>131</v>
      </c>
      <c r="F68" s="155" t="s">
        <v>132</v>
      </c>
      <c r="G68" s="98" t="s">
        <v>236</v>
      </c>
      <c r="H68" s="149" t="s">
        <v>134</v>
      </c>
    </row>
    <row r="69" spans="1:9" ht="15" customHeight="1" x14ac:dyDescent="0.2">
      <c r="A69" s="127" t="s">
        <v>243</v>
      </c>
      <c r="B69" s="128" t="s">
        <v>161</v>
      </c>
      <c r="C69" s="150">
        <f>2*4</f>
        <v>8</v>
      </c>
      <c r="D69" s="129"/>
      <c r="E69" s="129"/>
      <c r="F69" s="107">
        <f>(D69+E69)/2</f>
        <v>0</v>
      </c>
      <c r="G69" s="141">
        <f>C69*F69/12</f>
        <v>0</v>
      </c>
      <c r="H69" s="142" t="s">
        <v>241</v>
      </c>
    </row>
    <row r="70" spans="1:9" ht="20.25" customHeight="1" x14ac:dyDescent="0.2">
      <c r="A70" s="720" t="s">
        <v>244</v>
      </c>
      <c r="B70" s="720"/>
      <c r="C70" s="720"/>
      <c r="D70" s="720"/>
      <c r="E70" s="720"/>
      <c r="F70" s="720"/>
      <c r="G70" s="156">
        <f>G64+G65+G66+G67+G69</f>
        <v>0</v>
      </c>
    </row>
    <row r="71" spans="1:9" x14ac:dyDescent="0.2">
      <c r="A71" s="144"/>
      <c r="B71" s="145"/>
      <c r="C71" s="145"/>
      <c r="D71" s="145"/>
      <c r="E71" s="145"/>
      <c r="F71" s="145"/>
      <c r="G71" s="145"/>
      <c r="H71" s="145"/>
      <c r="I71" s="145"/>
    </row>
    <row r="72" spans="1:9" x14ac:dyDescent="0.2">
      <c r="A72" s="145" t="s">
        <v>245</v>
      </c>
      <c r="B72" s="145"/>
      <c r="C72" s="145"/>
      <c r="D72" s="145"/>
      <c r="E72" s="157"/>
      <c r="F72" s="145"/>
      <c r="G72" s="145"/>
      <c r="H72" s="146"/>
      <c r="I72" s="146"/>
    </row>
    <row r="73" spans="1:9" x14ac:dyDescent="0.2">
      <c r="A73" s="145"/>
      <c r="B73" s="145"/>
      <c r="C73" s="145"/>
      <c r="D73" s="145"/>
      <c r="E73" s="157"/>
      <c r="F73" s="145"/>
      <c r="G73" s="157"/>
      <c r="H73" s="146"/>
      <c r="I73" s="146"/>
    </row>
    <row r="74" spans="1:9" x14ac:dyDescent="0.2">
      <c r="A74" s="145" t="s">
        <v>246</v>
      </c>
      <c r="B74" s="145"/>
      <c r="C74" s="145"/>
      <c r="D74" s="145"/>
      <c r="E74" s="145"/>
      <c r="F74" s="145"/>
      <c r="G74" s="145"/>
      <c r="H74" s="145"/>
      <c r="I74" s="145"/>
    </row>
    <row r="75" spans="1:9" x14ac:dyDescent="0.2">
      <c r="A75" s="145" t="s">
        <v>247</v>
      </c>
      <c r="B75" s="145"/>
      <c r="C75" s="145"/>
      <c r="D75" s="145"/>
      <c r="E75" s="145"/>
      <c r="F75" s="145"/>
      <c r="G75" s="145"/>
      <c r="H75" s="157"/>
      <c r="I75" s="157"/>
    </row>
    <row r="76" spans="1:9" x14ac:dyDescent="0.2">
      <c r="A76" s="145" t="s">
        <v>248</v>
      </c>
      <c r="B76" s="145"/>
      <c r="C76" s="145"/>
      <c r="D76" s="145"/>
      <c r="E76" s="145"/>
      <c r="F76" s="145"/>
      <c r="G76" s="145"/>
      <c r="H76" s="158"/>
      <c r="I76" s="158"/>
    </row>
    <row r="77" spans="1:9" x14ac:dyDescent="0.2">
      <c r="A77" s="145" t="s">
        <v>249</v>
      </c>
      <c r="B77" s="145"/>
      <c r="C77" s="145"/>
      <c r="D77" s="145"/>
      <c r="E77" s="145"/>
      <c r="F77" s="145"/>
      <c r="G77" s="145"/>
      <c r="H77" s="157"/>
      <c r="I77" s="157"/>
    </row>
    <row r="78" spans="1:9" x14ac:dyDescent="0.2">
      <c r="A78" s="145" t="s">
        <v>250</v>
      </c>
      <c r="B78" s="145"/>
      <c r="C78" s="145"/>
      <c r="D78" s="145"/>
      <c r="E78" s="145"/>
      <c r="F78" s="145"/>
      <c r="G78" s="145"/>
      <c r="H78" s="145"/>
      <c r="I78" s="145"/>
    </row>
    <row r="79" spans="1:9" x14ac:dyDescent="0.2">
      <c r="A79" s="145" t="s">
        <v>251</v>
      </c>
      <c r="B79" s="145"/>
      <c r="C79" s="145"/>
      <c r="D79" s="145"/>
      <c r="E79" s="145"/>
      <c r="F79" s="145"/>
      <c r="G79" s="145"/>
      <c r="H79" s="145"/>
      <c r="I79" s="145"/>
    </row>
    <row r="80" spans="1:9" x14ac:dyDescent="0.2">
      <c r="A80" s="145" t="s">
        <v>252</v>
      </c>
      <c r="B80" s="145"/>
      <c r="C80" s="145"/>
      <c r="D80" s="145"/>
      <c r="E80" s="145"/>
      <c r="F80" s="145"/>
      <c r="G80" s="145"/>
      <c r="H80" s="145"/>
      <c r="I80" s="145"/>
    </row>
    <row r="81" spans="1:11" x14ac:dyDescent="0.2">
      <c r="A81" s="145" t="s">
        <v>253</v>
      </c>
      <c r="B81" s="145"/>
      <c r="C81" s="145"/>
      <c r="D81" s="145"/>
      <c r="E81" s="145"/>
      <c r="F81" s="145"/>
      <c r="G81" s="145"/>
      <c r="H81" s="145"/>
      <c r="I81" s="145"/>
    </row>
    <row r="82" spans="1:11" x14ac:dyDescent="0.2">
      <c r="A82" s="145" t="s">
        <v>254</v>
      </c>
      <c r="B82" s="145"/>
      <c r="C82" s="145"/>
      <c r="D82" s="145"/>
      <c r="E82" s="145"/>
      <c r="F82" s="145"/>
      <c r="G82" s="145"/>
      <c r="H82" s="145"/>
      <c r="I82" s="145"/>
    </row>
    <row r="83" spans="1:11" x14ac:dyDescent="0.2">
      <c r="A83" s="145" t="s">
        <v>255</v>
      </c>
      <c r="B83" s="145"/>
      <c r="C83" s="145"/>
      <c r="D83" s="145"/>
      <c r="E83" s="145"/>
      <c r="F83" s="145"/>
      <c r="G83" s="145"/>
      <c r="H83" s="145"/>
      <c r="I83" s="145"/>
    </row>
    <row r="84" spans="1:11" x14ac:dyDescent="0.2">
      <c r="A84" s="144"/>
      <c r="B84" s="145"/>
      <c r="C84" s="145"/>
      <c r="D84" s="145"/>
      <c r="E84" s="145"/>
      <c r="F84" s="145"/>
      <c r="G84" s="145"/>
      <c r="H84" s="145"/>
      <c r="I84" s="145"/>
    </row>
    <row r="85" spans="1:11" x14ac:dyDescent="0.2">
      <c r="A85" s="144"/>
      <c r="B85" s="145"/>
      <c r="C85" s="145"/>
      <c r="D85" s="145"/>
      <c r="E85" s="145"/>
      <c r="F85" s="145"/>
      <c r="G85" s="145"/>
      <c r="H85" s="145"/>
      <c r="I85" s="145"/>
    </row>
    <row r="86" spans="1:11" ht="20.25" customHeight="1" x14ac:dyDescent="0.2">
      <c r="A86" s="721" t="s">
        <v>256</v>
      </c>
      <c r="B86" s="721"/>
      <c r="C86" s="721"/>
      <c r="D86" s="721"/>
      <c r="E86" s="721"/>
      <c r="F86" s="721"/>
      <c r="G86" s="721"/>
      <c r="H86" s="721"/>
      <c r="I86" s="721"/>
      <c r="J86" s="721"/>
      <c r="K86" s="721"/>
    </row>
    <row r="87" spans="1:11" s="163" customFormat="1" ht="36" x14ac:dyDescent="0.2">
      <c r="A87" s="159" t="s">
        <v>127</v>
      </c>
      <c r="B87" s="160" t="s">
        <v>128</v>
      </c>
      <c r="C87" s="160" t="s">
        <v>257</v>
      </c>
      <c r="D87" s="160" t="s">
        <v>258</v>
      </c>
      <c r="E87" s="160" t="s">
        <v>259</v>
      </c>
      <c r="F87" s="160" t="s">
        <v>235</v>
      </c>
      <c r="G87" s="161" t="s">
        <v>131</v>
      </c>
      <c r="H87" s="161" t="s">
        <v>132</v>
      </c>
      <c r="I87" s="162" t="s">
        <v>260</v>
      </c>
      <c r="J87" s="162" t="s">
        <v>261</v>
      </c>
      <c r="K87" s="162" t="s">
        <v>262</v>
      </c>
    </row>
    <row r="88" spans="1:11" ht="15" customHeight="1" x14ac:dyDescent="0.2">
      <c r="A88" s="151" t="s">
        <v>263</v>
      </c>
      <c r="B88" s="128" t="s">
        <v>161</v>
      </c>
      <c r="C88" s="128">
        <v>12</v>
      </c>
      <c r="D88" s="128">
        <v>17</v>
      </c>
      <c r="E88" s="128">
        <v>13</v>
      </c>
      <c r="F88" s="129"/>
      <c r="G88" s="164"/>
      <c r="H88" s="107">
        <f t="shared" ref="H88:H97" si="4">(F88+G88)/2</f>
        <v>0</v>
      </c>
      <c r="I88" s="108">
        <f t="shared" ref="I88:I97" si="5">(C88*H88)</f>
        <v>0</v>
      </c>
      <c r="J88" s="108">
        <f t="shared" ref="J88:J97" si="6">(D88*H88)</f>
        <v>0</v>
      </c>
      <c r="K88" s="108">
        <f t="shared" ref="K88:K97" si="7">(E88*H88)</f>
        <v>0</v>
      </c>
    </row>
    <row r="89" spans="1:11" ht="15" customHeight="1" x14ac:dyDescent="0.2">
      <c r="A89" s="151" t="s">
        <v>264</v>
      </c>
      <c r="B89" s="133" t="s">
        <v>161</v>
      </c>
      <c r="C89" s="128">
        <f>C88</f>
        <v>12</v>
      </c>
      <c r="D89" s="128">
        <f>D88</f>
        <v>17</v>
      </c>
      <c r="E89" s="128">
        <f>E88</f>
        <v>13</v>
      </c>
      <c r="F89" s="129"/>
      <c r="G89" s="164"/>
      <c r="H89" s="107">
        <f t="shared" si="4"/>
        <v>0</v>
      </c>
      <c r="I89" s="108">
        <f t="shared" si="5"/>
        <v>0</v>
      </c>
      <c r="J89" s="108">
        <f t="shared" si="6"/>
        <v>0</v>
      </c>
      <c r="K89" s="108">
        <f t="shared" si="7"/>
        <v>0</v>
      </c>
    </row>
    <row r="90" spans="1:11" ht="15" customHeight="1" x14ac:dyDescent="0.2">
      <c r="A90" s="151" t="s">
        <v>265</v>
      </c>
      <c r="B90" s="133" t="s">
        <v>161</v>
      </c>
      <c r="C90" s="128">
        <f>C88</f>
        <v>12</v>
      </c>
      <c r="D90" s="128">
        <f>D88</f>
        <v>17</v>
      </c>
      <c r="E90" s="128">
        <f>E88</f>
        <v>13</v>
      </c>
      <c r="F90" s="129"/>
      <c r="G90" s="164"/>
      <c r="H90" s="107">
        <f t="shared" si="4"/>
        <v>0</v>
      </c>
      <c r="I90" s="108">
        <f t="shared" si="5"/>
        <v>0</v>
      </c>
      <c r="J90" s="108">
        <f t="shared" si="6"/>
        <v>0</v>
      </c>
      <c r="K90" s="108">
        <f t="shared" si="7"/>
        <v>0</v>
      </c>
    </row>
    <row r="91" spans="1:11" ht="15" customHeight="1" x14ac:dyDescent="0.2">
      <c r="A91" s="151" t="s">
        <v>266</v>
      </c>
      <c r="B91" s="133" t="s">
        <v>161</v>
      </c>
      <c r="C91" s="128">
        <f>C88</f>
        <v>12</v>
      </c>
      <c r="D91" s="128">
        <f>D88</f>
        <v>17</v>
      </c>
      <c r="E91" s="128">
        <f>E88</f>
        <v>13</v>
      </c>
      <c r="F91" s="129"/>
      <c r="G91" s="164"/>
      <c r="H91" s="107">
        <f t="shared" si="4"/>
        <v>0</v>
      </c>
      <c r="I91" s="108">
        <f t="shared" si="5"/>
        <v>0</v>
      </c>
      <c r="J91" s="108">
        <f t="shared" si="6"/>
        <v>0</v>
      </c>
      <c r="K91" s="108">
        <f t="shared" si="7"/>
        <v>0</v>
      </c>
    </row>
    <row r="92" spans="1:11" ht="15" customHeight="1" x14ac:dyDescent="0.2">
      <c r="A92" s="151" t="s">
        <v>267</v>
      </c>
      <c r="B92" s="133" t="s">
        <v>161</v>
      </c>
      <c r="C92" s="128">
        <f>C88</f>
        <v>12</v>
      </c>
      <c r="D92" s="128">
        <f>D88</f>
        <v>17</v>
      </c>
      <c r="E92" s="128">
        <f>E88</f>
        <v>13</v>
      </c>
      <c r="F92" s="129"/>
      <c r="G92" s="164"/>
      <c r="H92" s="107">
        <f t="shared" si="4"/>
        <v>0</v>
      </c>
      <c r="I92" s="108">
        <f t="shared" si="5"/>
        <v>0</v>
      </c>
      <c r="J92" s="108">
        <f t="shared" si="6"/>
        <v>0</v>
      </c>
      <c r="K92" s="108">
        <f t="shared" si="7"/>
        <v>0</v>
      </c>
    </row>
    <row r="93" spans="1:11" ht="15" customHeight="1" x14ac:dyDescent="0.2">
      <c r="A93" s="151" t="s">
        <v>268</v>
      </c>
      <c r="B93" s="133" t="s">
        <v>161</v>
      </c>
      <c r="C93" s="128">
        <f>C88</f>
        <v>12</v>
      </c>
      <c r="D93" s="128">
        <f>D88</f>
        <v>17</v>
      </c>
      <c r="E93" s="128">
        <f>E88</f>
        <v>13</v>
      </c>
      <c r="F93" s="129"/>
      <c r="G93" s="164"/>
      <c r="H93" s="107">
        <f t="shared" si="4"/>
        <v>0</v>
      </c>
      <c r="I93" s="108">
        <f t="shared" si="5"/>
        <v>0</v>
      </c>
      <c r="J93" s="108">
        <f t="shared" si="6"/>
        <v>0</v>
      </c>
      <c r="K93" s="108">
        <f t="shared" si="7"/>
        <v>0</v>
      </c>
    </row>
    <row r="94" spans="1:11" ht="15" customHeight="1" x14ac:dyDescent="0.2">
      <c r="A94" s="151" t="s">
        <v>269</v>
      </c>
      <c r="B94" s="133" t="s">
        <v>161</v>
      </c>
      <c r="C94" s="128">
        <f>C88</f>
        <v>12</v>
      </c>
      <c r="D94" s="128">
        <f>D88</f>
        <v>17</v>
      </c>
      <c r="E94" s="128">
        <f>E88</f>
        <v>13</v>
      </c>
      <c r="F94" s="129"/>
      <c r="G94" s="164"/>
      <c r="H94" s="107">
        <f t="shared" si="4"/>
        <v>0</v>
      </c>
      <c r="I94" s="108">
        <f t="shared" si="5"/>
        <v>0</v>
      </c>
      <c r="J94" s="108">
        <f t="shared" si="6"/>
        <v>0</v>
      </c>
      <c r="K94" s="108">
        <f t="shared" si="7"/>
        <v>0</v>
      </c>
    </row>
    <row r="95" spans="1:11" ht="15" customHeight="1" x14ac:dyDescent="0.2">
      <c r="A95" s="151" t="s">
        <v>270</v>
      </c>
      <c r="B95" s="133" t="s">
        <v>161</v>
      </c>
      <c r="C95" s="128">
        <f>C88</f>
        <v>12</v>
      </c>
      <c r="D95" s="128">
        <f>D88</f>
        <v>17</v>
      </c>
      <c r="E95" s="128">
        <f>E88</f>
        <v>13</v>
      </c>
      <c r="F95" s="129"/>
      <c r="G95" s="164"/>
      <c r="H95" s="107">
        <f t="shared" si="4"/>
        <v>0</v>
      </c>
      <c r="I95" s="108">
        <f t="shared" si="5"/>
        <v>0</v>
      </c>
      <c r="J95" s="108">
        <f t="shared" si="6"/>
        <v>0</v>
      </c>
      <c r="K95" s="108">
        <f t="shared" si="7"/>
        <v>0</v>
      </c>
    </row>
    <row r="96" spans="1:11" ht="15" customHeight="1" x14ac:dyDescent="0.2">
      <c r="A96" s="151" t="s">
        <v>271</v>
      </c>
      <c r="B96" s="133" t="s">
        <v>161</v>
      </c>
      <c r="C96" s="128">
        <f>C88*2</f>
        <v>24</v>
      </c>
      <c r="D96" s="128">
        <f>D88*2</f>
        <v>34</v>
      </c>
      <c r="E96" s="128">
        <f>E88*2</f>
        <v>26</v>
      </c>
      <c r="F96" s="129"/>
      <c r="G96" s="164"/>
      <c r="H96" s="107">
        <f t="shared" si="4"/>
        <v>0</v>
      </c>
      <c r="I96" s="108">
        <f t="shared" si="5"/>
        <v>0</v>
      </c>
      <c r="J96" s="108">
        <f t="shared" si="6"/>
        <v>0</v>
      </c>
      <c r="K96" s="108">
        <f t="shared" si="7"/>
        <v>0</v>
      </c>
    </row>
    <row r="97" spans="1:14" ht="15" customHeight="1" x14ac:dyDescent="0.2">
      <c r="A97" s="165" t="s">
        <v>272</v>
      </c>
      <c r="B97" s="133" t="s">
        <v>161</v>
      </c>
      <c r="C97" s="128">
        <v>3</v>
      </c>
      <c r="D97" s="128">
        <v>15</v>
      </c>
      <c r="E97" s="128">
        <v>0</v>
      </c>
      <c r="F97" s="166"/>
      <c r="G97" s="167"/>
      <c r="H97" s="121">
        <f t="shared" si="4"/>
        <v>0</v>
      </c>
      <c r="I97" s="108">
        <f t="shared" si="5"/>
        <v>0</v>
      </c>
      <c r="J97" s="108">
        <f t="shared" si="6"/>
        <v>0</v>
      </c>
      <c r="K97" s="108">
        <f t="shared" si="7"/>
        <v>0</v>
      </c>
    </row>
    <row r="98" spans="1:14" ht="20.25" customHeight="1" x14ac:dyDescent="0.2">
      <c r="A98" s="722" t="s">
        <v>273</v>
      </c>
      <c r="B98" s="722"/>
      <c r="C98" s="722"/>
      <c r="D98" s="722"/>
      <c r="E98" s="722"/>
      <c r="F98" s="722"/>
      <c r="G98" s="722"/>
      <c r="H98" s="722"/>
      <c r="I98" s="168">
        <f>SUM(I88:I97)</f>
        <v>0</v>
      </c>
      <c r="J98" s="168">
        <f>SUM(J88:J97)</f>
        <v>0</v>
      </c>
      <c r="K98" s="168">
        <f>SUM(K88:K97)</f>
        <v>0</v>
      </c>
    </row>
    <row r="99" spans="1:14" ht="20.25" customHeight="1" x14ac:dyDescent="0.2">
      <c r="A99" s="722" t="s">
        <v>274</v>
      </c>
      <c r="B99" s="722"/>
      <c r="C99" s="722"/>
      <c r="D99" s="722"/>
      <c r="E99" s="722"/>
      <c r="F99" s="722"/>
      <c r="G99" s="722"/>
      <c r="H99" s="722"/>
      <c r="I99" s="169">
        <f>I98/120</f>
        <v>0</v>
      </c>
      <c r="J99" s="169">
        <f>J98/120</f>
        <v>0</v>
      </c>
      <c r="K99" s="169">
        <f>K98/120</f>
        <v>0</v>
      </c>
      <c r="N99" s="89" t="s">
        <v>671</v>
      </c>
    </row>
    <row r="100" spans="1:14" ht="20.25" customHeight="1" x14ac:dyDescent="0.2">
      <c r="A100" s="723" t="s">
        <v>275</v>
      </c>
      <c r="B100" s="723"/>
      <c r="C100" s="723"/>
      <c r="D100" s="723"/>
      <c r="E100" s="723"/>
      <c r="F100" s="723"/>
      <c r="G100" s="723"/>
      <c r="H100" s="723"/>
      <c r="I100" s="168">
        <f>I99/'Prod. GEXCAX'!Q17</f>
        <v>0</v>
      </c>
      <c r="J100" s="168">
        <f>J99/'Prod. GEXIJU'!Q22</f>
        <v>0</v>
      </c>
      <c r="K100" s="168">
        <f>K99/'Prod. GEXPSF'!Q18</f>
        <v>0</v>
      </c>
    </row>
    <row r="101" spans="1:14" x14ac:dyDescent="0.2">
      <c r="A101" s="144"/>
      <c r="B101" s="145"/>
      <c r="C101" s="145"/>
      <c r="D101" s="145"/>
      <c r="E101" s="145"/>
      <c r="F101" s="145"/>
      <c r="G101" s="157"/>
      <c r="H101" s="145"/>
      <c r="I101" s="145"/>
      <c r="J101" s="145"/>
    </row>
    <row r="102" spans="1:14" x14ac:dyDescent="0.2">
      <c r="A102" s="144"/>
      <c r="B102" s="145"/>
      <c r="C102" s="145"/>
      <c r="D102" s="145"/>
      <c r="E102" s="145"/>
      <c r="F102" s="145"/>
      <c r="G102" s="145"/>
      <c r="H102" s="145"/>
      <c r="I102" s="145"/>
      <c r="J102" s="145"/>
    </row>
    <row r="103" spans="1:14" x14ac:dyDescent="0.2">
      <c r="A103" s="144"/>
      <c r="B103" s="145"/>
      <c r="C103" s="145"/>
      <c r="D103" s="145"/>
      <c r="E103" s="145"/>
      <c r="F103" s="145"/>
      <c r="G103" s="145"/>
      <c r="H103" s="145"/>
      <c r="I103" s="145"/>
      <c r="J103" s="145"/>
    </row>
    <row r="104" spans="1:14" ht="20.25" customHeight="1" x14ac:dyDescent="0.2">
      <c r="A104" s="724" t="s">
        <v>276</v>
      </c>
      <c r="B104" s="724"/>
      <c r="C104" s="724"/>
      <c r="D104" s="724"/>
      <c r="E104" s="724"/>
      <c r="F104" s="724"/>
      <c r="G104" s="724"/>
      <c r="H104" s="724"/>
      <c r="I104" s="724"/>
      <c r="J104" s="724"/>
      <c r="K104" s="724"/>
    </row>
    <row r="105" spans="1:14" s="163" customFormat="1" ht="47.25" customHeight="1" x14ac:dyDescent="0.2">
      <c r="A105" s="170" t="s">
        <v>127</v>
      </c>
      <c r="B105" s="171" t="s">
        <v>128</v>
      </c>
      <c r="C105" s="171" t="s">
        <v>277</v>
      </c>
      <c r="D105" s="171" t="s">
        <v>278</v>
      </c>
      <c r="E105" s="171" t="s">
        <v>279</v>
      </c>
      <c r="F105" s="171" t="s">
        <v>280</v>
      </c>
      <c r="G105" s="172" t="s">
        <v>281</v>
      </c>
      <c r="H105" s="172" t="s">
        <v>282</v>
      </c>
      <c r="I105" s="173" t="s">
        <v>283</v>
      </c>
      <c r="J105" s="173" t="s">
        <v>284</v>
      </c>
      <c r="K105" s="173" t="s">
        <v>285</v>
      </c>
    </row>
    <row r="106" spans="1:14" ht="20.25" customHeight="1" x14ac:dyDescent="0.2">
      <c r="A106" s="725" t="s">
        <v>286</v>
      </c>
      <c r="B106" s="725"/>
      <c r="C106" s="725"/>
      <c r="D106" s="725"/>
      <c r="E106" s="725"/>
      <c r="F106" s="725"/>
      <c r="G106" s="725"/>
      <c r="H106" s="725"/>
      <c r="I106" s="174">
        <f>SUM(I107:I112)</f>
        <v>0</v>
      </c>
      <c r="J106" s="174">
        <f>SUM(J107:J112)</f>
        <v>0</v>
      </c>
      <c r="K106" s="174">
        <f>SUM(K107:K112)</f>
        <v>0</v>
      </c>
    </row>
    <row r="107" spans="1:14" ht="15" customHeight="1" x14ac:dyDescent="0.2">
      <c r="A107" s="127" t="s">
        <v>287</v>
      </c>
      <c r="B107" s="128" t="s">
        <v>161</v>
      </c>
      <c r="C107" s="128">
        <v>2</v>
      </c>
      <c r="D107" s="128">
        <v>2</v>
      </c>
      <c r="E107" s="128">
        <v>2</v>
      </c>
      <c r="F107" s="166"/>
      <c r="G107" s="175"/>
      <c r="H107" s="107">
        <f t="shared" ref="H107:H112" si="8">(F107+G107)/2</f>
        <v>0</v>
      </c>
      <c r="I107" s="108">
        <f t="shared" ref="I107:K112" si="9">(C107*$H107)/12</f>
        <v>0</v>
      </c>
      <c r="J107" s="108">
        <f t="shared" si="9"/>
        <v>0</v>
      </c>
      <c r="K107" s="108">
        <f t="shared" si="9"/>
        <v>0</v>
      </c>
    </row>
    <row r="108" spans="1:14" ht="15" customHeight="1" x14ac:dyDescent="0.2">
      <c r="A108" s="132" t="s">
        <v>288</v>
      </c>
      <c r="B108" s="133" t="s">
        <v>161</v>
      </c>
      <c r="C108" s="133">
        <v>1</v>
      </c>
      <c r="D108" s="133">
        <v>1</v>
      </c>
      <c r="E108" s="133">
        <v>1</v>
      </c>
      <c r="F108" s="166"/>
      <c r="G108" s="175"/>
      <c r="H108" s="107">
        <f t="shared" si="8"/>
        <v>0</v>
      </c>
      <c r="I108" s="108">
        <f t="shared" si="9"/>
        <v>0</v>
      </c>
      <c r="J108" s="108">
        <f t="shared" si="9"/>
        <v>0</v>
      </c>
      <c r="K108" s="108">
        <f t="shared" si="9"/>
        <v>0</v>
      </c>
    </row>
    <row r="109" spans="1:14" ht="15" customHeight="1" x14ac:dyDescent="0.2">
      <c r="A109" s="132" t="s">
        <v>289</v>
      </c>
      <c r="B109" s="133" t="s">
        <v>161</v>
      </c>
      <c r="C109" s="133">
        <v>2</v>
      </c>
      <c r="D109" s="133">
        <v>2</v>
      </c>
      <c r="E109" s="133">
        <v>2</v>
      </c>
      <c r="F109" s="166"/>
      <c r="G109" s="175"/>
      <c r="H109" s="107">
        <f t="shared" si="8"/>
        <v>0</v>
      </c>
      <c r="I109" s="108">
        <f t="shared" si="9"/>
        <v>0</v>
      </c>
      <c r="J109" s="108">
        <f t="shared" si="9"/>
        <v>0</v>
      </c>
      <c r="K109" s="108">
        <f t="shared" si="9"/>
        <v>0</v>
      </c>
    </row>
    <row r="110" spans="1:14" ht="15" customHeight="1" x14ac:dyDescent="0.2">
      <c r="A110" s="132" t="s">
        <v>290</v>
      </c>
      <c r="B110" s="133" t="s">
        <v>161</v>
      </c>
      <c r="C110" s="133">
        <v>2</v>
      </c>
      <c r="D110" s="133">
        <v>2</v>
      </c>
      <c r="E110" s="133">
        <v>2</v>
      </c>
      <c r="F110" s="166"/>
      <c r="G110" s="175"/>
      <c r="H110" s="107">
        <f t="shared" si="8"/>
        <v>0</v>
      </c>
      <c r="I110" s="108">
        <f t="shared" si="9"/>
        <v>0</v>
      </c>
      <c r="J110" s="108">
        <f t="shared" si="9"/>
        <v>0</v>
      </c>
      <c r="K110" s="108">
        <f t="shared" si="9"/>
        <v>0</v>
      </c>
    </row>
    <row r="111" spans="1:14" ht="15" customHeight="1" x14ac:dyDescent="0.2">
      <c r="A111" s="138" t="s">
        <v>291</v>
      </c>
      <c r="B111" s="139" t="s">
        <v>161</v>
      </c>
      <c r="C111" s="139">
        <v>1</v>
      </c>
      <c r="D111" s="139">
        <v>1</v>
      </c>
      <c r="E111" s="139">
        <v>1</v>
      </c>
      <c r="F111" s="176"/>
      <c r="G111" s="177"/>
      <c r="H111" s="107">
        <f t="shared" si="8"/>
        <v>0</v>
      </c>
      <c r="I111" s="108">
        <f t="shared" si="9"/>
        <v>0</v>
      </c>
      <c r="J111" s="108">
        <f t="shared" si="9"/>
        <v>0</v>
      </c>
      <c r="K111" s="108">
        <f t="shared" si="9"/>
        <v>0</v>
      </c>
    </row>
    <row r="112" spans="1:14" ht="15" customHeight="1" x14ac:dyDescent="0.2">
      <c r="A112" s="178" t="s">
        <v>292</v>
      </c>
      <c r="B112" s="179" t="s">
        <v>181</v>
      </c>
      <c r="C112" s="179">
        <v>2</v>
      </c>
      <c r="D112" s="179">
        <v>2</v>
      </c>
      <c r="E112" s="179">
        <v>2</v>
      </c>
      <c r="F112" s="180"/>
      <c r="G112" s="181"/>
      <c r="H112" s="182">
        <f t="shared" si="8"/>
        <v>0</v>
      </c>
      <c r="I112" s="108">
        <f t="shared" si="9"/>
        <v>0</v>
      </c>
      <c r="J112" s="108">
        <f t="shared" si="9"/>
        <v>0</v>
      </c>
      <c r="K112" s="108">
        <f t="shared" si="9"/>
        <v>0</v>
      </c>
    </row>
    <row r="113" spans="1:11" ht="20.25" customHeight="1" x14ac:dyDescent="0.2">
      <c r="A113" s="725" t="s">
        <v>293</v>
      </c>
      <c r="B113" s="725"/>
      <c r="C113" s="725"/>
      <c r="D113" s="725"/>
      <c r="E113" s="725"/>
      <c r="F113" s="725"/>
      <c r="G113" s="725"/>
      <c r="H113" s="725"/>
      <c r="I113" s="174">
        <f>SUM(I114:I117)</f>
        <v>0</v>
      </c>
      <c r="J113" s="174">
        <f>SUM(J114:J117)</f>
        <v>0</v>
      </c>
      <c r="K113" s="174">
        <f>SUM(K114:K117)</f>
        <v>0</v>
      </c>
    </row>
    <row r="114" spans="1:11" ht="15" customHeight="1" x14ac:dyDescent="0.2">
      <c r="A114" s="151" t="s">
        <v>294</v>
      </c>
      <c r="B114" s="128" t="s">
        <v>161</v>
      </c>
      <c r="C114" s="128">
        <v>2</v>
      </c>
      <c r="D114" s="128">
        <v>2</v>
      </c>
      <c r="E114" s="128">
        <v>2</v>
      </c>
      <c r="F114" s="166"/>
      <c r="G114" s="175"/>
      <c r="H114" s="107">
        <f>(F114+G114)/2</f>
        <v>0</v>
      </c>
      <c r="I114" s="108">
        <f t="shared" ref="I114:K117" si="10">(C114*$H114)/12</f>
        <v>0</v>
      </c>
      <c r="J114" s="108">
        <f t="shared" si="10"/>
        <v>0</v>
      </c>
      <c r="K114" s="108">
        <f t="shared" si="10"/>
        <v>0</v>
      </c>
    </row>
    <row r="115" spans="1:11" ht="15" customHeight="1" x14ac:dyDescent="0.2">
      <c r="A115" s="151" t="s">
        <v>295</v>
      </c>
      <c r="B115" s="133" t="s">
        <v>161</v>
      </c>
      <c r="C115" s="133">
        <v>2</v>
      </c>
      <c r="D115" s="133">
        <v>2</v>
      </c>
      <c r="E115" s="133">
        <v>2</v>
      </c>
      <c r="F115" s="166"/>
      <c r="G115" s="175"/>
      <c r="H115" s="107">
        <f>(F115+G115)/2</f>
        <v>0</v>
      </c>
      <c r="I115" s="108">
        <f t="shared" si="10"/>
        <v>0</v>
      </c>
      <c r="J115" s="108">
        <f t="shared" si="10"/>
        <v>0</v>
      </c>
      <c r="K115" s="108">
        <f t="shared" si="10"/>
        <v>0</v>
      </c>
    </row>
    <row r="116" spans="1:11" ht="15" customHeight="1" x14ac:dyDescent="0.2">
      <c r="A116" s="151" t="s">
        <v>296</v>
      </c>
      <c r="B116" s="133" t="s">
        <v>161</v>
      </c>
      <c r="C116" s="133">
        <v>1</v>
      </c>
      <c r="D116" s="133">
        <v>1</v>
      </c>
      <c r="E116" s="133">
        <v>1</v>
      </c>
      <c r="F116" s="166"/>
      <c r="G116" s="175"/>
      <c r="H116" s="107">
        <f>(F116+G116)/2</f>
        <v>0</v>
      </c>
      <c r="I116" s="108">
        <f t="shared" si="10"/>
        <v>0</v>
      </c>
      <c r="J116" s="108">
        <f t="shared" si="10"/>
        <v>0</v>
      </c>
      <c r="K116" s="108">
        <f t="shared" si="10"/>
        <v>0</v>
      </c>
    </row>
    <row r="117" spans="1:11" ht="15" customHeight="1" x14ac:dyDescent="0.2">
      <c r="A117" s="152" t="s">
        <v>297</v>
      </c>
      <c r="B117" s="139" t="s">
        <v>181</v>
      </c>
      <c r="C117" s="139">
        <v>2</v>
      </c>
      <c r="D117" s="139">
        <v>2</v>
      </c>
      <c r="E117" s="139">
        <v>2</v>
      </c>
      <c r="F117" s="176"/>
      <c r="G117" s="177"/>
      <c r="H117" s="107">
        <f>(F117+G117)/2</f>
        <v>0</v>
      </c>
      <c r="I117" s="108">
        <f t="shared" si="10"/>
        <v>0</v>
      </c>
      <c r="J117" s="108">
        <f t="shared" si="10"/>
        <v>0</v>
      </c>
      <c r="K117" s="108">
        <f t="shared" si="10"/>
        <v>0</v>
      </c>
    </row>
    <row r="118" spans="1:11" ht="20.25" customHeight="1" x14ac:dyDescent="0.2">
      <c r="A118" s="726" t="s">
        <v>298</v>
      </c>
      <c r="B118" s="726"/>
      <c r="C118" s="726"/>
      <c r="D118" s="726"/>
      <c r="E118" s="726"/>
      <c r="F118" s="726"/>
      <c r="G118" s="726"/>
      <c r="H118" s="726"/>
      <c r="I118" s="183">
        <f>I106</f>
        <v>0</v>
      </c>
      <c r="J118" s="183">
        <f>J106</f>
        <v>0</v>
      </c>
      <c r="K118" s="183">
        <f>K106</f>
        <v>0</v>
      </c>
    </row>
    <row r="119" spans="1:11" ht="20.25" customHeight="1" x14ac:dyDescent="0.2">
      <c r="A119" s="726" t="s">
        <v>299</v>
      </c>
      <c r="B119" s="726"/>
      <c r="C119" s="726"/>
      <c r="D119" s="726"/>
      <c r="E119" s="726"/>
      <c r="F119" s="726"/>
      <c r="G119" s="726"/>
      <c r="H119" s="726"/>
      <c r="I119" s="183">
        <f>I113</f>
        <v>0</v>
      </c>
      <c r="J119" s="183">
        <f>J113</f>
        <v>0</v>
      </c>
      <c r="K119" s="183">
        <f>K113</f>
        <v>0</v>
      </c>
    </row>
    <row r="120" spans="1:11" x14ac:dyDescent="0.2">
      <c r="A120" s="144"/>
      <c r="B120" s="145"/>
      <c r="C120" s="145"/>
      <c r="D120" s="145"/>
      <c r="E120" s="145"/>
      <c r="F120" s="145"/>
      <c r="G120" s="145"/>
      <c r="H120" s="145"/>
      <c r="I120" s="145"/>
      <c r="J120" s="145"/>
    </row>
    <row r="121" spans="1:11" ht="20.25" customHeight="1" x14ac:dyDescent="0.2">
      <c r="A121" s="727" t="s">
        <v>300</v>
      </c>
      <c r="B121" s="727"/>
      <c r="C121" s="727"/>
      <c r="D121" s="727"/>
      <c r="E121" s="727"/>
      <c r="F121" s="727"/>
      <c r="G121" s="727"/>
      <c r="H121" s="727"/>
      <c r="I121" s="727"/>
    </row>
    <row r="122" spans="1:11" s="163" customFormat="1" ht="59.25" customHeight="1" x14ac:dyDescent="0.2">
      <c r="A122" s="184" t="s">
        <v>127</v>
      </c>
      <c r="B122" s="185" t="s">
        <v>128</v>
      </c>
      <c r="C122" s="185" t="s">
        <v>301</v>
      </c>
      <c r="D122" s="185" t="s">
        <v>302</v>
      </c>
      <c r="E122" s="185" t="s">
        <v>235</v>
      </c>
      <c r="F122" s="186" t="s">
        <v>303</v>
      </c>
      <c r="G122" s="186" t="s">
        <v>282</v>
      </c>
      <c r="H122" s="187" t="s">
        <v>304</v>
      </c>
      <c r="I122" s="187" t="s">
        <v>305</v>
      </c>
    </row>
    <row r="123" spans="1:11" ht="20.25" customHeight="1" x14ac:dyDescent="0.2">
      <c r="A123" s="728" t="s">
        <v>306</v>
      </c>
      <c r="B123" s="728"/>
      <c r="C123" s="728"/>
      <c r="D123" s="728"/>
      <c r="E123" s="728"/>
      <c r="F123" s="728"/>
      <c r="G123" s="728"/>
      <c r="H123" s="188">
        <f>SUM(H124:H128)</f>
        <v>0</v>
      </c>
      <c r="I123" s="188">
        <f>SUM(I124:I128)</f>
        <v>0</v>
      </c>
    </row>
    <row r="124" spans="1:11" ht="15" customHeight="1" x14ac:dyDescent="0.2">
      <c r="A124" s="151" t="s">
        <v>307</v>
      </c>
      <c r="B124" s="189" t="s">
        <v>161</v>
      </c>
      <c r="C124" s="128">
        <f>22</f>
        <v>22</v>
      </c>
      <c r="D124" s="128">
        <f>22</f>
        <v>22</v>
      </c>
      <c r="E124" s="166"/>
      <c r="F124" s="129"/>
      <c r="G124" s="107">
        <f>(E124+F124)/2</f>
        <v>0</v>
      </c>
      <c r="H124" s="190">
        <f>C124*G124</f>
        <v>0</v>
      </c>
      <c r="I124" s="191">
        <f>D124*G124</f>
        <v>0</v>
      </c>
    </row>
    <row r="125" spans="1:11" ht="15" customHeight="1" x14ac:dyDescent="0.2">
      <c r="A125" s="151" t="s">
        <v>308</v>
      </c>
      <c r="B125" s="192" t="s">
        <v>161</v>
      </c>
      <c r="C125" s="193">
        <f>1/6</f>
        <v>0.16666666666666666</v>
      </c>
      <c r="D125" s="194">
        <f>1/6</f>
        <v>0.16666666666666666</v>
      </c>
      <c r="E125" s="166"/>
      <c r="F125" s="129"/>
      <c r="G125" s="195">
        <f>(E125+F125)/2</f>
        <v>0</v>
      </c>
      <c r="H125" s="196">
        <f>C125*G125</f>
        <v>0</v>
      </c>
      <c r="I125" s="191">
        <f>D125*G125</f>
        <v>0</v>
      </c>
    </row>
    <row r="126" spans="1:11" ht="15" customHeight="1" x14ac:dyDescent="0.2">
      <c r="A126" s="151" t="s">
        <v>309</v>
      </c>
      <c r="B126" s="192" t="s">
        <v>181</v>
      </c>
      <c r="C126" s="133">
        <f>2*22</f>
        <v>44</v>
      </c>
      <c r="D126" s="128">
        <f>3*22</f>
        <v>66</v>
      </c>
      <c r="E126" s="166"/>
      <c r="F126" s="129"/>
      <c r="G126" s="195">
        <f>(E126+F126)/2</f>
        <v>0</v>
      </c>
      <c r="H126" s="196">
        <f>C126*G126</f>
        <v>0</v>
      </c>
      <c r="I126" s="191">
        <f>D126*G126</f>
        <v>0</v>
      </c>
    </row>
    <row r="127" spans="1:11" ht="15" customHeight="1" x14ac:dyDescent="0.2">
      <c r="A127" s="151" t="s">
        <v>310</v>
      </c>
      <c r="B127" s="192" t="s">
        <v>161</v>
      </c>
      <c r="C127" s="139">
        <f>2*22</f>
        <v>44</v>
      </c>
      <c r="D127" s="197">
        <f>3*22</f>
        <v>66</v>
      </c>
      <c r="E127" s="176"/>
      <c r="F127" s="129"/>
      <c r="G127" s="195">
        <f>(E127+F127)/2</f>
        <v>0</v>
      </c>
      <c r="H127" s="196">
        <f>C127*G127</f>
        <v>0</v>
      </c>
      <c r="I127" s="191">
        <f>D127*G127</f>
        <v>0</v>
      </c>
    </row>
    <row r="128" spans="1:11" ht="15" customHeight="1" x14ac:dyDescent="0.2">
      <c r="A128" s="152" t="s">
        <v>311</v>
      </c>
      <c r="B128" s="198" t="s">
        <v>161</v>
      </c>
      <c r="C128" s="139">
        <f>22</f>
        <v>22</v>
      </c>
      <c r="D128" s="139">
        <f>22</f>
        <v>22</v>
      </c>
      <c r="E128" s="199"/>
      <c r="F128" s="140"/>
      <c r="G128" s="200">
        <f>(E128+F128)/2</f>
        <v>0</v>
      </c>
      <c r="H128" s="201">
        <f>C128*G128</f>
        <v>0</v>
      </c>
      <c r="I128" s="191">
        <f>D128*G128</f>
        <v>0</v>
      </c>
    </row>
    <row r="129" spans="1:9" s="163" customFormat="1" ht="56.25" customHeight="1" x14ac:dyDescent="0.2">
      <c r="A129" s="202" t="s">
        <v>127</v>
      </c>
      <c r="B129" s="203" t="s">
        <v>128</v>
      </c>
      <c r="C129" s="203" t="s">
        <v>312</v>
      </c>
      <c r="D129" s="203" t="s">
        <v>313</v>
      </c>
      <c r="E129" s="203" t="s">
        <v>314</v>
      </c>
      <c r="F129" s="204" t="s">
        <v>303</v>
      </c>
      <c r="G129" s="204" t="s">
        <v>282</v>
      </c>
      <c r="H129" s="205" t="s">
        <v>304</v>
      </c>
      <c r="I129" s="205" t="s">
        <v>305</v>
      </c>
    </row>
    <row r="130" spans="1:9" ht="20.25" customHeight="1" x14ac:dyDescent="0.2">
      <c r="A130" s="729" t="s">
        <v>315</v>
      </c>
      <c r="B130" s="729"/>
      <c r="C130" s="729"/>
      <c r="D130" s="729"/>
      <c r="E130" s="729"/>
      <c r="F130" s="729"/>
      <c r="G130" s="729"/>
      <c r="H130" s="206">
        <f>SUM(H131:H134)</f>
        <v>0</v>
      </c>
      <c r="I130" s="206">
        <f>SUM(I131:I134)</f>
        <v>0</v>
      </c>
    </row>
    <row r="131" spans="1:9" ht="15" customHeight="1" x14ac:dyDescent="0.2">
      <c r="A131" s="151" t="s">
        <v>316</v>
      </c>
      <c r="B131" s="128" t="s">
        <v>161</v>
      </c>
      <c r="C131" s="194">
        <v>1</v>
      </c>
      <c r="D131" s="194">
        <v>1</v>
      </c>
      <c r="E131" s="166"/>
      <c r="F131" s="129"/>
      <c r="G131" s="107">
        <f>(E131+F131)/2</f>
        <v>0</v>
      </c>
      <c r="H131" s="190">
        <f>(C131*G131)/12</f>
        <v>0</v>
      </c>
      <c r="I131" s="190">
        <f>(D131*G131)/12</f>
        <v>0</v>
      </c>
    </row>
    <row r="132" spans="1:9" ht="15" customHeight="1" x14ac:dyDescent="0.2">
      <c r="A132" s="151" t="s">
        <v>317</v>
      </c>
      <c r="B132" s="133" t="s">
        <v>181</v>
      </c>
      <c r="C132" s="193">
        <v>2</v>
      </c>
      <c r="D132" s="193">
        <v>2</v>
      </c>
      <c r="E132" s="166"/>
      <c r="F132" s="129"/>
      <c r="G132" s="195">
        <f>(E132+F132)/2</f>
        <v>0</v>
      </c>
      <c r="H132" s="190">
        <f>(C132*G132)/12</f>
        <v>0</v>
      </c>
      <c r="I132" s="190">
        <f>(D132*G132)/12</f>
        <v>0</v>
      </c>
    </row>
    <row r="133" spans="1:9" ht="15" customHeight="1" x14ac:dyDescent="0.2">
      <c r="A133" s="151" t="s">
        <v>310</v>
      </c>
      <c r="B133" s="133" t="s">
        <v>161</v>
      </c>
      <c r="C133" s="133">
        <f>2*22*12</f>
        <v>528</v>
      </c>
      <c r="D133" s="133">
        <f>3*22*12</f>
        <v>792</v>
      </c>
      <c r="E133" s="166"/>
      <c r="F133" s="129"/>
      <c r="G133" s="195">
        <f>(E133+F133)/2</f>
        <v>0</v>
      </c>
      <c r="H133" s="190">
        <f>(C133*G133)/12</f>
        <v>0</v>
      </c>
      <c r="I133" s="190">
        <f>(D133*G133)/12</f>
        <v>0</v>
      </c>
    </row>
    <row r="134" spans="1:9" ht="15" customHeight="1" x14ac:dyDescent="0.2">
      <c r="A134" s="151" t="s">
        <v>318</v>
      </c>
      <c r="B134" s="133" t="s">
        <v>161</v>
      </c>
      <c r="C134" s="193">
        <v>1</v>
      </c>
      <c r="D134" s="193">
        <v>1</v>
      </c>
      <c r="E134" s="166"/>
      <c r="F134" s="129"/>
      <c r="G134" s="195">
        <f>(E134+F134)/2</f>
        <v>0</v>
      </c>
      <c r="H134" s="190">
        <f>(C134*G134)/12</f>
        <v>0</v>
      </c>
      <c r="I134" s="190">
        <f>(D134*G134)/12</f>
        <v>0</v>
      </c>
    </row>
    <row r="135" spans="1:9" x14ac:dyDescent="0.2">
      <c r="A135" s="144"/>
      <c r="B135" s="145"/>
      <c r="C135" s="145"/>
      <c r="D135" s="145"/>
      <c r="E135" s="145"/>
      <c r="F135" s="145"/>
      <c r="G135" s="145"/>
    </row>
    <row r="136" spans="1:9" ht="12.75" customHeight="1" x14ac:dyDescent="0.2">
      <c r="A136" s="730" t="s">
        <v>319</v>
      </c>
      <c r="B136" s="730"/>
      <c r="C136" s="730"/>
      <c r="D136" s="730"/>
      <c r="E136" s="730"/>
      <c r="F136" s="730"/>
      <c r="G136" s="145"/>
    </row>
    <row r="137" spans="1:9" ht="12.75" customHeight="1" x14ac:dyDescent="0.2">
      <c r="A137" s="207" t="s">
        <v>307</v>
      </c>
      <c r="B137" s="731" t="s">
        <v>320</v>
      </c>
      <c r="C137" s="731"/>
      <c r="D137" s="731"/>
      <c r="E137" s="731"/>
      <c r="F137" s="731"/>
      <c r="G137" s="145"/>
    </row>
    <row r="138" spans="1:9" ht="12.75" customHeight="1" x14ac:dyDescent="0.2">
      <c r="A138" s="207" t="s">
        <v>308</v>
      </c>
      <c r="B138" s="731" t="s">
        <v>321</v>
      </c>
      <c r="C138" s="731"/>
      <c r="D138" s="731"/>
      <c r="E138" s="731"/>
      <c r="F138" s="731"/>
      <c r="G138" s="145"/>
    </row>
    <row r="139" spans="1:9" ht="12.75" customHeight="1" x14ac:dyDescent="0.2">
      <c r="A139" s="207" t="s">
        <v>309</v>
      </c>
      <c r="B139" s="731" t="s">
        <v>322</v>
      </c>
      <c r="C139" s="731"/>
      <c r="D139" s="731"/>
      <c r="E139" s="731"/>
      <c r="F139" s="731"/>
      <c r="G139" s="145"/>
    </row>
    <row r="140" spans="1:9" ht="12.75" customHeight="1" x14ac:dyDescent="0.2">
      <c r="A140" s="207" t="s">
        <v>310</v>
      </c>
      <c r="B140" s="731" t="s">
        <v>323</v>
      </c>
      <c r="C140" s="731"/>
      <c r="D140" s="731"/>
      <c r="E140" s="731"/>
      <c r="F140" s="731"/>
      <c r="G140" s="145"/>
    </row>
    <row r="141" spans="1:9" ht="12.75" customHeight="1" x14ac:dyDescent="0.2">
      <c r="A141" s="207" t="s">
        <v>311</v>
      </c>
      <c r="B141" s="731" t="s">
        <v>320</v>
      </c>
      <c r="C141" s="731"/>
      <c r="D141" s="731"/>
      <c r="E141" s="731"/>
      <c r="F141" s="731"/>
      <c r="G141" s="145"/>
    </row>
    <row r="142" spans="1:9" ht="12.75" customHeight="1" x14ac:dyDescent="0.2">
      <c r="A142" s="207" t="s">
        <v>324</v>
      </c>
      <c r="B142" s="731" t="s">
        <v>325</v>
      </c>
      <c r="C142" s="731"/>
      <c r="D142" s="731"/>
      <c r="E142" s="731"/>
      <c r="F142" s="731"/>
      <c r="G142" s="145"/>
    </row>
    <row r="143" spans="1:9" ht="12.75" customHeight="1" x14ac:dyDescent="0.2">
      <c r="A143" s="207" t="s">
        <v>326</v>
      </c>
      <c r="B143" s="731" t="s">
        <v>327</v>
      </c>
      <c r="C143" s="731"/>
      <c r="D143" s="731"/>
      <c r="E143" s="731"/>
      <c r="F143" s="731"/>
      <c r="G143" s="145"/>
      <c r="H143" s="145"/>
    </row>
    <row r="144" spans="1:9" ht="12.75" customHeight="1" x14ac:dyDescent="0.2">
      <c r="A144" s="207" t="s">
        <v>328</v>
      </c>
      <c r="B144" s="731" t="s">
        <v>329</v>
      </c>
      <c r="C144" s="731"/>
      <c r="D144" s="731"/>
      <c r="E144" s="731"/>
      <c r="F144" s="731"/>
      <c r="G144" s="145"/>
      <c r="H144" s="145"/>
    </row>
    <row r="145" spans="1:8" x14ac:dyDescent="0.2">
      <c r="A145" s="144"/>
      <c r="B145" s="145"/>
      <c r="C145" s="145"/>
      <c r="D145" s="145"/>
      <c r="E145" s="145"/>
      <c r="F145" s="145"/>
      <c r="G145" s="145"/>
      <c r="H145" s="145"/>
    </row>
    <row r="146" spans="1:8" ht="20.25" customHeight="1" x14ac:dyDescent="0.2">
      <c r="A146" s="732" t="s">
        <v>330</v>
      </c>
      <c r="B146" s="732"/>
      <c r="C146" s="732"/>
      <c r="D146" s="732"/>
      <c r="E146" s="732"/>
      <c r="F146" s="732"/>
      <c r="G146" s="732"/>
      <c r="H146" s="208">
        <f>SUM(H147:H147)</f>
        <v>0</v>
      </c>
    </row>
    <row r="147" spans="1:8" ht="15" customHeight="1" x14ac:dyDescent="0.2">
      <c r="A147" s="209" t="s">
        <v>331</v>
      </c>
      <c r="B147" s="210" t="s">
        <v>161</v>
      </c>
      <c r="C147" s="210">
        <v>1</v>
      </c>
      <c r="D147" s="733"/>
      <c r="E147" s="733"/>
      <c r="F147" s="733"/>
      <c r="G147" s="733"/>
      <c r="H147" s="211">
        <f>D147</f>
        <v>0</v>
      </c>
    </row>
  </sheetData>
  <mergeCells count="30">
    <mergeCell ref="B142:F142"/>
    <mergeCell ref="B143:F143"/>
    <mergeCell ref="B144:F144"/>
    <mergeCell ref="A146:G146"/>
    <mergeCell ref="D147:G147"/>
    <mergeCell ref="B137:F137"/>
    <mergeCell ref="B138:F138"/>
    <mergeCell ref="B139:F139"/>
    <mergeCell ref="B140:F140"/>
    <mergeCell ref="B141:F141"/>
    <mergeCell ref="A119:H119"/>
    <mergeCell ref="A121:I121"/>
    <mergeCell ref="A123:G123"/>
    <mergeCell ref="A130:G130"/>
    <mergeCell ref="A136:F136"/>
    <mergeCell ref="A100:H100"/>
    <mergeCell ref="A104:K104"/>
    <mergeCell ref="A106:H106"/>
    <mergeCell ref="A113:H113"/>
    <mergeCell ref="A118:H118"/>
    <mergeCell ref="A62:H62"/>
    <mergeCell ref="A70:F70"/>
    <mergeCell ref="A86:K86"/>
    <mergeCell ref="A98:H98"/>
    <mergeCell ref="A99:H99"/>
    <mergeCell ref="A1:H1"/>
    <mergeCell ref="A37:F37"/>
    <mergeCell ref="A38:H38"/>
    <mergeCell ref="A59:F59"/>
    <mergeCell ref="A60:F6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6000"/>
  </sheetPr>
  <dimension ref="A1:ALO56"/>
  <sheetViews>
    <sheetView showGridLines="0" topLeftCell="A22" zoomScale="112" zoomScaleNormal="112" workbookViewId="0">
      <pane xSplit="4" topLeftCell="U1" activePane="topRight" state="frozen"/>
      <selection pane="topRight" activeCell="AE52" sqref="AE52"/>
    </sheetView>
  </sheetViews>
  <sheetFormatPr defaultRowHeight="14.25" x14ac:dyDescent="0.2"/>
  <cols>
    <col min="1" max="1" width="31" customWidth="1"/>
    <col min="2" max="2" width="29.375" customWidth="1"/>
    <col min="3" max="3" width="22.625" customWidth="1"/>
    <col min="4" max="5" width="8.625" customWidth="1"/>
    <col min="6" max="6" width="8" customWidth="1"/>
    <col min="7" max="7" width="9.125" customWidth="1"/>
    <col min="8" max="9" width="8.5" customWidth="1"/>
    <col min="10" max="10" width="6.625" customWidth="1"/>
    <col min="11" max="11" width="7.875" customWidth="1"/>
    <col min="12" max="12" width="7.375" customWidth="1"/>
    <col min="13" max="13" width="9.25" customWidth="1"/>
    <col min="14" max="14" width="7" customWidth="1"/>
    <col min="15" max="15" width="8.25" customWidth="1"/>
    <col min="16" max="16" width="7.375" customWidth="1"/>
    <col min="17" max="17" width="7.5" customWidth="1"/>
    <col min="18" max="18" width="7.375" customWidth="1"/>
    <col min="19" max="19" width="8.625" customWidth="1"/>
    <col min="20" max="20" width="6.875" customWidth="1"/>
    <col min="21" max="21" width="7.5" customWidth="1"/>
    <col min="22" max="22" width="7.375" customWidth="1"/>
    <col min="23" max="23" width="7.5" customWidth="1"/>
    <col min="24" max="24" width="7.375" customWidth="1"/>
    <col min="25" max="25" width="8.875" customWidth="1"/>
    <col min="26" max="26" width="7.25" customWidth="1"/>
    <col min="27" max="27" width="12.375" customWidth="1"/>
    <col min="28" max="29" width="11.5"/>
    <col min="30" max="30" width="13.375" customWidth="1"/>
    <col min="31" max="31" width="12.625" customWidth="1"/>
    <col min="32" max="1003" width="10.625" customWidth="1"/>
    <col min="1004" max="1025" width="10.5" customWidth="1"/>
  </cols>
  <sheetData>
    <row r="1" spans="1:31" ht="23.25" x14ac:dyDescent="0.2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</row>
    <row r="2" spans="1:31" ht="15" customHeight="1" x14ac:dyDescent="0.2">
      <c r="A2" s="213"/>
      <c r="B2" s="213"/>
      <c r="C2" s="213"/>
      <c r="D2" s="214"/>
      <c r="E2" s="734" t="s">
        <v>332</v>
      </c>
      <c r="F2" s="734"/>
      <c r="G2" s="734"/>
      <c r="H2" s="734"/>
      <c r="I2" s="734"/>
      <c r="J2" s="734"/>
      <c r="K2" s="734"/>
      <c r="L2" s="734"/>
      <c r="M2" s="734"/>
      <c r="N2" s="734"/>
      <c r="O2" s="735" t="s">
        <v>333</v>
      </c>
      <c r="P2" s="735"/>
      <c r="Q2" s="735"/>
      <c r="R2" s="735"/>
      <c r="S2" s="735"/>
      <c r="T2" s="735"/>
      <c r="U2" s="736" t="s">
        <v>334</v>
      </c>
      <c r="V2" s="736"/>
      <c r="W2" s="736"/>
      <c r="X2" s="736"/>
      <c r="Y2" s="736"/>
      <c r="Z2" s="736"/>
      <c r="AA2" s="215" t="s">
        <v>335</v>
      </c>
      <c r="AB2" s="215" t="s">
        <v>336</v>
      </c>
      <c r="AC2" s="215" t="s">
        <v>337</v>
      </c>
      <c r="AD2" s="215" t="s">
        <v>338</v>
      </c>
      <c r="AE2" s="215" t="s">
        <v>339</v>
      </c>
    </row>
    <row r="3" spans="1:31" ht="59.25" customHeight="1" x14ac:dyDescent="0.2">
      <c r="A3" s="737" t="s">
        <v>340</v>
      </c>
      <c r="B3" s="737"/>
      <c r="C3" s="737"/>
      <c r="D3" s="738" t="s">
        <v>341</v>
      </c>
      <c r="E3" s="739" t="s">
        <v>342</v>
      </c>
      <c r="F3" s="739"/>
      <c r="G3" s="740" t="s">
        <v>343</v>
      </c>
      <c r="H3" s="740"/>
      <c r="I3" s="741" t="s">
        <v>344</v>
      </c>
      <c r="J3" s="741"/>
      <c r="K3" s="741" t="s">
        <v>345</v>
      </c>
      <c r="L3" s="741"/>
      <c r="M3" s="741" t="s">
        <v>346</v>
      </c>
      <c r="N3" s="741"/>
      <c r="O3" s="742" t="s">
        <v>347</v>
      </c>
      <c r="P3" s="742"/>
      <c r="Q3" s="743" t="s">
        <v>348</v>
      </c>
      <c r="R3" s="743"/>
      <c r="S3" s="742" t="s">
        <v>349</v>
      </c>
      <c r="T3" s="742"/>
      <c r="U3" s="744" t="s">
        <v>350</v>
      </c>
      <c r="V3" s="744"/>
      <c r="W3" s="744" t="s">
        <v>351</v>
      </c>
      <c r="X3" s="744"/>
      <c r="Y3" s="745" t="s">
        <v>352</v>
      </c>
      <c r="Z3" s="745"/>
      <c r="AA3" s="746" t="s">
        <v>353</v>
      </c>
      <c r="AB3" s="747" t="s">
        <v>354</v>
      </c>
      <c r="AC3" s="748" t="s">
        <v>355</v>
      </c>
      <c r="AD3" s="749" t="s">
        <v>356</v>
      </c>
      <c r="AE3" s="750" t="s">
        <v>357</v>
      </c>
    </row>
    <row r="4" spans="1:31" ht="33.6" customHeight="1" x14ac:dyDescent="0.2">
      <c r="A4" s="737"/>
      <c r="B4" s="737"/>
      <c r="C4" s="737"/>
      <c r="D4" s="738"/>
      <c r="E4" s="739"/>
      <c r="F4" s="739"/>
      <c r="G4" s="740"/>
      <c r="H4" s="740"/>
      <c r="I4" s="741"/>
      <c r="J4" s="741"/>
      <c r="K4" s="741"/>
      <c r="L4" s="741"/>
      <c r="M4" s="741"/>
      <c r="N4" s="741"/>
      <c r="O4" s="742"/>
      <c r="P4" s="742"/>
      <c r="Q4" s="743"/>
      <c r="R4" s="743"/>
      <c r="S4" s="742"/>
      <c r="T4" s="742"/>
      <c r="U4" s="744"/>
      <c r="V4" s="744"/>
      <c r="W4" s="744"/>
      <c r="X4" s="744"/>
      <c r="Y4" s="745"/>
      <c r="Z4" s="745"/>
      <c r="AA4" s="746"/>
      <c r="AB4" s="747"/>
      <c r="AC4" s="748"/>
      <c r="AD4" s="749"/>
      <c r="AE4" s="750"/>
    </row>
    <row r="5" spans="1:31" ht="31.7" customHeight="1" x14ac:dyDescent="0.2">
      <c r="A5" s="737"/>
      <c r="B5" s="737"/>
      <c r="C5" s="737"/>
      <c r="D5" s="738"/>
      <c r="E5" s="220" t="s">
        <v>358</v>
      </c>
      <c r="F5" s="221" t="s">
        <v>359</v>
      </c>
      <c r="G5" s="216" t="s">
        <v>358</v>
      </c>
      <c r="H5" s="221" t="s">
        <v>359</v>
      </c>
      <c r="I5" s="216" t="s">
        <v>358</v>
      </c>
      <c r="J5" s="217" t="s">
        <v>359</v>
      </c>
      <c r="K5" s="216" t="s">
        <v>358</v>
      </c>
      <c r="L5" s="217" t="s">
        <v>359</v>
      </c>
      <c r="M5" s="216" t="s">
        <v>358</v>
      </c>
      <c r="N5" s="217" t="s">
        <v>359</v>
      </c>
      <c r="O5" s="218" t="s">
        <v>358</v>
      </c>
      <c r="P5" s="218" t="s">
        <v>359</v>
      </c>
      <c r="Q5" s="218" t="s">
        <v>358</v>
      </c>
      <c r="R5" s="218" t="s">
        <v>359</v>
      </c>
      <c r="S5" s="218" t="s">
        <v>358</v>
      </c>
      <c r="T5" s="218" t="s">
        <v>359</v>
      </c>
      <c r="U5" s="219" t="s">
        <v>358</v>
      </c>
      <c r="V5" s="219" t="s">
        <v>359</v>
      </c>
      <c r="W5" s="219" t="s">
        <v>358</v>
      </c>
      <c r="X5" s="219" t="s">
        <v>359</v>
      </c>
      <c r="Y5" s="219" t="s">
        <v>358</v>
      </c>
      <c r="Z5" s="222" t="s">
        <v>359</v>
      </c>
      <c r="AA5" s="223" t="s">
        <v>360</v>
      </c>
      <c r="AB5" s="224" t="s">
        <v>360</v>
      </c>
      <c r="AC5" s="225" t="s">
        <v>360</v>
      </c>
      <c r="AD5" s="226" t="s">
        <v>360</v>
      </c>
      <c r="AE5" s="227" t="s">
        <v>360</v>
      </c>
    </row>
    <row r="6" spans="1:31" x14ac:dyDescent="0.2">
      <c r="A6" s="228" t="s">
        <v>79</v>
      </c>
      <c r="B6" s="229" t="s">
        <v>361</v>
      </c>
      <c r="C6" s="230" t="s">
        <v>362</v>
      </c>
      <c r="D6" s="231">
        <f>MC!C71</f>
        <v>0</v>
      </c>
      <c r="E6" s="232">
        <f>'Prod. GEXCAX'!D4</f>
        <v>0</v>
      </c>
      <c r="F6" s="233">
        <f>'GEXCAX Limp.Ord.'!J$149</f>
        <v>0</v>
      </c>
      <c r="G6" s="234">
        <f>'Prod. GEXCAX'!E4</f>
        <v>800</v>
      </c>
      <c r="H6" s="233">
        <f>'GEXCAX Limp.Ord.'!J$155</f>
        <v>0</v>
      </c>
      <c r="I6" s="235">
        <f>'Prod. GEXCAX'!F4</f>
        <v>0</v>
      </c>
      <c r="J6" s="236">
        <f>'GEXCAX Limp.Ord.'!J$161</f>
        <v>0</v>
      </c>
      <c r="K6" s="237">
        <f>'Prod. GEXCAX'!G4</f>
        <v>0</v>
      </c>
      <c r="L6" s="236">
        <f>'GEXCAX Limp.Ord.'!J$167</f>
        <v>0</v>
      </c>
      <c r="M6" s="237">
        <f>'Prod. GEXCAX'!H4</f>
        <v>0</v>
      </c>
      <c r="N6" s="236">
        <f>'GEXCAX Limp.Ord.'!J$173</f>
        <v>0</v>
      </c>
      <c r="O6" s="232">
        <f>'Prod. GEXCAX'!I4</f>
        <v>0</v>
      </c>
      <c r="P6" s="236">
        <f>'GEXCAX Limp.Ord.'!J$179</f>
        <v>0</v>
      </c>
      <c r="Q6" s="232">
        <f>'Prod. GEXCAX'!J4</f>
        <v>0</v>
      </c>
      <c r="R6" s="236">
        <f>'GEXCAX Limp.Ord.'!J$182</f>
        <v>0</v>
      </c>
      <c r="S6" s="232">
        <f>'Prod. GEXCAX'!K4</f>
        <v>0</v>
      </c>
      <c r="T6" s="236">
        <f>'GEXCAX Limp.Ord.'!J$185</f>
        <v>0</v>
      </c>
      <c r="U6" s="232">
        <f>'Prod. GEXCAX'!L4</f>
        <v>0</v>
      </c>
      <c r="V6" s="236">
        <f>'GEXCAX Limp.Ord.'!J$191</f>
        <v>0</v>
      </c>
      <c r="W6" s="232">
        <f>'Prod. GEXCAX'!M4</f>
        <v>0</v>
      </c>
      <c r="X6" s="236">
        <f>'GEXCAX Limp.Ord.'!J$194</f>
        <v>0</v>
      </c>
      <c r="Y6" s="232">
        <f>'Prod. GEXCAX'!N4</f>
        <v>0</v>
      </c>
      <c r="Z6" s="236">
        <f>'GEXCAX Limp.Ord.'!J$197</f>
        <v>0</v>
      </c>
      <c r="AA6" s="238">
        <f t="shared" ref="AA6:AA17" si="0">(E6*F6)+(G6*H6)+(I6*J6)+(K6*L6)+(M6*N6)+(O6*P6)+(Q6*R6)+(S6*T6)+(U6*V6)+(W6*X6)+(Y6*Z6)</f>
        <v>0</v>
      </c>
      <c r="AB6" s="239">
        <f>('GEXCAX Covid'!C132*'Prod. GEXCAX'!T4)+('GEXCAX Covid'!D132*'Prod. GEXCAX'!U4)</f>
        <v>0</v>
      </c>
      <c r="AC6" s="240">
        <f>'GEXCAX Limp.Ord.'!C142*'Prod. GEXCAX'!V4</f>
        <v>0</v>
      </c>
      <c r="AD6" s="241">
        <f>'GEXCAX Covid'!C137*'Prod. GEXCAX'!W4</f>
        <v>0</v>
      </c>
      <c r="AE6" s="242">
        <f>'Prod. GEXCAX'!X4*MC!C15</f>
        <v>4043.6000000000004</v>
      </c>
    </row>
    <row r="7" spans="1:31" x14ac:dyDescent="0.2">
      <c r="A7" s="243" t="s">
        <v>81</v>
      </c>
      <c r="B7" s="243" t="s">
        <v>363</v>
      </c>
      <c r="C7" s="244" t="s">
        <v>364</v>
      </c>
      <c r="D7" s="245">
        <f>MC!C72</f>
        <v>0</v>
      </c>
      <c r="E7" s="232">
        <f>'Prod. GEXCAX'!D5</f>
        <v>301.46999999999997</v>
      </c>
      <c r="F7" s="233">
        <f>'GEXCAX Limp.Ord.'!H$149</f>
        <v>0</v>
      </c>
      <c r="G7" s="234">
        <f>'Prod. GEXCAX'!E5</f>
        <v>646.72</v>
      </c>
      <c r="H7" s="233">
        <f>'GEXCAX Limp.Ord.'!H$155</f>
        <v>0</v>
      </c>
      <c r="I7" s="235">
        <f>'Prod. GEXCAX'!F5</f>
        <v>0</v>
      </c>
      <c r="J7" s="236">
        <f>'GEXCAX Limp.Ord.'!H$161</f>
        <v>0</v>
      </c>
      <c r="K7" s="237">
        <f>'Prod. GEXCAX'!G5</f>
        <v>202.44</v>
      </c>
      <c r="L7" s="236">
        <f>'GEXCAX Limp.Ord.'!H$167</f>
        <v>0</v>
      </c>
      <c r="M7" s="237">
        <f>'Prod. GEXCAX'!H5</f>
        <v>47.9</v>
      </c>
      <c r="N7" s="236">
        <f>'GEXCAX Limp.Ord.'!H$173</f>
        <v>0</v>
      </c>
      <c r="O7" s="232">
        <f>'Prod. GEXCAX'!I5</f>
        <v>224.13</v>
      </c>
      <c r="P7" s="236">
        <f>'GEXCAX Limp.Ord.'!H$179</f>
        <v>0</v>
      </c>
      <c r="Q7" s="232">
        <f>'Prod. GEXCAX'!J5</f>
        <v>0</v>
      </c>
      <c r="R7" s="236">
        <f>'GEXCAX Limp.Ord.'!H$182</f>
        <v>0</v>
      </c>
      <c r="S7" s="232">
        <f>'Prod. GEXCAX'!K5</f>
        <v>0</v>
      </c>
      <c r="T7" s="236">
        <f>'GEXCAX Limp.Ord.'!H$185</f>
        <v>0</v>
      </c>
      <c r="U7" s="232">
        <f>'Prod. GEXCAX'!L5</f>
        <v>291.08</v>
      </c>
      <c r="V7" s="236">
        <f>'GEXCAX Limp.Ord.'!H$191</f>
        <v>0</v>
      </c>
      <c r="W7" s="232">
        <f>'Prod. GEXCAX'!M5</f>
        <v>291.08</v>
      </c>
      <c r="X7" s="236">
        <f>'GEXCAX Limp.Ord.'!H$194</f>
        <v>0</v>
      </c>
      <c r="Y7" s="232">
        <f>'Prod. GEXCAX'!N5</f>
        <v>291.08</v>
      </c>
      <c r="Z7" s="236">
        <f>'GEXCAX Limp.Ord.'!H$197</f>
        <v>0</v>
      </c>
      <c r="AA7" s="238">
        <f t="shared" si="0"/>
        <v>0</v>
      </c>
      <c r="AB7" s="239">
        <f>('GEXCAX Covid'!C$131*'Prod. GEXCAX'!T5)+('GEXCAX Covid'!D$131*'Prod. GEXCAX'!U5)</f>
        <v>0</v>
      </c>
      <c r="AC7" s="246">
        <f>'GEXCAX Limp.Ord.'!C141*'Prod. GEXCAX'!V5</f>
        <v>0</v>
      </c>
      <c r="AD7" s="247">
        <f>'GEXCAX Covid'!C$136*'Prod. GEXCAX'!W5</f>
        <v>0</v>
      </c>
      <c r="AE7" s="248"/>
    </row>
    <row r="8" spans="1:31" x14ac:dyDescent="0.2">
      <c r="A8" s="243" t="s">
        <v>83</v>
      </c>
      <c r="B8" s="243" t="s">
        <v>365</v>
      </c>
      <c r="C8" s="244" t="s">
        <v>366</v>
      </c>
      <c r="D8" s="245">
        <f>MC!C73</f>
        <v>0</v>
      </c>
      <c r="E8" s="232">
        <f>'Prod. GEXCAX'!D6</f>
        <v>0</v>
      </c>
      <c r="F8" s="233">
        <f>'GEXCAX Limp.Ord.'!H$149</f>
        <v>0</v>
      </c>
      <c r="G8" s="234">
        <f>'Prod. GEXCAX'!E6</f>
        <v>800</v>
      </c>
      <c r="H8" s="233">
        <f>'GEXCAX Limp.Ord.'!H$155</f>
        <v>0</v>
      </c>
      <c r="I8" s="235">
        <f>'Prod. GEXCAX'!F6</f>
        <v>0</v>
      </c>
      <c r="J8" s="236">
        <f>'GEXCAX Limp.Ord.'!H$161</f>
        <v>0</v>
      </c>
      <c r="K8" s="237">
        <f>'Prod. GEXCAX'!G6</f>
        <v>0</v>
      </c>
      <c r="L8" s="236">
        <f>'GEXCAX Limp.Ord.'!H$167</f>
        <v>0</v>
      </c>
      <c r="M8" s="237">
        <f>'Prod. GEXCAX'!H6</f>
        <v>0</v>
      </c>
      <c r="N8" s="236">
        <f>'GEXCAX Limp.Ord.'!H$173</f>
        <v>0</v>
      </c>
      <c r="O8" s="232">
        <f>'Prod. GEXCAX'!I6</f>
        <v>0</v>
      </c>
      <c r="P8" s="236">
        <f>'GEXCAX Limp.Ord.'!H$179</f>
        <v>0</v>
      </c>
      <c r="Q8" s="232">
        <f>'Prod. GEXCAX'!J6</f>
        <v>0</v>
      </c>
      <c r="R8" s="236">
        <f>'GEXCAX Limp.Ord.'!H$182</f>
        <v>0</v>
      </c>
      <c r="S8" s="232">
        <f>'Prod. GEXCAX'!K6</f>
        <v>0</v>
      </c>
      <c r="T8" s="236">
        <f>'GEXCAX Limp.Ord.'!H$185</f>
        <v>0</v>
      </c>
      <c r="U8" s="232">
        <f>'Prod. GEXCAX'!L6</f>
        <v>0</v>
      </c>
      <c r="V8" s="236">
        <f>'GEXCAX Limp.Ord.'!H$191</f>
        <v>0</v>
      </c>
      <c r="W8" s="232">
        <f>'Prod. GEXCAX'!M6</f>
        <v>0</v>
      </c>
      <c r="X8" s="236">
        <f>'GEXCAX Limp.Ord.'!H$194</f>
        <v>0</v>
      </c>
      <c r="Y8" s="232">
        <f>'Prod. GEXCAX'!N6</f>
        <v>0</v>
      </c>
      <c r="Z8" s="236">
        <f>'GEXCAX Limp.Ord.'!H$197</f>
        <v>0</v>
      </c>
      <c r="AA8" s="238">
        <f t="shared" si="0"/>
        <v>0</v>
      </c>
      <c r="AB8" s="239">
        <f>('GEXCAX Covid'!C$131*'Prod. GEXCAX'!T6)+('GEXCAX Covid'!D$131*'Prod. GEXCAX'!U6)</f>
        <v>0</v>
      </c>
      <c r="AC8" s="246">
        <f>'GEXCAX Limp.Ord.'!C141*'Prod. GEXCAX'!V6</f>
        <v>0</v>
      </c>
      <c r="AD8" s="247">
        <f>'GEXCAX Covid'!C$136*'Prod. GEXCAX'!W6</f>
        <v>0</v>
      </c>
      <c r="AE8" s="248"/>
    </row>
    <row r="9" spans="1:31" x14ac:dyDescent="0.2">
      <c r="A9" s="243" t="s">
        <v>86</v>
      </c>
      <c r="B9" s="243" t="s">
        <v>361</v>
      </c>
      <c r="C9" s="244" t="s">
        <v>362</v>
      </c>
      <c r="D9" s="245">
        <f>MC!C74</f>
        <v>0</v>
      </c>
      <c r="E9" s="232">
        <f>'Prod. GEXCAX'!D7</f>
        <v>538.51</v>
      </c>
      <c r="F9" s="233">
        <f>'GEXCAX Limp.Ord.'!J$149</f>
        <v>0</v>
      </c>
      <c r="G9" s="234">
        <f>'Prod. GEXCAX'!E7</f>
        <v>671.19999999999993</v>
      </c>
      <c r="H9" s="233">
        <f>'GEXCAX Limp.Ord.'!J$155</f>
        <v>0</v>
      </c>
      <c r="I9" s="235">
        <f>'Prod. GEXCAX'!F7</f>
        <v>0</v>
      </c>
      <c r="J9" s="236">
        <f>'GEXCAX Limp.Ord.'!J$161</f>
        <v>0</v>
      </c>
      <c r="K9" s="237">
        <f>'Prod. GEXCAX'!G7</f>
        <v>100.84</v>
      </c>
      <c r="L9" s="236">
        <f>'GEXCAX Limp.Ord.'!J$167</f>
        <v>0</v>
      </c>
      <c r="M9" s="237">
        <f>'Prod. GEXCAX'!H7</f>
        <v>40.25</v>
      </c>
      <c r="N9" s="236">
        <f>'GEXCAX Limp.Ord.'!J$173</f>
        <v>0</v>
      </c>
      <c r="O9" s="232">
        <f>'Prod. GEXCAX'!I7</f>
        <v>1060.3</v>
      </c>
      <c r="P9" s="236">
        <f>'GEXCAX Limp.Ord.'!J$179</f>
        <v>0</v>
      </c>
      <c r="Q9" s="232">
        <f>'Prod. GEXCAX'!J7</f>
        <v>0</v>
      </c>
      <c r="R9" s="236">
        <f>'GEXCAX Limp.Ord.'!J$182</f>
        <v>0</v>
      </c>
      <c r="S9" s="232">
        <f>'Prod. GEXCAX'!K7</f>
        <v>0</v>
      </c>
      <c r="T9" s="236">
        <f>'GEXCAX Limp.Ord.'!J$185</f>
        <v>0</v>
      </c>
      <c r="U9" s="232">
        <f>'Prod. GEXCAX'!L7</f>
        <v>0</v>
      </c>
      <c r="V9" s="236">
        <f>'GEXCAX Limp.Ord.'!J$191</f>
        <v>0</v>
      </c>
      <c r="W9" s="232">
        <f>'Prod. GEXCAX'!M7</f>
        <v>146.43</v>
      </c>
      <c r="X9" s="236">
        <f>'GEXCAX Limp.Ord.'!J$194</f>
        <v>0</v>
      </c>
      <c r="Y9" s="232">
        <f>'Prod. GEXCAX'!N7</f>
        <v>146.43</v>
      </c>
      <c r="Z9" s="236">
        <f>'GEXCAX Limp.Ord.'!J$197</f>
        <v>0</v>
      </c>
      <c r="AA9" s="238">
        <f t="shared" si="0"/>
        <v>0</v>
      </c>
      <c r="AB9" s="239">
        <f>('GEXCAX Covid'!C$132*'Prod. GEXCAX'!T7)+('GEXCAX Covid'!D$132*'Prod. GEXCAX'!U7)</f>
        <v>0</v>
      </c>
      <c r="AC9" s="246">
        <f>'GEXCAX Limp.Ord.'!C142*'Prod. GEXCAX'!V7</f>
        <v>0</v>
      </c>
      <c r="AD9" s="247">
        <f>'GEXCAX Covid'!C$137*'Prod. GEXCAX'!W7</f>
        <v>0</v>
      </c>
      <c r="AE9" s="248"/>
    </row>
    <row r="10" spans="1:31" x14ac:dyDescent="0.2">
      <c r="A10" s="243" t="s">
        <v>88</v>
      </c>
      <c r="B10" s="243" t="s">
        <v>367</v>
      </c>
      <c r="C10" s="244" t="s">
        <v>368</v>
      </c>
      <c r="D10" s="245">
        <f>MC!C75</f>
        <v>0</v>
      </c>
      <c r="E10" s="232">
        <f>'Prod. GEXCAX'!D8</f>
        <v>0</v>
      </c>
      <c r="F10" s="233">
        <f>'GEXCAX Limp.Ord.'!D$149</f>
        <v>0</v>
      </c>
      <c r="G10" s="234">
        <f>'Prod. GEXCAX'!E8</f>
        <v>800</v>
      </c>
      <c r="H10" s="233">
        <f>'GEXCAX Limp.Ord.'!D$155</f>
        <v>0</v>
      </c>
      <c r="I10" s="235">
        <f>'Prod. GEXCAX'!F8</f>
        <v>0</v>
      </c>
      <c r="J10" s="236">
        <f>'GEXCAX Limp.Ord.'!D$161</f>
        <v>0</v>
      </c>
      <c r="K10" s="237">
        <f>'Prod. GEXCAX'!G8</f>
        <v>0</v>
      </c>
      <c r="L10" s="236">
        <f>'GEXCAX Limp.Ord.'!D$167</f>
        <v>0</v>
      </c>
      <c r="M10" s="237">
        <f>'Prod. GEXCAX'!H8</f>
        <v>0</v>
      </c>
      <c r="N10" s="236">
        <f>'GEXCAX Limp.Ord.'!D$173</f>
        <v>0</v>
      </c>
      <c r="O10" s="232">
        <f>'Prod. GEXCAX'!I8</f>
        <v>0</v>
      </c>
      <c r="P10" s="236">
        <f>'GEXCAX Limp.Ord.'!D$179</f>
        <v>0</v>
      </c>
      <c r="Q10" s="232">
        <f>'Prod. GEXCAX'!J8</f>
        <v>0</v>
      </c>
      <c r="R10" s="236">
        <f>'GEXCAX Limp.Ord.'!D$182</f>
        <v>0</v>
      </c>
      <c r="S10" s="232">
        <f>'Prod. GEXCAX'!K8</f>
        <v>0</v>
      </c>
      <c r="T10" s="236">
        <f>'GEXCAX Limp.Ord.'!D$185</f>
        <v>0</v>
      </c>
      <c r="U10" s="232">
        <f>'Prod. GEXCAX'!L8</f>
        <v>0</v>
      </c>
      <c r="V10" s="236">
        <f>'GEXCAX Limp.Ord.'!D$191</f>
        <v>0</v>
      </c>
      <c r="W10" s="232">
        <f>'Prod. GEXCAX'!M8</f>
        <v>0</v>
      </c>
      <c r="X10" s="236">
        <f>'GEXCAX Limp.Ord.'!D$194</f>
        <v>0</v>
      </c>
      <c r="Y10" s="232">
        <f>'Prod. GEXCAX'!N8</f>
        <v>0</v>
      </c>
      <c r="Z10" s="236">
        <f>'GEXCAX Limp.Ord.'!D$197</f>
        <v>0</v>
      </c>
      <c r="AA10" s="238">
        <f t="shared" si="0"/>
        <v>0</v>
      </c>
      <c r="AB10" s="239">
        <f>('GEXCAX Covid'!C$129*'Prod. GEXCAX'!T8)+('GEXCAX Covid'!D$129*'Prod. GEXCAX'!U8)</f>
        <v>0</v>
      </c>
      <c r="AC10" s="246">
        <f>'GEXCAX Limp.Ord.'!C139*'Prod. GEXCAX'!V8</f>
        <v>0</v>
      </c>
      <c r="AD10" s="247">
        <f>'GEXCAX Covid'!C$134*'Prod. GEXCAX'!W8</f>
        <v>0</v>
      </c>
      <c r="AE10" s="248"/>
    </row>
    <row r="11" spans="1:31" x14ac:dyDescent="0.2">
      <c r="A11" s="243" t="s">
        <v>90</v>
      </c>
      <c r="B11" s="243" t="s">
        <v>369</v>
      </c>
      <c r="C11" s="244" t="s">
        <v>370</v>
      </c>
      <c r="D11" s="245">
        <f>MC!C76</f>
        <v>0</v>
      </c>
      <c r="E11" s="232">
        <f>'Prod. GEXCAX'!D9</f>
        <v>0</v>
      </c>
      <c r="F11" s="233">
        <f>'GEXCAX Limp.Ord.'!H$149</f>
        <v>0</v>
      </c>
      <c r="G11" s="234">
        <f>'Prod. GEXCAX'!E9</f>
        <v>800</v>
      </c>
      <c r="H11" s="233">
        <f>'GEXCAX Limp.Ord.'!H$155</f>
        <v>0</v>
      </c>
      <c r="I11" s="235">
        <f>'Prod. GEXCAX'!F9</f>
        <v>0</v>
      </c>
      <c r="J11" s="236">
        <f>'GEXCAX Limp.Ord.'!H$161</f>
        <v>0</v>
      </c>
      <c r="K11" s="237">
        <f>'Prod. GEXCAX'!G9</f>
        <v>0</v>
      </c>
      <c r="L11" s="236">
        <f>'GEXCAX Limp.Ord.'!H$167</f>
        <v>0</v>
      </c>
      <c r="M11" s="237">
        <f>'Prod. GEXCAX'!H9</f>
        <v>0</v>
      </c>
      <c r="N11" s="236">
        <f>'GEXCAX Limp.Ord.'!H$173</f>
        <v>0</v>
      </c>
      <c r="O11" s="232">
        <f>'Prod. GEXCAX'!I9</f>
        <v>0</v>
      </c>
      <c r="P11" s="236">
        <f>'GEXCAX Limp.Ord.'!H$179</f>
        <v>0</v>
      </c>
      <c r="Q11" s="232">
        <f>'Prod. GEXCAX'!J9</f>
        <v>0</v>
      </c>
      <c r="R11" s="236">
        <f>'GEXCAX Limp.Ord.'!H$182</f>
        <v>0</v>
      </c>
      <c r="S11" s="232">
        <f>'Prod. GEXCAX'!K9</f>
        <v>0</v>
      </c>
      <c r="T11" s="236">
        <f>'GEXCAX Limp.Ord.'!H$185</f>
        <v>0</v>
      </c>
      <c r="U11" s="232">
        <f>'Prod. GEXCAX'!L9</f>
        <v>0</v>
      </c>
      <c r="V11" s="236">
        <f>'GEXCAX Limp.Ord.'!H$191</f>
        <v>0</v>
      </c>
      <c r="W11" s="232">
        <f>'Prod. GEXCAX'!M9</f>
        <v>0</v>
      </c>
      <c r="X11" s="236">
        <f>'GEXCAX Limp.Ord.'!H$194</f>
        <v>0</v>
      </c>
      <c r="Y11" s="232">
        <f>'Prod. GEXCAX'!N9</f>
        <v>0</v>
      </c>
      <c r="Z11" s="236">
        <f>'GEXCAX Limp.Ord.'!H$197</f>
        <v>0</v>
      </c>
      <c r="AA11" s="238">
        <f t="shared" si="0"/>
        <v>0</v>
      </c>
      <c r="AB11" s="239">
        <f>('GEXCAX Covid'!C$131*'Prod. GEXCAX'!T9)+('GEXCAX Covid'!D$131*'Prod. GEXCAX'!U9)</f>
        <v>0</v>
      </c>
      <c r="AC11" s="246">
        <f>'GEXCAX Limp.Ord.'!C141*'Prod. GEXCAX'!V9</f>
        <v>0</v>
      </c>
      <c r="AD11" s="247">
        <f>'GEXCAX Covid'!C$136*'Prod. GEXCAX'!W9</f>
        <v>0</v>
      </c>
      <c r="AE11" s="248"/>
    </row>
    <row r="12" spans="1:31" x14ac:dyDescent="0.2">
      <c r="A12" s="243" t="s">
        <v>92</v>
      </c>
      <c r="B12" s="243" t="s">
        <v>371</v>
      </c>
      <c r="C12" s="244" t="s">
        <v>372</v>
      </c>
      <c r="D12" s="245">
        <f>MC!C77</f>
        <v>0</v>
      </c>
      <c r="E12" s="232">
        <f>'Prod. GEXCAX'!D10</f>
        <v>-54.418000000000063</v>
      </c>
      <c r="F12" s="233">
        <f>'GEXCAX Limp.Ord.'!H$149</f>
        <v>0</v>
      </c>
      <c r="G12" s="234">
        <f>'Prod. GEXCAX'!E10</f>
        <v>715.80799999999999</v>
      </c>
      <c r="H12" s="233">
        <f>'GEXCAX Limp.Ord.'!H$155</f>
        <v>0</v>
      </c>
      <c r="I12" s="235">
        <f>'Prod. GEXCAX'!F10</f>
        <v>734.88</v>
      </c>
      <c r="J12" s="236">
        <f>'GEXCAX Limp.Ord.'!H$161</f>
        <v>0</v>
      </c>
      <c r="K12" s="237">
        <f>'Prod. GEXCAX'!G10</f>
        <v>820.27</v>
      </c>
      <c r="L12" s="236">
        <f>'GEXCAX Limp.Ord.'!H$167</f>
        <v>0</v>
      </c>
      <c r="M12" s="237">
        <f>'Prod. GEXCAX'!H10</f>
        <v>26.31</v>
      </c>
      <c r="N12" s="236">
        <f>'GEXCAX Limp.Ord.'!H$173</f>
        <v>0</v>
      </c>
      <c r="O12" s="232">
        <f>'Prod. GEXCAX'!I10</f>
        <v>0</v>
      </c>
      <c r="P12" s="236">
        <f>'GEXCAX Limp.Ord.'!H$179</f>
        <v>0</v>
      </c>
      <c r="Q12" s="232">
        <f>'Prod. GEXCAX'!J10</f>
        <v>165.47</v>
      </c>
      <c r="R12" s="236">
        <f>'GEXCAX Limp.Ord.'!H$182</f>
        <v>0</v>
      </c>
      <c r="S12" s="232">
        <f>'Prod. GEXCAX'!K10</f>
        <v>0</v>
      </c>
      <c r="T12" s="236">
        <f>'GEXCAX Limp.Ord.'!H$185</f>
        <v>0</v>
      </c>
      <c r="U12" s="232">
        <f>'Prod. GEXCAX'!L10</f>
        <v>0</v>
      </c>
      <c r="V12" s="236">
        <f>'GEXCAX Limp.Ord.'!H$191</f>
        <v>0</v>
      </c>
      <c r="W12" s="232">
        <f>'Prod. GEXCAX'!M10</f>
        <v>158.44999999999999</v>
      </c>
      <c r="X12" s="236">
        <f>'GEXCAX Limp.Ord.'!H$194</f>
        <v>0</v>
      </c>
      <c r="Y12" s="232">
        <f>'Prod. GEXCAX'!N10</f>
        <v>158.44999999999999</v>
      </c>
      <c r="Z12" s="236">
        <f>'GEXCAX Limp.Ord.'!H$197</f>
        <v>0</v>
      </c>
      <c r="AA12" s="238">
        <f t="shared" si="0"/>
        <v>0</v>
      </c>
      <c r="AB12" s="239">
        <f>('GEXCAX Covid'!C$131*'Prod. GEXCAX'!T10)+('GEXCAX Covid'!D$131*'Prod. GEXCAX'!U10)</f>
        <v>0</v>
      </c>
      <c r="AC12" s="246">
        <f>'GEXCAX Limp.Ord.'!C141*'Prod. GEXCAX'!V10</f>
        <v>0</v>
      </c>
      <c r="AD12" s="247">
        <f>'GEXCAX Covid'!C$136*'Prod. GEXCAX'!W10</f>
        <v>0</v>
      </c>
      <c r="AE12" s="248"/>
    </row>
    <row r="13" spans="1:31" x14ac:dyDescent="0.2">
      <c r="A13" s="243" t="s">
        <v>94</v>
      </c>
      <c r="B13" s="243" t="s">
        <v>373</v>
      </c>
      <c r="C13" s="244" t="s">
        <v>374</v>
      </c>
      <c r="D13" s="245">
        <f>MC!C78</f>
        <v>0</v>
      </c>
      <c r="E13" s="232">
        <f>'Prod. GEXCAX'!D11</f>
        <v>0</v>
      </c>
      <c r="F13" s="233">
        <f>'GEXCAX Limp.Ord.'!H$149</f>
        <v>0</v>
      </c>
      <c r="G13" s="234">
        <f>'Prod. GEXCAX'!E11</f>
        <v>800</v>
      </c>
      <c r="H13" s="233">
        <f>'GEXCAX Limp.Ord.'!H$155</f>
        <v>0</v>
      </c>
      <c r="I13" s="235">
        <f>'Prod. GEXCAX'!F11</f>
        <v>0</v>
      </c>
      <c r="J13" s="236">
        <f>'GEXCAX Limp.Ord.'!H$161</f>
        <v>0</v>
      </c>
      <c r="K13" s="237">
        <f>'Prod. GEXCAX'!G11</f>
        <v>0</v>
      </c>
      <c r="L13" s="236">
        <f>'GEXCAX Limp.Ord.'!H$167</f>
        <v>0</v>
      </c>
      <c r="M13" s="237">
        <f>'Prod. GEXCAX'!H11</f>
        <v>0</v>
      </c>
      <c r="N13" s="236">
        <f>'GEXCAX Limp.Ord.'!H$173</f>
        <v>0</v>
      </c>
      <c r="O13" s="232">
        <f>'Prod. GEXCAX'!I11</f>
        <v>0</v>
      </c>
      <c r="P13" s="236">
        <f>'GEXCAX Limp.Ord.'!H$179</f>
        <v>0</v>
      </c>
      <c r="Q13" s="232">
        <f>'Prod. GEXCAX'!J11</f>
        <v>0</v>
      </c>
      <c r="R13" s="236">
        <f>'GEXCAX Limp.Ord.'!H$182</f>
        <v>0</v>
      </c>
      <c r="S13" s="232">
        <f>'Prod. GEXCAX'!K11</f>
        <v>0</v>
      </c>
      <c r="T13" s="236">
        <f>'GEXCAX Limp.Ord.'!H$185</f>
        <v>0</v>
      </c>
      <c r="U13" s="232">
        <f>'Prod. GEXCAX'!L11</f>
        <v>0</v>
      </c>
      <c r="V13" s="236">
        <f>'GEXCAX Limp.Ord.'!H$191</f>
        <v>0</v>
      </c>
      <c r="W13" s="232">
        <f>'Prod. GEXCAX'!M11</f>
        <v>0</v>
      </c>
      <c r="X13" s="236">
        <f>'GEXCAX Limp.Ord.'!H$194</f>
        <v>0</v>
      </c>
      <c r="Y13" s="232">
        <f>'Prod. GEXCAX'!N11</f>
        <v>0</v>
      </c>
      <c r="Z13" s="236">
        <f>'GEXCAX Limp.Ord.'!H$197</f>
        <v>0</v>
      </c>
      <c r="AA13" s="238">
        <f t="shared" si="0"/>
        <v>0</v>
      </c>
      <c r="AB13" s="239">
        <f>('GEXCAX Covid'!C$131*'Prod. GEXCAX'!T11)+('GEXCAX Covid'!D$131*'Prod. GEXCAX'!U11)</f>
        <v>0</v>
      </c>
      <c r="AC13" s="246">
        <f>'GEXCAX Limp.Ord.'!C141*'Prod. GEXCAX'!V11</f>
        <v>0</v>
      </c>
      <c r="AD13" s="247">
        <f>'GEXCAX Covid'!C$136*'Prod. GEXCAX'!W11</f>
        <v>0</v>
      </c>
      <c r="AE13" s="248"/>
    </row>
    <row r="14" spans="1:31" x14ac:dyDescent="0.2">
      <c r="A14" s="243" t="s">
        <v>96</v>
      </c>
      <c r="B14" s="243" t="s">
        <v>375</v>
      </c>
      <c r="C14" s="244" t="s">
        <v>376</v>
      </c>
      <c r="D14" s="245">
        <f>MC!C79</f>
        <v>0</v>
      </c>
      <c r="E14" s="232">
        <f>'Prod. GEXCAX'!D12</f>
        <v>0</v>
      </c>
      <c r="F14" s="233">
        <f>'GEXCAX Limp.Ord.'!H$149</f>
        <v>0</v>
      </c>
      <c r="G14" s="234">
        <f>'Prod. GEXCAX'!E12</f>
        <v>800</v>
      </c>
      <c r="H14" s="233">
        <f>'GEXCAX Limp.Ord.'!H$155</f>
        <v>0</v>
      </c>
      <c r="I14" s="235">
        <f>'Prod. GEXCAX'!F12</f>
        <v>0</v>
      </c>
      <c r="J14" s="236">
        <f>'GEXCAX Limp.Ord.'!H$161</f>
        <v>0</v>
      </c>
      <c r="K14" s="237">
        <f>'Prod. GEXCAX'!G12</f>
        <v>0</v>
      </c>
      <c r="L14" s="236">
        <f>'GEXCAX Limp.Ord.'!H$167</f>
        <v>0</v>
      </c>
      <c r="M14" s="237">
        <f>'Prod. GEXCAX'!H12</f>
        <v>0</v>
      </c>
      <c r="N14" s="236">
        <f>'GEXCAX Limp.Ord.'!H$173</f>
        <v>0</v>
      </c>
      <c r="O14" s="232">
        <f>'Prod. GEXCAX'!I12</f>
        <v>0</v>
      </c>
      <c r="P14" s="236">
        <f>'GEXCAX Limp.Ord.'!H$179</f>
        <v>0</v>
      </c>
      <c r="Q14" s="232">
        <f>'Prod. GEXCAX'!J12</f>
        <v>0</v>
      </c>
      <c r="R14" s="236">
        <f>'GEXCAX Limp.Ord.'!H$182</f>
        <v>0</v>
      </c>
      <c r="S14" s="232">
        <f>'Prod. GEXCAX'!K12</f>
        <v>0</v>
      </c>
      <c r="T14" s="236">
        <f>'GEXCAX Limp.Ord.'!H$185</f>
        <v>0</v>
      </c>
      <c r="U14" s="232">
        <f>'Prod. GEXCAX'!L12</f>
        <v>0</v>
      </c>
      <c r="V14" s="236">
        <f>'GEXCAX Limp.Ord.'!H$191</f>
        <v>0</v>
      </c>
      <c r="W14" s="232">
        <f>'Prod. GEXCAX'!M12</f>
        <v>0</v>
      </c>
      <c r="X14" s="236">
        <f>'GEXCAX Limp.Ord.'!H$194</f>
        <v>0</v>
      </c>
      <c r="Y14" s="232">
        <f>'Prod. GEXCAX'!N12</f>
        <v>0</v>
      </c>
      <c r="Z14" s="236">
        <f>'GEXCAX Limp.Ord.'!H$197</f>
        <v>0</v>
      </c>
      <c r="AA14" s="238">
        <f t="shared" si="0"/>
        <v>0</v>
      </c>
      <c r="AB14" s="239">
        <f>('GEXCAX Covid'!C$131*'Prod. GEXCAX'!T12)+('GEXCAX Covid'!D$131*'Prod. GEXCAX'!U12)</f>
        <v>0</v>
      </c>
      <c r="AC14" s="246">
        <f>'GEXCAX Limp.Ord.'!C141*'Prod. GEXCAX'!V12</f>
        <v>0</v>
      </c>
      <c r="AD14" s="247">
        <f>'GEXCAX Covid'!C$136*'Prod. GEXCAX'!W12</f>
        <v>0</v>
      </c>
      <c r="AE14" s="248"/>
    </row>
    <row r="15" spans="1:31" x14ac:dyDescent="0.2">
      <c r="A15" s="243" t="s">
        <v>98</v>
      </c>
      <c r="B15" s="243" t="s">
        <v>377</v>
      </c>
      <c r="C15" s="244" t="s">
        <v>378</v>
      </c>
      <c r="D15" s="245">
        <f>MC!C80</f>
        <v>0</v>
      </c>
      <c r="E15" s="232">
        <f>'Prod. GEXCAX'!D13</f>
        <v>0</v>
      </c>
      <c r="F15" s="233">
        <f>'GEXCAX Limp.Ord.'!H$149</f>
        <v>0</v>
      </c>
      <c r="G15" s="234">
        <f>'Prod. GEXCAX'!E13</f>
        <v>800</v>
      </c>
      <c r="H15" s="233">
        <f>'GEXCAX Limp.Ord.'!H$155</f>
        <v>0</v>
      </c>
      <c r="I15" s="235">
        <f>'Prod. GEXCAX'!F13</f>
        <v>0</v>
      </c>
      <c r="J15" s="236">
        <f>'GEXCAX Limp.Ord.'!H$161</f>
        <v>0</v>
      </c>
      <c r="K15" s="237">
        <f>'Prod. GEXCAX'!G13</f>
        <v>0</v>
      </c>
      <c r="L15" s="236">
        <f>'GEXCAX Limp.Ord.'!H$167</f>
        <v>0</v>
      </c>
      <c r="M15" s="237">
        <f>'Prod. GEXCAX'!H13</f>
        <v>0</v>
      </c>
      <c r="N15" s="236">
        <f>'GEXCAX Limp.Ord.'!H$173</f>
        <v>0</v>
      </c>
      <c r="O15" s="232">
        <f>'Prod. GEXCAX'!I13</f>
        <v>0</v>
      </c>
      <c r="P15" s="236">
        <f>'GEXCAX Limp.Ord.'!H$179</f>
        <v>0</v>
      </c>
      <c r="Q15" s="232">
        <f>'Prod. GEXCAX'!J13</f>
        <v>0</v>
      </c>
      <c r="R15" s="236">
        <f>'GEXCAX Limp.Ord.'!H$182</f>
        <v>0</v>
      </c>
      <c r="S15" s="232">
        <f>'Prod. GEXCAX'!K13</f>
        <v>0</v>
      </c>
      <c r="T15" s="236">
        <f>'GEXCAX Limp.Ord.'!H$185</f>
        <v>0</v>
      </c>
      <c r="U15" s="232">
        <f>'Prod. GEXCAX'!L13</f>
        <v>0</v>
      </c>
      <c r="V15" s="236">
        <f>'GEXCAX Limp.Ord.'!H$191</f>
        <v>0</v>
      </c>
      <c r="W15" s="232">
        <f>'Prod. GEXCAX'!M13</f>
        <v>0</v>
      </c>
      <c r="X15" s="236">
        <f>'GEXCAX Limp.Ord.'!H$194</f>
        <v>0</v>
      </c>
      <c r="Y15" s="232">
        <f>'Prod. GEXCAX'!N13</f>
        <v>0</v>
      </c>
      <c r="Z15" s="236">
        <f>'GEXCAX Limp.Ord.'!H$197</f>
        <v>0</v>
      </c>
      <c r="AA15" s="238">
        <f t="shared" si="0"/>
        <v>0</v>
      </c>
      <c r="AB15" s="239">
        <f>('GEXCAX Covid'!C$131*'Prod. GEXCAX'!T13)+('GEXCAX Covid'!D$131*'Prod. GEXCAX'!U13)</f>
        <v>0</v>
      </c>
      <c r="AC15" s="246">
        <f>'GEXCAX Limp.Ord.'!C141*'Prod. GEXCAX'!V13</f>
        <v>0</v>
      </c>
      <c r="AD15" s="247">
        <f>'GEXCAX Covid'!C$136*'Prod. GEXCAX'!W13</f>
        <v>0</v>
      </c>
      <c r="AE15" s="248"/>
    </row>
    <row r="16" spans="1:31" x14ac:dyDescent="0.2">
      <c r="A16" s="243" t="s">
        <v>100</v>
      </c>
      <c r="B16" s="243" t="s">
        <v>379</v>
      </c>
      <c r="C16" s="244" t="s">
        <v>380</v>
      </c>
      <c r="D16" s="245">
        <f>MC!C81</f>
        <v>0</v>
      </c>
      <c r="E16" s="232">
        <f>'Prod. GEXCAX'!D14</f>
        <v>0</v>
      </c>
      <c r="F16" s="233">
        <f>'GEXCAX Limp.Ord.'!D$149</f>
        <v>0</v>
      </c>
      <c r="G16" s="234">
        <f>'Prod. GEXCAX'!E14</f>
        <v>800</v>
      </c>
      <c r="H16" s="233">
        <f>'GEXCAX Limp.Ord.'!D$155</f>
        <v>0</v>
      </c>
      <c r="I16" s="235">
        <f>'Prod. GEXCAX'!F14</f>
        <v>0</v>
      </c>
      <c r="J16" s="236">
        <f>'GEXCAX Limp.Ord.'!D$161</f>
        <v>0</v>
      </c>
      <c r="K16" s="237">
        <f>'Prod. GEXCAX'!G14</f>
        <v>0</v>
      </c>
      <c r="L16" s="236">
        <f>'GEXCAX Limp.Ord.'!D$167</f>
        <v>0</v>
      </c>
      <c r="M16" s="237">
        <f>'Prod. GEXCAX'!H14</f>
        <v>0</v>
      </c>
      <c r="N16" s="236">
        <f>'GEXCAX Limp.Ord.'!D$173</f>
        <v>0</v>
      </c>
      <c r="O16" s="232">
        <f>'Prod. GEXCAX'!I14</f>
        <v>0</v>
      </c>
      <c r="P16" s="236">
        <f>'GEXCAX Limp.Ord.'!D$179</f>
        <v>0</v>
      </c>
      <c r="Q16" s="232">
        <f>'Prod. GEXCAX'!J14</f>
        <v>0</v>
      </c>
      <c r="R16" s="236">
        <f>'GEXCAX Limp.Ord.'!D$182</f>
        <v>0</v>
      </c>
      <c r="S16" s="232">
        <f>'Prod. GEXCAX'!K14</f>
        <v>0</v>
      </c>
      <c r="T16" s="236">
        <f>'GEXCAX Limp.Ord.'!D$185</f>
        <v>0</v>
      </c>
      <c r="U16" s="232">
        <f>'Prod. GEXCAX'!L14</f>
        <v>0</v>
      </c>
      <c r="V16" s="236">
        <f>'GEXCAX Limp.Ord.'!D$191</f>
        <v>0</v>
      </c>
      <c r="W16" s="232">
        <f>'Prod. GEXCAX'!M14</f>
        <v>0</v>
      </c>
      <c r="X16" s="236">
        <f>'GEXCAX Limp.Ord.'!D$194</f>
        <v>0</v>
      </c>
      <c r="Y16" s="232">
        <f>'Prod. GEXCAX'!N14</f>
        <v>0</v>
      </c>
      <c r="Z16" s="236">
        <f>'GEXCAX Limp.Ord.'!D$197</f>
        <v>0</v>
      </c>
      <c r="AA16" s="238">
        <f t="shared" si="0"/>
        <v>0</v>
      </c>
      <c r="AB16" s="239">
        <f>('GEXCAX Covid'!C$129*'Prod. GEXCAX'!T14)+('GEXCAX Covid'!D$129*'Prod. GEXCAX'!U14)</f>
        <v>0</v>
      </c>
      <c r="AC16" s="246">
        <f>'GEXCAX Limp.Ord.'!C139*'Prod. GEXCAX'!V14</f>
        <v>0</v>
      </c>
      <c r="AD16" s="247">
        <f>'GEXCAX Covid'!C$134*'Prod. GEXCAX'!W14</f>
        <v>0</v>
      </c>
      <c r="AE16" s="248"/>
    </row>
    <row r="17" spans="1:1003" x14ac:dyDescent="0.2">
      <c r="A17" s="243" t="s">
        <v>102</v>
      </c>
      <c r="B17" s="243" t="s">
        <v>381</v>
      </c>
      <c r="C17" s="244" t="s">
        <v>362</v>
      </c>
      <c r="D17" s="245">
        <f>MC!C82</f>
        <v>0</v>
      </c>
      <c r="E17" s="232">
        <f>'Prod. GEXCAX'!D15</f>
        <v>0</v>
      </c>
      <c r="F17" s="233">
        <f>'GEXCAX Limp.Ord.'!J$149</f>
        <v>0</v>
      </c>
      <c r="G17" s="234">
        <f>'Prod. GEXCAX'!E15</f>
        <v>600</v>
      </c>
      <c r="H17" s="233">
        <f>'GEXCAX Limp.Ord.'!J$155</f>
        <v>0</v>
      </c>
      <c r="I17" s="235">
        <f>'Prod. GEXCAX'!F15</f>
        <v>0</v>
      </c>
      <c r="J17" s="236">
        <f>'GEXCAX Limp.Ord.'!J$161</f>
        <v>0</v>
      </c>
      <c r="K17" s="237">
        <f>'Prod. GEXCAX'!G15</f>
        <v>0</v>
      </c>
      <c r="L17" s="236">
        <f>'GEXCAX Limp.Ord.'!J$167</f>
        <v>0</v>
      </c>
      <c r="M17" s="237">
        <f>'Prod. GEXCAX'!H15</f>
        <v>0</v>
      </c>
      <c r="N17" s="236">
        <f>'GEXCAX Limp.Ord.'!J$173</f>
        <v>0</v>
      </c>
      <c r="O17" s="232">
        <f>'Prod. GEXCAX'!I15</f>
        <v>0</v>
      </c>
      <c r="P17" s="236">
        <f>'GEXCAX Limp.Ord.'!J$179</f>
        <v>0</v>
      </c>
      <c r="Q17" s="232">
        <f>'Prod. GEXCAX'!J15</f>
        <v>0</v>
      </c>
      <c r="R17" s="236">
        <f>'GEXCAX Limp.Ord.'!J$182</f>
        <v>0</v>
      </c>
      <c r="S17" s="232">
        <f>'Prod. GEXCAX'!K15</f>
        <v>0</v>
      </c>
      <c r="T17" s="236">
        <f>'GEXCAX Limp.Ord.'!J$185</f>
        <v>0</v>
      </c>
      <c r="U17" s="232">
        <f>'Prod. GEXCAX'!L15</f>
        <v>0</v>
      </c>
      <c r="V17" s="236">
        <f>'GEXCAX Limp.Ord.'!J$191</f>
        <v>0</v>
      </c>
      <c r="W17" s="232">
        <f>'Prod. GEXCAX'!M15</f>
        <v>0</v>
      </c>
      <c r="X17" s="236">
        <f>'GEXCAX Limp.Ord.'!J$194</f>
        <v>0</v>
      </c>
      <c r="Y17" s="232">
        <f>'Prod. GEXCAX'!N15</f>
        <v>0</v>
      </c>
      <c r="Z17" s="236">
        <f>'GEXCAX Limp.Ord.'!J$197</f>
        <v>0</v>
      </c>
      <c r="AA17" s="238">
        <f t="shared" si="0"/>
        <v>0</v>
      </c>
      <c r="AB17" s="239">
        <f>('GEXCAX Covid'!C$132*'Prod. GEXCAX'!T15)+('GEXCAX Covid'!D$132*'Prod. GEXCAX'!U15)</f>
        <v>0</v>
      </c>
      <c r="AC17" s="246">
        <f>'GEXCAX Limp.Ord.'!C142*'Prod. GEXCAX'!V15</f>
        <v>0</v>
      </c>
      <c r="AD17" s="247">
        <f>'GEXCAX Covid'!C$137*'Prod. GEXCAX'!W15</f>
        <v>0</v>
      </c>
      <c r="AE17" s="248"/>
    </row>
    <row r="18" spans="1:1003" ht="14.25" customHeight="1" x14ac:dyDescent="0.2">
      <c r="A18" s="751"/>
      <c r="B18" s="751"/>
      <c r="C18" s="751"/>
      <c r="D18" s="751"/>
      <c r="E18" s="249">
        <f>SUM(E6:E17)</f>
        <v>785.5619999999999</v>
      </c>
      <c r="F18" s="250"/>
      <c r="G18" s="249">
        <f>SUM(G6:G17)</f>
        <v>9033.7279999999992</v>
      </c>
      <c r="H18" s="250"/>
      <c r="I18" s="251">
        <f>SUM(I6:I17)</f>
        <v>734.88</v>
      </c>
      <c r="J18" s="252"/>
      <c r="K18" s="251">
        <f>SUM(K6:K17)</f>
        <v>1123.55</v>
      </c>
      <c r="L18" s="252"/>
      <c r="M18" s="251">
        <f>SUM(M6:M17)</f>
        <v>114.46000000000001</v>
      </c>
      <c r="N18" s="252"/>
      <c r="O18" s="251">
        <f>SUM(O6:O17)</f>
        <v>1284.4299999999998</v>
      </c>
      <c r="P18" s="252"/>
      <c r="Q18" s="253">
        <f>SUM(Q6:Q17)</f>
        <v>165.47</v>
      </c>
      <c r="R18" s="252"/>
      <c r="S18" s="251">
        <f>SUM(S6:S17)</f>
        <v>0</v>
      </c>
      <c r="T18" s="252"/>
      <c r="U18" s="251">
        <f>SUM(U6:U17)</f>
        <v>291.08</v>
      </c>
      <c r="V18" s="252"/>
      <c r="W18" s="253">
        <f>SUM(W6:W17)</f>
        <v>595.96</v>
      </c>
      <c r="X18" s="252"/>
      <c r="Y18" s="254">
        <f>SUM(Y6:Y17)</f>
        <v>595.96</v>
      </c>
      <c r="Z18" s="252"/>
      <c r="AA18" s="252">
        <f>SUM(AA6:AA17)</f>
        <v>0</v>
      </c>
      <c r="AB18" s="255">
        <f>SUM(AB6:AB17)</f>
        <v>0</v>
      </c>
      <c r="AC18" s="254">
        <f>SUM(AC6:AC17)</f>
        <v>0</v>
      </c>
      <c r="AD18" s="256">
        <f>SUM(AD6:AD17)</f>
        <v>0</v>
      </c>
      <c r="AE18" s="252">
        <f>SUM(AE6:AE17)</f>
        <v>4043.6000000000004</v>
      </c>
      <c r="ALD18" s="257"/>
      <c r="ALE18" s="257"/>
      <c r="ALF18" s="257"/>
      <c r="ALG18" s="257"/>
      <c r="ALH18" s="257"/>
      <c r="ALI18" s="257"/>
      <c r="ALJ18" s="257"/>
      <c r="ALK18" s="257"/>
      <c r="ALL18" s="257"/>
      <c r="ALM18" s="257"/>
      <c r="ALN18" s="257"/>
      <c r="ALO18" s="257"/>
    </row>
    <row r="19" spans="1:1003" x14ac:dyDescent="0.2">
      <c r="A19" s="228" t="s">
        <v>382</v>
      </c>
      <c r="B19" s="229" t="s">
        <v>383</v>
      </c>
      <c r="C19" s="258" t="s">
        <v>384</v>
      </c>
      <c r="D19" s="259">
        <f>MC!J71</f>
        <v>0</v>
      </c>
      <c r="E19" s="260">
        <f>'Prod. GEXIJU'!D4</f>
        <v>648.29</v>
      </c>
      <c r="F19" s="261">
        <f>'GEXIJU Limp.Ord. '!D$149</f>
        <v>0</v>
      </c>
      <c r="G19" s="262">
        <f>'Prod. GEXIJU'!E4</f>
        <v>537.63</v>
      </c>
      <c r="H19" s="261">
        <f>'GEXIJU Limp.Ord. '!D$155</f>
        <v>0</v>
      </c>
      <c r="I19" s="263">
        <f>'Prod. GEXIJU'!F4</f>
        <v>518.88</v>
      </c>
      <c r="J19" s="264">
        <f>'GEXIJU Limp.Ord. '!D$161</f>
        <v>0</v>
      </c>
      <c r="K19" s="263">
        <f>'Prod. GEXIJU'!G4</f>
        <v>599</v>
      </c>
      <c r="L19" s="264">
        <f>'GEXIJU Limp.Ord. '!D$167</f>
        <v>0</v>
      </c>
      <c r="M19" s="263">
        <f>'Prod. GEXIJU'!H4</f>
        <v>120.79</v>
      </c>
      <c r="N19" s="264">
        <f>'GEXIJU Limp.Ord. '!D$173</f>
        <v>0</v>
      </c>
      <c r="O19" s="263">
        <f>'Prod. GEXIJU'!I4</f>
        <v>265.57</v>
      </c>
      <c r="P19" s="264">
        <f>'GEXIJU Limp.Ord. '!D$179</f>
        <v>0</v>
      </c>
      <c r="Q19" s="263">
        <f>'Prod. GEXIJU'!J4</f>
        <v>6.37</v>
      </c>
      <c r="R19" s="264">
        <f>'GEXIJU Limp.Ord. '!D$182</f>
        <v>0</v>
      </c>
      <c r="S19" s="263">
        <f>'Prod. GEXIJU'!K4</f>
        <v>344.36</v>
      </c>
      <c r="T19" s="264">
        <f>'GEXIJU Limp.Ord. '!D$185</f>
        <v>0</v>
      </c>
      <c r="U19" s="265">
        <f>'Prod. GEXIJU'!L4</f>
        <v>0</v>
      </c>
      <c r="V19" s="264">
        <f>'GEXIJU Limp.Ord. '!D$191</f>
        <v>0</v>
      </c>
      <c r="W19" s="263">
        <f>'Prod. GEXIJU'!M4</f>
        <v>441.41</v>
      </c>
      <c r="X19" s="264">
        <f>'GEXIJU Limp.Ord. '!D$194</f>
        <v>0</v>
      </c>
      <c r="Y19" s="266">
        <f>'Prod. GEXIJU'!N4</f>
        <v>441.41</v>
      </c>
      <c r="Z19" s="264">
        <f>'GEXIJU Limp.Ord. '!H197</f>
        <v>0</v>
      </c>
      <c r="AA19" s="267">
        <f t="shared" ref="AA19:AA35" si="1">(E19*F19)+(G19*H19)+(I19*J19)+(K19*L19)+(M19*N19)+(O19*P19)+(Q19*R19)+(S19*T19)+(U19*V19)+(W19*X19)+(Y19*Z19)</f>
        <v>0</v>
      </c>
      <c r="AB19" s="268">
        <f>('GEXIJU Covid '!C$129*'Prod. GEXIJU'!T4)+('GEXIJU Covid '!D$129*'Prod. GEXIJU'!U4)+('GEXIJU Covid '!E$129*'Prod. GEXIJU'!V4)</f>
        <v>0</v>
      </c>
      <c r="AC19" s="269">
        <f>'GEXIJU Limp.Ord. '!C$139*'Prod. GEXIJU'!W4</f>
        <v>0</v>
      </c>
      <c r="AD19" s="270">
        <f>'GEXIJU Covid '!C$134*'Prod. GEXIJU'!X4</f>
        <v>0</v>
      </c>
      <c r="AE19" s="271">
        <f>MC!C15*'Prod. GEXIJU'!Y4</f>
        <v>4043.6000000000004</v>
      </c>
      <c r="ALD19" s="257"/>
      <c r="ALE19" s="257"/>
      <c r="ALF19" s="257"/>
      <c r="ALG19" s="257"/>
      <c r="ALH19" s="257"/>
      <c r="ALI19" s="257"/>
      <c r="ALJ19" s="257"/>
      <c r="ALK19" s="257"/>
      <c r="ALL19" s="257"/>
      <c r="ALM19" s="257"/>
      <c r="ALN19" s="257"/>
      <c r="ALO19" s="257"/>
    </row>
    <row r="20" spans="1:1003" x14ac:dyDescent="0.2">
      <c r="A20" s="243" t="s">
        <v>82</v>
      </c>
      <c r="B20" s="243" t="s">
        <v>385</v>
      </c>
      <c r="C20" s="244" t="s">
        <v>386</v>
      </c>
      <c r="D20" s="272">
        <f>MC!J72</f>
        <v>0</v>
      </c>
      <c r="E20" s="232">
        <f>'Prod. GEXIJU'!D5</f>
        <v>0</v>
      </c>
      <c r="F20" s="236">
        <f>'GEXIJU Limp.Ord. '!H$149</f>
        <v>0</v>
      </c>
      <c r="G20" s="273">
        <f>'Prod. GEXIJU'!E5</f>
        <v>900</v>
      </c>
      <c r="H20" s="236">
        <f>'GEXIJU Limp.Ord. '!H$155</f>
        <v>0</v>
      </c>
      <c r="I20" s="274">
        <f>'Prod. GEXIJU'!F5</f>
        <v>0</v>
      </c>
      <c r="J20" s="275">
        <f>'GEXIJU Limp.Ord. '!H$161</f>
        <v>0</v>
      </c>
      <c r="K20" s="274">
        <f>'Prod. GEXIJU'!G5</f>
        <v>0</v>
      </c>
      <c r="L20" s="264">
        <f>'GEXIJU Limp.Ord. '!H$167</f>
        <v>0</v>
      </c>
      <c r="M20" s="274">
        <f>'Prod. GEXIJU'!H5</f>
        <v>0</v>
      </c>
      <c r="N20" s="275">
        <f>'GEXIJU Limp.Ord. '!H$173</f>
        <v>0</v>
      </c>
      <c r="O20" s="274">
        <f>'Prod. GEXIJU'!I5</f>
        <v>0</v>
      </c>
      <c r="P20" s="275">
        <f>'GEXIJU Limp.Ord. '!H$179</f>
        <v>0</v>
      </c>
      <c r="Q20" s="274">
        <f>'Prod. GEXIJU'!J5</f>
        <v>0</v>
      </c>
      <c r="R20" s="275">
        <f>'GEXIJU Limp.Ord. '!H$182</f>
        <v>0</v>
      </c>
      <c r="S20" s="274">
        <f>'Prod. GEXIJU'!K5</f>
        <v>0</v>
      </c>
      <c r="T20" s="275">
        <f>'GEXIJU Limp.Ord. '!H$185</f>
        <v>0</v>
      </c>
      <c r="U20" s="276">
        <f>'Prod. GEXIJU'!L5</f>
        <v>0</v>
      </c>
      <c r="V20" s="275">
        <f>'GEXIJU Limp.Ord. '!H$191</f>
        <v>0</v>
      </c>
      <c r="W20" s="274">
        <f>'Prod. GEXIJU'!M5</f>
        <v>0</v>
      </c>
      <c r="X20" s="275">
        <f>'GEXIJU Limp.Ord. '!H$194</f>
        <v>0</v>
      </c>
      <c r="Y20" s="277">
        <f>'Prod. GEXIJU'!N5</f>
        <v>0</v>
      </c>
      <c r="Z20" s="275">
        <f>'GEXIJU Limp.Ord. '!H$197</f>
        <v>0</v>
      </c>
      <c r="AA20" s="267">
        <f t="shared" si="1"/>
        <v>0</v>
      </c>
      <c r="AB20" s="268">
        <f>('GEXIJU Covid '!C$131*'Prod. GEXIJU'!T5)+('GEXIJU Covid '!D$131*'Prod. GEXIJU'!U5)+('GEXIJU Covid '!E$131*'Prod. GEXIJU'!V5)</f>
        <v>0</v>
      </c>
      <c r="AC20" s="278">
        <f>'GEXIJU Limp.Ord. '!C$141*'Prod. GEXIJU'!W4</f>
        <v>0</v>
      </c>
      <c r="AD20" s="279">
        <f>'GEXIJU Covid '!C$136*'Prod. GEXIJU'!X5</f>
        <v>0</v>
      </c>
      <c r="AE20" s="280"/>
      <c r="ALD20" s="257"/>
      <c r="ALE20" s="257"/>
      <c r="ALF20" s="257"/>
      <c r="ALG20" s="257"/>
      <c r="ALH20" s="257"/>
      <c r="ALI20" s="257"/>
      <c r="ALJ20" s="257"/>
      <c r="ALK20" s="257"/>
      <c r="ALL20" s="257"/>
      <c r="ALM20" s="257"/>
      <c r="ALN20" s="257"/>
      <c r="ALO20" s="257"/>
    </row>
    <row r="21" spans="1:1003" x14ac:dyDescent="0.2">
      <c r="A21" s="243" t="s">
        <v>84</v>
      </c>
      <c r="B21" s="243" t="s">
        <v>387</v>
      </c>
      <c r="C21" s="244" t="s">
        <v>388</v>
      </c>
      <c r="D21" s="272">
        <f>MC!J73</f>
        <v>0</v>
      </c>
      <c r="E21" s="232">
        <f>'Prod. GEXIJU'!D6</f>
        <v>0</v>
      </c>
      <c r="F21" s="236">
        <f>'GEXIJU Limp.Ord. '!H$149</f>
        <v>0</v>
      </c>
      <c r="G21" s="273">
        <f>'Prod. GEXIJU'!E6</f>
        <v>900</v>
      </c>
      <c r="H21" s="236">
        <f>'GEXIJU Limp.Ord. '!H$155</f>
        <v>0</v>
      </c>
      <c r="I21" s="274">
        <f>'Prod. GEXIJU'!F6</f>
        <v>0</v>
      </c>
      <c r="J21" s="275">
        <f>'GEXIJU Limp.Ord. '!H$161</f>
        <v>0</v>
      </c>
      <c r="K21" s="274">
        <f>'Prod. GEXIJU'!G6</f>
        <v>0</v>
      </c>
      <c r="L21" s="264">
        <f>'GEXIJU Limp.Ord. '!H$167</f>
        <v>0</v>
      </c>
      <c r="M21" s="274">
        <f>'Prod. GEXIJU'!H6</f>
        <v>0</v>
      </c>
      <c r="N21" s="275">
        <f>'GEXIJU Limp.Ord. '!H$173</f>
        <v>0</v>
      </c>
      <c r="O21" s="274">
        <f>'Prod. GEXIJU'!I6</f>
        <v>0</v>
      </c>
      <c r="P21" s="275">
        <f>'GEXIJU Limp.Ord. '!H$179</f>
        <v>0</v>
      </c>
      <c r="Q21" s="274">
        <f>'Prod. GEXIJU'!J6</f>
        <v>0</v>
      </c>
      <c r="R21" s="275">
        <f>'GEXIJU Limp.Ord. '!H$182</f>
        <v>0</v>
      </c>
      <c r="S21" s="274">
        <f>'Prod. GEXIJU'!K6</f>
        <v>0</v>
      </c>
      <c r="T21" s="275">
        <f>'GEXIJU Limp.Ord. '!H$185</f>
        <v>0</v>
      </c>
      <c r="U21" s="276">
        <f>'Prod. GEXIJU'!L6</f>
        <v>0</v>
      </c>
      <c r="V21" s="275">
        <f>'GEXIJU Limp.Ord. '!H$191</f>
        <v>0</v>
      </c>
      <c r="W21" s="274">
        <f>'Prod. GEXIJU'!M6</f>
        <v>0</v>
      </c>
      <c r="X21" s="275">
        <f>'GEXIJU Limp.Ord. '!H$194</f>
        <v>0</v>
      </c>
      <c r="Y21" s="277">
        <f>'Prod. GEXIJU'!N6</f>
        <v>0</v>
      </c>
      <c r="Z21" s="275">
        <f>'GEXIJU Limp.Ord. '!H$197</f>
        <v>0</v>
      </c>
      <c r="AA21" s="267">
        <f t="shared" si="1"/>
        <v>0</v>
      </c>
      <c r="AB21" s="268">
        <f>('GEXIJU Covid '!C$131*'Prod. GEXIJU'!T6)+('GEXIJU Covid '!D$131*'Prod. GEXIJU'!U6)+('GEXIJU Covid '!E$131*'Prod. GEXIJU'!V6)</f>
        <v>0</v>
      </c>
      <c r="AC21" s="278">
        <f>'GEXIJU Limp.Ord. '!C$141*'Prod. GEXIJU'!W5</f>
        <v>0</v>
      </c>
      <c r="AD21" s="279">
        <f>'GEXIJU Covid '!C$136*'Prod. GEXIJU'!X6</f>
        <v>0</v>
      </c>
      <c r="AE21" s="280"/>
      <c r="ALD21" s="257"/>
      <c r="ALE21" s="257"/>
      <c r="ALF21" s="257"/>
      <c r="ALG21" s="257"/>
      <c r="ALH21" s="257"/>
      <c r="ALI21" s="257"/>
      <c r="ALJ21" s="257"/>
      <c r="ALK21" s="257"/>
      <c r="ALL21" s="257"/>
      <c r="ALM21" s="257"/>
      <c r="ALN21" s="257"/>
      <c r="ALO21" s="257"/>
    </row>
    <row r="22" spans="1:1003" x14ac:dyDescent="0.2">
      <c r="A22" s="243" t="s">
        <v>87</v>
      </c>
      <c r="B22" s="243" t="s">
        <v>389</v>
      </c>
      <c r="C22" s="244" t="s">
        <v>390</v>
      </c>
      <c r="D22" s="272">
        <f>MC!J74</f>
        <v>0</v>
      </c>
      <c r="E22" s="232">
        <f>'Prod. GEXIJU'!D7</f>
        <v>-66.919999999999874</v>
      </c>
      <c r="F22" s="236">
        <f>'GEXIJU Limp.Ord. '!H$149</f>
        <v>0</v>
      </c>
      <c r="G22" s="273">
        <f>'Prod. GEXIJU'!E7</f>
        <v>583.41</v>
      </c>
      <c r="H22" s="236">
        <f>'GEXIJU Limp.Ord. '!H$155</f>
        <v>0</v>
      </c>
      <c r="I22" s="274">
        <f>'Prod. GEXIJU'!F7</f>
        <v>1291.25</v>
      </c>
      <c r="J22" s="275">
        <f>'GEXIJU Limp.Ord. '!H$161</f>
        <v>0</v>
      </c>
      <c r="K22" s="274">
        <f>'Prod. GEXIJU'!G7</f>
        <v>323.27</v>
      </c>
      <c r="L22" s="264">
        <f>'GEXIJU Limp.Ord. '!H$167</f>
        <v>0</v>
      </c>
      <c r="M22" s="274">
        <f>'Prod. GEXIJU'!H7</f>
        <v>105.53</v>
      </c>
      <c r="N22" s="275">
        <f>'GEXIJU Limp.Ord. '!H$173</f>
        <v>0</v>
      </c>
      <c r="O22" s="274">
        <f>'Prod. GEXIJU'!I7</f>
        <v>45.86</v>
      </c>
      <c r="P22" s="275">
        <f>'GEXIJU Limp.Ord. '!H$179</f>
        <v>0</v>
      </c>
      <c r="Q22" s="274">
        <f>'Prod. GEXIJU'!J7</f>
        <v>12.59</v>
      </c>
      <c r="R22" s="275">
        <f>'GEXIJU Limp.Ord. '!H$182</f>
        <v>0</v>
      </c>
      <c r="S22" s="274">
        <f>'Prod. GEXIJU'!K7</f>
        <v>115.53</v>
      </c>
      <c r="T22" s="275">
        <f>'GEXIJU Limp.Ord. '!H$185</f>
        <v>0</v>
      </c>
      <c r="U22" s="276">
        <f>'Prod. GEXIJU'!L7</f>
        <v>0</v>
      </c>
      <c r="V22" s="275">
        <f>'GEXIJU Limp.Ord. '!H$191</f>
        <v>0</v>
      </c>
      <c r="W22" s="274">
        <f>'Prod. GEXIJU'!M7</f>
        <v>301.04000000000002</v>
      </c>
      <c r="X22" s="275">
        <f>'GEXIJU Limp.Ord. '!H$194</f>
        <v>0</v>
      </c>
      <c r="Y22" s="277">
        <f>'Prod. GEXIJU'!N7</f>
        <v>301.04000000000002</v>
      </c>
      <c r="Z22" s="275">
        <f>'GEXIJU Limp.Ord. '!H$197</f>
        <v>0</v>
      </c>
      <c r="AA22" s="267">
        <f t="shared" si="1"/>
        <v>0</v>
      </c>
      <c r="AB22" s="268">
        <f>('GEXIJU Covid '!C$131*'Prod. GEXIJU'!T7)+('GEXIJU Covid '!D$131*'Prod. GEXIJU'!U7)+('GEXIJU Covid '!E$131*'Prod. GEXIJU'!V7)</f>
        <v>0</v>
      </c>
      <c r="AC22" s="278">
        <f>'GEXIJU Limp.Ord. '!C$141*'Prod. GEXIJU'!W6</f>
        <v>0</v>
      </c>
      <c r="AD22" s="279">
        <f>'GEXIJU Covid '!C$136*'Prod. GEXIJU'!X7</f>
        <v>0</v>
      </c>
      <c r="AE22" s="280"/>
      <c r="ALD22" s="257"/>
      <c r="ALE22" s="257"/>
      <c r="ALF22" s="257"/>
      <c r="ALG22" s="257"/>
      <c r="ALH22" s="257"/>
      <c r="ALI22" s="257"/>
      <c r="ALJ22" s="257"/>
      <c r="ALK22" s="257"/>
      <c r="ALL22" s="257"/>
      <c r="ALM22" s="257"/>
      <c r="ALN22" s="257"/>
      <c r="ALO22" s="257"/>
    </row>
    <row r="23" spans="1:1003" x14ac:dyDescent="0.2">
      <c r="A23" s="243" t="s">
        <v>89</v>
      </c>
      <c r="B23" s="243" t="s">
        <v>391</v>
      </c>
      <c r="C23" s="244" t="s">
        <v>392</v>
      </c>
      <c r="D23" s="272">
        <f>MC!J75</f>
        <v>0</v>
      </c>
      <c r="E23" s="232">
        <f>'Prod. GEXIJU'!D8</f>
        <v>-110.94999999999995</v>
      </c>
      <c r="F23" s="236">
        <f>'GEXIJU Limp.Ord. '!D$149</f>
        <v>0</v>
      </c>
      <c r="G23" s="273">
        <f>'Prod. GEXIJU'!E8</f>
        <v>712.26</v>
      </c>
      <c r="H23" s="236">
        <f>'GEXIJU Limp.Ord. '!D$155</f>
        <v>0</v>
      </c>
      <c r="I23" s="274">
        <f>'Prod. GEXIJU'!F8</f>
        <v>382.34</v>
      </c>
      <c r="J23" s="275">
        <f>'GEXIJU Limp.Ord. '!D$161</f>
        <v>0</v>
      </c>
      <c r="K23" s="274">
        <f>'Prod. GEXIJU'!G8</f>
        <v>0</v>
      </c>
      <c r="L23" s="264">
        <f>'GEXIJU Limp.Ord. '!D$167</f>
        <v>0</v>
      </c>
      <c r="M23" s="274">
        <f>'Prod. GEXIJU'!H8</f>
        <v>62.58</v>
      </c>
      <c r="N23" s="275">
        <f>'GEXIJU Limp.Ord. '!D$173</f>
        <v>0</v>
      </c>
      <c r="O23" s="274">
        <f>'Prod. GEXIJU'!I8</f>
        <v>210.78</v>
      </c>
      <c r="P23" s="275">
        <f>'GEXIJU Limp.Ord. '!D$179</f>
        <v>0</v>
      </c>
      <c r="Q23" s="274">
        <f>'Prod. GEXIJU'!J8</f>
        <v>711.97</v>
      </c>
      <c r="R23" s="275">
        <f>'GEXIJU Limp.Ord. '!D$182</f>
        <v>0</v>
      </c>
      <c r="S23" s="274">
        <f>'Prod. GEXIJU'!K8</f>
        <v>502.77</v>
      </c>
      <c r="T23" s="275">
        <f>'GEXIJU Limp.Ord. '!D$185</f>
        <v>0</v>
      </c>
      <c r="U23" s="276">
        <f>'Prod. GEXIJU'!L8</f>
        <v>0</v>
      </c>
      <c r="V23" s="275">
        <f>'GEXIJU Limp.Ord. '!D$191</f>
        <v>0</v>
      </c>
      <c r="W23" s="274">
        <f>'Prod. GEXIJU'!M8</f>
        <v>289.35000000000002</v>
      </c>
      <c r="X23" s="275">
        <f>'GEXIJU Limp.Ord. '!D$194</f>
        <v>0</v>
      </c>
      <c r="Y23" s="277">
        <f>'Prod. GEXIJU'!N8</f>
        <v>289.35000000000002</v>
      </c>
      <c r="Z23" s="275">
        <f>'GEXIJU Limp.Ord. '!D$197</f>
        <v>0</v>
      </c>
      <c r="AA23" s="267">
        <f t="shared" si="1"/>
        <v>0</v>
      </c>
      <c r="AB23" s="268">
        <f>('GEXIJU Covid '!C$129*'Prod. GEXIJU'!T8)+('GEXIJU Covid '!D$129*'Prod. GEXIJU'!U8)+('GEXIJU Covid '!E$129*'Prod. GEXIJU'!V8)</f>
        <v>0</v>
      </c>
      <c r="AC23" s="278">
        <f>'GEXIJU Limp.Ord. '!C$139*'Prod. GEXIJU'!W7</f>
        <v>0</v>
      </c>
      <c r="AD23" s="279">
        <f>'GEXIJU Covid '!C$134*'Prod. GEXIJU'!X8</f>
        <v>0</v>
      </c>
      <c r="AE23" s="280"/>
      <c r="ALD23" s="257"/>
      <c r="ALE23" s="257"/>
      <c r="ALF23" s="257"/>
      <c r="ALG23" s="257"/>
      <c r="ALH23" s="257"/>
      <c r="ALI23" s="257"/>
      <c r="ALJ23" s="257"/>
      <c r="ALK23" s="257"/>
      <c r="ALL23" s="257"/>
      <c r="ALM23" s="257"/>
      <c r="ALN23" s="257"/>
      <c r="ALO23" s="257"/>
    </row>
    <row r="24" spans="1:1003" x14ac:dyDescent="0.2">
      <c r="A24" s="243" t="s">
        <v>91</v>
      </c>
      <c r="B24" s="243" t="s">
        <v>393</v>
      </c>
      <c r="C24" s="244" t="s">
        <v>384</v>
      </c>
      <c r="D24" s="272">
        <f>MC!J76</f>
        <v>0</v>
      </c>
      <c r="E24" s="232">
        <f>'Prod. GEXIJU'!D9</f>
        <v>-28.500000000000071</v>
      </c>
      <c r="F24" s="236">
        <f>'GEXIJU Limp.Ord. '!D$149</f>
        <v>0</v>
      </c>
      <c r="G24" s="273">
        <f>'Prod. GEXIJU'!E9</f>
        <v>773.58</v>
      </c>
      <c r="H24" s="236">
        <f>'GEXIJU Limp.Ord. '!D$155</f>
        <v>0</v>
      </c>
      <c r="I24" s="274">
        <f>'Prod. GEXIJU'!F9</f>
        <v>223.57</v>
      </c>
      <c r="J24" s="275">
        <f>'GEXIJU Limp.Ord. '!D$161</f>
        <v>0</v>
      </c>
      <c r="K24" s="274">
        <f>'Prod. GEXIJU'!G9</f>
        <v>0</v>
      </c>
      <c r="L24" s="264">
        <f>'GEXIJU Limp.Ord. '!D$167</f>
        <v>0</v>
      </c>
      <c r="M24" s="274">
        <f>'Prod. GEXIJU'!H9</f>
        <v>42.14</v>
      </c>
      <c r="N24" s="275">
        <f>'GEXIJU Limp.Ord. '!D$173</f>
        <v>0</v>
      </c>
      <c r="O24" s="274">
        <f>'Prod. GEXIJU'!I9</f>
        <v>0</v>
      </c>
      <c r="P24" s="275">
        <f>'GEXIJU Limp.Ord. '!D$179</f>
        <v>0</v>
      </c>
      <c r="Q24" s="274">
        <f>'Prod. GEXIJU'!J9</f>
        <v>0</v>
      </c>
      <c r="R24" s="275">
        <f>'GEXIJU Limp.Ord. '!D$182</f>
        <v>0</v>
      </c>
      <c r="S24" s="274">
        <f>'Prod. GEXIJU'!K9</f>
        <v>0</v>
      </c>
      <c r="T24" s="275">
        <f>'GEXIJU Limp.Ord. '!D$185</f>
        <v>0</v>
      </c>
      <c r="U24" s="276">
        <f>'Prod. GEXIJU'!L9</f>
        <v>0</v>
      </c>
      <c r="V24" s="275">
        <f>'GEXIJU Limp.Ord. '!D$191</f>
        <v>0</v>
      </c>
      <c r="W24" s="274">
        <f>'Prod. GEXIJU'!M9</f>
        <v>232.49</v>
      </c>
      <c r="X24" s="275">
        <f>'GEXIJU Limp.Ord. '!D$194</f>
        <v>0</v>
      </c>
      <c r="Y24" s="277">
        <f>'Prod. GEXIJU'!N9</f>
        <v>232.49</v>
      </c>
      <c r="Z24" s="275">
        <f>'GEXIJU Limp.Ord. '!D$197</f>
        <v>0</v>
      </c>
      <c r="AA24" s="267">
        <f t="shared" si="1"/>
        <v>0</v>
      </c>
      <c r="AB24" s="268">
        <f>('GEXIJU Covid '!C$129*'Prod. GEXIJU'!T9)+('GEXIJU Covid '!D$129*'Prod. GEXIJU'!U9)+('GEXIJU Covid '!E$129*'Prod. GEXIJU'!V9)</f>
        <v>0</v>
      </c>
      <c r="AC24" s="278">
        <f>'GEXIJU Limp.Ord. '!C$139*'Prod. GEXIJU'!W8</f>
        <v>0</v>
      </c>
      <c r="AD24" s="279">
        <f>'GEXIJU Covid '!C$134*'Prod. GEXIJU'!X9</f>
        <v>0</v>
      </c>
      <c r="AE24" s="280"/>
      <c r="ALD24" s="257"/>
      <c r="ALE24" s="257"/>
      <c r="ALF24" s="257"/>
      <c r="ALG24" s="257"/>
      <c r="ALH24" s="257"/>
      <c r="ALI24" s="257"/>
      <c r="ALJ24" s="257"/>
      <c r="ALK24" s="257"/>
      <c r="ALL24" s="257"/>
      <c r="ALM24" s="257"/>
      <c r="ALN24" s="257"/>
      <c r="ALO24" s="257"/>
    </row>
    <row r="25" spans="1:1003" x14ac:dyDescent="0.2">
      <c r="A25" s="243" t="s">
        <v>93</v>
      </c>
      <c r="B25" s="243" t="s">
        <v>394</v>
      </c>
      <c r="C25" s="244" t="s">
        <v>395</v>
      </c>
      <c r="D25" s="272">
        <f>MC!J77</f>
        <v>0</v>
      </c>
      <c r="E25" s="232">
        <f>'Prod. GEXIJU'!D10</f>
        <v>-83.309999999999974</v>
      </c>
      <c r="F25" s="236">
        <f>'GEXIJU Limp.Ord. '!H$149</f>
        <v>0</v>
      </c>
      <c r="G25" s="273">
        <f>'Prod. GEXIJU'!E10</f>
        <v>647.66999999999996</v>
      </c>
      <c r="H25" s="236">
        <f>'GEXIJU Limp.Ord. '!H$155</f>
        <v>0</v>
      </c>
      <c r="I25" s="274">
        <f>'Prod. GEXIJU'!F10</f>
        <v>977.47</v>
      </c>
      <c r="J25" s="275">
        <f>'GEXIJU Limp.Ord. '!H$161</f>
        <v>0</v>
      </c>
      <c r="K25" s="274">
        <f>'Prod. GEXIJU'!G10</f>
        <v>36.29</v>
      </c>
      <c r="L25" s="264">
        <f>'GEXIJU Limp.Ord. '!H$167</f>
        <v>0</v>
      </c>
      <c r="M25" s="274">
        <f>'Prod. GEXIJU'!H10</f>
        <v>84.11</v>
      </c>
      <c r="N25" s="275">
        <f>'GEXIJU Limp.Ord. '!H$173</f>
        <v>0</v>
      </c>
      <c r="O25" s="274">
        <f>'Prod. GEXIJU'!I10</f>
        <v>263.12</v>
      </c>
      <c r="P25" s="275">
        <f>'GEXIJU Limp.Ord. '!H$179</f>
        <v>0</v>
      </c>
      <c r="Q25" s="274">
        <f>'Prod. GEXIJU'!J10</f>
        <v>62.91</v>
      </c>
      <c r="R25" s="275">
        <f>'GEXIJU Limp.Ord. '!H$182</f>
        <v>0</v>
      </c>
      <c r="S25" s="274">
        <f>'Prod. GEXIJU'!K10</f>
        <v>30.96</v>
      </c>
      <c r="T25" s="275">
        <f>'GEXIJU Limp.Ord. '!H$185</f>
        <v>0</v>
      </c>
      <c r="U25" s="276">
        <f>'Prod. GEXIJU'!L10</f>
        <v>0</v>
      </c>
      <c r="V25" s="275">
        <f>'GEXIJU Limp.Ord. '!H$191</f>
        <v>0</v>
      </c>
      <c r="W25" s="274">
        <f>'Prod. GEXIJU'!M10</f>
        <v>220.32</v>
      </c>
      <c r="X25" s="275">
        <f>'GEXIJU Limp.Ord. '!H$194</f>
        <v>0</v>
      </c>
      <c r="Y25" s="277">
        <f>'Prod. GEXIJU'!N10</f>
        <v>220.32</v>
      </c>
      <c r="Z25" s="275">
        <f>'GEXIJU Limp.Ord. '!H$197</f>
        <v>0</v>
      </c>
      <c r="AA25" s="267">
        <f t="shared" si="1"/>
        <v>0</v>
      </c>
      <c r="AB25" s="268">
        <f>('GEXIJU Covid '!C$131*'Prod. GEXIJU'!T10)+('GEXIJU Covid '!D$131*'Prod. GEXIJU'!U10)+('GEXIJU Covid '!E$131*'Prod. GEXIJU'!V10)</f>
        <v>0</v>
      </c>
      <c r="AC25" s="278">
        <f>'GEXIJU Limp.Ord. '!C$141*'Prod. GEXIJU'!W9</f>
        <v>0</v>
      </c>
      <c r="AD25" s="279">
        <f>'GEXIJU Covid '!C$136*'Prod. GEXIJU'!X10</f>
        <v>0</v>
      </c>
      <c r="AE25" s="280"/>
      <c r="ALD25" s="257"/>
      <c r="ALE25" s="257"/>
      <c r="ALF25" s="257"/>
      <c r="ALG25" s="257"/>
      <c r="ALH25" s="257"/>
      <c r="ALI25" s="257"/>
      <c r="ALJ25" s="257"/>
      <c r="ALK25" s="257"/>
      <c r="ALL25" s="257"/>
      <c r="ALM25" s="257"/>
      <c r="ALN25" s="257"/>
      <c r="ALO25" s="257"/>
    </row>
    <row r="26" spans="1:1003" x14ac:dyDescent="0.2">
      <c r="A26" s="243" t="s">
        <v>95</v>
      </c>
      <c r="B26" s="243" t="s">
        <v>396</v>
      </c>
      <c r="C26" s="244" t="s">
        <v>397</v>
      </c>
      <c r="D26" s="272">
        <f>MC!J78</f>
        <v>0</v>
      </c>
      <c r="E26" s="232">
        <f>'Prod. GEXIJU'!D11</f>
        <v>0</v>
      </c>
      <c r="F26" s="236">
        <f>'GEXIJU Limp.Ord. '!J$149</f>
        <v>0</v>
      </c>
      <c r="G26" s="273">
        <f>'Prod. GEXIJU'!E11</f>
        <v>900</v>
      </c>
      <c r="H26" s="236">
        <f>'GEXIJU Limp.Ord. '!J$155</f>
        <v>0</v>
      </c>
      <c r="I26" s="274">
        <f>'Prod. GEXIJU'!F11</f>
        <v>0</v>
      </c>
      <c r="J26" s="275">
        <f>'GEXIJU Limp.Ord. '!J$161</f>
        <v>0</v>
      </c>
      <c r="K26" s="274">
        <f>'Prod. GEXIJU'!G11</f>
        <v>0</v>
      </c>
      <c r="L26" s="264">
        <f>'GEXIJU Limp.Ord. '!J$167</f>
        <v>0</v>
      </c>
      <c r="M26" s="274">
        <f>'Prod. GEXIJU'!H11</f>
        <v>0</v>
      </c>
      <c r="N26" s="275">
        <f>'GEXIJU Limp.Ord. '!J$173</f>
        <v>0</v>
      </c>
      <c r="O26" s="274">
        <f>'Prod. GEXIJU'!I11</f>
        <v>0</v>
      </c>
      <c r="P26" s="275">
        <f>'GEXIJU Limp.Ord. '!J$179</f>
        <v>0</v>
      </c>
      <c r="Q26" s="274">
        <f>'Prod. GEXIJU'!J11</f>
        <v>0</v>
      </c>
      <c r="R26" s="275">
        <f>'GEXIJU Limp.Ord. '!J$182</f>
        <v>0</v>
      </c>
      <c r="S26" s="274">
        <f>'Prod. GEXIJU'!K11</f>
        <v>0</v>
      </c>
      <c r="T26" s="275">
        <f>'GEXIJU Limp.Ord. '!J$185</f>
        <v>0</v>
      </c>
      <c r="U26" s="276">
        <f>'Prod. GEXIJU'!L11</f>
        <v>0</v>
      </c>
      <c r="V26" s="275">
        <f>'GEXIJU Limp.Ord. '!J$191</f>
        <v>0</v>
      </c>
      <c r="W26" s="274">
        <f>'Prod. GEXIJU'!M11</f>
        <v>0</v>
      </c>
      <c r="X26" s="275">
        <f>'GEXIJU Limp.Ord. '!J$194</f>
        <v>0</v>
      </c>
      <c r="Y26" s="277">
        <f>'Prod. GEXIJU'!N11</f>
        <v>0</v>
      </c>
      <c r="Z26" s="275">
        <f>'GEXIJU Limp.Ord. '!J$197</f>
        <v>0</v>
      </c>
      <c r="AA26" s="267">
        <f t="shared" si="1"/>
        <v>0</v>
      </c>
      <c r="AB26" s="268">
        <f>('GEXIJU Covid '!C$132*'Prod. GEXIJU'!T11)+('GEXIJU Covid '!D$132*'Prod. GEXIJU'!U11)+('GEXIJU Covid '!E$132*'Prod. GEXIJU'!V11)</f>
        <v>0</v>
      </c>
      <c r="AC26" s="278">
        <f>'GEXIJU Limp.Ord. '!C$142*'Prod. GEXIJU'!W10</f>
        <v>0</v>
      </c>
      <c r="AD26" s="279">
        <f>'GEXIJU Covid '!C$137*'Prod. GEXIJU'!X11</f>
        <v>0</v>
      </c>
      <c r="AE26" s="280"/>
      <c r="ALD26" s="257"/>
      <c r="ALE26" s="257"/>
      <c r="ALF26" s="257"/>
      <c r="ALG26" s="257"/>
      <c r="ALH26" s="257"/>
      <c r="ALI26" s="257"/>
      <c r="ALJ26" s="257"/>
      <c r="ALK26" s="257"/>
      <c r="ALL26" s="257"/>
      <c r="ALM26" s="257"/>
      <c r="ALN26" s="257"/>
      <c r="ALO26" s="257"/>
    </row>
    <row r="27" spans="1:1003" x14ac:dyDescent="0.2">
      <c r="A27" s="243" t="s">
        <v>97</v>
      </c>
      <c r="B27" s="243" t="s">
        <v>398</v>
      </c>
      <c r="C27" s="244" t="s">
        <v>399</v>
      </c>
      <c r="D27" s="272">
        <f>MC!J79</f>
        <v>0</v>
      </c>
      <c r="E27" s="232">
        <f>'Prod. GEXIJU'!D12</f>
        <v>325.6800000000004</v>
      </c>
      <c r="F27" s="236">
        <f>'GEXIJU Limp.Ord. '!H$149</f>
        <v>0</v>
      </c>
      <c r="G27" s="273">
        <f>'Prod. GEXIJU'!E12</f>
        <v>491.01</v>
      </c>
      <c r="H27" s="236">
        <f>'GEXIJU Limp.Ord. '!H$155</f>
        <v>0</v>
      </c>
      <c r="I27" s="274">
        <f>'Prod. GEXIJU'!F12</f>
        <v>1322.29</v>
      </c>
      <c r="J27" s="275">
        <f>'GEXIJU Limp.Ord. '!H$161</f>
        <v>0</v>
      </c>
      <c r="K27" s="274">
        <f>'Prod. GEXIJU'!G12</f>
        <v>463.01</v>
      </c>
      <c r="L27" s="264">
        <f>'GEXIJU Limp.Ord. '!H$167</f>
        <v>0</v>
      </c>
      <c r="M27" s="274">
        <f>'Prod. GEXIJU'!H12</f>
        <v>136.33000000000001</v>
      </c>
      <c r="N27" s="275">
        <f>'GEXIJU Limp.Ord. '!H$173</f>
        <v>0</v>
      </c>
      <c r="O27" s="274">
        <f>'Prod. GEXIJU'!I12</f>
        <v>271.67</v>
      </c>
      <c r="P27" s="275">
        <f>'GEXIJU Limp.Ord. '!H$179</f>
        <v>0</v>
      </c>
      <c r="Q27" s="274">
        <f>'Prod. GEXIJU'!J12</f>
        <v>102.21</v>
      </c>
      <c r="R27" s="275">
        <f>'GEXIJU Limp.Ord. '!H$182</f>
        <v>0</v>
      </c>
      <c r="S27" s="274">
        <f>'Prod. GEXIJU'!K12</f>
        <v>147.44999999999999</v>
      </c>
      <c r="T27" s="275">
        <f>'GEXIJU Limp.Ord. '!H$185</f>
        <v>0</v>
      </c>
      <c r="U27" s="276">
        <f>'Prod. GEXIJU'!L12</f>
        <v>0</v>
      </c>
      <c r="V27" s="275">
        <f>'GEXIJU Limp.Ord. '!H$191</f>
        <v>0</v>
      </c>
      <c r="W27" s="274">
        <f>'Prod. GEXIJU'!M12</f>
        <v>820.76</v>
      </c>
      <c r="X27" s="275">
        <f>'GEXIJU Limp.Ord. '!H$194</f>
        <v>0</v>
      </c>
      <c r="Y27" s="277">
        <f>'Prod. GEXIJU'!N12</f>
        <v>820.76</v>
      </c>
      <c r="Z27" s="275">
        <f>'GEXIJU Limp.Ord. '!H$197</f>
        <v>0</v>
      </c>
      <c r="AA27" s="267">
        <f t="shared" si="1"/>
        <v>0</v>
      </c>
      <c r="AB27" s="268">
        <f>('GEXIJU Covid '!C$131*'Prod. GEXIJU'!T12)+('GEXIJU Covid '!D$131*'Prod. GEXIJU'!U12)+('GEXIJU Covid '!E$131*'Prod. GEXIJU'!V12)</f>
        <v>0</v>
      </c>
      <c r="AC27" s="278">
        <f>'GEXIJU Limp.Ord. '!C$141*'Prod. GEXIJU'!W11</f>
        <v>0</v>
      </c>
      <c r="AD27" s="279">
        <f>'GEXIJU Covid '!C$136*'Prod. GEXIJU'!X12</f>
        <v>0</v>
      </c>
      <c r="AE27" s="280"/>
      <c r="ALD27" s="257"/>
      <c r="ALE27" s="257"/>
      <c r="ALF27" s="257"/>
      <c r="ALG27" s="257"/>
      <c r="ALH27" s="257"/>
      <c r="ALI27" s="257"/>
      <c r="ALJ27" s="257"/>
      <c r="ALK27" s="257"/>
      <c r="ALL27" s="257"/>
      <c r="ALM27" s="257"/>
      <c r="ALN27" s="257"/>
      <c r="ALO27" s="257"/>
    </row>
    <row r="28" spans="1:1003" x14ac:dyDescent="0.2">
      <c r="A28" s="243" t="s">
        <v>99</v>
      </c>
      <c r="B28" s="243" t="s">
        <v>400</v>
      </c>
      <c r="C28" s="244" t="s">
        <v>386</v>
      </c>
      <c r="D28" s="272">
        <f>MC!J80</f>
        <v>0</v>
      </c>
      <c r="E28" s="232">
        <f>'Prod. GEXIJU'!D13</f>
        <v>-77.399999999999906</v>
      </c>
      <c r="F28" s="236">
        <f>'GEXIJU Limp.Ord. '!H$149</f>
        <v>0</v>
      </c>
      <c r="G28" s="273">
        <f>'Prod. GEXIJU'!E13</f>
        <v>765.93</v>
      </c>
      <c r="H28" s="236">
        <f>'GEXIJU Limp.Ord. '!H$155</f>
        <v>0</v>
      </c>
      <c r="I28" s="274">
        <f>'Prod. GEXIJU'!F13</f>
        <v>261.38</v>
      </c>
      <c r="J28" s="275">
        <f>'GEXIJU Limp.Ord. '!H$161</f>
        <v>0</v>
      </c>
      <c r="K28" s="274">
        <f>'Prod. GEXIJU'!G13</f>
        <v>62.86</v>
      </c>
      <c r="L28" s="264">
        <f>'GEXIJU Limp.Ord. '!H$167</f>
        <v>0</v>
      </c>
      <c r="M28" s="274">
        <f>'Prod. GEXIJU'!H13</f>
        <v>44.69</v>
      </c>
      <c r="N28" s="275">
        <f>'GEXIJU Limp.Ord. '!H$173</f>
        <v>0</v>
      </c>
      <c r="O28" s="274">
        <f>'Prod. GEXIJU'!I13</f>
        <v>178.32</v>
      </c>
      <c r="P28" s="275">
        <f>'GEXIJU Limp.Ord. '!H$179</f>
        <v>0</v>
      </c>
      <c r="Q28" s="274">
        <f>'Prod. GEXIJU'!J13</f>
        <v>112.58</v>
      </c>
      <c r="R28" s="275">
        <f>'GEXIJU Limp.Ord. '!H$182</f>
        <v>0</v>
      </c>
      <c r="S28" s="274">
        <f>'Prod. GEXIJU'!K13</f>
        <v>573.14</v>
      </c>
      <c r="T28" s="275">
        <f>'GEXIJU Limp.Ord. '!H$185</f>
        <v>0</v>
      </c>
      <c r="U28" s="276">
        <f>'Prod. GEXIJU'!L13</f>
        <v>0</v>
      </c>
      <c r="V28" s="275">
        <f>'GEXIJU Limp.Ord. '!H$191</f>
        <v>0</v>
      </c>
      <c r="W28" s="274">
        <f>'Prod. GEXIJU'!M13</f>
        <v>281.08999999999997</v>
      </c>
      <c r="X28" s="275">
        <f>'GEXIJU Limp.Ord. '!H$194</f>
        <v>0</v>
      </c>
      <c r="Y28" s="277">
        <f>'Prod. GEXIJU'!N13</f>
        <v>281.08999999999997</v>
      </c>
      <c r="Z28" s="275">
        <f>'GEXIJU Limp.Ord. '!H$197</f>
        <v>0</v>
      </c>
      <c r="AA28" s="267">
        <f t="shared" si="1"/>
        <v>0</v>
      </c>
      <c r="AB28" s="268">
        <f>('GEXIJU Covid '!C$131*'Prod. GEXIJU'!T13)+('GEXIJU Covid '!D$131*'Prod. GEXIJU'!U13)+('GEXIJU Covid '!E$131*'Prod. GEXIJU'!V13)</f>
        <v>0</v>
      </c>
      <c r="AC28" s="278">
        <f>'GEXIJU Limp.Ord. '!C$141*'Prod. GEXIJU'!W12</f>
        <v>0</v>
      </c>
      <c r="AD28" s="279">
        <f>'GEXIJU Covid '!C$136*'Prod. GEXIJU'!X13</f>
        <v>0</v>
      </c>
      <c r="AE28" s="280"/>
      <c r="ALD28" s="257"/>
      <c r="ALE28" s="257"/>
      <c r="ALF28" s="257"/>
      <c r="ALG28" s="257"/>
      <c r="ALH28" s="257"/>
      <c r="ALI28" s="257"/>
      <c r="ALJ28" s="257"/>
      <c r="ALK28" s="257"/>
      <c r="ALL28" s="257"/>
      <c r="ALM28" s="257"/>
      <c r="ALN28" s="257"/>
      <c r="ALO28" s="257"/>
    </row>
    <row r="29" spans="1:1003" x14ac:dyDescent="0.2">
      <c r="A29" s="243" t="s">
        <v>101</v>
      </c>
      <c r="B29" s="243" t="s">
        <v>401</v>
      </c>
      <c r="C29" s="244" t="s">
        <v>402</v>
      </c>
      <c r="D29" s="272">
        <f>MC!J81</f>
        <v>0</v>
      </c>
      <c r="E29" s="232">
        <f>'Prod. GEXIJU'!D14</f>
        <v>128.06000000000023</v>
      </c>
      <c r="F29" s="236">
        <f>'GEXIJU Limp.Ord. '!H$149</f>
        <v>0</v>
      </c>
      <c r="G29" s="273">
        <f>'Prod. GEXIJU'!E14</f>
        <v>548.18999999999994</v>
      </c>
      <c r="H29" s="236">
        <f>'GEXIJU Limp.Ord. '!H$155</f>
        <v>0</v>
      </c>
      <c r="I29" s="274">
        <f>'Prod. GEXIJU'!F14</f>
        <v>852.69</v>
      </c>
      <c r="J29" s="275">
        <f>'GEXIJU Limp.Ord. '!H$161</f>
        <v>0</v>
      </c>
      <c r="K29" s="274">
        <f>'Prod. GEXIJU'!G14</f>
        <v>87.7</v>
      </c>
      <c r="L29" s="264">
        <f>'GEXIJU Limp.Ord. '!H$167</f>
        <v>0</v>
      </c>
      <c r="M29" s="274">
        <f>'Prod. GEXIJU'!H14</f>
        <v>117.27</v>
      </c>
      <c r="N29" s="275">
        <f>'GEXIJU Limp.Ord. '!H$173</f>
        <v>0</v>
      </c>
      <c r="O29" s="274">
        <f>'Prod. GEXIJU'!I14</f>
        <v>187.88</v>
      </c>
      <c r="P29" s="275">
        <f>'GEXIJU Limp.Ord. '!H$179</f>
        <v>0</v>
      </c>
      <c r="Q29" s="274">
        <f>'Prod. GEXIJU'!J14</f>
        <v>147.66999999999999</v>
      </c>
      <c r="R29" s="275">
        <f>'GEXIJU Limp.Ord. '!H$182</f>
        <v>0</v>
      </c>
      <c r="S29" s="274">
        <f>'Prod. GEXIJU'!K14</f>
        <v>98.24</v>
      </c>
      <c r="T29" s="275">
        <f>'GEXIJU Limp.Ord. '!H$185</f>
        <v>0</v>
      </c>
      <c r="U29" s="276">
        <f>'Prod. GEXIJU'!L14</f>
        <v>0</v>
      </c>
      <c r="V29" s="275">
        <f>'GEXIJU Limp.Ord. '!H$191</f>
        <v>0</v>
      </c>
      <c r="W29" s="274">
        <f>'Prod. GEXIJU'!M14</f>
        <v>286.83</v>
      </c>
      <c r="X29" s="275">
        <f>'GEXIJU Limp.Ord. '!H$194</f>
        <v>0</v>
      </c>
      <c r="Y29" s="277">
        <f>'Prod. GEXIJU'!N14</f>
        <v>286.83</v>
      </c>
      <c r="Z29" s="275">
        <f>'GEXIJU Limp.Ord. '!H$197</f>
        <v>0</v>
      </c>
      <c r="AA29" s="267">
        <f t="shared" si="1"/>
        <v>0</v>
      </c>
      <c r="AB29" s="268">
        <f>('GEXIJU Covid '!C$131*'Prod. GEXIJU'!T14)+('GEXIJU Covid '!D$131*'Prod. GEXIJU'!U14)+('GEXIJU Covid '!E$131*'Prod. GEXIJU'!V14)</f>
        <v>0</v>
      </c>
      <c r="AC29" s="278">
        <f>'GEXIJU Limp.Ord. '!C$141*'Prod. GEXIJU'!W13</f>
        <v>0</v>
      </c>
      <c r="AD29" s="279">
        <f>'GEXIJU Covid '!C$136*'Prod. GEXIJU'!X14</f>
        <v>0</v>
      </c>
      <c r="AE29" s="280"/>
      <c r="ALD29" s="257"/>
      <c r="ALE29" s="257"/>
      <c r="ALF29" s="257"/>
      <c r="ALG29" s="257"/>
      <c r="ALH29" s="257"/>
      <c r="ALI29" s="257"/>
      <c r="ALJ29" s="257"/>
      <c r="ALK29" s="257"/>
      <c r="ALL29" s="257"/>
      <c r="ALM29" s="257"/>
      <c r="ALN29" s="257"/>
      <c r="ALO29" s="257"/>
    </row>
    <row r="30" spans="1:1003" x14ac:dyDescent="0.2">
      <c r="A30" s="243" t="s">
        <v>103</v>
      </c>
      <c r="B30" s="243" t="s">
        <v>403</v>
      </c>
      <c r="C30" s="244" t="s">
        <v>404</v>
      </c>
      <c r="D30" s="272">
        <f>MC!J82</f>
        <v>0</v>
      </c>
      <c r="E30" s="232">
        <f>'Prod. GEXIJU'!D15</f>
        <v>0</v>
      </c>
      <c r="F30" s="236">
        <f>'GEXIJU Limp.Ord. '!H$149</f>
        <v>0</v>
      </c>
      <c r="G30" s="273">
        <f>'Prod. GEXIJU'!E15</f>
        <v>900</v>
      </c>
      <c r="H30" s="236">
        <f>'GEXIJU Limp.Ord. '!H$155</f>
        <v>0</v>
      </c>
      <c r="I30" s="274">
        <f>'Prod. GEXIJU'!F15</f>
        <v>0</v>
      </c>
      <c r="J30" s="275">
        <f>'GEXIJU Limp.Ord. '!H$161</f>
        <v>0</v>
      </c>
      <c r="K30" s="274">
        <f>'Prod. GEXIJU'!G15</f>
        <v>0</v>
      </c>
      <c r="L30" s="264">
        <f>'GEXIJU Limp.Ord. '!H$167</f>
        <v>0</v>
      </c>
      <c r="M30" s="274">
        <f>'Prod. GEXIJU'!H15</f>
        <v>0</v>
      </c>
      <c r="N30" s="275">
        <f>'GEXIJU Limp.Ord. '!H$173</f>
        <v>0</v>
      </c>
      <c r="O30" s="274">
        <f>'Prod. GEXIJU'!I15</f>
        <v>0</v>
      </c>
      <c r="P30" s="275">
        <f>'GEXIJU Limp.Ord. '!H$179</f>
        <v>0</v>
      </c>
      <c r="Q30" s="274">
        <f>'Prod. GEXIJU'!J15</f>
        <v>0</v>
      </c>
      <c r="R30" s="275">
        <f>'GEXIJU Limp.Ord. '!H$182</f>
        <v>0</v>
      </c>
      <c r="S30" s="274">
        <f>'Prod. GEXIJU'!K15</f>
        <v>0</v>
      </c>
      <c r="T30" s="275">
        <f>'GEXIJU Limp.Ord. '!H$185</f>
        <v>0</v>
      </c>
      <c r="U30" s="276">
        <f>'Prod. GEXIJU'!L15</f>
        <v>0</v>
      </c>
      <c r="V30" s="275">
        <f>'GEXIJU Limp.Ord. '!H$191</f>
        <v>0</v>
      </c>
      <c r="W30" s="274">
        <f>'Prod. GEXIJU'!M15</f>
        <v>0</v>
      </c>
      <c r="X30" s="275">
        <f>'GEXIJU Limp.Ord. '!H$194</f>
        <v>0</v>
      </c>
      <c r="Y30" s="277">
        <f>'Prod. GEXIJU'!N15</f>
        <v>0</v>
      </c>
      <c r="Z30" s="275">
        <f>'GEXIJU Limp.Ord. '!H$197</f>
        <v>0</v>
      </c>
      <c r="AA30" s="267">
        <f t="shared" si="1"/>
        <v>0</v>
      </c>
      <c r="AB30" s="268">
        <f>('GEXIJU Covid '!C$131*'Prod. GEXIJU'!T15)+('GEXIJU Covid '!D$131*'Prod. GEXIJU'!U15)+('GEXIJU Covid '!E$131*'Prod. GEXIJU'!V15)</f>
        <v>0</v>
      </c>
      <c r="AC30" s="278">
        <f>'GEXIJU Limp.Ord. '!C$141*'Prod. GEXIJU'!W14</f>
        <v>0</v>
      </c>
      <c r="AD30" s="279">
        <f>'GEXIJU Covid '!C$136*'Prod. GEXIJU'!X15</f>
        <v>0</v>
      </c>
      <c r="AE30" s="280"/>
      <c r="ALD30" s="257"/>
      <c r="ALE30" s="257"/>
      <c r="ALF30" s="257"/>
      <c r="ALG30" s="257"/>
      <c r="ALH30" s="257"/>
      <c r="ALI30" s="257"/>
      <c r="ALJ30" s="257"/>
      <c r="ALK30" s="257"/>
      <c r="ALL30" s="257"/>
      <c r="ALM30" s="257"/>
      <c r="ALN30" s="257"/>
      <c r="ALO30" s="257"/>
    </row>
    <row r="31" spans="1:1003" x14ac:dyDescent="0.2">
      <c r="A31" s="243" t="s">
        <v>105</v>
      </c>
      <c r="B31" s="243" t="s">
        <v>405</v>
      </c>
      <c r="C31" s="244" t="s">
        <v>406</v>
      </c>
      <c r="D31" s="272">
        <f>MC!J83</f>
        <v>0</v>
      </c>
      <c r="E31" s="232">
        <f>'Prod. GEXIJU'!D16</f>
        <v>-174.45000000000007</v>
      </c>
      <c r="F31" s="236">
        <f>'GEXIJU Limp.Ord. '!D$149</f>
        <v>0</v>
      </c>
      <c r="G31" s="273">
        <f>'Prod. GEXIJU'!E16</f>
        <v>765.78</v>
      </c>
      <c r="H31" s="236">
        <f>'GEXIJU Limp.Ord. '!D$155</f>
        <v>0</v>
      </c>
      <c r="I31" s="274">
        <f>'Prod. GEXIJU'!F16</f>
        <v>652.46</v>
      </c>
      <c r="J31" s="275">
        <f>'GEXIJU Limp.Ord. '!D$161</f>
        <v>0</v>
      </c>
      <c r="K31" s="274">
        <f>'Prod. GEXIJU'!G16</f>
        <v>139.79</v>
      </c>
      <c r="L31" s="264">
        <f>'GEXIJU Limp.Ord. '!D$167</f>
        <v>0</v>
      </c>
      <c r="M31" s="274">
        <f>'Prod. GEXIJU'!H16</f>
        <v>44.74</v>
      </c>
      <c r="N31" s="275">
        <f>'GEXIJU Limp.Ord. '!D$173</f>
        <v>0</v>
      </c>
      <c r="O31" s="274">
        <f>'Prod. GEXIJU'!I16</f>
        <v>69.94</v>
      </c>
      <c r="P31" s="275">
        <f>'GEXIJU Limp.Ord. '!D$179</f>
        <v>0</v>
      </c>
      <c r="Q31" s="274">
        <f>'Prod. GEXIJU'!J16</f>
        <v>114.73</v>
      </c>
      <c r="R31" s="275">
        <f>'GEXIJU Limp.Ord. '!D$182</f>
        <v>0</v>
      </c>
      <c r="S31" s="274">
        <f>'Prod. GEXIJU'!K16</f>
        <v>326.63</v>
      </c>
      <c r="T31" s="275">
        <f>'GEXIJU Limp.Ord. '!D$185</f>
        <v>0</v>
      </c>
      <c r="U31" s="276">
        <f>'Prod. GEXIJU'!L16</f>
        <v>0</v>
      </c>
      <c r="V31" s="275">
        <f>'GEXIJU Limp.Ord. '!D$191</f>
        <v>0</v>
      </c>
      <c r="W31" s="274">
        <f>'Prod. GEXIJU'!M16</f>
        <v>413.11</v>
      </c>
      <c r="X31" s="275">
        <f>'GEXIJU Limp.Ord. '!D$194</f>
        <v>0</v>
      </c>
      <c r="Y31" s="277">
        <f>'Prod. GEXIJU'!N16</f>
        <v>413.11</v>
      </c>
      <c r="Z31" s="275">
        <f>'GEXIJU Limp.Ord. '!D$197</f>
        <v>0</v>
      </c>
      <c r="AA31" s="267">
        <f t="shared" si="1"/>
        <v>0</v>
      </c>
      <c r="AB31" s="268">
        <f>('GEXIJU Covid '!C$129*'Prod. GEXIJU'!T16)+('GEXIJU Covid '!D$129*'Prod. GEXIJU'!U16)+('GEXIJU Covid '!E$129*'Prod. GEXIJU'!V16)</f>
        <v>0</v>
      </c>
      <c r="AC31" s="278">
        <f>'GEXIJU Limp.Ord. '!C$139*'Prod. GEXIJU'!W15</f>
        <v>0</v>
      </c>
      <c r="AD31" s="279">
        <f>'GEXIJU Covid '!C$134*'Prod. GEXIJU'!X16</f>
        <v>0</v>
      </c>
      <c r="AE31" s="280"/>
      <c r="ALD31" s="257"/>
      <c r="ALE31" s="257"/>
      <c r="ALF31" s="257"/>
      <c r="ALG31" s="257"/>
      <c r="ALH31" s="257"/>
      <c r="ALI31" s="257"/>
      <c r="ALJ31" s="257"/>
      <c r="ALK31" s="257"/>
      <c r="ALL31" s="257"/>
      <c r="ALM31" s="257"/>
      <c r="ALN31" s="257"/>
      <c r="ALO31" s="257"/>
    </row>
    <row r="32" spans="1:1003" x14ac:dyDescent="0.2">
      <c r="A32" s="243" t="s">
        <v>107</v>
      </c>
      <c r="B32" s="243" t="s">
        <v>407</v>
      </c>
      <c r="C32" s="244" t="s">
        <v>408</v>
      </c>
      <c r="D32" s="272">
        <f>MC!J84</f>
        <v>0</v>
      </c>
      <c r="E32" s="232">
        <f>'Prod. GEXIJU'!D17</f>
        <v>0</v>
      </c>
      <c r="F32" s="236">
        <f>'GEXIJU Limp.Ord. '!D$149</f>
        <v>0</v>
      </c>
      <c r="G32" s="273">
        <f>'Prod. GEXIJU'!E17</f>
        <v>900</v>
      </c>
      <c r="H32" s="236">
        <f>'GEXIJU Limp.Ord. '!D$155</f>
        <v>0</v>
      </c>
      <c r="I32" s="274">
        <f>'Prod. GEXIJU'!F17</f>
        <v>0</v>
      </c>
      <c r="J32" s="275">
        <f>'GEXIJU Limp.Ord. '!D$161</f>
        <v>0</v>
      </c>
      <c r="K32" s="274">
        <f>'Prod. GEXIJU'!G17</f>
        <v>0</v>
      </c>
      <c r="L32" s="264">
        <f>'GEXIJU Limp.Ord. '!D$167</f>
        <v>0</v>
      </c>
      <c r="M32" s="274">
        <f>'Prod. GEXIJU'!H17</f>
        <v>0</v>
      </c>
      <c r="N32" s="275">
        <f>'GEXIJU Limp.Ord. '!D$173</f>
        <v>0</v>
      </c>
      <c r="O32" s="274">
        <f>'Prod. GEXIJU'!I17</f>
        <v>0</v>
      </c>
      <c r="P32" s="275">
        <f>'GEXIJU Limp.Ord. '!D$179</f>
        <v>0</v>
      </c>
      <c r="Q32" s="274">
        <f>'Prod. GEXIJU'!J17</f>
        <v>0</v>
      </c>
      <c r="R32" s="275">
        <f>'GEXIJU Limp.Ord. '!D$182</f>
        <v>0</v>
      </c>
      <c r="S32" s="274">
        <f>'Prod. GEXIJU'!K17</f>
        <v>0</v>
      </c>
      <c r="T32" s="275">
        <f>'GEXIJU Limp.Ord. '!D$185</f>
        <v>0</v>
      </c>
      <c r="U32" s="276">
        <f>'Prod. GEXIJU'!L17</f>
        <v>0</v>
      </c>
      <c r="V32" s="275">
        <f>'GEXIJU Limp.Ord. '!D$191</f>
        <v>0</v>
      </c>
      <c r="W32" s="274">
        <f>'Prod. GEXIJU'!M17</f>
        <v>0</v>
      </c>
      <c r="X32" s="275">
        <f>'GEXIJU Limp.Ord. '!D$194</f>
        <v>0</v>
      </c>
      <c r="Y32" s="277">
        <f>'Prod. GEXIJU'!N17</f>
        <v>0</v>
      </c>
      <c r="Z32" s="275">
        <f>'GEXIJU Limp.Ord. '!D$197</f>
        <v>0</v>
      </c>
      <c r="AA32" s="267">
        <f t="shared" si="1"/>
        <v>0</v>
      </c>
      <c r="AB32" s="268">
        <f>('GEXIJU Covid '!C$129*'Prod. GEXIJU'!T17)+('GEXIJU Covid '!D$129*'Prod. GEXIJU'!U17)+('GEXIJU Covid '!E$129*'Prod. GEXIJU'!V17)</f>
        <v>0</v>
      </c>
      <c r="AC32" s="278">
        <f>'GEXIJU Limp.Ord. '!C$139*'Prod. GEXIJU'!W16</f>
        <v>0</v>
      </c>
      <c r="AD32" s="279">
        <f>'GEXIJU Covid '!C$134*'Prod. GEXIJU'!X17</f>
        <v>0</v>
      </c>
      <c r="AE32" s="280"/>
      <c r="ALD32" s="257"/>
      <c r="ALE32" s="257"/>
      <c r="ALF32" s="257"/>
      <c r="ALG32" s="257"/>
      <c r="ALH32" s="257"/>
      <c r="ALI32" s="257"/>
      <c r="ALJ32" s="257"/>
      <c r="ALK32" s="257"/>
      <c r="ALL32" s="257"/>
      <c r="ALM32" s="257"/>
      <c r="ALN32" s="257"/>
      <c r="ALO32" s="257"/>
    </row>
    <row r="33" spans="1:1003" x14ac:dyDescent="0.2">
      <c r="A33" s="243" t="s">
        <v>108</v>
      </c>
      <c r="B33" s="243" t="s">
        <v>409</v>
      </c>
      <c r="C33" s="244" t="s">
        <v>410</v>
      </c>
      <c r="D33" s="272">
        <f>MC!J85</f>
        <v>0</v>
      </c>
      <c r="E33" s="232">
        <f>'Prod. GEXIJU'!D18</f>
        <v>0</v>
      </c>
      <c r="F33" s="236">
        <f>'GEXIJU Limp.Ord. '!D$149</f>
        <v>0</v>
      </c>
      <c r="G33" s="273">
        <f>'Prod. GEXIJU'!E18</f>
        <v>900</v>
      </c>
      <c r="H33" s="236">
        <f>'GEXIJU Limp.Ord. '!D$155</f>
        <v>0</v>
      </c>
      <c r="I33" s="274">
        <f>'Prod. GEXIJU'!F18</f>
        <v>0</v>
      </c>
      <c r="J33" s="275">
        <f>'GEXIJU Limp.Ord. '!D$161</f>
        <v>0</v>
      </c>
      <c r="K33" s="274">
        <f>'Prod. GEXIJU'!G18</f>
        <v>0</v>
      </c>
      <c r="L33" s="264">
        <f>'GEXIJU Limp.Ord. '!D$167</f>
        <v>0</v>
      </c>
      <c r="M33" s="274">
        <f>'Prod. GEXIJU'!H18</f>
        <v>0</v>
      </c>
      <c r="N33" s="275">
        <f>'GEXIJU Limp.Ord. '!D$173</f>
        <v>0</v>
      </c>
      <c r="O33" s="274">
        <f>'Prod. GEXIJU'!I18</f>
        <v>0</v>
      </c>
      <c r="P33" s="275">
        <f>'GEXIJU Limp.Ord. '!D$179</f>
        <v>0</v>
      </c>
      <c r="Q33" s="274">
        <f>'Prod. GEXIJU'!J18</f>
        <v>0</v>
      </c>
      <c r="R33" s="275">
        <f>'GEXIJU Limp.Ord. '!D$182</f>
        <v>0</v>
      </c>
      <c r="S33" s="274">
        <f>'Prod. GEXIJU'!K18</f>
        <v>0</v>
      </c>
      <c r="T33" s="275">
        <f>'GEXIJU Limp.Ord. '!D$185</f>
        <v>0</v>
      </c>
      <c r="U33" s="276">
        <f>'Prod. GEXIJU'!L18</f>
        <v>0</v>
      </c>
      <c r="V33" s="275">
        <f>'GEXIJU Limp.Ord. '!D$191</f>
        <v>0</v>
      </c>
      <c r="W33" s="274">
        <f>'Prod. GEXIJU'!M18</f>
        <v>0</v>
      </c>
      <c r="X33" s="275">
        <f>'GEXIJU Limp.Ord. '!D$194</f>
        <v>0</v>
      </c>
      <c r="Y33" s="277">
        <f>'Prod. GEXIJU'!N18</f>
        <v>0</v>
      </c>
      <c r="Z33" s="275">
        <f>'GEXIJU Limp.Ord. '!D$197</f>
        <v>0</v>
      </c>
      <c r="AA33" s="267">
        <f t="shared" si="1"/>
        <v>0</v>
      </c>
      <c r="AB33" s="268">
        <f>('GEXIJU Covid '!C$129*'Prod. GEXIJU'!T18)+('GEXIJU Covid '!D$129*'Prod. GEXIJU'!U18)+('GEXIJU Covid '!E$129*'Prod. GEXIJU'!V18)</f>
        <v>0</v>
      </c>
      <c r="AC33" s="278">
        <f>'GEXIJU Limp.Ord. '!C$139*'Prod. GEXIJU'!W17</f>
        <v>0</v>
      </c>
      <c r="AD33" s="279">
        <f>'GEXIJU Covid '!C$134*'Prod. GEXIJU'!X18</f>
        <v>0</v>
      </c>
      <c r="AE33" s="281"/>
      <c r="ALD33" s="257"/>
      <c r="ALE33" s="257"/>
      <c r="ALF33" s="257"/>
      <c r="ALG33" s="257"/>
      <c r="ALH33" s="257"/>
      <c r="ALI33" s="257"/>
      <c r="ALJ33" s="257"/>
      <c r="ALK33" s="257"/>
      <c r="ALL33" s="257"/>
      <c r="ALM33" s="257"/>
      <c r="ALN33" s="257"/>
      <c r="ALO33" s="257"/>
    </row>
    <row r="34" spans="1:1003" x14ac:dyDescent="0.2">
      <c r="A34" s="243" t="s">
        <v>109</v>
      </c>
      <c r="B34" s="243" t="s">
        <v>411</v>
      </c>
      <c r="C34" s="244" t="s">
        <v>412</v>
      </c>
      <c r="D34" s="272">
        <f>MC!J86</f>
        <v>0</v>
      </c>
      <c r="E34" s="232">
        <f>'Prod. GEXIJU'!D19</f>
        <v>0</v>
      </c>
      <c r="F34" s="236">
        <f>'GEXIJU Limp.Ord. '!H$149</f>
        <v>0</v>
      </c>
      <c r="G34" s="273">
        <f>'Prod. GEXIJU'!E19</f>
        <v>900</v>
      </c>
      <c r="H34" s="236">
        <f>'GEXIJU Limp.Ord. '!H$155</f>
        <v>0</v>
      </c>
      <c r="I34" s="274">
        <f>'Prod. GEXIJU'!F19</f>
        <v>0</v>
      </c>
      <c r="J34" s="275">
        <f>'GEXIJU Limp.Ord. '!H$161</f>
        <v>0</v>
      </c>
      <c r="K34" s="274">
        <f>'Prod. GEXIJU'!G19</f>
        <v>0</v>
      </c>
      <c r="L34" s="264">
        <f>'GEXIJU Limp.Ord. '!H$167</f>
        <v>0</v>
      </c>
      <c r="M34" s="274">
        <f>'Prod. GEXIJU'!H19</f>
        <v>0</v>
      </c>
      <c r="N34" s="275">
        <f>'GEXIJU Limp.Ord. '!H$173</f>
        <v>0</v>
      </c>
      <c r="O34" s="274">
        <f>'Prod. GEXIJU'!I19</f>
        <v>0</v>
      </c>
      <c r="P34" s="275">
        <f>'GEXIJU Limp.Ord. '!H$179</f>
        <v>0</v>
      </c>
      <c r="Q34" s="274">
        <f>'Prod. GEXIJU'!J19</f>
        <v>0</v>
      </c>
      <c r="R34" s="275">
        <f>'GEXIJU Limp.Ord. '!H$182</f>
        <v>0</v>
      </c>
      <c r="S34" s="274">
        <f>'Prod. GEXIJU'!K19</f>
        <v>0</v>
      </c>
      <c r="T34" s="275">
        <f>'GEXIJU Limp.Ord. '!H$185</f>
        <v>0</v>
      </c>
      <c r="U34" s="276">
        <f>'Prod. GEXIJU'!L19</f>
        <v>0</v>
      </c>
      <c r="V34" s="275">
        <f>'GEXIJU Limp.Ord. '!H$191</f>
        <v>0</v>
      </c>
      <c r="W34" s="274">
        <f>'Prod. GEXIJU'!M19</f>
        <v>0</v>
      </c>
      <c r="X34" s="275">
        <f>'GEXIJU Limp.Ord. '!H$194</f>
        <v>0</v>
      </c>
      <c r="Y34" s="277">
        <f>'Prod. GEXIJU'!N19</f>
        <v>0</v>
      </c>
      <c r="Z34" s="275">
        <f>'GEXIJU Limp.Ord. '!H$197</f>
        <v>0</v>
      </c>
      <c r="AA34" s="267">
        <f t="shared" si="1"/>
        <v>0</v>
      </c>
      <c r="AB34" s="268">
        <f>('GEXIJU Covid '!C$131*'Prod. GEXIJU'!T19)+('GEXIJU Covid '!D$131*'Prod. GEXIJU'!U19)+('GEXIJU Covid '!E$131*'Prod. GEXIJU'!V19)</f>
        <v>0</v>
      </c>
      <c r="AC34" s="278">
        <f>'GEXIJU Limp.Ord. '!C$141*'Prod. GEXIJU'!W18</f>
        <v>0</v>
      </c>
      <c r="AD34" s="279">
        <f>'GEXIJU Covid '!C$136*'Prod. GEXIJU'!X19</f>
        <v>0</v>
      </c>
      <c r="AE34" s="281"/>
      <c r="ALD34" s="257"/>
      <c r="ALE34" s="257"/>
      <c r="ALF34" s="257"/>
      <c r="ALG34" s="257"/>
      <c r="ALH34" s="257"/>
      <c r="ALI34" s="257"/>
      <c r="ALJ34" s="257"/>
      <c r="ALK34" s="257"/>
      <c r="ALL34" s="257"/>
      <c r="ALM34" s="257"/>
      <c r="ALN34" s="257"/>
      <c r="ALO34" s="257"/>
    </row>
    <row r="35" spans="1:1003" x14ac:dyDescent="0.2">
      <c r="A35" s="243" t="s">
        <v>111</v>
      </c>
      <c r="B35" s="243" t="s">
        <v>413</v>
      </c>
      <c r="C35" s="244" t="s">
        <v>414</v>
      </c>
      <c r="D35" s="272">
        <f>MC!J87</f>
        <v>0</v>
      </c>
      <c r="E35" s="232">
        <f>'Prod. GEXIJU'!D20</f>
        <v>0</v>
      </c>
      <c r="F35" s="236">
        <f>'GEXIJU Limp.Ord. '!H$149</f>
        <v>0</v>
      </c>
      <c r="G35" s="273">
        <f>'Prod. GEXIJU'!E20</f>
        <v>900</v>
      </c>
      <c r="H35" s="236">
        <f>'GEXIJU Limp.Ord. '!H$155</f>
        <v>0</v>
      </c>
      <c r="I35" s="274">
        <f>'Prod. GEXIJU'!F20</f>
        <v>0</v>
      </c>
      <c r="J35" s="275">
        <f>'GEXIJU Limp.Ord. '!H$161</f>
        <v>0</v>
      </c>
      <c r="K35" s="274">
        <f>'Prod. GEXIJU'!G20</f>
        <v>0</v>
      </c>
      <c r="L35" s="264">
        <f>'GEXIJU Limp.Ord. '!H$167</f>
        <v>0</v>
      </c>
      <c r="M35" s="274">
        <f>'Prod. GEXIJU'!H20</f>
        <v>0</v>
      </c>
      <c r="N35" s="275">
        <f>'GEXIJU Limp.Ord. '!H$173</f>
        <v>0</v>
      </c>
      <c r="O35" s="274">
        <f>'Prod. GEXIJU'!I20</f>
        <v>0</v>
      </c>
      <c r="P35" s="275">
        <f>'GEXIJU Limp.Ord. '!H$179</f>
        <v>0</v>
      </c>
      <c r="Q35" s="274">
        <f>'Prod. GEXIJU'!J20</f>
        <v>0</v>
      </c>
      <c r="R35" s="275">
        <f>'GEXIJU Limp.Ord. '!H$182</f>
        <v>0</v>
      </c>
      <c r="S35" s="274">
        <f>'Prod. GEXIJU'!K20</f>
        <v>0</v>
      </c>
      <c r="T35" s="275">
        <f>'GEXIJU Limp.Ord. '!H$185</f>
        <v>0</v>
      </c>
      <c r="U35" s="276">
        <f>'Prod. GEXIJU'!L20</f>
        <v>0</v>
      </c>
      <c r="V35" s="275">
        <f>'GEXIJU Limp.Ord. '!H$191</f>
        <v>0</v>
      </c>
      <c r="W35" s="274">
        <f>'Prod. GEXIJU'!M20</f>
        <v>0</v>
      </c>
      <c r="X35" s="275">
        <f>'GEXIJU Limp.Ord. '!H$194</f>
        <v>0</v>
      </c>
      <c r="Y35" s="277">
        <f>'Prod. GEXIJU'!N20</f>
        <v>0</v>
      </c>
      <c r="Z35" s="275">
        <f>'GEXIJU Limp.Ord. '!H$197</f>
        <v>0</v>
      </c>
      <c r="AA35" s="267">
        <f t="shared" si="1"/>
        <v>0</v>
      </c>
      <c r="AB35" s="268">
        <f>('GEXIJU Covid '!C$131*'Prod. GEXIJU'!T20)+('GEXIJU Covid '!D$131*'Prod. GEXIJU'!U20)+('GEXIJU Covid '!E$131*'Prod. GEXIJU'!V20)</f>
        <v>0</v>
      </c>
      <c r="AC35" s="278">
        <f>'GEXIJU Limp.Ord. '!C$141*'Prod. GEXIJU'!W19</f>
        <v>0</v>
      </c>
      <c r="AD35" s="279">
        <f>'GEXIJU Covid '!C$136*'Prod. GEXIJU'!X20</f>
        <v>0</v>
      </c>
      <c r="AE35" s="281"/>
      <c r="ALD35" s="257"/>
      <c r="ALE35" s="257"/>
      <c r="ALF35" s="257"/>
      <c r="ALG35" s="257"/>
      <c r="ALH35" s="257"/>
      <c r="ALI35" s="257"/>
      <c r="ALJ35" s="257"/>
      <c r="ALK35" s="257"/>
      <c r="ALL35" s="257"/>
      <c r="ALM35" s="257"/>
      <c r="ALN35" s="257"/>
      <c r="ALO35" s="257"/>
    </row>
    <row r="36" spans="1:1003" x14ac:dyDescent="0.2">
      <c r="A36" s="751"/>
      <c r="B36" s="751"/>
      <c r="C36" s="751"/>
      <c r="D36" s="751"/>
      <c r="E36" s="249">
        <f>SUM(E19:E35)</f>
        <v>560.50000000000091</v>
      </c>
      <c r="F36" s="250"/>
      <c r="G36" s="282">
        <f>SUM(G19:G35)</f>
        <v>13025.460000000001</v>
      </c>
      <c r="H36" s="250"/>
      <c r="I36" s="283">
        <f>SUM(I19:I35)</f>
        <v>6482.3300000000008</v>
      </c>
      <c r="J36" s="252"/>
      <c r="K36" s="283">
        <f>SUM(K19:K35)</f>
        <v>1711.9199999999998</v>
      </c>
      <c r="L36" s="252"/>
      <c r="M36" s="283">
        <f>SUM(M19:M35)</f>
        <v>758.18000000000006</v>
      </c>
      <c r="N36" s="252"/>
      <c r="O36" s="283">
        <f>SUM(O19:O35)</f>
        <v>1493.1399999999999</v>
      </c>
      <c r="P36" s="284"/>
      <c r="Q36" s="283">
        <f>SUM(Q19:Q35)</f>
        <v>1271.0300000000002</v>
      </c>
      <c r="R36" s="252"/>
      <c r="S36" s="283">
        <f>SUM(S19:S35)</f>
        <v>2139.08</v>
      </c>
      <c r="T36" s="252"/>
      <c r="U36" s="283">
        <f>SUM(U19:U35)</f>
        <v>0</v>
      </c>
      <c r="V36" s="252"/>
      <c r="W36" s="283">
        <f>SUM(W19:W35)</f>
        <v>3286.4</v>
      </c>
      <c r="X36" s="252"/>
      <c r="Y36" s="285">
        <f>SUM(Y19:Y35)</f>
        <v>3286.4</v>
      </c>
      <c r="Z36" s="252"/>
      <c r="AA36" s="252">
        <f>SUM(AA19:AA35)</f>
        <v>0</v>
      </c>
      <c r="AB36" s="256">
        <f>SUM(AB19:AB35)</f>
        <v>0</v>
      </c>
      <c r="AC36" s="254">
        <f>SUM(AC19:AC35)</f>
        <v>0</v>
      </c>
      <c r="AD36" s="256">
        <f>SUM(AD19:AD35)</f>
        <v>0</v>
      </c>
      <c r="AE36" s="252">
        <f>SUM(AE19:AE35)</f>
        <v>4043.6000000000004</v>
      </c>
      <c r="ALD36" s="257"/>
      <c r="ALE36" s="257"/>
      <c r="ALF36" s="257"/>
      <c r="ALG36" s="257"/>
      <c r="ALH36" s="257"/>
      <c r="ALI36" s="257"/>
      <c r="ALJ36" s="257"/>
      <c r="ALK36" s="257"/>
      <c r="ALL36" s="257"/>
      <c r="ALM36" s="257"/>
      <c r="ALN36" s="257"/>
      <c r="ALO36" s="257"/>
    </row>
    <row r="37" spans="1:1003" x14ac:dyDescent="0.2">
      <c r="A37" s="228" t="s">
        <v>112</v>
      </c>
      <c r="B37" s="258" t="s">
        <v>415</v>
      </c>
      <c r="C37" s="258" t="s">
        <v>416</v>
      </c>
      <c r="D37" s="231">
        <f>MC!C88</f>
        <v>0</v>
      </c>
      <c r="E37" s="232">
        <f>'Prod. GEXPSF'!D4</f>
        <v>0</v>
      </c>
      <c r="F37" s="286">
        <f>'GEXPSF Limp. Ord.'!$D$149</f>
        <v>0</v>
      </c>
      <c r="G37" s="273">
        <f>'Prod. GEXPSF'!E4</f>
        <v>800</v>
      </c>
      <c r="H37" s="286">
        <f>'GEXPSF Limp. Ord.'!$D$155</f>
        <v>0</v>
      </c>
      <c r="I37" s="274">
        <f>'Prod. GEXPSF'!F4</f>
        <v>0</v>
      </c>
      <c r="J37" s="286">
        <f>'GEXPSF Limp. Ord.'!$D$161</f>
        <v>0</v>
      </c>
      <c r="K37" s="274">
        <f>'Prod. GEXPSF'!G4</f>
        <v>0</v>
      </c>
      <c r="L37" s="286">
        <f>'GEXPSF Limp. Ord.'!$D$167</f>
        <v>0</v>
      </c>
      <c r="M37" s="274">
        <f>'Prod. GEXPSF'!H4</f>
        <v>0</v>
      </c>
      <c r="N37" s="286">
        <f>'GEXPSF Limp. Ord.'!$D$173</f>
        <v>0</v>
      </c>
      <c r="O37" s="274">
        <f>'Prod. GEXPSF'!I4</f>
        <v>0</v>
      </c>
      <c r="P37" s="286">
        <f>'GEXPSF Limp. Ord.'!$D$179</f>
        <v>0</v>
      </c>
      <c r="Q37" s="274">
        <f>'Prod. GEXPSF'!J4</f>
        <v>0</v>
      </c>
      <c r="R37" s="286">
        <f>'GEXPSF Limp. Ord.'!$D$182</f>
        <v>0</v>
      </c>
      <c r="S37" s="274">
        <f>'Prod. GEXPSF'!K4</f>
        <v>0</v>
      </c>
      <c r="T37" s="286">
        <f>'GEXPSF Limp. Ord.'!$D$185</f>
        <v>0</v>
      </c>
      <c r="U37" s="276">
        <f>'Prod. GEXPSF'!L4</f>
        <v>0</v>
      </c>
      <c r="V37" s="286">
        <f>'GEXPSF Limp. Ord.'!$D$191</f>
        <v>0</v>
      </c>
      <c r="W37" s="274">
        <f>'Prod. GEXPSF'!M4</f>
        <v>0</v>
      </c>
      <c r="X37" s="286">
        <f>'GEXPSF Limp. Ord.'!$D$194</f>
        <v>0</v>
      </c>
      <c r="Y37" s="274">
        <f>'Prod. GEXPSF'!N4</f>
        <v>0</v>
      </c>
      <c r="Z37" s="286">
        <f>'GEXPSF Limp. Ord.'!$D$197</f>
        <v>0</v>
      </c>
      <c r="AA37" s="267">
        <f t="shared" ref="AA37:AA49" si="2">(E37*F37)+(G37*H37)+(I37*J37)+(K37*L37)+(M37*N37)+(O37*P37)+(Q37*R37)+(S37*T37)+(U37*V37)+(W37*X37)+(Y37*Z37)</f>
        <v>0</v>
      </c>
      <c r="AB37" s="268">
        <f>('GEX PSF Covid'!C$129*'Prod. GEXPSF'!T4)+('GEX PSF Covid'!D$129*'Prod. GEXPSF'!U4)</f>
        <v>0</v>
      </c>
      <c r="AC37" s="269">
        <f>'GEXPSF Limp. Ord.'!C$139*'Prod. GEXPSF'!W4</f>
        <v>0</v>
      </c>
      <c r="AD37" s="270">
        <f>'GEX PSF Covid'!C$134*'Prod. GEXPSF'!W4</f>
        <v>0</v>
      </c>
      <c r="AE37" s="271">
        <f>MC!C15*'Prod. GEXPSF'!X4</f>
        <v>4043.6000000000004</v>
      </c>
      <c r="ALD37" s="257"/>
      <c r="ALE37" s="257"/>
      <c r="ALF37" s="257"/>
      <c r="ALG37" s="257"/>
      <c r="ALH37" s="257"/>
      <c r="ALI37" s="257"/>
      <c r="ALJ37" s="257"/>
      <c r="ALK37" s="257"/>
      <c r="ALL37" s="257"/>
      <c r="ALM37" s="257"/>
      <c r="ALN37" s="257"/>
      <c r="ALO37" s="257"/>
    </row>
    <row r="38" spans="1:1003" x14ac:dyDescent="0.2">
      <c r="A38" s="243" t="s">
        <v>113</v>
      </c>
      <c r="B38" s="244" t="s">
        <v>417</v>
      </c>
      <c r="C38" s="244" t="s">
        <v>418</v>
      </c>
      <c r="D38" s="245">
        <f>MC!C89</f>
        <v>0</v>
      </c>
      <c r="E38" s="232">
        <f>'Prod. GEXPSF'!D5</f>
        <v>136.9500000000001</v>
      </c>
      <c r="F38" s="286">
        <f>'GEXPSF Limp. Ord.'!$H$149</f>
        <v>0</v>
      </c>
      <c r="G38" s="273">
        <f>'Prod. GEXPSF'!E5</f>
        <v>500.44000000000005</v>
      </c>
      <c r="H38" s="286">
        <f>'GEXPSF Limp. Ord.'!$H$155</f>
        <v>0</v>
      </c>
      <c r="I38" s="274">
        <f>'Prod. GEXPSF'!F5</f>
        <v>1326.82</v>
      </c>
      <c r="J38" s="286">
        <f>'GEXPSF Limp. Ord.'!$H$161</f>
        <v>0</v>
      </c>
      <c r="K38" s="274">
        <f>'Prod. GEXPSF'!G5</f>
        <v>329.34</v>
      </c>
      <c r="L38" s="286">
        <f>'GEXPSF Limp. Ord.'!$H$167</f>
        <v>0</v>
      </c>
      <c r="M38" s="274">
        <f>'Prod. GEXPSF'!H5</f>
        <v>74.89</v>
      </c>
      <c r="N38" s="286">
        <f>'GEXPSF Limp. Ord.'!$H$173</f>
        <v>0</v>
      </c>
      <c r="O38" s="274">
        <f>'Prod. GEXPSF'!I5</f>
        <v>918.7</v>
      </c>
      <c r="P38" s="286">
        <f>'GEXPSF Limp. Ord.'!$H$179</f>
        <v>0</v>
      </c>
      <c r="Q38" s="274">
        <f>'Prod. GEXPSF'!J5</f>
        <v>0</v>
      </c>
      <c r="R38" s="286">
        <f>'GEXPSF Limp. Ord.'!$H$182</f>
        <v>0</v>
      </c>
      <c r="S38" s="274">
        <f>'Prod. GEXPSF'!K5</f>
        <v>0</v>
      </c>
      <c r="T38" s="286">
        <f>'GEXPSF Limp. Ord.'!$H$185</f>
        <v>0</v>
      </c>
      <c r="U38" s="276">
        <f>'Prod. GEXPSF'!L5</f>
        <v>0</v>
      </c>
      <c r="V38" s="286">
        <f>'GEXPSF Limp. Ord.'!$H$191</f>
        <v>0</v>
      </c>
      <c r="W38" s="274">
        <f>'Prod. GEXPSF'!M5</f>
        <v>343.54</v>
      </c>
      <c r="X38" s="286">
        <f>'GEXPSF Limp. Ord.'!$H$194</f>
        <v>0</v>
      </c>
      <c r="Y38" s="274">
        <f>'Prod. GEXPSF'!N5</f>
        <v>343.54</v>
      </c>
      <c r="Z38" s="286">
        <f>'GEXPSF Limp. Ord.'!$H$197</f>
        <v>0</v>
      </c>
      <c r="AA38" s="267">
        <f t="shared" si="2"/>
        <v>0</v>
      </c>
      <c r="AB38" s="268">
        <f>('GEX PSF Covid'!C$131*'Prod. GEXPSF'!T5)+('GEX PSF Covid'!D$131*'Prod. GEXPSF'!U5)</f>
        <v>0</v>
      </c>
      <c r="AC38" s="278">
        <f>'GEXPSF Limp. Ord.'!C$141*'Prod. GEXPSF'!W5</f>
        <v>0</v>
      </c>
      <c r="AD38" s="279">
        <f>'GEX PSF Covid'!C$136*'Prod. GEXPSF'!W4</f>
        <v>0</v>
      </c>
      <c r="AE38" s="280"/>
      <c r="ALD38" s="257"/>
      <c r="ALE38" s="257"/>
      <c r="ALF38" s="257"/>
      <c r="ALG38" s="257"/>
      <c r="ALH38" s="257"/>
      <c r="ALI38" s="257"/>
      <c r="ALJ38" s="257"/>
      <c r="ALK38" s="257"/>
      <c r="ALL38" s="257"/>
      <c r="ALM38" s="257"/>
      <c r="ALN38" s="257"/>
      <c r="ALO38" s="257"/>
    </row>
    <row r="39" spans="1:1003" x14ac:dyDescent="0.2">
      <c r="A39" s="243" t="s">
        <v>114</v>
      </c>
      <c r="B39" s="244" t="s">
        <v>419</v>
      </c>
      <c r="C39" s="244" t="s">
        <v>420</v>
      </c>
      <c r="D39" s="245">
        <f>MC!C90</f>
        <v>0</v>
      </c>
      <c r="E39" s="232">
        <f>'Prod. GEXPSF'!D6</f>
        <v>711.69999999999993</v>
      </c>
      <c r="F39" s="286">
        <f>'GEXPSF Limp. Ord.'!$H$149</f>
        <v>0</v>
      </c>
      <c r="G39" s="273">
        <f>'Prod. GEXPSF'!E6</f>
        <v>492.44000000000005</v>
      </c>
      <c r="H39" s="286">
        <f>'GEXPSF Limp. Ord.'!$H$155</f>
        <v>0</v>
      </c>
      <c r="I39" s="274">
        <f>'Prod. GEXPSF'!F6</f>
        <v>1078.3</v>
      </c>
      <c r="J39" s="286">
        <f>'GEXPSF Limp. Ord.'!$H$161</f>
        <v>0</v>
      </c>
      <c r="K39" s="274">
        <f>'Prod. GEXPSF'!G6</f>
        <v>274.79000000000002</v>
      </c>
      <c r="L39" s="286">
        <f>'GEXPSF Limp. Ord.'!$H$167</f>
        <v>0</v>
      </c>
      <c r="M39" s="274">
        <f>'Prod. GEXPSF'!H6</f>
        <v>76.89</v>
      </c>
      <c r="N39" s="286">
        <f>'GEXPSF Limp. Ord.'!$H$173</f>
        <v>0</v>
      </c>
      <c r="O39" s="274">
        <f>'Prod. GEXPSF'!I6</f>
        <v>473.07</v>
      </c>
      <c r="P39" s="286">
        <f>'GEXPSF Limp. Ord.'!$H$179</f>
        <v>0</v>
      </c>
      <c r="Q39" s="274">
        <f>'Prod. GEXPSF'!J6</f>
        <v>0</v>
      </c>
      <c r="R39" s="286">
        <f>'GEXPSF Limp. Ord.'!$H$182</f>
        <v>0</v>
      </c>
      <c r="S39" s="274">
        <f>'Prod. GEXPSF'!K6</f>
        <v>0</v>
      </c>
      <c r="T39" s="286">
        <f>'GEXPSF Limp. Ord.'!$H$185</f>
        <v>0</v>
      </c>
      <c r="U39" s="276">
        <f>'Prod. GEXPSF'!L6</f>
        <v>0</v>
      </c>
      <c r="V39" s="286">
        <f>'GEXPSF Limp. Ord.'!$H$191</f>
        <v>0</v>
      </c>
      <c r="W39" s="274">
        <f>'Prod. GEXPSF'!M6</f>
        <v>658.53</v>
      </c>
      <c r="X39" s="286">
        <f>'GEXPSF Limp. Ord.'!$H$194</f>
        <v>0</v>
      </c>
      <c r="Y39" s="274">
        <f>'Prod. GEXPSF'!N6</f>
        <v>658.53</v>
      </c>
      <c r="Z39" s="286">
        <f>'GEXPSF Limp. Ord.'!$H$197</f>
        <v>0</v>
      </c>
      <c r="AA39" s="267">
        <f t="shared" si="2"/>
        <v>0</v>
      </c>
      <c r="AB39" s="268">
        <f>('GEX PSF Covid'!C$131*'Prod. GEXPSF'!T6)+('GEX PSF Covid'!D$131*'Prod. GEXPSF'!U6)</f>
        <v>0</v>
      </c>
      <c r="AC39" s="278">
        <f>'GEXPSF Limp. Ord.'!C$141*'Prod. GEXPSF'!W6</f>
        <v>0</v>
      </c>
      <c r="AD39" s="279">
        <f>'GEX PSF Covid'!C$136*'Prod. GEXPSF'!W5</f>
        <v>0</v>
      </c>
      <c r="AE39" s="280"/>
      <c r="ALD39" s="257"/>
      <c r="ALE39" s="257"/>
      <c r="ALF39" s="257"/>
      <c r="ALG39" s="257"/>
      <c r="ALH39" s="257"/>
      <c r="ALI39" s="257"/>
      <c r="ALJ39" s="257"/>
      <c r="ALK39" s="257"/>
      <c r="ALL39" s="257"/>
      <c r="ALM39" s="257"/>
      <c r="ALN39" s="257"/>
      <c r="ALO39" s="257"/>
    </row>
    <row r="40" spans="1:1003" x14ac:dyDescent="0.2">
      <c r="A40" s="243" t="s">
        <v>115</v>
      </c>
      <c r="B40" s="244" t="s">
        <v>421</v>
      </c>
      <c r="C40" s="244" t="s">
        <v>422</v>
      </c>
      <c r="D40" s="245">
        <f>MC!C91</f>
        <v>0</v>
      </c>
      <c r="E40" s="232">
        <f>'Prod. GEXPSF'!D7</f>
        <v>0</v>
      </c>
      <c r="F40" s="286">
        <f>'GEXPSF Limp. Ord.'!$D$149</f>
        <v>0</v>
      </c>
      <c r="G40" s="273">
        <f>'Prod. GEXPSF'!E7</f>
        <v>800</v>
      </c>
      <c r="H40" s="286">
        <f>'GEXPSF Limp. Ord.'!$D$155</f>
        <v>0</v>
      </c>
      <c r="I40" s="274">
        <f>'Prod. GEXPSF'!F7</f>
        <v>0</v>
      </c>
      <c r="J40" s="286">
        <f>'GEXPSF Limp. Ord.'!$D$161</f>
        <v>0</v>
      </c>
      <c r="K40" s="274">
        <f>'Prod. GEXPSF'!G7</f>
        <v>0</v>
      </c>
      <c r="L40" s="286">
        <f>'GEXPSF Limp. Ord.'!$D$167</f>
        <v>0</v>
      </c>
      <c r="M40" s="274">
        <f>'Prod. GEXPSF'!H7</f>
        <v>0</v>
      </c>
      <c r="N40" s="286">
        <f>'GEXPSF Limp. Ord.'!$D$173</f>
        <v>0</v>
      </c>
      <c r="O40" s="274">
        <f>'Prod. GEXPSF'!I7</f>
        <v>0</v>
      </c>
      <c r="P40" s="286">
        <f>'GEXPSF Limp. Ord.'!$D$179</f>
        <v>0</v>
      </c>
      <c r="Q40" s="274">
        <f>'Prod. GEXPSF'!J7</f>
        <v>0</v>
      </c>
      <c r="R40" s="286">
        <f>'GEXPSF Limp. Ord.'!$D$182</f>
        <v>0</v>
      </c>
      <c r="S40" s="274">
        <f>'Prod. GEXPSF'!K7</f>
        <v>0</v>
      </c>
      <c r="T40" s="286">
        <f>'GEXPSF Limp. Ord.'!$D$185</f>
        <v>0</v>
      </c>
      <c r="U40" s="276">
        <f>'Prod. GEXPSF'!L7</f>
        <v>0</v>
      </c>
      <c r="V40" s="286">
        <f>'GEXPSF Limp. Ord.'!$D$191</f>
        <v>0</v>
      </c>
      <c r="W40" s="274">
        <f>'Prod. GEXPSF'!M7</f>
        <v>0</v>
      </c>
      <c r="X40" s="286">
        <f>'GEXPSF Limp. Ord.'!$D$194</f>
        <v>0</v>
      </c>
      <c r="Y40" s="274">
        <f>'Prod. GEXPSF'!N7</f>
        <v>0</v>
      </c>
      <c r="Z40" s="286">
        <f>'GEXPSF Limp. Ord.'!$D$197</f>
        <v>0</v>
      </c>
      <c r="AA40" s="267">
        <f t="shared" si="2"/>
        <v>0</v>
      </c>
      <c r="AB40" s="268">
        <f>('GEX PSF Covid'!C$129*'Prod. GEXPSF'!T7)+('GEX PSF Covid'!D$129*'Prod. GEXPSF'!U7)</f>
        <v>0</v>
      </c>
      <c r="AC40" s="278">
        <f>'GEXPSF Limp. Ord.'!C$139*'Prod. GEXPSF'!W7</f>
        <v>0</v>
      </c>
      <c r="AD40" s="279">
        <f>'GEX PSF Covid'!C$134*'Prod. GEXPSF'!W6</f>
        <v>0</v>
      </c>
      <c r="AE40" s="280"/>
      <c r="ALD40" s="257"/>
      <c r="ALE40" s="257"/>
      <c r="ALF40" s="257"/>
      <c r="ALG40" s="257"/>
      <c r="ALH40" s="257"/>
      <c r="ALI40" s="257"/>
      <c r="ALJ40" s="257"/>
      <c r="ALK40" s="257"/>
      <c r="ALL40" s="257"/>
      <c r="ALM40" s="257"/>
      <c r="ALN40" s="257"/>
      <c r="ALO40" s="257"/>
    </row>
    <row r="41" spans="1:1003" x14ac:dyDescent="0.2">
      <c r="A41" s="243" t="s">
        <v>116</v>
      </c>
      <c r="B41" s="244" t="s">
        <v>423</v>
      </c>
      <c r="C41" s="244" t="s">
        <v>424</v>
      </c>
      <c r="D41" s="245">
        <f>MC!C92</f>
        <v>0</v>
      </c>
      <c r="E41" s="232">
        <f>'Prod. GEXPSF'!D8</f>
        <v>-220.93000000000006</v>
      </c>
      <c r="F41" s="286">
        <f>'GEXPSF Limp. Ord.'!$H$149</f>
        <v>0</v>
      </c>
      <c r="G41" s="273">
        <f>'Prod. GEXPSF'!E8</f>
        <v>603.56000000000006</v>
      </c>
      <c r="H41" s="286">
        <f>'GEXPSF Limp. Ord.'!$H$155</f>
        <v>0</v>
      </c>
      <c r="I41" s="274">
        <f>'Prod. GEXPSF'!F8</f>
        <v>869.07</v>
      </c>
      <c r="J41" s="286">
        <f>'GEXPSF Limp. Ord.'!$H$161</f>
        <v>0</v>
      </c>
      <c r="K41" s="274">
        <f>'Prod. GEXPSF'!G8</f>
        <v>248.17</v>
      </c>
      <c r="L41" s="286">
        <f>'GEXPSF Limp. Ord.'!$H$167</f>
        <v>0</v>
      </c>
      <c r="M41" s="274">
        <f>'Prod. GEXPSF'!H8</f>
        <v>49.11</v>
      </c>
      <c r="N41" s="286">
        <f>'GEXPSF Limp. Ord.'!$H$173</f>
        <v>0</v>
      </c>
      <c r="O41" s="274">
        <f>'Prod. GEXPSF'!I8</f>
        <v>751.02</v>
      </c>
      <c r="P41" s="286">
        <f>'GEXPSF Limp. Ord.'!$H$179</f>
        <v>0</v>
      </c>
      <c r="Q41" s="274">
        <f>'Prod. GEXPSF'!J8</f>
        <v>0</v>
      </c>
      <c r="R41" s="286">
        <f>'GEXPSF Limp. Ord.'!$H$182</f>
        <v>0</v>
      </c>
      <c r="S41" s="274">
        <f>'Prod. GEXPSF'!K8</f>
        <v>0</v>
      </c>
      <c r="T41" s="286">
        <f>'GEXPSF Limp. Ord.'!$H$185</f>
        <v>0</v>
      </c>
      <c r="U41" s="276">
        <f>'Prod. GEXPSF'!L8</f>
        <v>0</v>
      </c>
      <c r="V41" s="286">
        <f>'GEXPSF Limp. Ord.'!$H$191</f>
        <v>0</v>
      </c>
      <c r="W41" s="274">
        <f>'Prod. GEXPSF'!M8</f>
        <v>333.85</v>
      </c>
      <c r="X41" s="286">
        <f>'GEXPSF Limp. Ord.'!$H$194</f>
        <v>0</v>
      </c>
      <c r="Y41" s="274">
        <f>'Prod. GEXPSF'!N8</f>
        <v>333.85</v>
      </c>
      <c r="Z41" s="286">
        <f>'GEXPSF Limp. Ord.'!$H$197</f>
        <v>0</v>
      </c>
      <c r="AA41" s="267">
        <f t="shared" si="2"/>
        <v>0</v>
      </c>
      <c r="AB41" s="268">
        <f>('GEX PSF Covid'!C$131*'Prod. GEXPSF'!T8)+('GEX PSF Covid'!D$131*'Prod. GEXPSF'!U8)</f>
        <v>0</v>
      </c>
      <c r="AC41" s="278">
        <f>'GEXPSF Limp. Ord.'!C$141*'Prod. GEXPSF'!W8</f>
        <v>0</v>
      </c>
      <c r="AD41" s="279">
        <f>'GEX PSF Covid'!C$136*'Prod. GEXPSF'!W7</f>
        <v>0</v>
      </c>
      <c r="AE41" s="280"/>
      <c r="ALD41" s="257"/>
      <c r="ALE41" s="257"/>
      <c r="ALF41" s="257"/>
      <c r="ALG41" s="257"/>
      <c r="ALH41" s="257"/>
      <c r="ALI41" s="257"/>
      <c r="ALJ41" s="257"/>
      <c r="ALK41" s="257"/>
      <c r="ALL41" s="257"/>
      <c r="ALM41" s="257"/>
      <c r="ALN41" s="257"/>
      <c r="ALO41" s="257"/>
    </row>
    <row r="42" spans="1:1003" x14ac:dyDescent="0.2">
      <c r="A42" s="243" t="s">
        <v>117</v>
      </c>
      <c r="B42" s="244" t="s">
        <v>415</v>
      </c>
      <c r="C42" s="244" t="s">
        <v>416</v>
      </c>
      <c r="D42" s="245">
        <f>MC!C93</f>
        <v>0</v>
      </c>
      <c r="E42" s="232">
        <f>'Prod. GEXPSF'!D9</f>
        <v>431.50000000000011</v>
      </c>
      <c r="F42" s="286">
        <f>'GEXPSF Limp. Ord.'!$D$149</f>
        <v>0</v>
      </c>
      <c r="G42" s="273">
        <f>'Prod. GEXPSF'!E9</f>
        <v>443.36</v>
      </c>
      <c r="H42" s="286">
        <f>'GEXPSF Limp. Ord.'!$D$155</f>
        <v>0</v>
      </c>
      <c r="I42" s="274">
        <f>'Prod. GEXPSF'!F9</f>
        <v>358.98500000000001</v>
      </c>
      <c r="J42" s="286">
        <f>'GEXPSF Limp. Ord.'!$D$161</f>
        <v>0</v>
      </c>
      <c r="K42" s="274">
        <f>'Prod. GEXPSF'!G9</f>
        <v>129.685</v>
      </c>
      <c r="L42" s="286">
        <f>'GEXPSF Limp. Ord.'!$D$167</f>
        <v>0</v>
      </c>
      <c r="M42" s="274">
        <f>'Prod. GEXPSF'!H9</f>
        <v>89.16</v>
      </c>
      <c r="N42" s="286">
        <f>'GEXPSF Limp. Ord.'!$D$173</f>
        <v>0</v>
      </c>
      <c r="O42" s="274">
        <f>'Prod. GEXPSF'!I9</f>
        <v>440.34</v>
      </c>
      <c r="P42" s="286">
        <f>'GEXPSF Limp. Ord.'!$D$179</f>
        <v>0</v>
      </c>
      <c r="Q42" s="274">
        <f>'Prod. GEXPSF'!J9</f>
        <v>0</v>
      </c>
      <c r="R42" s="286">
        <f>'GEXPSF Limp. Ord.'!$D$182</f>
        <v>0</v>
      </c>
      <c r="S42" s="274">
        <f>'Prod. GEXPSF'!K9</f>
        <v>0</v>
      </c>
      <c r="T42" s="286">
        <f>'GEXPSF Limp. Ord.'!$D$185</f>
        <v>0</v>
      </c>
      <c r="U42" s="276">
        <f>'Prod. GEXPSF'!L9</f>
        <v>0</v>
      </c>
      <c r="V42" s="286">
        <f>'GEXPSF Limp. Ord.'!$D$191</f>
        <v>0</v>
      </c>
      <c r="W42" s="274">
        <f>'Prod. GEXPSF'!M9</f>
        <v>268.43</v>
      </c>
      <c r="X42" s="286">
        <f>'GEXPSF Limp. Ord.'!$D$194</f>
        <v>0</v>
      </c>
      <c r="Y42" s="274">
        <f>'Prod. GEXPSF'!N9</f>
        <v>268.43</v>
      </c>
      <c r="Z42" s="286">
        <f>'GEXPSF Limp. Ord.'!$D$197</f>
        <v>0</v>
      </c>
      <c r="AA42" s="267">
        <f t="shared" si="2"/>
        <v>0</v>
      </c>
      <c r="AB42" s="268">
        <f>('GEX PSF Covid'!C$129*'Prod. GEXPSF'!T9)+('GEX PSF Covid'!D$129*'Prod. GEXPSF'!U9)</f>
        <v>0</v>
      </c>
      <c r="AC42" s="278">
        <f>'GEXPSF Limp. Ord.'!C$139*'Prod. GEXPSF'!W9</f>
        <v>0</v>
      </c>
      <c r="AD42" s="279">
        <f>'GEX PSF Covid'!C$134*'Prod. GEXPSF'!W8</f>
        <v>0</v>
      </c>
      <c r="AE42" s="280"/>
      <c r="ALD42" s="257"/>
      <c r="ALE42" s="257"/>
      <c r="ALF42" s="257"/>
      <c r="ALG42" s="257"/>
      <c r="ALH42" s="257"/>
      <c r="ALI42" s="257"/>
      <c r="ALJ42" s="257"/>
      <c r="ALK42" s="257"/>
      <c r="ALL42" s="257"/>
      <c r="ALM42" s="257"/>
      <c r="ALN42" s="257"/>
      <c r="ALO42" s="257"/>
    </row>
    <row r="43" spans="1:1003" x14ac:dyDescent="0.2">
      <c r="A43" s="243" t="s">
        <v>118</v>
      </c>
      <c r="B43" s="244" t="s">
        <v>425</v>
      </c>
      <c r="C43" s="244" t="s">
        <v>426</v>
      </c>
      <c r="D43" s="245">
        <f>MC!C94</f>
        <v>0</v>
      </c>
      <c r="E43" s="232">
        <f>'Prod. GEXPSF'!D10</f>
        <v>-196.13000000000011</v>
      </c>
      <c r="F43" s="286">
        <f>'GEXPSF Limp. Ord.'!$H$149</f>
        <v>0</v>
      </c>
      <c r="G43" s="273">
        <f>'Prod. GEXPSF'!E10</f>
        <v>572.44000000000005</v>
      </c>
      <c r="H43" s="286">
        <f>'GEXPSF Limp. Ord.'!$H$155</f>
        <v>0</v>
      </c>
      <c r="I43" s="274">
        <f>'Prod. GEXPSF'!F10</f>
        <v>1361.14</v>
      </c>
      <c r="J43" s="286">
        <f>'GEXPSF Limp. Ord.'!$H$161</f>
        <v>0</v>
      </c>
      <c r="K43" s="274">
        <f>'Prod. GEXPSF'!G10</f>
        <v>117.89</v>
      </c>
      <c r="L43" s="286">
        <f>'GEXPSF Limp. Ord.'!$H$167</f>
        <v>0</v>
      </c>
      <c r="M43" s="274">
        <f>'Prod. GEXPSF'!H10</f>
        <v>56.89</v>
      </c>
      <c r="N43" s="286">
        <f>'GEXPSF Limp. Ord.'!$H$173</f>
        <v>0</v>
      </c>
      <c r="O43" s="274">
        <f>'Prod. GEXPSF'!I10</f>
        <v>711.41</v>
      </c>
      <c r="P43" s="286">
        <f>'GEXPSF Limp. Ord.'!$H$179</f>
        <v>0</v>
      </c>
      <c r="Q43" s="274">
        <f>'Prod. GEXPSF'!J10</f>
        <v>0</v>
      </c>
      <c r="R43" s="286">
        <f>'GEXPSF Limp. Ord.'!$H$182</f>
        <v>0</v>
      </c>
      <c r="S43" s="274">
        <f>'Prod. GEXPSF'!K10</f>
        <v>0</v>
      </c>
      <c r="T43" s="286">
        <f>'GEXPSF Limp. Ord.'!$H$185</f>
        <v>0</v>
      </c>
      <c r="U43" s="276">
        <f>'Prod. GEXPSF'!L10</f>
        <v>0</v>
      </c>
      <c r="V43" s="286">
        <f>'GEXPSF Limp. Ord.'!$H$191</f>
        <v>0</v>
      </c>
      <c r="W43" s="274">
        <f>'Prod. GEXPSF'!M10</f>
        <v>434.32</v>
      </c>
      <c r="X43" s="286">
        <f>'GEXPSF Limp. Ord.'!$H$194</f>
        <v>0</v>
      </c>
      <c r="Y43" s="274">
        <f>'Prod. GEXPSF'!N10</f>
        <v>434.32</v>
      </c>
      <c r="Z43" s="286">
        <f>'GEXPSF Limp. Ord.'!$H$197</f>
        <v>0</v>
      </c>
      <c r="AA43" s="267">
        <f t="shared" si="2"/>
        <v>0</v>
      </c>
      <c r="AB43" s="268">
        <f>('GEX PSF Covid'!C$131*'Prod. GEXPSF'!T10)+('GEX PSF Covid'!D$131*'Prod. GEXPSF'!U10)</f>
        <v>0</v>
      </c>
      <c r="AC43" s="278">
        <f>'GEXPSF Limp. Ord.'!C$141*'Prod. GEXPSF'!W10</f>
        <v>0</v>
      </c>
      <c r="AD43" s="279">
        <f>'GEX PSF Covid'!C$136*'Prod. GEXPSF'!W9</f>
        <v>0</v>
      </c>
      <c r="AE43" s="280"/>
      <c r="ALD43" s="257"/>
      <c r="ALE43" s="257"/>
      <c r="ALF43" s="257"/>
      <c r="ALG43" s="257"/>
      <c r="ALH43" s="257"/>
      <c r="ALI43" s="257"/>
      <c r="ALJ43" s="257"/>
      <c r="ALK43" s="257"/>
      <c r="ALL43" s="257"/>
      <c r="ALM43" s="257"/>
      <c r="ALN43" s="257"/>
      <c r="ALO43" s="257"/>
    </row>
    <row r="44" spans="1:1003" x14ac:dyDescent="0.2">
      <c r="A44" s="243" t="s">
        <v>119</v>
      </c>
      <c r="B44" s="244" t="s">
        <v>427</v>
      </c>
      <c r="C44" s="244" t="s">
        <v>428</v>
      </c>
      <c r="D44" s="245">
        <f>MC!C95</f>
        <v>0</v>
      </c>
      <c r="E44" s="232">
        <f>'Prod. GEXPSF'!D11</f>
        <v>0</v>
      </c>
      <c r="F44" s="286">
        <f>'GEXPSF Limp. Ord.'!$D$149</f>
        <v>0</v>
      </c>
      <c r="G44" s="273">
        <f>'Prod. GEXPSF'!E11</f>
        <v>600</v>
      </c>
      <c r="H44" s="286">
        <f>'GEXPSF Limp. Ord.'!$D$155</f>
        <v>0</v>
      </c>
      <c r="I44" s="274">
        <f>'Prod. GEXPSF'!F11</f>
        <v>0</v>
      </c>
      <c r="J44" s="286">
        <f>'GEXPSF Limp. Ord.'!$D$161</f>
        <v>0</v>
      </c>
      <c r="K44" s="274">
        <f>'Prod. GEXPSF'!G11</f>
        <v>0</v>
      </c>
      <c r="L44" s="286">
        <f>'GEXPSF Limp. Ord.'!$D$167</f>
        <v>0</v>
      </c>
      <c r="M44" s="274">
        <f>'Prod. GEXPSF'!H11</f>
        <v>0</v>
      </c>
      <c r="N44" s="286">
        <f>'GEXPSF Limp. Ord.'!$D$173</f>
        <v>0</v>
      </c>
      <c r="O44" s="274">
        <f>'Prod. GEXPSF'!I11</f>
        <v>0</v>
      </c>
      <c r="P44" s="286">
        <f>'GEXPSF Limp. Ord.'!$D$179</f>
        <v>0</v>
      </c>
      <c r="Q44" s="274">
        <f>'Prod. GEXPSF'!J11</f>
        <v>0</v>
      </c>
      <c r="R44" s="286">
        <f>'GEXPSF Limp. Ord.'!$D$182</f>
        <v>0</v>
      </c>
      <c r="S44" s="274">
        <f>'Prod. GEXPSF'!K11</f>
        <v>0</v>
      </c>
      <c r="T44" s="286">
        <f>'GEXPSF Limp. Ord.'!$D$185</f>
        <v>0</v>
      </c>
      <c r="U44" s="276">
        <f>'Prod. GEXPSF'!L11</f>
        <v>0</v>
      </c>
      <c r="V44" s="286">
        <f>'GEXPSF Limp. Ord.'!$D$191</f>
        <v>0</v>
      </c>
      <c r="W44" s="274">
        <f>'Prod. GEXPSF'!M11</f>
        <v>0</v>
      </c>
      <c r="X44" s="286">
        <f>'GEXPSF Limp. Ord.'!$D$194</f>
        <v>0</v>
      </c>
      <c r="Y44" s="274">
        <f>'Prod. GEXPSF'!N11</f>
        <v>0</v>
      </c>
      <c r="Z44" s="286">
        <f>'GEXPSF Limp. Ord.'!$D$197</f>
        <v>0</v>
      </c>
      <c r="AA44" s="267">
        <f t="shared" si="2"/>
        <v>0</v>
      </c>
      <c r="AB44" s="268">
        <f>('GEX PSF Covid'!C$129*'Prod. GEXPSF'!T11)+('GEX PSF Covid'!D$129*'Prod. GEXPSF'!U11)</f>
        <v>0</v>
      </c>
      <c r="AC44" s="278">
        <f>'GEXPSF Limp. Ord.'!C$139*'Prod. GEXPSF'!W11</f>
        <v>0</v>
      </c>
      <c r="AD44" s="279">
        <f>'GEX PSF Covid'!C$134*'Prod. GEXPSF'!W10</f>
        <v>0</v>
      </c>
      <c r="AE44" s="280"/>
      <c r="ALD44" s="257"/>
      <c r="ALE44" s="257"/>
      <c r="ALF44" s="257"/>
      <c r="ALG44" s="257"/>
      <c r="ALH44" s="257"/>
      <c r="ALI44" s="257"/>
      <c r="ALJ44" s="257"/>
      <c r="ALK44" s="257"/>
      <c r="ALL44" s="257"/>
      <c r="ALM44" s="257"/>
      <c r="ALN44" s="257"/>
      <c r="ALO44" s="257"/>
    </row>
    <row r="45" spans="1:1003" x14ac:dyDescent="0.2">
      <c r="A45" s="243" t="s">
        <v>120</v>
      </c>
      <c r="B45" s="244" t="s">
        <v>429</v>
      </c>
      <c r="C45" s="244" t="s">
        <v>430</v>
      </c>
      <c r="D45" s="245">
        <f>MC!C96</f>
        <v>0</v>
      </c>
      <c r="E45" s="232">
        <f>'Prod. GEXPSF'!D12</f>
        <v>0</v>
      </c>
      <c r="F45" s="286">
        <f>'GEXPSF Limp. Ord.'!$H$149</f>
        <v>0</v>
      </c>
      <c r="G45" s="273">
        <f>'Prod. GEXPSF'!E12</f>
        <v>800</v>
      </c>
      <c r="H45" s="286">
        <f>'GEXPSF Limp. Ord.'!$H$155</f>
        <v>0</v>
      </c>
      <c r="I45" s="274">
        <f>'Prod. GEXPSF'!F12</f>
        <v>0</v>
      </c>
      <c r="J45" s="286">
        <f>'GEXPSF Limp. Ord.'!$H$161</f>
        <v>0</v>
      </c>
      <c r="K45" s="274">
        <f>'Prod. GEXPSF'!G12</f>
        <v>0</v>
      </c>
      <c r="L45" s="286">
        <f>'GEXPSF Limp. Ord.'!$H$167</f>
        <v>0</v>
      </c>
      <c r="M45" s="274">
        <f>'Prod. GEXPSF'!H12</f>
        <v>0</v>
      </c>
      <c r="N45" s="286">
        <f>'GEXPSF Limp. Ord.'!$H$173</f>
        <v>0</v>
      </c>
      <c r="O45" s="274">
        <f>'Prod. GEXPSF'!I12</f>
        <v>0</v>
      </c>
      <c r="P45" s="286">
        <f>'GEXPSF Limp. Ord.'!$H$179</f>
        <v>0</v>
      </c>
      <c r="Q45" s="274">
        <f>'Prod. GEXPSF'!J12</f>
        <v>0</v>
      </c>
      <c r="R45" s="286">
        <f>'GEXPSF Limp. Ord.'!$H$182</f>
        <v>0</v>
      </c>
      <c r="S45" s="274">
        <f>'Prod. GEXPSF'!K12</f>
        <v>0</v>
      </c>
      <c r="T45" s="286">
        <f>'GEXPSF Limp. Ord.'!$H$185</f>
        <v>0</v>
      </c>
      <c r="U45" s="276">
        <f>'Prod. GEXPSF'!L12</f>
        <v>0</v>
      </c>
      <c r="V45" s="286">
        <f>'GEXPSF Limp. Ord.'!$H$191</f>
        <v>0</v>
      </c>
      <c r="W45" s="274">
        <f>'Prod. GEXPSF'!M12</f>
        <v>0</v>
      </c>
      <c r="X45" s="286">
        <f>'GEXPSF Limp. Ord.'!$H$194</f>
        <v>0</v>
      </c>
      <c r="Y45" s="274">
        <f>'Prod. GEXPSF'!N12</f>
        <v>0</v>
      </c>
      <c r="Z45" s="286">
        <f>'GEXPSF Limp. Ord.'!$H$197</f>
        <v>0</v>
      </c>
      <c r="AA45" s="267">
        <f t="shared" si="2"/>
        <v>0</v>
      </c>
      <c r="AB45" s="268">
        <f>('GEX PSF Covid'!C$131*'Prod. GEXPSF'!T12)+('GEX PSF Covid'!D$131*'Prod. GEXPSF'!U12)</f>
        <v>0</v>
      </c>
      <c r="AC45" s="278">
        <f>'GEXPSF Limp. Ord.'!C$141*'Prod. GEXPSF'!W12</f>
        <v>0</v>
      </c>
      <c r="AD45" s="279">
        <f>'GEX PSF Covid'!C$136*'Prod. GEXPSF'!W11</f>
        <v>0</v>
      </c>
      <c r="AE45" s="280"/>
      <c r="ALD45" s="257"/>
      <c r="ALE45" s="257"/>
      <c r="ALF45" s="257"/>
      <c r="ALG45" s="257"/>
      <c r="ALH45" s="257"/>
      <c r="ALI45" s="257"/>
      <c r="ALJ45" s="257"/>
      <c r="ALK45" s="257"/>
      <c r="ALL45" s="257"/>
      <c r="ALM45" s="257"/>
      <c r="ALN45" s="257"/>
      <c r="ALO45" s="257"/>
    </row>
    <row r="46" spans="1:1003" x14ac:dyDescent="0.2">
      <c r="A46" s="243" t="s">
        <v>121</v>
      </c>
      <c r="B46" s="244" t="s">
        <v>431</v>
      </c>
      <c r="C46" s="244" t="s">
        <v>432</v>
      </c>
      <c r="D46" s="245">
        <f>MC!C97</f>
        <v>0</v>
      </c>
      <c r="E46" s="232">
        <f>'Prod. GEXPSF'!D13</f>
        <v>0</v>
      </c>
      <c r="F46" s="286">
        <f>'GEXPSF Limp. Ord.'!$D$149</f>
        <v>0</v>
      </c>
      <c r="G46" s="273">
        <f>'Prod. GEXPSF'!E13</f>
        <v>600</v>
      </c>
      <c r="H46" s="286">
        <f>'GEXPSF Limp. Ord.'!$D$155</f>
        <v>0</v>
      </c>
      <c r="I46" s="274">
        <f>'Prod. GEXPSF'!F13</f>
        <v>0</v>
      </c>
      <c r="J46" s="286">
        <f>'GEXPSF Limp. Ord.'!$D$161</f>
        <v>0</v>
      </c>
      <c r="K46" s="274">
        <f>'Prod. GEXPSF'!G13</f>
        <v>0</v>
      </c>
      <c r="L46" s="286">
        <f>'GEXPSF Limp. Ord.'!$D$167</f>
        <v>0</v>
      </c>
      <c r="M46" s="274">
        <f>'Prod. GEXPSF'!H13</f>
        <v>0</v>
      </c>
      <c r="N46" s="286">
        <f>'GEXPSF Limp. Ord.'!$D$173</f>
        <v>0</v>
      </c>
      <c r="O46" s="274">
        <f>'Prod. GEXPSF'!I13</f>
        <v>0</v>
      </c>
      <c r="P46" s="286">
        <f>'GEXPSF Limp. Ord.'!$D$179</f>
        <v>0</v>
      </c>
      <c r="Q46" s="274">
        <f>'Prod. GEXPSF'!J13</f>
        <v>0</v>
      </c>
      <c r="R46" s="286">
        <f>'GEXPSF Limp. Ord.'!$D$182</f>
        <v>0</v>
      </c>
      <c r="S46" s="274">
        <f>'Prod. GEXPSF'!K13</f>
        <v>0</v>
      </c>
      <c r="T46" s="286">
        <f>'GEXPSF Limp. Ord.'!$D$185</f>
        <v>0</v>
      </c>
      <c r="U46" s="276">
        <f>'Prod. GEXPSF'!L13</f>
        <v>0</v>
      </c>
      <c r="V46" s="286">
        <f>'GEXPSF Limp. Ord.'!$D$191</f>
        <v>0</v>
      </c>
      <c r="W46" s="274">
        <f>'Prod. GEXPSF'!M13</f>
        <v>0</v>
      </c>
      <c r="X46" s="286">
        <f>'GEXPSF Limp. Ord.'!$D$194</f>
        <v>0</v>
      </c>
      <c r="Y46" s="274">
        <f>'Prod. GEXPSF'!N13</f>
        <v>0</v>
      </c>
      <c r="Z46" s="286">
        <f>'GEXPSF Limp. Ord.'!$D$197</f>
        <v>0</v>
      </c>
      <c r="AA46" s="267">
        <f t="shared" si="2"/>
        <v>0</v>
      </c>
      <c r="AB46" s="268">
        <f>('GEX PSF Covid'!C$129*'Prod. GEXPSF'!T13)+('GEX PSF Covid'!D$129*'Prod. GEXPSF'!U13)</f>
        <v>0</v>
      </c>
      <c r="AC46" s="278">
        <f>'GEXPSF Limp. Ord.'!C$139*'Prod. GEXPSF'!W13</f>
        <v>0</v>
      </c>
      <c r="AD46" s="279">
        <f>'GEX PSF Covid'!C$134*'Prod. GEXPSF'!W12</f>
        <v>0</v>
      </c>
      <c r="AE46" s="280"/>
      <c r="ALD46" s="257"/>
      <c r="ALE46" s="257"/>
      <c r="ALF46" s="257"/>
      <c r="ALG46" s="257"/>
      <c r="ALH46" s="257"/>
      <c r="ALI46" s="257"/>
      <c r="ALJ46" s="257"/>
      <c r="ALK46" s="257"/>
      <c r="ALL46" s="257"/>
      <c r="ALM46" s="257"/>
      <c r="ALN46" s="257"/>
      <c r="ALO46" s="257"/>
    </row>
    <row r="47" spans="1:1003" x14ac:dyDescent="0.2">
      <c r="A47" s="243" t="s">
        <v>122</v>
      </c>
      <c r="B47" s="244" t="s">
        <v>433</v>
      </c>
      <c r="C47" s="244" t="s">
        <v>434</v>
      </c>
      <c r="D47" s="245">
        <f>MC!C98</f>
        <v>0</v>
      </c>
      <c r="E47" s="232">
        <f>'Prod. GEXPSF'!D14</f>
        <v>0</v>
      </c>
      <c r="F47" s="286">
        <f>'GEXPSF Limp. Ord.'!$F$149</f>
        <v>0</v>
      </c>
      <c r="G47" s="273">
        <f>'Prod. GEXPSF'!E14</f>
        <v>600</v>
      </c>
      <c r="H47" s="286">
        <f>'GEXPSF Limp. Ord.'!$F$155</f>
        <v>0</v>
      </c>
      <c r="I47" s="274">
        <f>'Prod. GEXPSF'!F14</f>
        <v>0</v>
      </c>
      <c r="J47" s="286">
        <f>'GEXPSF Limp. Ord.'!$F$161</f>
        <v>0</v>
      </c>
      <c r="K47" s="274">
        <f>'Prod. GEXPSF'!G14</f>
        <v>0</v>
      </c>
      <c r="L47" s="286">
        <f>'GEXPSF Limp. Ord.'!$F$167</f>
        <v>0</v>
      </c>
      <c r="M47" s="274">
        <f>'Prod. GEXPSF'!H14</f>
        <v>0</v>
      </c>
      <c r="N47" s="286">
        <f>'GEXPSF Limp. Ord.'!$F$173</f>
        <v>0</v>
      </c>
      <c r="O47" s="274">
        <f>'Prod. GEXPSF'!I14</f>
        <v>0</v>
      </c>
      <c r="P47" s="286">
        <f>'GEXPSF Limp. Ord.'!$F$179</f>
        <v>0</v>
      </c>
      <c r="Q47" s="274">
        <f>'Prod. GEXPSF'!J14</f>
        <v>0</v>
      </c>
      <c r="R47" s="286">
        <f>'GEXPSF Limp. Ord.'!$F$182</f>
        <v>0</v>
      </c>
      <c r="S47" s="274">
        <f>'Prod. GEXPSF'!K14</f>
        <v>0</v>
      </c>
      <c r="T47" s="286">
        <f>'GEXPSF Limp. Ord.'!$F$185</f>
        <v>0</v>
      </c>
      <c r="U47" s="276">
        <f>'Prod. GEXPSF'!L14</f>
        <v>0</v>
      </c>
      <c r="V47" s="286">
        <f>'GEXPSF Limp. Ord.'!$F$191</f>
        <v>0</v>
      </c>
      <c r="W47" s="274">
        <f>'Prod. GEXPSF'!M14</f>
        <v>0</v>
      </c>
      <c r="X47" s="286">
        <f>'GEXPSF Limp. Ord.'!$F$194</f>
        <v>0</v>
      </c>
      <c r="Y47" s="274">
        <f>'Prod. GEXPSF'!N14</f>
        <v>0</v>
      </c>
      <c r="Z47" s="286">
        <f>'GEXPSF Limp. Ord.'!$F$197</f>
        <v>0</v>
      </c>
      <c r="AA47" s="267">
        <f t="shared" si="2"/>
        <v>0</v>
      </c>
      <c r="AB47" s="268">
        <f>('GEX PSF Covid'!C$130*'Prod. GEXPSF'!T14)+('GEX PSF Covid'!D$130*'Prod. GEXPSF'!U14)</f>
        <v>0</v>
      </c>
      <c r="AC47" s="278">
        <f>'GEXPSF Limp. Ord.'!C$140*'Prod. GEXPSF'!W14</f>
        <v>0</v>
      </c>
      <c r="AD47" s="279">
        <f>'GEX PSF Covid'!C$135*'Prod. GEXPSF'!W13</f>
        <v>0</v>
      </c>
      <c r="AE47" s="280"/>
      <c r="ALD47" s="257"/>
      <c r="ALE47" s="257"/>
      <c r="ALF47" s="257"/>
      <c r="ALG47" s="257"/>
      <c r="ALH47" s="257"/>
      <c r="ALI47" s="257"/>
      <c r="ALJ47" s="257"/>
      <c r="ALK47" s="257"/>
      <c r="ALL47" s="257"/>
      <c r="ALM47" s="257"/>
      <c r="ALN47" s="257"/>
      <c r="ALO47" s="257"/>
    </row>
    <row r="48" spans="1:1003" x14ac:dyDescent="0.2">
      <c r="A48" s="243" t="s">
        <v>123</v>
      </c>
      <c r="B48" s="244" t="s">
        <v>435</v>
      </c>
      <c r="C48" s="244" t="s">
        <v>436</v>
      </c>
      <c r="D48" s="245">
        <f>MC!C99</f>
        <v>0</v>
      </c>
      <c r="E48" s="232">
        <f>'Prod. GEXPSF'!D15</f>
        <v>0</v>
      </c>
      <c r="F48" s="286">
        <f>'GEXPSF Limp. Ord.'!J$149</f>
        <v>0</v>
      </c>
      <c r="G48" s="273">
        <f>'Prod. GEXPSF'!E15</f>
        <v>800</v>
      </c>
      <c r="H48" s="286">
        <f>'GEXPSF Limp. Ord.'!$J$155</f>
        <v>0</v>
      </c>
      <c r="I48" s="274">
        <f>'Prod. GEXPSF'!F15</f>
        <v>0</v>
      </c>
      <c r="J48" s="286">
        <f>'GEXPSF Limp. Ord.'!$J$161</f>
        <v>0</v>
      </c>
      <c r="K48" s="274">
        <f>'Prod. GEXPSF'!G15</f>
        <v>0</v>
      </c>
      <c r="L48" s="286">
        <f>'GEXPSF Limp. Ord.'!$J$167</f>
        <v>0</v>
      </c>
      <c r="M48" s="274">
        <f>'Prod. GEXPSF'!H15</f>
        <v>0</v>
      </c>
      <c r="N48" s="286">
        <f>'GEXPSF Limp. Ord.'!$J$173</f>
        <v>0</v>
      </c>
      <c r="O48" s="274">
        <f>'Prod. GEXPSF'!I15</f>
        <v>0</v>
      </c>
      <c r="P48" s="286">
        <f>'GEXPSF Limp. Ord.'!$J$179</f>
        <v>0</v>
      </c>
      <c r="Q48" s="274">
        <f>'Prod. GEXPSF'!J15</f>
        <v>0</v>
      </c>
      <c r="R48" s="286">
        <f>'GEXPSF Limp. Ord.'!$J$182</f>
        <v>0</v>
      </c>
      <c r="S48" s="274">
        <f>'Prod. GEXPSF'!K15</f>
        <v>0</v>
      </c>
      <c r="T48" s="286">
        <f>'GEXPSF Limp. Ord.'!$J$185</f>
        <v>0</v>
      </c>
      <c r="U48" s="276">
        <f>'Prod. GEXPSF'!L15</f>
        <v>0</v>
      </c>
      <c r="V48" s="286">
        <f>'GEXPSF Limp. Ord.'!$J$191</f>
        <v>0</v>
      </c>
      <c r="W48" s="274">
        <f>'Prod. GEXPSF'!M15</f>
        <v>0</v>
      </c>
      <c r="X48" s="286">
        <f>'GEXPSF Limp. Ord.'!$J$194</f>
        <v>0</v>
      </c>
      <c r="Y48" s="274">
        <f>'Prod. GEXPSF'!N15</f>
        <v>0</v>
      </c>
      <c r="Z48" s="286">
        <f>'GEXPSF Limp. Ord.'!$J$197</f>
        <v>0</v>
      </c>
      <c r="AA48" s="267">
        <f t="shared" si="2"/>
        <v>0</v>
      </c>
      <c r="AB48" s="268">
        <f>('GEX PSF Covid'!C$132*'Prod. GEXPSF'!T15)+('GEX PSF Covid'!D$132*'Prod. GEXPSF'!U15)</f>
        <v>0</v>
      </c>
      <c r="AC48" s="278">
        <f>'GEXPSF Limp. Ord.'!C$142*'Prod. GEXPSF'!W15</f>
        <v>0</v>
      </c>
      <c r="AD48" s="279">
        <f>'GEX PSF Covid'!C$137*'Prod. GEXPSF'!W14</f>
        <v>0</v>
      </c>
      <c r="AE48" s="280"/>
      <c r="ALD48" s="257"/>
      <c r="ALE48" s="257"/>
      <c r="ALF48" s="257"/>
      <c r="ALG48" s="257"/>
      <c r="ALH48" s="257"/>
      <c r="ALI48" s="257"/>
      <c r="ALJ48" s="257"/>
      <c r="ALK48" s="257"/>
      <c r="ALL48" s="257"/>
      <c r="ALM48" s="257"/>
      <c r="ALN48" s="257"/>
      <c r="ALO48" s="257"/>
    </row>
    <row r="49" spans="1:1003" x14ac:dyDescent="0.2">
      <c r="A49" s="243" t="s">
        <v>124</v>
      </c>
      <c r="B49" s="244" t="s">
        <v>437</v>
      </c>
      <c r="C49" s="244" t="s">
        <v>438</v>
      </c>
      <c r="D49" s="245">
        <f>MC!C100</f>
        <v>0</v>
      </c>
      <c r="E49" s="232">
        <f>'Prod. GEXPSF'!D16</f>
        <v>0</v>
      </c>
      <c r="F49" s="286">
        <f>'GEXPSF Limp. Ord.'!J$149</f>
        <v>0</v>
      </c>
      <c r="G49" s="273">
        <f>'Prod. GEXPSF'!E16</f>
        <v>800</v>
      </c>
      <c r="H49" s="286">
        <f>'GEXPSF Limp. Ord.'!$J$155</f>
        <v>0</v>
      </c>
      <c r="I49" s="274">
        <f>'Prod. GEXPSF'!F16</f>
        <v>0</v>
      </c>
      <c r="J49" s="286">
        <f>'GEXPSF Limp. Ord.'!$J$161</f>
        <v>0</v>
      </c>
      <c r="K49" s="274">
        <f>'Prod. GEXPSF'!G16</f>
        <v>0</v>
      </c>
      <c r="L49" s="286">
        <f>'GEXPSF Limp. Ord.'!$J$167</f>
        <v>0</v>
      </c>
      <c r="M49" s="274">
        <f>'Prod. GEXPSF'!H16</f>
        <v>0</v>
      </c>
      <c r="N49" s="286">
        <f>'GEXPSF Limp. Ord.'!$J$173</f>
        <v>0</v>
      </c>
      <c r="O49" s="274">
        <f>'Prod. GEXPSF'!I16</f>
        <v>0</v>
      </c>
      <c r="P49" s="286">
        <f>'GEXPSF Limp. Ord.'!$J$179</f>
        <v>0</v>
      </c>
      <c r="Q49" s="274">
        <f>'Prod. GEXPSF'!J16</f>
        <v>0</v>
      </c>
      <c r="R49" s="286">
        <f>'GEXPSF Limp. Ord.'!$J$182</f>
        <v>0</v>
      </c>
      <c r="S49" s="274">
        <f>'Prod. GEXPSF'!K16</f>
        <v>0</v>
      </c>
      <c r="T49" s="286">
        <f>'GEXPSF Limp. Ord.'!$J$185</f>
        <v>0</v>
      </c>
      <c r="U49" s="276">
        <f>'Prod. GEXPSF'!L16</f>
        <v>0</v>
      </c>
      <c r="V49" s="286">
        <f>'GEXPSF Limp. Ord.'!$J$191</f>
        <v>0</v>
      </c>
      <c r="W49" s="274">
        <f>'Prod. GEXPSF'!M16</f>
        <v>0</v>
      </c>
      <c r="X49" s="286">
        <f>'GEXPSF Limp. Ord.'!$J$194</f>
        <v>0</v>
      </c>
      <c r="Y49" s="274">
        <f>'Prod. GEXPSF'!N16</f>
        <v>0</v>
      </c>
      <c r="Z49" s="286">
        <f>'GEXPSF Limp. Ord.'!$J$197</f>
        <v>0</v>
      </c>
      <c r="AA49" s="267">
        <f t="shared" si="2"/>
        <v>0</v>
      </c>
      <c r="AB49" s="268">
        <f>('GEX PSF Covid'!C$132*'Prod. GEXPSF'!T16)+('GEX PSF Covid'!D$132*'Prod. GEXPSF'!U16)</f>
        <v>0</v>
      </c>
      <c r="AC49" s="278">
        <f>'GEXPSF Limp. Ord.'!C$142*'Prod. GEXPSF'!W16</f>
        <v>0</v>
      </c>
      <c r="AD49" s="279">
        <f>'GEX PSF Covid'!C$137*'Prod. GEXPSF'!W15</f>
        <v>0</v>
      </c>
      <c r="AE49" s="280"/>
      <c r="ALD49" s="257"/>
      <c r="ALE49" s="257"/>
      <c r="ALF49" s="257"/>
      <c r="ALG49" s="257"/>
      <c r="ALH49" s="257"/>
      <c r="ALI49" s="257"/>
      <c r="ALJ49" s="257"/>
      <c r="ALK49" s="257"/>
      <c r="ALL49" s="257"/>
      <c r="ALM49" s="257"/>
      <c r="ALN49" s="257"/>
      <c r="ALO49" s="257"/>
    </row>
    <row r="50" spans="1:1003" x14ac:dyDescent="0.2">
      <c r="A50" s="751"/>
      <c r="B50" s="751"/>
      <c r="C50" s="751"/>
      <c r="D50" s="751"/>
      <c r="E50" s="249">
        <f>SUM(E37:E49)</f>
        <v>863.09000000000015</v>
      </c>
      <c r="F50" s="250"/>
      <c r="G50" s="283">
        <f>SUM(G37:G49)</f>
        <v>8412.24</v>
      </c>
      <c r="H50" s="250"/>
      <c r="I50" s="283">
        <f>SUM(I37:I49)</f>
        <v>4994.3150000000005</v>
      </c>
      <c r="J50" s="252"/>
      <c r="K50" s="283">
        <f>SUM(K37:K49)</f>
        <v>1099.875</v>
      </c>
      <c r="L50" s="252"/>
      <c r="M50" s="283">
        <f>SUM(M37:M49)</f>
        <v>346.93999999999994</v>
      </c>
      <c r="N50" s="252"/>
      <c r="O50" s="283">
        <f>SUM(O37:O49)</f>
        <v>3294.54</v>
      </c>
      <c r="P50" s="284"/>
      <c r="Q50" s="283">
        <f>SUM(Q37:Q49)</f>
        <v>0</v>
      </c>
      <c r="R50" s="252"/>
      <c r="S50" s="283">
        <f>SUM(S37:S49)</f>
        <v>0</v>
      </c>
      <c r="T50" s="252"/>
      <c r="U50" s="283">
        <f>SUM(U37:U49)</f>
        <v>0</v>
      </c>
      <c r="V50" s="252"/>
      <c r="W50" s="283">
        <f>SUM(W37:W49)</f>
        <v>2038.67</v>
      </c>
      <c r="X50" s="252"/>
      <c r="Y50" s="285">
        <f>SUM(Y37:Y49)</f>
        <v>2038.67</v>
      </c>
      <c r="Z50" s="252"/>
      <c r="AA50" s="252">
        <f>SUM(AA37:AA49)</f>
        <v>0</v>
      </c>
      <c r="AB50" s="256">
        <f>SUM(AB37:AB49)</f>
        <v>0</v>
      </c>
      <c r="AC50" s="254">
        <f>SUM(AC37:AC49)</f>
        <v>0</v>
      </c>
      <c r="AD50" s="256">
        <f>SUM(AD37:AD49)</f>
        <v>0</v>
      </c>
      <c r="AE50" s="252">
        <f>SUM(AE37:AE49)</f>
        <v>4043.6000000000004</v>
      </c>
      <c r="ALD50" s="257"/>
      <c r="ALE50" s="257"/>
      <c r="ALF50" s="257"/>
      <c r="ALG50" s="257"/>
      <c r="ALH50" s="257"/>
      <c r="ALI50" s="257"/>
      <c r="ALJ50" s="257"/>
      <c r="ALK50" s="257"/>
      <c r="ALL50" s="257"/>
      <c r="ALM50" s="257"/>
      <c r="ALN50" s="257"/>
      <c r="ALO50" s="257"/>
    </row>
    <row r="51" spans="1:1003" ht="15" x14ac:dyDescent="0.25">
      <c r="A51" s="287"/>
      <c r="B51" s="287"/>
      <c r="C51" s="287"/>
      <c r="D51" s="287"/>
      <c r="E51" s="288"/>
      <c r="F51" s="288"/>
      <c r="G51" s="288"/>
      <c r="H51" s="288"/>
      <c r="I51" s="288"/>
      <c r="J51" s="288"/>
      <c r="K51" s="288"/>
      <c r="L51" s="288"/>
      <c r="M51" s="288"/>
      <c r="N51" s="288"/>
      <c r="O51" s="288"/>
      <c r="P51" s="288"/>
      <c r="Q51" s="288"/>
      <c r="R51" s="288"/>
      <c r="S51" s="288"/>
      <c r="T51" s="288"/>
      <c r="U51" s="288"/>
      <c r="V51" s="288"/>
      <c r="W51" s="288"/>
      <c r="X51" s="288"/>
      <c r="Y51" s="288"/>
      <c r="Z51" s="288"/>
      <c r="AA51" s="289"/>
      <c r="AB51" s="289"/>
      <c r="AC51" s="289"/>
      <c r="AD51" s="289"/>
      <c r="AE51" s="290"/>
      <c r="ALG51" s="290"/>
      <c r="ALH51" s="290"/>
      <c r="ALI51" s="290"/>
      <c r="ALJ51" s="290"/>
      <c r="ALK51" s="290"/>
      <c r="ALL51" s="290"/>
      <c r="ALM51" s="290"/>
      <c r="ALN51" s="290"/>
      <c r="ALO51" s="290"/>
    </row>
    <row r="52" spans="1:1003" ht="15" x14ac:dyDescent="0.2">
      <c r="A52" s="752" t="s">
        <v>439</v>
      </c>
      <c r="B52" s="752"/>
      <c r="C52" s="752"/>
      <c r="D52" s="752"/>
      <c r="E52" s="752"/>
      <c r="F52" s="752"/>
      <c r="G52" s="752"/>
      <c r="H52" s="752"/>
      <c r="I52" s="752"/>
      <c r="J52" s="752"/>
      <c r="K52" s="752"/>
      <c r="L52" s="752"/>
      <c r="M52" s="752"/>
      <c r="N52" s="752"/>
      <c r="O52" s="752"/>
      <c r="P52" s="752"/>
      <c r="Q52" s="752"/>
      <c r="R52" s="752"/>
      <c r="S52" s="752"/>
      <c r="T52" s="752"/>
      <c r="U52" s="752"/>
      <c r="V52" s="752"/>
      <c r="W52" s="752"/>
      <c r="X52" s="752"/>
      <c r="Y52" s="752"/>
      <c r="Z52" s="752"/>
      <c r="AA52" s="291">
        <f>ROUND(AA18+AA36+AA50,2)</f>
        <v>0</v>
      </c>
      <c r="AB52" s="291">
        <f>ROUND(AB18+AB36+AB50,2)</f>
        <v>0</v>
      </c>
      <c r="AC52" s="291">
        <f>ROUND(AC18+AC36+AC50,2)</f>
        <v>0</v>
      </c>
      <c r="AD52" s="291">
        <f>ROUND(AD18+AD36+AD50,2)</f>
        <v>0</v>
      </c>
      <c r="AE52" s="291">
        <f>ROUND(AE18+AE36+AE50,2)</f>
        <v>12130.8</v>
      </c>
    </row>
    <row r="53" spans="1:1003" ht="15" x14ac:dyDescent="0.2">
      <c r="A53" s="292"/>
      <c r="B53" s="292"/>
      <c r="C53" s="292"/>
      <c r="D53" s="292"/>
      <c r="E53" s="293"/>
      <c r="F53" s="294"/>
      <c r="G53" s="294"/>
      <c r="H53" s="294"/>
      <c r="I53" s="293"/>
      <c r="J53" s="293"/>
      <c r="K53" s="291"/>
      <c r="L53" s="291"/>
      <c r="M53" s="291"/>
      <c r="N53" s="291"/>
      <c r="O53" s="291"/>
      <c r="P53" s="291"/>
      <c r="Q53" s="291"/>
      <c r="R53" s="295"/>
      <c r="S53" s="296"/>
      <c r="T53" s="293"/>
      <c r="U53" s="294"/>
      <c r="V53" s="293"/>
      <c r="W53" s="293"/>
      <c r="X53" s="291"/>
      <c r="Y53" s="291"/>
      <c r="Z53" s="291"/>
      <c r="AA53" s="291"/>
      <c r="AB53" s="291"/>
      <c r="AC53" s="293"/>
      <c r="AD53" s="291"/>
      <c r="AE53" s="291"/>
    </row>
    <row r="54" spans="1:1003" x14ac:dyDescent="0.2">
      <c r="A54" s="297"/>
      <c r="B54" s="297"/>
      <c r="C54" s="297"/>
      <c r="D54" s="297"/>
      <c r="E54" s="298"/>
      <c r="F54" s="298"/>
      <c r="G54" s="298"/>
      <c r="H54" s="298"/>
      <c r="I54" s="298"/>
      <c r="J54" s="298"/>
      <c r="K54" s="299"/>
      <c r="L54" s="299"/>
      <c r="M54" s="299"/>
      <c r="N54" s="299"/>
      <c r="O54" s="299"/>
      <c r="P54" s="298"/>
      <c r="Q54" s="298"/>
      <c r="R54" s="298"/>
      <c r="S54" s="299"/>
      <c r="T54" s="299"/>
      <c r="U54" s="298"/>
      <c r="V54" s="298"/>
      <c r="W54" s="298"/>
      <c r="X54" s="299"/>
      <c r="Y54" s="299"/>
      <c r="Z54" s="299"/>
      <c r="AA54" s="299"/>
      <c r="AB54" s="299"/>
      <c r="AC54" s="298"/>
      <c r="AD54" s="753" t="s">
        <v>56</v>
      </c>
      <c r="AE54" s="295">
        <f>AA52+AB52+AC52+AD52+AE52</f>
        <v>12130.8</v>
      </c>
    </row>
    <row r="55" spans="1:1003" x14ac:dyDescent="0.2">
      <c r="A55" s="300"/>
      <c r="B55" s="300"/>
      <c r="C55" s="300"/>
      <c r="D55" s="300"/>
      <c r="E55" s="301"/>
      <c r="F55" s="301"/>
      <c r="G55" s="301"/>
      <c r="H55" s="301"/>
      <c r="I55" s="301"/>
      <c r="J55" s="301"/>
      <c r="K55" s="302"/>
      <c r="L55" s="302"/>
      <c r="M55" s="302"/>
      <c r="N55" s="302"/>
      <c r="O55" s="302"/>
      <c r="P55" s="301"/>
      <c r="Q55" s="301"/>
      <c r="R55" s="301"/>
      <c r="S55" s="302"/>
      <c r="T55" s="302"/>
      <c r="U55" s="301"/>
      <c r="V55" s="301"/>
      <c r="W55" s="301"/>
      <c r="X55" s="302"/>
      <c r="Y55" s="302"/>
      <c r="Z55" s="302"/>
      <c r="AA55" s="302"/>
      <c r="AB55" s="302"/>
      <c r="AC55" s="301"/>
      <c r="AD55" s="753"/>
      <c r="AE55" s="295">
        <f>AE54*12</f>
        <v>145569.59999999998</v>
      </c>
    </row>
    <row r="56" spans="1:1003" x14ac:dyDescent="0.2">
      <c r="E56" s="303" t="s">
        <v>440</v>
      </c>
    </row>
  </sheetData>
  <mergeCells count="26">
    <mergeCell ref="A18:D18"/>
    <mergeCell ref="A36:D36"/>
    <mergeCell ref="A50:D50"/>
    <mergeCell ref="A52:Z52"/>
    <mergeCell ref="AD54:AD55"/>
    <mergeCell ref="AA3:AA4"/>
    <mergeCell ref="AB3:AB4"/>
    <mergeCell ref="AC3:AC4"/>
    <mergeCell ref="AD3:AD4"/>
    <mergeCell ref="AE3:AE4"/>
    <mergeCell ref="E2:N2"/>
    <mergeCell ref="O2:T2"/>
    <mergeCell ref="U2:Z2"/>
    <mergeCell ref="A3:C5"/>
    <mergeCell ref="D3:D5"/>
    <mergeCell ref="E3:F4"/>
    <mergeCell ref="G3:H4"/>
    <mergeCell ref="I3:J4"/>
    <mergeCell ref="K3:L4"/>
    <mergeCell ref="M3:N4"/>
    <mergeCell ref="O3:P4"/>
    <mergeCell ref="Q3:R4"/>
    <mergeCell ref="S3:T4"/>
    <mergeCell ref="U3:V4"/>
    <mergeCell ref="W3:X4"/>
    <mergeCell ref="Y3:Z4"/>
  </mergeCells>
  <pageMargins left="0" right="0" top="0.39374999999999999" bottom="0.39374999999999999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5724"/>
  </sheetPr>
  <dimension ref="A1:ALX176"/>
  <sheetViews>
    <sheetView zoomScale="75" zoomScaleNormal="75" workbookViewId="0">
      <pane xSplit="1" topLeftCell="G1" activePane="topRight" state="frozen"/>
      <selection pane="topRight" activeCell="U12" sqref="U12"/>
    </sheetView>
  </sheetViews>
  <sheetFormatPr defaultRowHeight="14.25" x14ac:dyDescent="0.2"/>
  <cols>
    <col min="1" max="1" width="34.5" customWidth="1"/>
    <col min="2" max="4" width="8.625" customWidth="1"/>
    <col min="5" max="6" width="13.625" customWidth="1"/>
    <col min="7" max="7" width="9.625" customWidth="1"/>
    <col min="8" max="8" width="11.625" customWidth="1"/>
    <col min="9" max="9" width="8.625" customWidth="1"/>
    <col min="10" max="10" width="13.5" customWidth="1"/>
    <col min="11" max="11" width="11.125" customWidth="1"/>
    <col min="12" max="12" width="9.875" customWidth="1"/>
    <col min="13" max="13" width="12.25" customWidth="1"/>
    <col min="14" max="14" width="12.5" customWidth="1"/>
    <col min="15" max="21" width="9.25" customWidth="1"/>
    <col min="22" max="22" width="10.875" customWidth="1"/>
    <col min="23" max="24" width="10.625" customWidth="1"/>
    <col min="25" max="25" width="11.625" customWidth="1"/>
    <col min="26" max="1012" width="10.625" customWidth="1"/>
    <col min="1013" max="1025" width="10.5" customWidth="1"/>
  </cols>
  <sheetData>
    <row r="1" spans="1:1012" ht="15" customHeight="1" x14ac:dyDescent="0.2">
      <c r="A1" s="287"/>
      <c r="B1" s="287"/>
      <c r="C1" s="754" t="s">
        <v>332</v>
      </c>
      <c r="D1" s="754"/>
      <c r="E1" s="754"/>
      <c r="F1" s="754"/>
      <c r="G1" s="754"/>
      <c r="H1" s="754"/>
      <c r="I1" s="755" t="s">
        <v>333</v>
      </c>
      <c r="J1" s="755"/>
      <c r="K1" s="755"/>
      <c r="L1" s="756" t="s">
        <v>334</v>
      </c>
      <c r="M1" s="756"/>
      <c r="N1" s="756"/>
      <c r="O1" s="287"/>
      <c r="P1" s="287"/>
      <c r="Q1" s="287"/>
      <c r="R1" s="287"/>
      <c r="S1" s="287"/>
      <c r="T1" s="287"/>
      <c r="U1" s="287"/>
      <c r="V1" s="757"/>
      <c r="W1" s="757"/>
      <c r="X1" s="757"/>
      <c r="Y1" s="287"/>
    </row>
    <row r="2" spans="1:1012" ht="73.7" customHeight="1" x14ac:dyDescent="0.2">
      <c r="A2" s="758" t="s">
        <v>340</v>
      </c>
      <c r="B2" s="758" t="s">
        <v>341</v>
      </c>
      <c r="C2" s="759" t="s">
        <v>441</v>
      </c>
      <c r="D2" s="740" t="s">
        <v>342</v>
      </c>
      <c r="E2" s="740" t="s">
        <v>343</v>
      </c>
      <c r="F2" s="741" t="s">
        <v>344</v>
      </c>
      <c r="G2" s="739" t="s">
        <v>345</v>
      </c>
      <c r="H2" s="760" t="s">
        <v>442</v>
      </c>
      <c r="I2" s="761" t="s">
        <v>347</v>
      </c>
      <c r="J2" s="742" t="s">
        <v>443</v>
      </c>
      <c r="K2" s="762" t="s">
        <v>349</v>
      </c>
      <c r="L2" s="763" t="s">
        <v>350</v>
      </c>
      <c r="M2" s="744" t="s">
        <v>351</v>
      </c>
      <c r="N2" s="764" t="s">
        <v>352</v>
      </c>
      <c r="O2" s="765" t="s">
        <v>444</v>
      </c>
      <c r="P2" s="766" t="s">
        <v>445</v>
      </c>
      <c r="Q2" s="766"/>
      <c r="R2" s="766"/>
      <c r="S2" s="766"/>
      <c r="T2" s="767" t="s">
        <v>446</v>
      </c>
      <c r="U2" s="767"/>
      <c r="V2" s="304" t="s">
        <v>447</v>
      </c>
      <c r="W2" s="305" t="s">
        <v>448</v>
      </c>
      <c r="X2" s="306" t="s">
        <v>449</v>
      </c>
      <c r="Y2" s="307" t="s">
        <v>450</v>
      </c>
    </row>
    <row r="3" spans="1:1012" x14ac:dyDescent="0.2">
      <c r="A3" s="758"/>
      <c r="B3" s="758"/>
      <c r="C3" s="758"/>
      <c r="D3" s="740"/>
      <c r="E3" s="740"/>
      <c r="F3" s="741"/>
      <c r="G3" s="739"/>
      <c r="H3" s="760"/>
      <c r="I3" s="761"/>
      <c r="J3" s="742"/>
      <c r="K3" s="762"/>
      <c r="L3" s="763"/>
      <c r="M3" s="744"/>
      <c r="N3" s="764"/>
      <c r="O3" s="765"/>
      <c r="P3" s="308" t="s">
        <v>451</v>
      </c>
      <c r="Q3" s="308" t="s">
        <v>452</v>
      </c>
      <c r="R3" s="308" t="s">
        <v>453</v>
      </c>
      <c r="S3" s="309" t="s">
        <v>454</v>
      </c>
      <c r="T3" s="310" t="s">
        <v>455</v>
      </c>
      <c r="U3" s="310" t="s">
        <v>456</v>
      </c>
      <c r="V3" s="311" t="s">
        <v>457</v>
      </c>
      <c r="W3" s="312" t="s">
        <v>457</v>
      </c>
      <c r="X3" s="313" t="s">
        <v>458</v>
      </c>
      <c r="Y3" s="307" t="s">
        <v>455</v>
      </c>
    </row>
    <row r="4" spans="1:1012" x14ac:dyDescent="0.2">
      <c r="A4" s="314" t="s">
        <v>79</v>
      </c>
      <c r="B4" s="315">
        <f>'Resumo Proposta'!D6</f>
        <v>0</v>
      </c>
      <c r="C4" s="316"/>
      <c r="D4" s="317"/>
      <c r="E4" s="317">
        <f t="shared" ref="E4:E14" si="0">$E$17*(1-H4/$H$17)</f>
        <v>800</v>
      </c>
      <c r="F4" s="318"/>
      <c r="G4" s="319"/>
      <c r="H4" s="318"/>
      <c r="I4" s="319"/>
      <c r="J4" s="318"/>
      <c r="K4" s="318"/>
      <c r="L4" s="318"/>
      <c r="M4" s="319"/>
      <c r="N4" s="320"/>
      <c r="O4" s="321">
        <f t="shared" ref="O4:O15" si="1">D4/$D$17+E4/$E$17+F4/$F$17+G4/$G$17+H4/$H$17+I4/$I$17+J4/$J$17+K4/$K$17+M4/$M$17*16*1/188.76+N4/$N$17*16*1/188.76</f>
        <v>1</v>
      </c>
      <c r="P4" s="321">
        <v>1</v>
      </c>
      <c r="Q4" s="321"/>
      <c r="R4" s="321"/>
      <c r="S4" s="321"/>
      <c r="T4" s="322"/>
      <c r="U4" s="322"/>
      <c r="V4" s="323">
        <v>6</v>
      </c>
      <c r="W4" s="324">
        <v>6</v>
      </c>
      <c r="X4" s="325">
        <v>22</v>
      </c>
      <c r="Y4" s="326">
        <v>1</v>
      </c>
    </row>
    <row r="5" spans="1:1012" x14ac:dyDescent="0.2">
      <c r="A5" s="327" t="s">
        <v>81</v>
      </c>
      <c r="B5" s="315">
        <f>'Resumo Proposta'!D7</f>
        <v>0</v>
      </c>
      <c r="C5" s="328">
        <v>1198.53</v>
      </c>
      <c r="D5" s="317">
        <f>C5-E5-F5-G5-H5</f>
        <v>301.46999999999997</v>
      </c>
      <c r="E5" s="317">
        <f t="shared" si="0"/>
        <v>646.72</v>
      </c>
      <c r="F5" s="329"/>
      <c r="G5" s="330">
        <v>202.44</v>
      </c>
      <c r="H5" s="329">
        <v>47.9</v>
      </c>
      <c r="I5" s="330">
        <v>224.13</v>
      </c>
      <c r="J5" s="329"/>
      <c r="K5" s="329"/>
      <c r="L5" s="329">
        <v>291.08</v>
      </c>
      <c r="M5" s="330">
        <v>291.08</v>
      </c>
      <c r="N5" s="331">
        <v>291.08</v>
      </c>
      <c r="O5" s="321">
        <f t="shared" si="1"/>
        <v>1.7313075207671116</v>
      </c>
      <c r="P5" s="332">
        <v>1</v>
      </c>
      <c r="Q5" s="333">
        <v>1</v>
      </c>
      <c r="R5" s="333"/>
      <c r="S5" s="333"/>
      <c r="T5" s="334">
        <v>2</v>
      </c>
      <c r="U5" s="334"/>
      <c r="V5" s="335">
        <v>6</v>
      </c>
      <c r="W5" s="336">
        <v>6</v>
      </c>
      <c r="X5" s="337"/>
      <c r="Y5" s="338"/>
    </row>
    <row r="6" spans="1:1012" x14ac:dyDescent="0.2">
      <c r="A6" s="327" t="s">
        <v>83</v>
      </c>
      <c r="B6" s="315">
        <f>'Resumo Proposta'!D8</f>
        <v>0</v>
      </c>
      <c r="C6" s="328"/>
      <c r="D6" s="317"/>
      <c r="E6" s="317">
        <f t="shared" si="0"/>
        <v>800</v>
      </c>
      <c r="F6" s="329"/>
      <c r="G6" s="330"/>
      <c r="H6" s="329"/>
      <c r="I6" s="330"/>
      <c r="J6" s="329"/>
      <c r="K6" s="329"/>
      <c r="L6" s="329"/>
      <c r="M6" s="330"/>
      <c r="N6" s="331"/>
      <c r="O6" s="321">
        <f t="shared" si="1"/>
        <v>1</v>
      </c>
      <c r="P6" s="332">
        <v>1</v>
      </c>
      <c r="Q6" s="333"/>
      <c r="R6" s="333"/>
      <c r="S6" s="333"/>
      <c r="T6" s="334"/>
      <c r="U6" s="334">
        <v>1</v>
      </c>
      <c r="V6" s="335">
        <v>6</v>
      </c>
      <c r="W6" s="336">
        <v>6</v>
      </c>
      <c r="X6" s="339"/>
      <c r="Y6" s="338"/>
    </row>
    <row r="7" spans="1:1012" x14ac:dyDescent="0.2">
      <c r="A7" s="327" t="s">
        <v>86</v>
      </c>
      <c r="B7" s="315">
        <f>'Resumo Proposta'!D9</f>
        <v>0</v>
      </c>
      <c r="C7" s="328">
        <v>1350.8</v>
      </c>
      <c r="D7" s="317">
        <f>C7-E7-F7-G7-H7</f>
        <v>538.51</v>
      </c>
      <c r="E7" s="317">
        <f t="shared" si="0"/>
        <v>671.19999999999993</v>
      </c>
      <c r="F7" s="329"/>
      <c r="G7" s="330">
        <v>100.84</v>
      </c>
      <c r="H7" s="329">
        <f>15.82+24.43</f>
        <v>40.25</v>
      </c>
      <c r="I7" s="330">
        <v>1060.3</v>
      </c>
      <c r="J7" s="329"/>
      <c r="K7" s="329"/>
      <c r="L7" s="329"/>
      <c r="M7" s="330">
        <v>146.43</v>
      </c>
      <c r="N7" s="331">
        <v>146.43</v>
      </c>
      <c r="O7" s="321">
        <f t="shared" si="1"/>
        <v>2.2298102281649768</v>
      </c>
      <c r="P7" s="321">
        <v>1</v>
      </c>
      <c r="Q7" s="321">
        <v>1</v>
      </c>
      <c r="R7" s="321"/>
      <c r="S7" s="321"/>
      <c r="T7" s="322">
        <v>4</v>
      </c>
      <c r="U7" s="322"/>
      <c r="V7" s="335">
        <v>6</v>
      </c>
      <c r="W7" s="336">
        <v>6</v>
      </c>
      <c r="X7" s="339"/>
      <c r="Y7" s="338"/>
    </row>
    <row r="8" spans="1:1012" x14ac:dyDescent="0.2">
      <c r="A8" s="327" t="s">
        <v>88</v>
      </c>
      <c r="B8" s="315">
        <f>'Resumo Proposta'!D10</f>
        <v>0</v>
      </c>
      <c r="C8" s="328"/>
      <c r="D8" s="317"/>
      <c r="E8" s="317">
        <f t="shared" si="0"/>
        <v>800</v>
      </c>
      <c r="F8" s="329"/>
      <c r="G8" s="330"/>
      <c r="H8" s="329"/>
      <c r="I8" s="330"/>
      <c r="J8" s="329"/>
      <c r="K8" s="329"/>
      <c r="L8" s="329"/>
      <c r="M8" s="330"/>
      <c r="N8" s="331"/>
      <c r="O8" s="321">
        <f t="shared" si="1"/>
        <v>1</v>
      </c>
      <c r="P8" s="332">
        <v>1</v>
      </c>
      <c r="Q8" s="333"/>
      <c r="R8" s="333"/>
      <c r="S8" s="333"/>
      <c r="T8" s="334"/>
      <c r="U8" s="334">
        <v>1</v>
      </c>
      <c r="V8" s="335">
        <v>6</v>
      </c>
      <c r="W8" s="336">
        <v>36</v>
      </c>
      <c r="X8" s="339"/>
      <c r="Y8" s="338"/>
    </row>
    <row r="9" spans="1:1012" x14ac:dyDescent="0.2">
      <c r="A9" s="327" t="s">
        <v>90</v>
      </c>
      <c r="B9" s="315">
        <f>'Resumo Proposta'!D11</f>
        <v>0</v>
      </c>
      <c r="C9" s="328"/>
      <c r="D9" s="317"/>
      <c r="E9" s="317">
        <f t="shared" si="0"/>
        <v>800</v>
      </c>
      <c r="F9" s="329"/>
      <c r="G9" s="330"/>
      <c r="H9" s="329"/>
      <c r="I9" s="330"/>
      <c r="J9" s="330"/>
      <c r="K9" s="329"/>
      <c r="L9" s="329"/>
      <c r="M9" s="330"/>
      <c r="N9" s="331"/>
      <c r="O9" s="321">
        <f t="shared" si="1"/>
        <v>1</v>
      </c>
      <c r="P9" s="332">
        <v>1</v>
      </c>
      <c r="Q9" s="333"/>
      <c r="R9" s="333"/>
      <c r="S9" s="333"/>
      <c r="T9" s="334"/>
      <c r="U9" s="334">
        <v>1</v>
      </c>
      <c r="V9" s="335">
        <v>6</v>
      </c>
      <c r="W9" s="336">
        <v>16</v>
      </c>
      <c r="X9" s="339"/>
      <c r="Y9" s="338"/>
    </row>
    <row r="10" spans="1:1012" x14ac:dyDescent="0.2">
      <c r="A10" s="327" t="s">
        <v>92</v>
      </c>
      <c r="B10" s="315">
        <f>'Resumo Proposta'!D12</f>
        <v>0</v>
      </c>
      <c r="C10" s="328">
        <v>2242.85</v>
      </c>
      <c r="D10" s="317">
        <f>C10-E10-F10-G10-H10</f>
        <v>-54.418000000000063</v>
      </c>
      <c r="E10" s="317">
        <f t="shared" si="0"/>
        <v>715.80799999999999</v>
      </c>
      <c r="F10" s="329">
        <v>734.88</v>
      </c>
      <c r="G10" s="330">
        <v>820.27</v>
      </c>
      <c r="H10" s="329">
        <f>16.88+9.43</f>
        <v>26.31</v>
      </c>
      <c r="I10" s="330"/>
      <c r="J10" s="330">
        <v>165.47</v>
      </c>
      <c r="K10" s="329"/>
      <c r="L10" s="329"/>
      <c r="M10" s="330">
        <v>158.44999999999999</v>
      </c>
      <c r="N10" s="331">
        <v>158.44999999999999</v>
      </c>
      <c r="O10" s="321">
        <f t="shared" si="1"/>
        <v>2.0410873488384023</v>
      </c>
      <c r="P10" s="321">
        <v>1</v>
      </c>
      <c r="Q10" s="321">
        <v>1</v>
      </c>
      <c r="R10" s="321"/>
      <c r="S10" s="321"/>
      <c r="T10" s="322">
        <v>1</v>
      </c>
      <c r="U10" s="322"/>
      <c r="V10" s="335">
        <v>6</v>
      </c>
      <c r="W10" s="336">
        <v>6</v>
      </c>
      <c r="X10" s="339"/>
      <c r="Y10" s="338"/>
    </row>
    <row r="11" spans="1:1012" x14ac:dyDescent="0.2">
      <c r="A11" s="327" t="s">
        <v>94</v>
      </c>
      <c r="B11" s="315">
        <f>'Resumo Proposta'!D13</f>
        <v>0</v>
      </c>
      <c r="C11" s="328"/>
      <c r="D11" s="317"/>
      <c r="E11" s="317">
        <f t="shared" si="0"/>
        <v>800</v>
      </c>
      <c r="F11" s="329"/>
      <c r="G11" s="330"/>
      <c r="H11" s="329"/>
      <c r="I11" s="330"/>
      <c r="J11" s="330"/>
      <c r="K11" s="329"/>
      <c r="L11" s="329"/>
      <c r="M11" s="330"/>
      <c r="N11" s="331"/>
      <c r="O11" s="321">
        <f t="shared" si="1"/>
        <v>1</v>
      </c>
      <c r="P11" s="332">
        <v>1</v>
      </c>
      <c r="Q11" s="333"/>
      <c r="R11" s="333"/>
      <c r="S11" s="333"/>
      <c r="T11" s="334"/>
      <c r="U11" s="334"/>
      <c r="V11" s="335">
        <v>6</v>
      </c>
      <c r="W11" s="336">
        <v>6</v>
      </c>
      <c r="X11" s="339"/>
      <c r="Y11" s="338"/>
    </row>
    <row r="12" spans="1:1012" x14ac:dyDescent="0.2">
      <c r="A12" s="327" t="s">
        <v>96</v>
      </c>
      <c r="B12" s="315">
        <f>'Resumo Proposta'!D14</f>
        <v>0</v>
      </c>
      <c r="C12" s="328"/>
      <c r="D12" s="317"/>
      <c r="E12" s="317">
        <f t="shared" si="0"/>
        <v>800</v>
      </c>
      <c r="F12" s="329"/>
      <c r="G12" s="330"/>
      <c r="H12" s="329"/>
      <c r="I12" s="330"/>
      <c r="J12" s="329"/>
      <c r="K12" s="329"/>
      <c r="L12" s="329"/>
      <c r="M12" s="330"/>
      <c r="N12" s="331"/>
      <c r="O12" s="321">
        <f t="shared" si="1"/>
        <v>1</v>
      </c>
      <c r="P12" s="332">
        <v>1</v>
      </c>
      <c r="Q12" s="333"/>
      <c r="R12" s="333"/>
      <c r="S12" s="333"/>
      <c r="T12" s="334"/>
      <c r="U12" s="334">
        <v>1</v>
      </c>
      <c r="V12" s="335">
        <v>6</v>
      </c>
      <c r="W12" s="336">
        <v>6</v>
      </c>
      <c r="X12" s="339"/>
      <c r="Y12" s="338"/>
    </row>
    <row r="13" spans="1:1012" x14ac:dyDescent="0.2">
      <c r="A13" s="327" t="s">
        <v>98</v>
      </c>
      <c r="B13" s="315">
        <f>'Resumo Proposta'!D15</f>
        <v>0</v>
      </c>
      <c r="C13" s="328"/>
      <c r="D13" s="317"/>
      <c r="E13" s="317">
        <f t="shared" si="0"/>
        <v>800</v>
      </c>
      <c r="F13" s="329"/>
      <c r="G13" s="330"/>
      <c r="H13" s="329"/>
      <c r="I13" s="330"/>
      <c r="J13" s="329"/>
      <c r="K13" s="329"/>
      <c r="L13" s="329"/>
      <c r="M13" s="330"/>
      <c r="N13" s="331"/>
      <c r="O13" s="321">
        <f t="shared" si="1"/>
        <v>1</v>
      </c>
      <c r="P13" s="321">
        <v>1</v>
      </c>
      <c r="Q13" s="321"/>
      <c r="R13" s="321"/>
      <c r="S13" s="321"/>
      <c r="T13" s="322"/>
      <c r="U13" s="322"/>
      <c r="V13" s="335">
        <v>6</v>
      </c>
      <c r="W13" s="336">
        <v>6</v>
      </c>
      <c r="X13" s="339"/>
      <c r="Y13" s="338"/>
    </row>
    <row r="14" spans="1:1012" x14ac:dyDescent="0.2">
      <c r="A14" s="327" t="s">
        <v>100</v>
      </c>
      <c r="B14" s="315">
        <f>'Resumo Proposta'!D16</f>
        <v>0</v>
      </c>
      <c r="C14" s="328"/>
      <c r="D14" s="317"/>
      <c r="E14" s="317">
        <f t="shared" si="0"/>
        <v>800</v>
      </c>
      <c r="F14" s="329"/>
      <c r="G14" s="330"/>
      <c r="H14" s="329"/>
      <c r="I14" s="330"/>
      <c r="J14" s="329"/>
      <c r="K14" s="329"/>
      <c r="L14" s="329"/>
      <c r="M14" s="330"/>
      <c r="N14" s="331"/>
      <c r="O14" s="321">
        <f t="shared" si="1"/>
        <v>1</v>
      </c>
      <c r="P14" s="332">
        <v>1</v>
      </c>
      <c r="Q14" s="333"/>
      <c r="R14" s="333"/>
      <c r="S14" s="333"/>
      <c r="T14" s="334"/>
      <c r="U14" s="334"/>
      <c r="V14" s="335">
        <v>6</v>
      </c>
      <c r="W14" s="336">
        <v>6</v>
      </c>
      <c r="X14" s="339"/>
      <c r="Y14" s="338"/>
    </row>
    <row r="15" spans="1:1012" x14ac:dyDescent="0.2">
      <c r="A15" s="327" t="s">
        <v>102</v>
      </c>
      <c r="B15" s="315">
        <f>'Resumo Proposta'!D17</f>
        <v>0</v>
      </c>
      <c r="C15" s="340"/>
      <c r="D15" s="317"/>
      <c r="E15" s="317">
        <f>($E$17*30/40)*(1-H15/$H$17)</f>
        <v>600</v>
      </c>
      <c r="F15" s="341"/>
      <c r="G15" s="342"/>
      <c r="H15" s="341"/>
      <c r="I15" s="342"/>
      <c r="J15" s="341"/>
      <c r="K15" s="341"/>
      <c r="L15" s="341"/>
      <c r="M15" s="342"/>
      <c r="N15" s="343"/>
      <c r="O15" s="321">
        <f t="shared" si="1"/>
        <v>0.75</v>
      </c>
      <c r="P15" s="332"/>
      <c r="Q15" s="333"/>
      <c r="R15" s="333">
        <v>1</v>
      </c>
      <c r="S15" s="333"/>
      <c r="T15" s="334"/>
      <c r="U15" s="334"/>
      <c r="V15" s="335">
        <v>6</v>
      </c>
      <c r="W15" s="336">
        <v>6</v>
      </c>
      <c r="X15" s="339"/>
      <c r="Y15" s="338"/>
    </row>
    <row r="16" spans="1:1012" x14ac:dyDescent="0.2">
      <c r="A16" s="344" t="s">
        <v>459</v>
      </c>
      <c r="B16" s="344"/>
      <c r="C16" s="345">
        <f t="shared" ref="C16:Y16" si="2">SUM(C4:C15)</f>
        <v>4792.18</v>
      </c>
      <c r="D16" s="345">
        <f t="shared" si="2"/>
        <v>785.5619999999999</v>
      </c>
      <c r="E16" s="345">
        <f t="shared" si="2"/>
        <v>9033.7279999999992</v>
      </c>
      <c r="F16" s="346">
        <f t="shared" si="2"/>
        <v>734.88</v>
      </c>
      <c r="G16" s="346">
        <f t="shared" si="2"/>
        <v>1123.55</v>
      </c>
      <c r="H16" s="346">
        <f t="shared" si="2"/>
        <v>114.46000000000001</v>
      </c>
      <c r="I16" s="346">
        <f t="shared" si="2"/>
        <v>1284.4299999999998</v>
      </c>
      <c r="J16" s="346">
        <f t="shared" si="2"/>
        <v>165.47</v>
      </c>
      <c r="K16" s="346">
        <f t="shared" si="2"/>
        <v>0</v>
      </c>
      <c r="L16" s="346">
        <f t="shared" si="2"/>
        <v>291.08</v>
      </c>
      <c r="M16" s="346">
        <f t="shared" si="2"/>
        <v>595.96</v>
      </c>
      <c r="N16" s="347">
        <f t="shared" si="2"/>
        <v>595.96</v>
      </c>
      <c r="O16" s="348">
        <f t="shared" si="2"/>
        <v>14.75220509777049</v>
      </c>
      <c r="P16" s="349">
        <f t="shared" si="2"/>
        <v>11</v>
      </c>
      <c r="Q16" s="350">
        <f t="shared" si="2"/>
        <v>3</v>
      </c>
      <c r="R16" s="350">
        <f t="shared" si="2"/>
        <v>1</v>
      </c>
      <c r="S16" s="350">
        <f t="shared" si="2"/>
        <v>0</v>
      </c>
      <c r="T16" s="351">
        <f t="shared" si="2"/>
        <v>7</v>
      </c>
      <c r="U16" s="352">
        <f t="shared" si="2"/>
        <v>4</v>
      </c>
      <c r="V16" s="353">
        <f t="shared" si="2"/>
        <v>72</v>
      </c>
      <c r="W16" s="354">
        <f t="shared" si="2"/>
        <v>112</v>
      </c>
      <c r="X16" s="355">
        <f t="shared" si="2"/>
        <v>22</v>
      </c>
      <c r="Y16" s="356">
        <f t="shared" si="2"/>
        <v>1</v>
      </c>
      <c r="ALT16" s="257"/>
      <c r="ALU16" s="257"/>
      <c r="ALV16" s="257"/>
      <c r="ALW16" s="257"/>
      <c r="ALX16" s="257"/>
    </row>
    <row r="17" spans="1:1012" ht="15" x14ac:dyDescent="0.25">
      <c r="A17" s="357" t="s">
        <v>460</v>
      </c>
      <c r="B17" s="357"/>
      <c r="C17" s="357"/>
      <c r="D17" s="358">
        <v>800</v>
      </c>
      <c r="E17" s="358">
        <v>800</v>
      </c>
      <c r="F17" s="359">
        <v>1500</v>
      </c>
      <c r="G17" s="359">
        <v>1500</v>
      </c>
      <c r="H17" s="359">
        <v>250</v>
      </c>
      <c r="I17" s="359">
        <v>2500</v>
      </c>
      <c r="J17" s="359">
        <v>100000</v>
      </c>
      <c r="K17" s="359">
        <v>7500</v>
      </c>
      <c r="L17" s="359">
        <v>160</v>
      </c>
      <c r="M17" s="359">
        <v>380</v>
      </c>
      <c r="N17" s="360">
        <v>380</v>
      </c>
      <c r="O17" s="361"/>
      <c r="P17" s="362" t="s">
        <v>461</v>
      </c>
      <c r="Q17" s="363">
        <f>P16+Q16+R16+S16</f>
        <v>15</v>
      </c>
      <c r="R17" s="364"/>
      <c r="S17" s="364"/>
      <c r="T17" s="362" t="s">
        <v>461</v>
      </c>
      <c r="U17" s="365">
        <f>T16+U16</f>
        <v>11</v>
      </c>
      <c r="V17" s="366"/>
      <c r="W17" s="366"/>
      <c r="X17" s="366"/>
      <c r="Y17" s="289"/>
      <c r="ALW17" s="290"/>
      <c r="ALX17" s="290"/>
    </row>
    <row r="18" spans="1:1012" ht="15" x14ac:dyDescent="0.25">
      <c r="A18" s="367" t="s">
        <v>462</v>
      </c>
      <c r="B18" s="367"/>
      <c r="C18" s="367"/>
      <c r="D18" s="368">
        <f t="shared" ref="D18:K18" si="3">D16/D17</f>
        <v>0.98195249999999989</v>
      </c>
      <c r="E18" s="368">
        <f t="shared" si="3"/>
        <v>11.292159999999999</v>
      </c>
      <c r="F18" s="369">
        <f t="shared" si="3"/>
        <v>0.48992000000000002</v>
      </c>
      <c r="G18" s="369">
        <f t="shared" si="3"/>
        <v>0.74903333333333333</v>
      </c>
      <c r="H18" s="369">
        <f t="shared" si="3"/>
        <v>0.45784000000000002</v>
      </c>
      <c r="I18" s="369">
        <f t="shared" si="3"/>
        <v>0.5137719999999999</v>
      </c>
      <c r="J18" s="369">
        <f t="shared" si="3"/>
        <v>1.6547000000000001E-3</v>
      </c>
      <c r="K18" s="369">
        <f t="shared" si="3"/>
        <v>0</v>
      </c>
      <c r="L18" s="369">
        <f>1/L17*8*1/1132.6*L16</f>
        <v>1.2850079463182061E-2</v>
      </c>
      <c r="M18" s="369">
        <f>1/M17*16*1/188.76*M16</f>
        <v>0.13293628221857889</v>
      </c>
      <c r="N18" s="370">
        <f>1/N17*16*1/188.76*N16</f>
        <v>0.13293628221857889</v>
      </c>
      <c r="O18" s="371">
        <f>SUM(D18:N18)-L18</f>
        <v>14.752205097770489</v>
      </c>
      <c r="P18" s="362" t="s">
        <v>463</v>
      </c>
      <c r="Q18" s="365">
        <f>P16+Q16+((R16+S16)*0.75)</f>
        <v>14.75</v>
      </c>
      <c r="R18" s="289"/>
      <c r="S18" s="289"/>
      <c r="T18" s="372"/>
      <c r="U18" s="289"/>
      <c r="V18" s="289"/>
      <c r="W18" s="289"/>
      <c r="X18" s="289"/>
      <c r="Y18" s="289"/>
      <c r="ALW18" s="290"/>
      <c r="ALX18" s="290"/>
    </row>
    <row r="19" spans="1:1012" ht="15" x14ac:dyDescent="0.25">
      <c r="A19" s="373" t="s">
        <v>464</v>
      </c>
      <c r="B19" s="373"/>
      <c r="C19" s="373"/>
      <c r="D19" s="374">
        <f t="shared" ref="D19:K19" si="4">D16/($O18*D17)</f>
        <v>6.6563099786919516E-2</v>
      </c>
      <c r="E19" s="374">
        <f t="shared" si="4"/>
        <v>0.76545573527218591</v>
      </c>
      <c r="F19" s="375">
        <f t="shared" si="4"/>
        <v>3.3209950427956159E-2</v>
      </c>
      <c r="G19" s="375">
        <f t="shared" si="4"/>
        <v>5.0774330235317515E-2</v>
      </c>
      <c r="H19" s="375">
        <f t="shared" si="4"/>
        <v>3.1035360270932899E-2</v>
      </c>
      <c r="I19" s="375">
        <f t="shared" si="4"/>
        <v>3.4826793458670575E-2</v>
      </c>
      <c r="J19" s="375">
        <f t="shared" si="4"/>
        <v>1.1216628219533608E-4</v>
      </c>
      <c r="K19" s="375">
        <f t="shared" si="4"/>
        <v>0</v>
      </c>
      <c r="L19" s="375">
        <f>1/$O18*1/L17*16*1/188.76*L16</f>
        <v>1.0453108443038825E-2</v>
      </c>
      <c r="M19" s="375">
        <f>1/$O18*1/M17*16*1/188.76*M16</f>
        <v>9.0112821329110734E-3</v>
      </c>
      <c r="N19" s="375">
        <f>1/$O18*1/N17*16*1/188.76*N16</f>
        <v>9.0112821329110734E-3</v>
      </c>
      <c r="O19" s="376">
        <f>SUM(D19:N19)-L19</f>
        <v>1.0000000000000002</v>
      </c>
      <c r="P19" s="289"/>
      <c r="Q19" s="289"/>
      <c r="R19" s="289"/>
      <c r="S19" s="289"/>
      <c r="T19" s="289"/>
      <c r="U19" s="289"/>
      <c r="V19" s="289"/>
      <c r="W19" s="289"/>
      <c r="X19" s="289"/>
      <c r="Y19" s="290"/>
      <c r="ALW19" s="290"/>
      <c r="ALX19" s="290"/>
    </row>
    <row r="20" spans="1:1012" ht="15" hidden="1" x14ac:dyDescent="0.25">
      <c r="A20" s="377" t="s">
        <v>465</v>
      </c>
      <c r="B20" s="377"/>
      <c r="C20" s="377"/>
      <c r="D20" s="378">
        <f>ROUND(1/D17,9)</f>
        <v>1.25E-3</v>
      </c>
      <c r="E20" s="378"/>
      <c r="F20" s="379">
        <f t="shared" ref="F20:K20" si="5">ROUND(1/F17,9)</f>
        <v>6.6666700000000002E-4</v>
      </c>
      <c r="G20" s="379">
        <f t="shared" si="5"/>
        <v>6.6666700000000002E-4</v>
      </c>
      <c r="H20" s="379">
        <f t="shared" si="5"/>
        <v>4.0000000000000001E-3</v>
      </c>
      <c r="I20" s="379">
        <f t="shared" si="5"/>
        <v>4.0000000000000002E-4</v>
      </c>
      <c r="J20" s="379">
        <f t="shared" si="5"/>
        <v>1.0000000000000001E-5</v>
      </c>
      <c r="K20" s="379">
        <f t="shared" si="5"/>
        <v>1.3333299999999999E-4</v>
      </c>
      <c r="L20" s="380">
        <f>(1/L17)*(1/N25)*8</f>
        <v>4.8611111111111115E-5</v>
      </c>
      <c r="M20" s="380">
        <f>(1/M17)*(1/N24)*16</f>
        <v>2.4561403508771931E-4</v>
      </c>
      <c r="N20" s="381">
        <f>(1/N17)*(1/N24)*16</f>
        <v>2.4561403508771931E-4</v>
      </c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ALW20" s="290"/>
      <c r="ALX20" s="290"/>
    </row>
    <row r="21" spans="1:1012" ht="15" hidden="1" x14ac:dyDescent="0.25">
      <c r="A21" s="382" t="s">
        <v>466</v>
      </c>
      <c r="B21" s="382"/>
      <c r="C21" s="382"/>
      <c r="D21" s="383">
        <f>D20/$Y$16</f>
        <v>1.25E-3</v>
      </c>
      <c r="E21" s="383"/>
      <c r="F21" s="384">
        <f t="shared" ref="F21:N21" si="6">F20/$Y$16</f>
        <v>6.6666700000000002E-4</v>
      </c>
      <c r="G21" s="384">
        <f t="shared" si="6"/>
        <v>6.6666700000000002E-4</v>
      </c>
      <c r="H21" s="384">
        <f t="shared" si="6"/>
        <v>4.0000000000000001E-3</v>
      </c>
      <c r="I21" s="384">
        <f t="shared" si="6"/>
        <v>4.0000000000000002E-4</v>
      </c>
      <c r="J21" s="384">
        <f t="shared" si="6"/>
        <v>1.0000000000000001E-5</v>
      </c>
      <c r="K21" s="384">
        <f t="shared" si="6"/>
        <v>1.3333299999999999E-4</v>
      </c>
      <c r="L21" s="385">
        <f t="shared" si="6"/>
        <v>4.8611111111111115E-5</v>
      </c>
      <c r="M21" s="385">
        <f t="shared" si="6"/>
        <v>2.4561403508771931E-4</v>
      </c>
      <c r="N21" s="386">
        <f t="shared" si="6"/>
        <v>2.4561403508771931E-4</v>
      </c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ALW21" s="290"/>
      <c r="ALX21" s="290"/>
    </row>
    <row r="22" spans="1:1012" ht="15" x14ac:dyDescent="0.25">
      <c r="A22" s="387" t="s">
        <v>467</v>
      </c>
      <c r="B22" s="387"/>
      <c r="C22" s="387"/>
      <c r="D22" s="388" t="s">
        <v>468</v>
      </c>
      <c r="E22" s="388" t="s">
        <v>468</v>
      </c>
      <c r="F22" s="389" t="s">
        <v>469</v>
      </c>
      <c r="G22" s="389" t="s">
        <v>470</v>
      </c>
      <c r="H22" s="389" t="s">
        <v>471</v>
      </c>
      <c r="I22" s="390" t="s">
        <v>472</v>
      </c>
      <c r="J22" s="390" t="s">
        <v>472</v>
      </c>
      <c r="K22" s="390" t="s">
        <v>473</v>
      </c>
      <c r="L22" s="391" t="s">
        <v>474</v>
      </c>
      <c r="M22" s="391" t="s">
        <v>475</v>
      </c>
      <c r="N22" s="392" t="s">
        <v>475</v>
      </c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ALW22" s="290"/>
      <c r="ALX22" s="290"/>
    </row>
    <row r="23" spans="1:1012" ht="15" hidden="1" x14ac:dyDescent="0.25">
      <c r="A23" s="290"/>
      <c r="B23" s="290"/>
      <c r="C23" s="290"/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ALT23" s="257"/>
      <c r="ALU23" s="257"/>
      <c r="ALV23" s="257"/>
      <c r="ALW23" s="257"/>
      <c r="ALX23" s="257"/>
    </row>
    <row r="24" spans="1:1012" ht="15" hidden="1" x14ac:dyDescent="0.25">
      <c r="A24" s="290"/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L24" s="393">
        <f>30/7</f>
        <v>4.2857142857142856</v>
      </c>
      <c r="M24" s="393">
        <v>40</v>
      </c>
      <c r="N24" s="393">
        <f>L24*M24</f>
        <v>171.42857142857142</v>
      </c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ALT24" s="257"/>
      <c r="ALU24" s="257"/>
      <c r="ALV24" s="257"/>
      <c r="ALW24" s="257"/>
      <c r="ALX24" s="257"/>
    </row>
    <row r="25" spans="1:1012" ht="15" hidden="1" x14ac:dyDescent="0.25">
      <c r="A25" s="290"/>
      <c r="B25" s="290"/>
      <c r="C25" s="290"/>
      <c r="D25" s="290"/>
      <c r="E25" s="290"/>
      <c r="F25" s="290"/>
      <c r="G25" s="290"/>
      <c r="H25" s="290"/>
      <c r="I25" s="290"/>
      <c r="J25" s="290"/>
      <c r="K25" s="290"/>
      <c r="L25" s="393"/>
      <c r="M25" s="393"/>
      <c r="N25" s="393">
        <f>N24*6</f>
        <v>1028.5714285714284</v>
      </c>
      <c r="O25" s="393" t="s">
        <v>476</v>
      </c>
      <c r="P25" s="393"/>
      <c r="Q25" s="393"/>
      <c r="R25" s="393"/>
      <c r="S25" s="393"/>
      <c r="T25" s="393"/>
      <c r="U25" s="393"/>
      <c r="V25" s="393"/>
      <c r="W25" s="393"/>
      <c r="X25" s="393"/>
      <c r="Y25" s="393"/>
      <c r="ALT25" s="257"/>
      <c r="ALU25" s="257"/>
      <c r="ALV25" s="257"/>
      <c r="ALW25" s="257"/>
      <c r="ALX25" s="257"/>
    </row>
    <row r="176" spans="4:4" x14ac:dyDescent="0.2">
      <c r="D176">
        <f>(1/'Prod. GEXCAX'!L17)*(1/('Prod. GEXCAX'!L18))*8</f>
        <v>3.8910265219183722</v>
      </c>
    </row>
  </sheetData>
  <mergeCells count="21">
    <mergeCell ref="M2:M3"/>
    <mergeCell ref="N2:N3"/>
    <mergeCell ref="O2:O3"/>
    <mergeCell ref="P2:S2"/>
    <mergeCell ref="T2:U2"/>
    <mergeCell ref="C1:H1"/>
    <mergeCell ref="I1:K1"/>
    <mergeCell ref="L1:N1"/>
    <mergeCell ref="V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" right="0" top="0.39374999999999999" bottom="0.39374999999999999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K198"/>
  <sheetViews>
    <sheetView zoomScale="89" zoomScaleNormal="89" workbookViewId="0">
      <pane xSplit="2" ySplit="10" topLeftCell="C152" activePane="bottomRight" state="frozen"/>
      <selection pane="topRight" activeCell="C1" sqref="C1"/>
      <selection pane="bottomLeft" activeCell="A152" sqref="A152"/>
      <selection pane="bottomRight" activeCell="M154" sqref="M154:N154"/>
    </sheetView>
  </sheetViews>
  <sheetFormatPr defaultRowHeight="14.25" x14ac:dyDescent="0.2"/>
  <cols>
    <col min="1" max="1" width="58.125" style="393" customWidth="1"/>
    <col min="2" max="2" width="16.25" style="393" customWidth="1"/>
    <col min="3" max="12" width="14" style="393" customWidth="1"/>
    <col min="13" max="13" width="15.125" style="393" customWidth="1"/>
    <col min="14" max="14" width="10.5" style="393" customWidth="1"/>
    <col min="15" max="15" width="14.25" style="393" customWidth="1"/>
    <col min="16" max="1025" width="10.5" style="393" customWidth="1"/>
  </cols>
  <sheetData>
    <row r="1" spans="1:9" ht="15.75" x14ac:dyDescent="0.2">
      <c r="A1" s="768" t="s">
        <v>477</v>
      </c>
      <c r="B1" s="768"/>
      <c r="C1" s="768"/>
      <c r="D1" s="768"/>
      <c r="E1" s="768"/>
      <c r="F1" s="768"/>
      <c r="G1" s="768"/>
      <c r="H1" s="768"/>
      <c r="I1" s="768"/>
    </row>
    <row r="2" spans="1:9" ht="15.75" x14ac:dyDescent="0.2">
      <c r="A2" s="769" t="s">
        <v>478</v>
      </c>
      <c r="B2" s="769"/>
      <c r="C2" s="769"/>
      <c r="D2" s="769"/>
      <c r="E2" s="769"/>
      <c r="F2" s="769"/>
      <c r="G2" s="769"/>
      <c r="H2" s="769"/>
      <c r="I2" s="769"/>
    </row>
    <row r="3" spans="1:9" ht="15.75" customHeight="1" x14ac:dyDescent="0.2">
      <c r="A3" s="769" t="s">
        <v>479</v>
      </c>
      <c r="B3" s="769"/>
      <c r="C3" s="769"/>
      <c r="D3" s="769"/>
      <c r="E3" s="769"/>
      <c r="F3" s="769"/>
      <c r="G3" s="769"/>
      <c r="H3" s="769"/>
      <c r="I3" s="769"/>
    </row>
    <row r="4" spans="1:9" ht="24" x14ac:dyDescent="0.2">
      <c r="A4" s="394"/>
      <c r="B4" s="395"/>
      <c r="C4" s="770" t="s">
        <v>480</v>
      </c>
      <c r="D4" s="770"/>
      <c r="E4" s="771" t="s">
        <v>481</v>
      </c>
      <c r="F4" s="771"/>
      <c r="G4" s="397" t="s">
        <v>482</v>
      </c>
      <c r="H4" s="398" t="s">
        <v>483</v>
      </c>
      <c r="I4" s="399" t="s">
        <v>484</v>
      </c>
    </row>
    <row r="5" spans="1:9" x14ac:dyDescent="0.2">
      <c r="A5" s="400"/>
      <c r="B5" s="401" t="s">
        <v>485</v>
      </c>
      <c r="C5" s="772">
        <f>MC!$D11</f>
        <v>0</v>
      </c>
      <c r="D5" s="772"/>
      <c r="E5" s="772">
        <f>MC!$E11</f>
        <v>0</v>
      </c>
      <c r="F5" s="772"/>
      <c r="G5" s="403">
        <f>MC!$F11</f>
        <v>0</v>
      </c>
      <c r="H5" s="404">
        <f>MC!$C13</f>
        <v>0</v>
      </c>
      <c r="I5" s="404">
        <f>MC!$D12</f>
        <v>0</v>
      </c>
    </row>
    <row r="6" spans="1:9" x14ac:dyDescent="0.2">
      <c r="A6" s="400"/>
      <c r="B6" s="401" t="s">
        <v>486</v>
      </c>
      <c r="C6" s="773">
        <f>MC!$E8</f>
        <v>0</v>
      </c>
      <c r="D6" s="773"/>
      <c r="E6" s="773">
        <f>MC!$E8</f>
        <v>0</v>
      </c>
      <c r="F6" s="773"/>
      <c r="G6" s="406">
        <f>MC!$E8</f>
        <v>0</v>
      </c>
      <c r="H6" s="407">
        <f>MC!$E8</f>
        <v>0</v>
      </c>
      <c r="I6" s="407">
        <f>MC!$E8</f>
        <v>0</v>
      </c>
    </row>
    <row r="7" spans="1:9" x14ac:dyDescent="0.2">
      <c r="A7" s="400"/>
      <c r="B7" s="401" t="s">
        <v>487</v>
      </c>
      <c r="C7" s="773">
        <f>MC!$C8</f>
        <v>0</v>
      </c>
      <c r="D7" s="773"/>
      <c r="E7" s="773">
        <f>MC!$C8</f>
        <v>0</v>
      </c>
      <c r="F7" s="773"/>
      <c r="G7" s="406">
        <f>MC!$C8</f>
        <v>0</v>
      </c>
      <c r="H7" s="407">
        <f>MC!$C8</f>
        <v>0</v>
      </c>
      <c r="I7" s="407">
        <f>MC!$C8</f>
        <v>0</v>
      </c>
    </row>
    <row r="8" spans="1:9" x14ac:dyDescent="0.2">
      <c r="A8" s="400"/>
      <c r="B8" s="401" t="s">
        <v>488</v>
      </c>
      <c r="C8" s="774">
        <f>MC!$F8</f>
        <v>0</v>
      </c>
      <c r="D8" s="774"/>
      <c r="E8" s="775">
        <f>MC!$F8</f>
        <v>0</v>
      </c>
      <c r="F8" s="775"/>
      <c r="G8" s="409">
        <f>MC!$F8</f>
        <v>0</v>
      </c>
      <c r="H8" s="410">
        <f>MC!$F8</f>
        <v>0</v>
      </c>
      <c r="I8" s="410">
        <f>MC!$F8</f>
        <v>0</v>
      </c>
    </row>
    <row r="9" spans="1:9" x14ac:dyDescent="0.2">
      <c r="A9" s="776"/>
      <c r="B9" s="776"/>
      <c r="C9" s="776"/>
      <c r="D9" s="776"/>
      <c r="E9" s="776"/>
      <c r="F9" s="776"/>
      <c r="G9" s="776"/>
      <c r="H9" s="776"/>
      <c r="I9" s="776"/>
    </row>
    <row r="10" spans="1:9" ht="56.1" customHeight="1" x14ac:dyDescent="0.2">
      <c r="A10" s="411" t="s">
        <v>489</v>
      </c>
      <c r="B10" s="412" t="s">
        <v>490</v>
      </c>
      <c r="C10" s="413" t="s">
        <v>491</v>
      </c>
      <c r="D10" s="413" t="s">
        <v>492</v>
      </c>
      <c r="E10" s="413" t="s">
        <v>493</v>
      </c>
      <c r="F10" s="413" t="s">
        <v>494</v>
      </c>
      <c r="G10" s="413" t="s">
        <v>495</v>
      </c>
      <c r="H10" s="413" t="s">
        <v>496</v>
      </c>
      <c r="I10" s="414" t="s">
        <v>497</v>
      </c>
    </row>
    <row r="11" spans="1:9" ht="14.25" customHeight="1" x14ac:dyDescent="0.2">
      <c r="A11" s="777" t="s">
        <v>498</v>
      </c>
      <c r="B11" s="777"/>
      <c r="C11" s="777"/>
      <c r="D11" s="777"/>
      <c r="E11" s="777"/>
      <c r="F11" s="777"/>
      <c r="G11" s="777"/>
      <c r="H11" s="777"/>
      <c r="I11" s="777"/>
    </row>
    <row r="12" spans="1:9" ht="15.75" customHeight="1" x14ac:dyDescent="0.2">
      <c r="A12" s="415" t="s">
        <v>499</v>
      </c>
      <c r="B12" s="416" t="s">
        <v>500</v>
      </c>
      <c r="C12" s="416" t="s">
        <v>501</v>
      </c>
      <c r="D12" s="416" t="s">
        <v>501</v>
      </c>
      <c r="E12" s="416" t="s">
        <v>501</v>
      </c>
      <c r="F12" s="416" t="s">
        <v>501</v>
      </c>
      <c r="G12" s="416" t="s">
        <v>501</v>
      </c>
      <c r="H12" s="416" t="s">
        <v>501</v>
      </c>
      <c r="I12" s="417" t="s">
        <v>501</v>
      </c>
    </row>
    <row r="13" spans="1:9" ht="15.75" customHeight="1" x14ac:dyDescent="0.2">
      <c r="A13" s="418" t="s">
        <v>502</v>
      </c>
      <c r="B13" s="419"/>
      <c r="C13" s="420">
        <f>C5</f>
        <v>0</v>
      </c>
      <c r="D13" s="420">
        <f>C5</f>
        <v>0</v>
      </c>
      <c r="E13" s="421">
        <f>E5</f>
        <v>0</v>
      </c>
      <c r="F13" s="421">
        <f>E5</f>
        <v>0</v>
      </c>
      <c r="G13" s="421">
        <f>G5</f>
        <v>0</v>
      </c>
      <c r="H13" s="421">
        <f>H5</f>
        <v>0</v>
      </c>
      <c r="I13" s="422">
        <f>I5</f>
        <v>0</v>
      </c>
    </row>
    <row r="14" spans="1:9" ht="15.75" customHeight="1" x14ac:dyDescent="0.2">
      <c r="A14" s="418" t="s">
        <v>503</v>
      </c>
      <c r="B14" s="423" t="s">
        <v>504</v>
      </c>
      <c r="C14" s="420">
        <f>C5*0.4</f>
        <v>0</v>
      </c>
      <c r="D14" s="420">
        <f>C5*0.2</f>
        <v>0</v>
      </c>
      <c r="E14" s="420">
        <f>E5*0.4</f>
        <v>0</v>
      </c>
      <c r="F14" s="420">
        <f>E5*0.2</f>
        <v>0</v>
      </c>
      <c r="G14" s="420">
        <f>G5*0.2</f>
        <v>0</v>
      </c>
      <c r="H14" s="424" t="s">
        <v>85</v>
      </c>
      <c r="I14" s="425" t="s">
        <v>85</v>
      </c>
    </row>
    <row r="15" spans="1:9" ht="15.75" customHeight="1" x14ac:dyDescent="0.2">
      <c r="A15" s="418" t="s">
        <v>505</v>
      </c>
      <c r="B15" s="426"/>
      <c r="C15" s="424" t="s">
        <v>85</v>
      </c>
      <c r="D15" s="424" t="s">
        <v>85</v>
      </c>
      <c r="E15" s="427" t="s">
        <v>85</v>
      </c>
      <c r="F15" s="427" t="s">
        <v>85</v>
      </c>
      <c r="G15" s="427" t="s">
        <v>85</v>
      </c>
      <c r="H15" s="427" t="s">
        <v>85</v>
      </c>
      <c r="I15" s="425" t="s">
        <v>85</v>
      </c>
    </row>
    <row r="16" spans="1:9" ht="15.75" customHeight="1" x14ac:dyDescent="0.2">
      <c r="A16" s="418" t="s">
        <v>506</v>
      </c>
      <c r="B16" s="426"/>
      <c r="C16" s="424" t="s">
        <v>85</v>
      </c>
      <c r="D16" s="424" t="s">
        <v>85</v>
      </c>
      <c r="E16" s="427" t="s">
        <v>85</v>
      </c>
      <c r="F16" s="427" t="s">
        <v>85</v>
      </c>
      <c r="G16" s="427" t="s">
        <v>85</v>
      </c>
      <c r="H16" s="427" t="s">
        <v>85</v>
      </c>
      <c r="I16" s="425" t="s">
        <v>85</v>
      </c>
    </row>
    <row r="17" spans="1:9" ht="15.75" customHeight="1" x14ac:dyDescent="0.2">
      <c r="A17" s="418" t="s">
        <v>507</v>
      </c>
      <c r="B17" s="426"/>
      <c r="C17" s="424" t="s">
        <v>85</v>
      </c>
      <c r="D17" s="424" t="s">
        <v>85</v>
      </c>
      <c r="E17" s="427" t="s">
        <v>85</v>
      </c>
      <c r="F17" s="427" t="s">
        <v>85</v>
      </c>
      <c r="G17" s="427" t="s">
        <v>85</v>
      </c>
      <c r="H17" s="427" t="s">
        <v>85</v>
      </c>
      <c r="I17" s="425" t="s">
        <v>85</v>
      </c>
    </row>
    <row r="18" spans="1:9" ht="15.75" customHeight="1" x14ac:dyDescent="0.2">
      <c r="A18" s="418" t="s">
        <v>508</v>
      </c>
      <c r="B18" s="428"/>
      <c r="C18" s="424" t="s">
        <v>85</v>
      </c>
      <c r="D18" s="424" t="s">
        <v>85</v>
      </c>
      <c r="E18" s="424" t="s">
        <v>85</v>
      </c>
      <c r="F18" s="424" t="s">
        <v>85</v>
      </c>
      <c r="G18" s="424" t="s">
        <v>85</v>
      </c>
      <c r="H18" s="427" t="s">
        <v>85</v>
      </c>
      <c r="I18" s="425" t="s">
        <v>85</v>
      </c>
    </row>
    <row r="19" spans="1:9" ht="15.75" customHeight="1" x14ac:dyDescent="0.2">
      <c r="A19" s="429" t="s">
        <v>509</v>
      </c>
      <c r="B19" s="430"/>
      <c r="C19" s="431">
        <f t="shared" ref="C19:I19" si="0">SUM(C13:C18)</f>
        <v>0</v>
      </c>
      <c r="D19" s="432">
        <f t="shared" si="0"/>
        <v>0</v>
      </c>
      <c r="E19" s="432">
        <f t="shared" si="0"/>
        <v>0</v>
      </c>
      <c r="F19" s="432">
        <f t="shared" si="0"/>
        <v>0</v>
      </c>
      <c r="G19" s="432">
        <f t="shared" si="0"/>
        <v>0</v>
      </c>
      <c r="H19" s="432">
        <f t="shared" si="0"/>
        <v>0</v>
      </c>
      <c r="I19" s="433">
        <f t="shared" si="0"/>
        <v>0</v>
      </c>
    </row>
    <row r="20" spans="1:9" ht="15.75" customHeight="1" x14ac:dyDescent="0.2">
      <c r="A20" s="778"/>
      <c r="B20" s="778"/>
      <c r="C20" s="435"/>
      <c r="D20" s="435"/>
      <c r="E20" s="436"/>
      <c r="F20" s="436"/>
      <c r="G20" s="436"/>
      <c r="H20" s="436"/>
      <c r="I20" s="437"/>
    </row>
    <row r="21" spans="1:9" ht="14.25" customHeight="1" x14ac:dyDescent="0.2">
      <c r="A21" s="777" t="s">
        <v>510</v>
      </c>
      <c r="B21" s="777"/>
      <c r="C21" s="777"/>
      <c r="D21" s="777"/>
      <c r="E21" s="777"/>
      <c r="F21" s="777"/>
      <c r="G21" s="777"/>
      <c r="H21" s="777"/>
      <c r="I21" s="777"/>
    </row>
    <row r="22" spans="1:9" ht="28.35" customHeight="1" x14ac:dyDescent="0.2">
      <c r="A22" s="438" t="s">
        <v>511</v>
      </c>
      <c r="B22" s="439" t="s">
        <v>500</v>
      </c>
      <c r="C22" s="439" t="s">
        <v>501</v>
      </c>
      <c r="D22" s="439" t="s">
        <v>501</v>
      </c>
      <c r="E22" s="439" t="s">
        <v>501</v>
      </c>
      <c r="F22" s="439" t="s">
        <v>501</v>
      </c>
      <c r="G22" s="439" t="s">
        <v>501</v>
      </c>
      <c r="H22" s="439" t="s">
        <v>501</v>
      </c>
      <c r="I22" s="440" t="s">
        <v>501</v>
      </c>
    </row>
    <row r="23" spans="1:9" ht="15.75" customHeight="1" x14ac:dyDescent="0.2">
      <c r="A23" s="441" t="s">
        <v>512</v>
      </c>
      <c r="B23" s="442">
        <f>1/12</f>
        <v>8.3333333333333329E-2</v>
      </c>
      <c r="C23" s="420">
        <f t="shared" ref="C23:I23" si="1">ROUND($B23*C$19,2)</f>
        <v>0</v>
      </c>
      <c r="D23" s="420">
        <f t="shared" si="1"/>
        <v>0</v>
      </c>
      <c r="E23" s="420">
        <f t="shared" si="1"/>
        <v>0</v>
      </c>
      <c r="F23" s="420">
        <f t="shared" si="1"/>
        <v>0</v>
      </c>
      <c r="G23" s="420">
        <f t="shared" si="1"/>
        <v>0</v>
      </c>
      <c r="H23" s="420">
        <f t="shared" si="1"/>
        <v>0</v>
      </c>
      <c r="I23" s="422">
        <f t="shared" si="1"/>
        <v>0</v>
      </c>
    </row>
    <row r="24" spans="1:9" x14ac:dyDescent="0.2">
      <c r="A24" s="441" t="s">
        <v>513</v>
      </c>
      <c r="B24" s="442">
        <f>1/3*1/12</f>
        <v>2.7777777777777776E-2</v>
      </c>
      <c r="C24" s="420">
        <f t="shared" ref="C24:I24" si="2">C$19*$B$24</f>
        <v>0</v>
      </c>
      <c r="D24" s="420">
        <f t="shared" si="2"/>
        <v>0</v>
      </c>
      <c r="E24" s="420">
        <f t="shared" si="2"/>
        <v>0</v>
      </c>
      <c r="F24" s="420">
        <f t="shared" si="2"/>
        <v>0</v>
      </c>
      <c r="G24" s="420">
        <f t="shared" si="2"/>
        <v>0</v>
      </c>
      <c r="H24" s="420">
        <f t="shared" si="2"/>
        <v>0</v>
      </c>
      <c r="I24" s="422">
        <f t="shared" si="2"/>
        <v>0</v>
      </c>
    </row>
    <row r="25" spans="1:9" ht="14.25" customHeight="1" x14ac:dyDescent="0.2">
      <c r="A25" s="429" t="s">
        <v>509</v>
      </c>
      <c r="B25" s="443">
        <f t="shared" ref="B25:I25" si="3">SUM(B23:B24)</f>
        <v>0.1111111111111111</v>
      </c>
      <c r="C25" s="444">
        <f t="shared" si="3"/>
        <v>0</v>
      </c>
      <c r="D25" s="444">
        <f t="shared" si="3"/>
        <v>0</v>
      </c>
      <c r="E25" s="444">
        <f t="shared" si="3"/>
        <v>0</v>
      </c>
      <c r="F25" s="444">
        <f t="shared" si="3"/>
        <v>0</v>
      </c>
      <c r="G25" s="444">
        <f t="shared" si="3"/>
        <v>0</v>
      </c>
      <c r="H25" s="444">
        <f t="shared" si="3"/>
        <v>0</v>
      </c>
      <c r="I25" s="445">
        <f t="shared" si="3"/>
        <v>0</v>
      </c>
    </row>
    <row r="26" spans="1:9" x14ac:dyDescent="0.2">
      <c r="A26" s="438" t="s">
        <v>514</v>
      </c>
      <c r="B26" s="439" t="s">
        <v>500</v>
      </c>
      <c r="C26" s="439" t="s">
        <v>501</v>
      </c>
      <c r="D26" s="439" t="s">
        <v>501</v>
      </c>
      <c r="E26" s="439" t="s">
        <v>501</v>
      </c>
      <c r="F26" s="439" t="s">
        <v>501</v>
      </c>
      <c r="G26" s="439" t="s">
        <v>501</v>
      </c>
      <c r="H26" s="439" t="s">
        <v>501</v>
      </c>
      <c r="I26" s="440" t="s">
        <v>501</v>
      </c>
    </row>
    <row r="27" spans="1:9" ht="15.75" customHeight="1" x14ac:dyDescent="0.2">
      <c r="A27" s="438" t="s">
        <v>515</v>
      </c>
      <c r="B27" s="446"/>
      <c r="C27" s="446"/>
      <c r="D27" s="446"/>
      <c r="E27" s="446"/>
      <c r="F27" s="446"/>
      <c r="G27" s="446"/>
      <c r="H27" s="447"/>
      <c r="I27" s="448"/>
    </row>
    <row r="28" spans="1:9" ht="14.25" customHeight="1" x14ac:dyDescent="0.2">
      <c r="A28" s="441" t="s">
        <v>516</v>
      </c>
      <c r="B28" s="442">
        <v>0.2</v>
      </c>
      <c r="C28" s="449">
        <f>ROUND(($C$19+$C$25)*B28,2)</f>
        <v>0</v>
      </c>
      <c r="D28" s="449">
        <f t="shared" ref="D28:I35" si="4">ROUND((D$19+D$25)*$B28,2)</f>
        <v>0</v>
      </c>
      <c r="E28" s="449">
        <f t="shared" si="4"/>
        <v>0</v>
      </c>
      <c r="F28" s="449">
        <f t="shared" si="4"/>
        <v>0</v>
      </c>
      <c r="G28" s="449">
        <f t="shared" si="4"/>
        <v>0</v>
      </c>
      <c r="H28" s="449">
        <f t="shared" si="4"/>
        <v>0</v>
      </c>
      <c r="I28" s="450">
        <f t="shared" si="4"/>
        <v>0</v>
      </c>
    </row>
    <row r="29" spans="1:9" ht="15.75" customHeight="1" x14ac:dyDescent="0.2">
      <c r="A29" s="441" t="s">
        <v>517</v>
      </c>
      <c r="B29" s="442">
        <v>2.5000000000000001E-2</v>
      </c>
      <c r="C29" s="449">
        <f t="shared" ref="C29:C35" si="5">ROUND((C$19+C$25)*$B29,2)</f>
        <v>0</v>
      </c>
      <c r="D29" s="449">
        <f t="shared" si="4"/>
        <v>0</v>
      </c>
      <c r="E29" s="449">
        <f t="shared" si="4"/>
        <v>0</v>
      </c>
      <c r="F29" s="449">
        <f t="shared" si="4"/>
        <v>0</v>
      </c>
      <c r="G29" s="449">
        <f t="shared" si="4"/>
        <v>0</v>
      </c>
      <c r="H29" s="449">
        <f t="shared" si="4"/>
        <v>0</v>
      </c>
      <c r="I29" s="450">
        <f t="shared" si="4"/>
        <v>0</v>
      </c>
    </row>
    <row r="30" spans="1:9" ht="15.75" customHeight="1" x14ac:dyDescent="0.2">
      <c r="A30" s="441" t="s">
        <v>518</v>
      </c>
      <c r="B30" s="442">
        <v>0.03</v>
      </c>
      <c r="C30" s="449">
        <f t="shared" si="5"/>
        <v>0</v>
      </c>
      <c r="D30" s="449">
        <f t="shared" si="4"/>
        <v>0</v>
      </c>
      <c r="E30" s="449">
        <f t="shared" si="4"/>
        <v>0</v>
      </c>
      <c r="F30" s="449">
        <f t="shared" si="4"/>
        <v>0</v>
      </c>
      <c r="G30" s="449">
        <f t="shared" si="4"/>
        <v>0</v>
      </c>
      <c r="H30" s="449">
        <f t="shared" si="4"/>
        <v>0</v>
      </c>
      <c r="I30" s="450">
        <f t="shared" si="4"/>
        <v>0</v>
      </c>
    </row>
    <row r="31" spans="1:9" ht="15.75" customHeight="1" x14ac:dyDescent="0.2">
      <c r="A31" s="441" t="s">
        <v>519</v>
      </c>
      <c r="B31" s="442">
        <v>1.4999999999999999E-2</v>
      </c>
      <c r="C31" s="449">
        <f t="shared" si="5"/>
        <v>0</v>
      </c>
      <c r="D31" s="449">
        <f t="shared" si="4"/>
        <v>0</v>
      </c>
      <c r="E31" s="449">
        <f t="shared" si="4"/>
        <v>0</v>
      </c>
      <c r="F31" s="449">
        <f t="shared" si="4"/>
        <v>0</v>
      </c>
      <c r="G31" s="449">
        <f t="shared" si="4"/>
        <v>0</v>
      </c>
      <c r="H31" s="449">
        <f t="shared" si="4"/>
        <v>0</v>
      </c>
      <c r="I31" s="450">
        <f t="shared" si="4"/>
        <v>0</v>
      </c>
    </row>
    <row r="32" spans="1:9" ht="15.75" customHeight="1" x14ac:dyDescent="0.2">
      <c r="A32" s="441" t="s">
        <v>520</v>
      </c>
      <c r="B32" s="442">
        <v>0.01</v>
      </c>
      <c r="C32" s="449">
        <f t="shared" si="5"/>
        <v>0</v>
      </c>
      <c r="D32" s="449">
        <f t="shared" si="4"/>
        <v>0</v>
      </c>
      <c r="E32" s="449">
        <f t="shared" si="4"/>
        <v>0</v>
      </c>
      <c r="F32" s="449">
        <f t="shared" si="4"/>
        <v>0</v>
      </c>
      <c r="G32" s="449">
        <f t="shared" si="4"/>
        <v>0</v>
      </c>
      <c r="H32" s="449">
        <f t="shared" si="4"/>
        <v>0</v>
      </c>
      <c r="I32" s="450">
        <f t="shared" si="4"/>
        <v>0</v>
      </c>
    </row>
    <row r="33" spans="1:9" ht="15.75" customHeight="1" x14ac:dyDescent="0.2">
      <c r="A33" s="441" t="s">
        <v>521</v>
      </c>
      <c r="B33" s="442">
        <v>6.0000000000000001E-3</v>
      </c>
      <c r="C33" s="449">
        <f t="shared" si="5"/>
        <v>0</v>
      </c>
      <c r="D33" s="449">
        <f t="shared" si="4"/>
        <v>0</v>
      </c>
      <c r="E33" s="449">
        <f t="shared" si="4"/>
        <v>0</v>
      </c>
      <c r="F33" s="449">
        <f t="shared" si="4"/>
        <v>0</v>
      </c>
      <c r="G33" s="449">
        <f t="shared" si="4"/>
        <v>0</v>
      </c>
      <c r="H33" s="449">
        <f t="shared" si="4"/>
        <v>0</v>
      </c>
      <c r="I33" s="450">
        <f t="shared" si="4"/>
        <v>0</v>
      </c>
    </row>
    <row r="34" spans="1:9" ht="15.75" customHeight="1" x14ac:dyDescent="0.2">
      <c r="A34" s="441" t="s">
        <v>522</v>
      </c>
      <c r="B34" s="442">
        <v>2E-3</v>
      </c>
      <c r="C34" s="449">
        <f t="shared" si="5"/>
        <v>0</v>
      </c>
      <c r="D34" s="449">
        <f t="shared" si="4"/>
        <v>0</v>
      </c>
      <c r="E34" s="449">
        <f t="shared" si="4"/>
        <v>0</v>
      </c>
      <c r="F34" s="449">
        <f t="shared" si="4"/>
        <v>0</v>
      </c>
      <c r="G34" s="449">
        <f t="shared" si="4"/>
        <v>0</v>
      </c>
      <c r="H34" s="449">
        <f t="shared" si="4"/>
        <v>0</v>
      </c>
      <c r="I34" s="450">
        <f t="shared" si="4"/>
        <v>0</v>
      </c>
    </row>
    <row r="35" spans="1:9" ht="15.75" customHeight="1" x14ac:dyDescent="0.2">
      <c r="A35" s="441" t="s">
        <v>523</v>
      </c>
      <c r="B35" s="442">
        <v>0.08</v>
      </c>
      <c r="C35" s="449">
        <f t="shared" si="5"/>
        <v>0</v>
      </c>
      <c r="D35" s="449">
        <f t="shared" si="4"/>
        <v>0</v>
      </c>
      <c r="E35" s="449">
        <f t="shared" si="4"/>
        <v>0</v>
      </c>
      <c r="F35" s="449">
        <f t="shared" si="4"/>
        <v>0</v>
      </c>
      <c r="G35" s="449">
        <f t="shared" si="4"/>
        <v>0</v>
      </c>
      <c r="H35" s="449">
        <f t="shared" si="4"/>
        <v>0</v>
      </c>
      <c r="I35" s="450">
        <f t="shared" si="4"/>
        <v>0</v>
      </c>
    </row>
    <row r="36" spans="1:9" ht="15.75" customHeight="1" x14ac:dyDescent="0.2">
      <c r="A36" s="429" t="s">
        <v>509</v>
      </c>
      <c r="B36" s="443">
        <f t="shared" ref="B36:I36" si="6">SUM(B28:B35)</f>
        <v>0.36800000000000005</v>
      </c>
      <c r="C36" s="444">
        <f t="shared" si="6"/>
        <v>0</v>
      </c>
      <c r="D36" s="444">
        <f t="shared" si="6"/>
        <v>0</v>
      </c>
      <c r="E36" s="444">
        <f t="shared" si="6"/>
        <v>0</v>
      </c>
      <c r="F36" s="444">
        <f t="shared" si="6"/>
        <v>0</v>
      </c>
      <c r="G36" s="444">
        <f t="shared" si="6"/>
        <v>0</v>
      </c>
      <c r="H36" s="444">
        <f t="shared" si="6"/>
        <v>0</v>
      </c>
      <c r="I36" s="445">
        <f t="shared" si="6"/>
        <v>0</v>
      </c>
    </row>
    <row r="37" spans="1:9" ht="15.75" customHeight="1" x14ac:dyDescent="0.2">
      <c r="A37" s="438" t="s">
        <v>524</v>
      </c>
      <c r="B37" s="439" t="s">
        <v>525</v>
      </c>
      <c r="C37" s="439" t="s">
        <v>501</v>
      </c>
      <c r="D37" s="439" t="s">
        <v>501</v>
      </c>
      <c r="E37" s="439" t="s">
        <v>501</v>
      </c>
      <c r="F37" s="439" t="s">
        <v>501</v>
      </c>
      <c r="G37" s="439" t="s">
        <v>501</v>
      </c>
      <c r="H37" s="439" t="s">
        <v>501</v>
      </c>
      <c r="I37" s="440" t="s">
        <v>501</v>
      </c>
    </row>
    <row r="38" spans="1:9" ht="15.75" customHeight="1" x14ac:dyDescent="0.2">
      <c r="A38" s="441" t="s">
        <v>526</v>
      </c>
      <c r="B38" s="451">
        <f>MC!D84</f>
        <v>0</v>
      </c>
      <c r="C38" s="420">
        <f t="shared" ref="C38:I38" si="7">ROUND(((2*22*$B$38)-0.06*C$13),2)</f>
        <v>0</v>
      </c>
      <c r="D38" s="420">
        <f t="shared" si="7"/>
        <v>0</v>
      </c>
      <c r="E38" s="420">
        <f t="shared" si="7"/>
        <v>0</v>
      </c>
      <c r="F38" s="420">
        <f t="shared" si="7"/>
        <v>0</v>
      </c>
      <c r="G38" s="420">
        <f t="shared" si="7"/>
        <v>0</v>
      </c>
      <c r="H38" s="420">
        <f t="shared" si="7"/>
        <v>0</v>
      </c>
      <c r="I38" s="422">
        <f t="shared" si="7"/>
        <v>0</v>
      </c>
    </row>
    <row r="39" spans="1:9" ht="15.75" customHeight="1" x14ac:dyDescent="0.2">
      <c r="A39" s="441" t="s">
        <v>527</v>
      </c>
      <c r="B39" s="452"/>
      <c r="C39" s="449">
        <f>MC!$E$19</f>
        <v>0</v>
      </c>
      <c r="D39" s="449">
        <f>MC!$E$19</f>
        <v>0</v>
      </c>
      <c r="E39" s="449">
        <f>MC!$E$20</f>
        <v>0</v>
      </c>
      <c r="F39" s="449">
        <f>MC!$E$20</f>
        <v>0</v>
      </c>
      <c r="G39" s="449">
        <f>MC!$E$20</f>
        <v>0</v>
      </c>
      <c r="H39" s="449">
        <f>MC!$E$19</f>
        <v>0</v>
      </c>
      <c r="I39" s="450">
        <f>MC!$E$19</f>
        <v>0</v>
      </c>
    </row>
    <row r="40" spans="1:9" ht="15.75" customHeight="1" x14ac:dyDescent="0.2">
      <c r="A40" s="441" t="s">
        <v>528</v>
      </c>
      <c r="B40" s="442"/>
      <c r="C40" s="453" t="s">
        <v>85</v>
      </c>
      <c r="D40" s="453" t="s">
        <v>85</v>
      </c>
      <c r="E40" s="453" t="s">
        <v>85</v>
      </c>
      <c r="F40" s="453" t="s">
        <v>85</v>
      </c>
      <c r="G40" s="453" t="s">
        <v>85</v>
      </c>
      <c r="H40" s="453" t="s">
        <v>85</v>
      </c>
      <c r="I40" s="454" t="s">
        <v>85</v>
      </c>
    </row>
    <row r="41" spans="1:9" ht="15.75" customHeight="1" x14ac:dyDescent="0.2">
      <c r="A41" s="441" t="s">
        <v>529</v>
      </c>
      <c r="B41" s="455"/>
      <c r="C41" s="453" t="s">
        <v>85</v>
      </c>
      <c r="D41" s="453" t="s">
        <v>85</v>
      </c>
      <c r="E41" s="453" t="s">
        <v>85</v>
      </c>
      <c r="F41" s="453" t="s">
        <v>85</v>
      </c>
      <c r="G41" s="453" t="s">
        <v>85</v>
      </c>
      <c r="H41" s="456" t="s">
        <v>85</v>
      </c>
      <c r="I41" s="454" t="s">
        <v>85</v>
      </c>
    </row>
    <row r="42" spans="1:9" ht="15.75" customHeight="1" x14ac:dyDescent="0.2">
      <c r="A42" s="441" t="s">
        <v>530</v>
      </c>
      <c r="B42" s="457">
        <f>MC!E27</f>
        <v>0</v>
      </c>
      <c r="C42" s="449">
        <f t="shared" ref="C42:I42" si="8">$B42</f>
        <v>0</v>
      </c>
      <c r="D42" s="449">
        <f t="shared" si="8"/>
        <v>0</v>
      </c>
      <c r="E42" s="449">
        <f t="shared" si="8"/>
        <v>0</v>
      </c>
      <c r="F42" s="449">
        <f t="shared" si="8"/>
        <v>0</v>
      </c>
      <c r="G42" s="449">
        <f t="shared" si="8"/>
        <v>0</v>
      </c>
      <c r="H42" s="449">
        <f t="shared" si="8"/>
        <v>0</v>
      </c>
      <c r="I42" s="450">
        <f t="shared" si="8"/>
        <v>0</v>
      </c>
    </row>
    <row r="43" spans="1:9" ht="15.75" customHeight="1" x14ac:dyDescent="0.2">
      <c r="A43" s="441" t="s">
        <v>531</v>
      </c>
      <c r="B43" s="442"/>
      <c r="C43" s="453" t="s">
        <v>85</v>
      </c>
      <c r="D43" s="453" t="s">
        <v>85</v>
      </c>
      <c r="E43" s="453" t="s">
        <v>85</v>
      </c>
      <c r="F43" s="453" t="s">
        <v>85</v>
      </c>
      <c r="G43" s="453" t="s">
        <v>85</v>
      </c>
      <c r="H43" s="456" t="s">
        <v>85</v>
      </c>
      <c r="I43" s="454" t="s">
        <v>85</v>
      </c>
    </row>
    <row r="44" spans="1:9" ht="15.75" customHeight="1" x14ac:dyDescent="0.2">
      <c r="A44" s="429" t="s">
        <v>509</v>
      </c>
      <c r="B44" s="430"/>
      <c r="C44" s="444">
        <f t="shared" ref="C44:I44" si="9">SUM(C38:C43)</f>
        <v>0</v>
      </c>
      <c r="D44" s="444">
        <f t="shared" si="9"/>
        <v>0</v>
      </c>
      <c r="E44" s="444">
        <f t="shared" si="9"/>
        <v>0</v>
      </c>
      <c r="F44" s="444">
        <f t="shared" si="9"/>
        <v>0</v>
      </c>
      <c r="G44" s="444">
        <f t="shared" si="9"/>
        <v>0</v>
      </c>
      <c r="H44" s="444">
        <f t="shared" si="9"/>
        <v>0</v>
      </c>
      <c r="I44" s="445">
        <f t="shared" si="9"/>
        <v>0</v>
      </c>
    </row>
    <row r="45" spans="1:9" x14ac:dyDescent="0.2">
      <c r="A45" s="415" t="s">
        <v>532</v>
      </c>
      <c r="B45" s="416" t="s">
        <v>500</v>
      </c>
      <c r="C45" s="416" t="s">
        <v>501</v>
      </c>
      <c r="D45" s="416" t="s">
        <v>501</v>
      </c>
      <c r="E45" s="416" t="s">
        <v>501</v>
      </c>
      <c r="F45" s="416" t="s">
        <v>501</v>
      </c>
      <c r="G45" s="416" t="s">
        <v>501</v>
      </c>
      <c r="H45" s="416" t="s">
        <v>501</v>
      </c>
      <c r="I45" s="417" t="s">
        <v>501</v>
      </c>
    </row>
    <row r="46" spans="1:9" ht="15.75" customHeight="1" x14ac:dyDescent="0.2">
      <c r="A46" s="441" t="s">
        <v>511</v>
      </c>
      <c r="B46" s="458">
        <f t="shared" ref="B46:I46" si="10">B25</f>
        <v>0.1111111111111111</v>
      </c>
      <c r="C46" s="459">
        <f t="shared" si="10"/>
        <v>0</v>
      </c>
      <c r="D46" s="459">
        <f t="shared" si="10"/>
        <v>0</v>
      </c>
      <c r="E46" s="459">
        <f t="shared" si="10"/>
        <v>0</v>
      </c>
      <c r="F46" s="459">
        <f t="shared" si="10"/>
        <v>0</v>
      </c>
      <c r="G46" s="459">
        <f t="shared" si="10"/>
        <v>0</v>
      </c>
      <c r="H46" s="459">
        <f t="shared" si="10"/>
        <v>0</v>
      </c>
      <c r="I46" s="460">
        <f t="shared" si="10"/>
        <v>0</v>
      </c>
    </row>
    <row r="47" spans="1:9" ht="15.75" customHeight="1" x14ac:dyDescent="0.2">
      <c r="A47" s="441" t="s">
        <v>533</v>
      </c>
      <c r="B47" s="458">
        <f t="shared" ref="B47:I47" si="11">B36</f>
        <v>0.36800000000000005</v>
      </c>
      <c r="C47" s="459">
        <f t="shared" si="11"/>
        <v>0</v>
      </c>
      <c r="D47" s="459">
        <f t="shared" si="11"/>
        <v>0</v>
      </c>
      <c r="E47" s="459">
        <f t="shared" si="11"/>
        <v>0</v>
      </c>
      <c r="F47" s="459">
        <f t="shared" si="11"/>
        <v>0</v>
      </c>
      <c r="G47" s="459">
        <f t="shared" si="11"/>
        <v>0</v>
      </c>
      <c r="H47" s="459">
        <f t="shared" si="11"/>
        <v>0</v>
      </c>
      <c r="I47" s="460">
        <f t="shared" si="11"/>
        <v>0</v>
      </c>
    </row>
    <row r="48" spans="1:9" ht="15.75" customHeight="1" x14ac:dyDescent="0.2">
      <c r="A48" s="441" t="s">
        <v>524</v>
      </c>
      <c r="B48" s="458"/>
      <c r="C48" s="459">
        <f t="shared" ref="C48:I48" si="12">C44</f>
        <v>0</v>
      </c>
      <c r="D48" s="459">
        <f t="shared" si="12"/>
        <v>0</v>
      </c>
      <c r="E48" s="459">
        <f t="shared" si="12"/>
        <v>0</v>
      </c>
      <c r="F48" s="459">
        <f t="shared" si="12"/>
        <v>0</v>
      </c>
      <c r="G48" s="459">
        <f t="shared" si="12"/>
        <v>0</v>
      </c>
      <c r="H48" s="459">
        <f t="shared" si="12"/>
        <v>0</v>
      </c>
      <c r="I48" s="460">
        <f t="shared" si="12"/>
        <v>0</v>
      </c>
    </row>
    <row r="49" spans="1:9" ht="15.75" customHeight="1" x14ac:dyDescent="0.2">
      <c r="A49" s="429" t="s">
        <v>509</v>
      </c>
      <c r="B49" s="430"/>
      <c r="C49" s="444">
        <f t="shared" ref="C49:I49" si="13">SUM(C46:C48)</f>
        <v>0</v>
      </c>
      <c r="D49" s="431">
        <f t="shared" si="13"/>
        <v>0</v>
      </c>
      <c r="E49" s="444">
        <f t="shared" si="13"/>
        <v>0</v>
      </c>
      <c r="F49" s="444">
        <f t="shared" si="13"/>
        <v>0</v>
      </c>
      <c r="G49" s="444">
        <f t="shared" si="13"/>
        <v>0</v>
      </c>
      <c r="H49" s="444">
        <f t="shared" si="13"/>
        <v>0</v>
      </c>
      <c r="I49" s="445">
        <f t="shared" si="13"/>
        <v>0</v>
      </c>
    </row>
    <row r="50" spans="1:9" ht="14.25" customHeight="1" x14ac:dyDescent="0.2">
      <c r="A50" s="778"/>
      <c r="B50" s="778"/>
      <c r="C50" s="778"/>
      <c r="D50" s="778"/>
      <c r="E50" s="778"/>
      <c r="F50" s="778"/>
      <c r="G50" s="778"/>
      <c r="H50" s="778"/>
      <c r="I50" s="778"/>
    </row>
    <row r="51" spans="1:9" s="461" customFormat="1" ht="12.75" customHeight="1" x14ac:dyDescent="0.2">
      <c r="A51" s="777" t="s">
        <v>534</v>
      </c>
      <c r="B51" s="777"/>
      <c r="C51" s="777"/>
      <c r="D51" s="777"/>
      <c r="E51" s="777"/>
      <c r="F51" s="777"/>
      <c r="G51" s="777"/>
      <c r="H51" s="777"/>
      <c r="I51" s="777"/>
    </row>
    <row r="52" spans="1:9" ht="15.75" customHeight="1" x14ac:dyDescent="0.2">
      <c r="A52" s="415" t="s">
        <v>535</v>
      </c>
      <c r="B52" s="416" t="s">
        <v>500</v>
      </c>
      <c r="C52" s="416" t="s">
        <v>501</v>
      </c>
      <c r="D52" s="416" t="s">
        <v>501</v>
      </c>
      <c r="E52" s="416" t="s">
        <v>501</v>
      </c>
      <c r="F52" s="416" t="s">
        <v>501</v>
      </c>
      <c r="G52" s="416" t="s">
        <v>501</v>
      </c>
      <c r="H52" s="416" t="s">
        <v>501</v>
      </c>
      <c r="I52" s="417" t="s">
        <v>501</v>
      </c>
    </row>
    <row r="53" spans="1:9" ht="15.75" customHeight="1" x14ac:dyDescent="0.2">
      <c r="A53" s="438" t="s">
        <v>536</v>
      </c>
      <c r="B53" s="462"/>
      <c r="C53" s="462"/>
      <c r="D53" s="462"/>
      <c r="E53" s="462"/>
      <c r="F53" s="462"/>
      <c r="G53" s="462"/>
      <c r="H53" s="463"/>
      <c r="I53" s="464"/>
    </row>
    <row r="54" spans="1:9" ht="15.75" customHeight="1" x14ac:dyDescent="0.2">
      <c r="A54" s="441" t="s">
        <v>537</v>
      </c>
      <c r="B54" s="458">
        <f>1/12*0.05</f>
        <v>4.1666666666666666E-3</v>
      </c>
      <c r="C54" s="465">
        <f t="shared" ref="C54:I54" si="14">C19*$B54</f>
        <v>0</v>
      </c>
      <c r="D54" s="465">
        <f t="shared" si="14"/>
        <v>0</v>
      </c>
      <c r="E54" s="465">
        <f t="shared" si="14"/>
        <v>0</v>
      </c>
      <c r="F54" s="465">
        <f t="shared" si="14"/>
        <v>0</v>
      </c>
      <c r="G54" s="465">
        <f t="shared" si="14"/>
        <v>0</v>
      </c>
      <c r="H54" s="465">
        <f t="shared" si="14"/>
        <v>0</v>
      </c>
      <c r="I54" s="466">
        <f t="shared" si="14"/>
        <v>0</v>
      </c>
    </row>
    <row r="55" spans="1:9" x14ac:dyDescent="0.2">
      <c r="A55" s="441" t="s">
        <v>538</v>
      </c>
      <c r="B55" s="458">
        <f>B35*B54</f>
        <v>3.3333333333333332E-4</v>
      </c>
      <c r="C55" s="465">
        <f t="shared" ref="C55:I55" si="15">$B$55*C19</f>
        <v>0</v>
      </c>
      <c r="D55" s="465">
        <f t="shared" si="15"/>
        <v>0</v>
      </c>
      <c r="E55" s="465">
        <f t="shared" si="15"/>
        <v>0</v>
      </c>
      <c r="F55" s="465">
        <f t="shared" si="15"/>
        <v>0</v>
      </c>
      <c r="G55" s="465">
        <f t="shared" si="15"/>
        <v>0</v>
      </c>
      <c r="H55" s="465">
        <f t="shared" si="15"/>
        <v>0</v>
      </c>
      <c r="I55" s="466">
        <f t="shared" si="15"/>
        <v>0</v>
      </c>
    </row>
    <row r="56" spans="1:9" x14ac:dyDescent="0.2">
      <c r="A56" s="441" t="s">
        <v>539</v>
      </c>
      <c r="B56" s="458">
        <v>0</v>
      </c>
      <c r="C56" s="465">
        <f t="shared" ref="C56:I56" si="16">C35*$B56</f>
        <v>0</v>
      </c>
      <c r="D56" s="465">
        <f t="shared" si="16"/>
        <v>0</v>
      </c>
      <c r="E56" s="465">
        <f t="shared" si="16"/>
        <v>0</v>
      </c>
      <c r="F56" s="465">
        <f t="shared" si="16"/>
        <v>0</v>
      </c>
      <c r="G56" s="465">
        <f t="shared" si="16"/>
        <v>0</v>
      </c>
      <c r="H56" s="465">
        <f t="shared" si="16"/>
        <v>0</v>
      </c>
      <c r="I56" s="466">
        <f t="shared" si="16"/>
        <v>0</v>
      </c>
    </row>
    <row r="57" spans="1:9" x14ac:dyDescent="0.2">
      <c r="A57" s="441" t="s">
        <v>540</v>
      </c>
      <c r="B57" s="458">
        <f>1/12*1/30*7</f>
        <v>1.9444444444444441E-2</v>
      </c>
      <c r="C57" s="459">
        <f t="shared" ref="C57:I57" si="17">C19*$B57</f>
        <v>0</v>
      </c>
      <c r="D57" s="459">
        <f t="shared" si="17"/>
        <v>0</v>
      </c>
      <c r="E57" s="459">
        <f t="shared" si="17"/>
        <v>0</v>
      </c>
      <c r="F57" s="459">
        <f t="shared" si="17"/>
        <v>0</v>
      </c>
      <c r="G57" s="459">
        <f t="shared" si="17"/>
        <v>0</v>
      </c>
      <c r="H57" s="459">
        <f t="shared" si="17"/>
        <v>0</v>
      </c>
      <c r="I57" s="460">
        <f t="shared" si="17"/>
        <v>0</v>
      </c>
    </row>
    <row r="58" spans="1:9" x14ac:dyDescent="0.2">
      <c r="A58" s="441" t="s">
        <v>541</v>
      </c>
      <c r="B58" s="458">
        <f>B36*B57</f>
        <v>7.1555555555555556E-3</v>
      </c>
      <c r="C58" s="459">
        <f t="shared" ref="C58:I58" si="18">$B58*C19</f>
        <v>0</v>
      </c>
      <c r="D58" s="459">
        <f t="shared" si="18"/>
        <v>0</v>
      </c>
      <c r="E58" s="459">
        <f t="shared" si="18"/>
        <v>0</v>
      </c>
      <c r="F58" s="459">
        <f t="shared" si="18"/>
        <v>0</v>
      </c>
      <c r="G58" s="459">
        <f t="shared" si="18"/>
        <v>0</v>
      </c>
      <c r="H58" s="459">
        <f t="shared" si="18"/>
        <v>0</v>
      </c>
      <c r="I58" s="460">
        <f t="shared" si="18"/>
        <v>0</v>
      </c>
    </row>
    <row r="59" spans="1:9" x14ac:dyDescent="0.2">
      <c r="A59" s="441" t="s">
        <v>542</v>
      </c>
      <c r="B59" s="458">
        <f>B35*40/100*90/100*(1+1/12+1/12+1/3*1/12)</f>
        <v>3.4399999999999993E-2</v>
      </c>
      <c r="C59" s="459">
        <f t="shared" ref="C59:I59" si="19">C19*$B59</f>
        <v>0</v>
      </c>
      <c r="D59" s="459">
        <f t="shared" si="19"/>
        <v>0</v>
      </c>
      <c r="E59" s="459">
        <f t="shared" si="19"/>
        <v>0</v>
      </c>
      <c r="F59" s="459">
        <f t="shared" si="19"/>
        <v>0</v>
      </c>
      <c r="G59" s="459">
        <f t="shared" si="19"/>
        <v>0</v>
      </c>
      <c r="H59" s="459">
        <f t="shared" si="19"/>
        <v>0</v>
      </c>
      <c r="I59" s="460">
        <f t="shared" si="19"/>
        <v>0</v>
      </c>
    </row>
    <row r="60" spans="1:9" ht="14.25" customHeight="1" x14ac:dyDescent="0.2">
      <c r="A60" s="429" t="s">
        <v>509</v>
      </c>
      <c r="B60" s="443">
        <f t="shared" ref="B60:I60" si="20">SUM(B54:B59)</f>
        <v>6.5499999999999989E-2</v>
      </c>
      <c r="C60" s="431">
        <f t="shared" si="20"/>
        <v>0</v>
      </c>
      <c r="D60" s="431">
        <f t="shared" si="20"/>
        <v>0</v>
      </c>
      <c r="E60" s="431">
        <f t="shared" si="20"/>
        <v>0</v>
      </c>
      <c r="F60" s="431">
        <f t="shared" si="20"/>
        <v>0</v>
      </c>
      <c r="G60" s="431">
        <f t="shared" si="20"/>
        <v>0</v>
      </c>
      <c r="H60" s="432">
        <f t="shared" si="20"/>
        <v>0</v>
      </c>
      <c r="I60" s="433">
        <f t="shared" si="20"/>
        <v>0</v>
      </c>
    </row>
    <row r="61" spans="1:9" ht="14.25" customHeight="1" x14ac:dyDescent="0.2">
      <c r="A61" s="779"/>
      <c r="B61" s="779"/>
      <c r="C61" s="779"/>
      <c r="D61" s="779"/>
      <c r="E61" s="779"/>
      <c r="F61" s="779"/>
      <c r="G61" s="779"/>
      <c r="H61" s="779"/>
      <c r="I61" s="779"/>
    </row>
    <row r="62" spans="1:9" ht="15.75" customHeight="1" x14ac:dyDescent="0.2">
      <c r="A62" s="777" t="s">
        <v>543</v>
      </c>
      <c r="B62" s="777"/>
      <c r="C62" s="777"/>
      <c r="D62" s="777"/>
      <c r="E62" s="777"/>
      <c r="F62" s="777"/>
      <c r="G62" s="777"/>
      <c r="H62" s="777"/>
      <c r="I62" s="777"/>
    </row>
    <row r="63" spans="1:9" ht="14.25" customHeight="1" x14ac:dyDescent="0.2">
      <c r="A63" s="438" t="s">
        <v>42</v>
      </c>
      <c r="B63" s="439" t="s">
        <v>500</v>
      </c>
      <c r="C63" s="439" t="s">
        <v>501</v>
      </c>
      <c r="D63" s="439" t="s">
        <v>501</v>
      </c>
      <c r="E63" s="439" t="s">
        <v>501</v>
      </c>
      <c r="F63" s="439" t="s">
        <v>501</v>
      </c>
      <c r="G63" s="439" t="s">
        <v>501</v>
      </c>
      <c r="H63" s="439" t="s">
        <v>501</v>
      </c>
      <c r="I63" s="439" t="s">
        <v>501</v>
      </c>
    </row>
    <row r="64" spans="1:9" ht="14.25" customHeight="1" x14ac:dyDescent="0.2">
      <c r="A64" s="441" t="s">
        <v>43</v>
      </c>
      <c r="B64" s="442">
        <f>1/12</f>
        <v>8.3333333333333329E-2</v>
      </c>
      <c r="C64" s="449">
        <f t="shared" ref="C64:I67" si="21">$B64*(C$19+C$49+C$60)</f>
        <v>0</v>
      </c>
      <c r="D64" s="449">
        <f t="shared" si="21"/>
        <v>0</v>
      </c>
      <c r="E64" s="449">
        <f t="shared" si="21"/>
        <v>0</v>
      </c>
      <c r="F64" s="449">
        <f t="shared" si="21"/>
        <v>0</v>
      </c>
      <c r="G64" s="449">
        <f t="shared" si="21"/>
        <v>0</v>
      </c>
      <c r="H64" s="449">
        <f t="shared" si="21"/>
        <v>0</v>
      </c>
      <c r="I64" s="450">
        <f t="shared" si="21"/>
        <v>0</v>
      </c>
    </row>
    <row r="65" spans="1:9" x14ac:dyDescent="0.2">
      <c r="A65" s="441" t="s">
        <v>544</v>
      </c>
      <c r="B65" s="442">
        <f>MC!E54/30/12</f>
        <v>1.3538888888888885E-2</v>
      </c>
      <c r="C65" s="449">
        <f t="shared" si="21"/>
        <v>0</v>
      </c>
      <c r="D65" s="449">
        <f t="shared" si="21"/>
        <v>0</v>
      </c>
      <c r="E65" s="449">
        <f t="shared" si="21"/>
        <v>0</v>
      </c>
      <c r="F65" s="449">
        <f t="shared" si="21"/>
        <v>0</v>
      </c>
      <c r="G65" s="449">
        <f t="shared" si="21"/>
        <v>0</v>
      </c>
      <c r="H65" s="449">
        <f t="shared" si="21"/>
        <v>0</v>
      </c>
      <c r="I65" s="450">
        <f t="shared" si="21"/>
        <v>0</v>
      </c>
    </row>
    <row r="66" spans="1:9" x14ac:dyDescent="0.2">
      <c r="A66" s="441" t="s">
        <v>545</v>
      </c>
      <c r="B66" s="467">
        <f>(5/30)/12*MC!F56*MC!C57</f>
        <v>1.0764583333333333E-4</v>
      </c>
      <c r="C66" s="449">
        <f t="shared" si="21"/>
        <v>0</v>
      </c>
      <c r="D66" s="449">
        <f t="shared" si="21"/>
        <v>0</v>
      </c>
      <c r="E66" s="449">
        <f t="shared" si="21"/>
        <v>0</v>
      </c>
      <c r="F66" s="449">
        <f t="shared" si="21"/>
        <v>0</v>
      </c>
      <c r="G66" s="449">
        <f t="shared" si="21"/>
        <v>0</v>
      </c>
      <c r="H66" s="449">
        <f t="shared" si="21"/>
        <v>0</v>
      </c>
      <c r="I66" s="450">
        <f t="shared" si="21"/>
        <v>0</v>
      </c>
    </row>
    <row r="67" spans="1:9" ht="14.25" customHeight="1" x14ac:dyDescent="0.2">
      <c r="A67" s="441" t="s">
        <v>546</v>
      </c>
      <c r="B67" s="467">
        <f>MC!C59/30/12</f>
        <v>2.6830555555555553E-3</v>
      </c>
      <c r="C67" s="449">
        <f t="shared" si="21"/>
        <v>0</v>
      </c>
      <c r="D67" s="449">
        <f t="shared" si="21"/>
        <v>0</v>
      </c>
      <c r="E67" s="449">
        <f t="shared" si="21"/>
        <v>0</v>
      </c>
      <c r="F67" s="449">
        <f t="shared" si="21"/>
        <v>0</v>
      </c>
      <c r="G67" s="449">
        <f t="shared" si="21"/>
        <v>0</v>
      </c>
      <c r="H67" s="449">
        <f t="shared" si="21"/>
        <v>0</v>
      </c>
      <c r="I67" s="450">
        <f t="shared" si="21"/>
        <v>0</v>
      </c>
    </row>
    <row r="68" spans="1:9" ht="14.25" customHeight="1" x14ac:dyDescent="0.2">
      <c r="A68" s="441" t="s">
        <v>508</v>
      </c>
      <c r="B68" s="442"/>
      <c r="C68" s="453" t="s">
        <v>85</v>
      </c>
      <c r="D68" s="453" t="s">
        <v>85</v>
      </c>
      <c r="E68" s="453" t="s">
        <v>85</v>
      </c>
      <c r="F68" s="453" t="s">
        <v>85</v>
      </c>
      <c r="G68" s="453" t="s">
        <v>85</v>
      </c>
      <c r="H68" s="456" t="s">
        <v>85</v>
      </c>
      <c r="I68" s="454" t="s">
        <v>85</v>
      </c>
    </row>
    <row r="69" spans="1:9" ht="14.25" customHeight="1" x14ac:dyDescent="0.2">
      <c r="A69" s="468" t="s">
        <v>547</v>
      </c>
      <c r="B69" s="469">
        <f t="shared" ref="B69:I69" si="22">SUM(B64:B68)</f>
        <v>9.9662923611111107E-2</v>
      </c>
      <c r="C69" s="470">
        <f t="shared" si="22"/>
        <v>0</v>
      </c>
      <c r="D69" s="470">
        <f t="shared" si="22"/>
        <v>0</v>
      </c>
      <c r="E69" s="470">
        <f t="shared" si="22"/>
        <v>0</v>
      </c>
      <c r="F69" s="470">
        <f t="shared" si="22"/>
        <v>0</v>
      </c>
      <c r="G69" s="470">
        <f t="shared" si="22"/>
        <v>0</v>
      </c>
      <c r="H69" s="470">
        <f t="shared" si="22"/>
        <v>0</v>
      </c>
      <c r="I69" s="471">
        <f t="shared" si="22"/>
        <v>0</v>
      </c>
    </row>
    <row r="70" spans="1:9" ht="14.25" customHeight="1" x14ac:dyDescent="0.2">
      <c r="A70" s="438" t="s">
        <v>548</v>
      </c>
      <c r="B70" s="439" t="s">
        <v>500</v>
      </c>
      <c r="C70" s="439" t="s">
        <v>501</v>
      </c>
      <c r="D70" s="439" t="s">
        <v>501</v>
      </c>
      <c r="E70" s="439" t="s">
        <v>501</v>
      </c>
      <c r="F70" s="439" t="s">
        <v>501</v>
      </c>
      <c r="G70" s="439" t="s">
        <v>501</v>
      </c>
      <c r="H70" s="439" t="s">
        <v>501</v>
      </c>
      <c r="I70" s="440" t="s">
        <v>501</v>
      </c>
    </row>
    <row r="71" spans="1:9" ht="14.25" customHeight="1" x14ac:dyDescent="0.2">
      <c r="A71" s="441" t="s">
        <v>549</v>
      </c>
      <c r="B71" s="442"/>
      <c r="C71" s="453" t="s">
        <v>85</v>
      </c>
      <c r="D71" s="453" t="s">
        <v>85</v>
      </c>
      <c r="E71" s="453" t="s">
        <v>85</v>
      </c>
      <c r="F71" s="453" t="s">
        <v>85</v>
      </c>
      <c r="G71" s="453" t="s">
        <v>85</v>
      </c>
      <c r="H71" s="456" t="s">
        <v>85</v>
      </c>
      <c r="I71" s="454" t="s">
        <v>85</v>
      </c>
    </row>
    <row r="72" spans="1:9" ht="14.25" customHeight="1" x14ac:dyDescent="0.2">
      <c r="A72" s="468" t="s">
        <v>547</v>
      </c>
      <c r="B72" s="469"/>
      <c r="C72" s="472" t="str">
        <f t="shared" ref="C72:I72" si="23">C71</f>
        <v>-</v>
      </c>
      <c r="D72" s="472" t="str">
        <f t="shared" si="23"/>
        <v>-</v>
      </c>
      <c r="E72" s="472" t="str">
        <f t="shared" si="23"/>
        <v>-</v>
      </c>
      <c r="F72" s="472" t="str">
        <f t="shared" si="23"/>
        <v>-</v>
      </c>
      <c r="G72" s="472" t="str">
        <f t="shared" si="23"/>
        <v>-</v>
      </c>
      <c r="H72" s="472" t="str">
        <f t="shared" si="23"/>
        <v>-</v>
      </c>
      <c r="I72" s="473" t="str">
        <f t="shared" si="23"/>
        <v>-</v>
      </c>
    </row>
    <row r="73" spans="1:9" ht="14.25" customHeight="1" x14ac:dyDescent="0.2">
      <c r="A73" s="438" t="s">
        <v>64</v>
      </c>
      <c r="B73" s="439" t="s">
        <v>500</v>
      </c>
      <c r="C73" s="439" t="s">
        <v>501</v>
      </c>
      <c r="D73" s="439" t="s">
        <v>501</v>
      </c>
      <c r="E73" s="439" t="s">
        <v>501</v>
      </c>
      <c r="F73" s="439" t="s">
        <v>501</v>
      </c>
      <c r="G73" s="439" t="s">
        <v>501</v>
      </c>
      <c r="H73" s="439" t="s">
        <v>501</v>
      </c>
      <c r="I73" s="440" t="s">
        <v>501</v>
      </c>
    </row>
    <row r="74" spans="1:9" ht="14.25" customHeight="1" x14ac:dyDescent="0.2">
      <c r="A74" s="441" t="s">
        <v>65</v>
      </c>
      <c r="B74" s="442">
        <f>120/30*MC!C62*MC!C63</f>
        <v>6.18624E-3</v>
      </c>
      <c r="C74" s="449">
        <f t="shared" ref="C74:I74" si="24">(((C19*2)+ (C19*1/3))+(C36)+(C44-C38-C39))*$B$74</f>
        <v>0</v>
      </c>
      <c r="D74" s="449">
        <f t="shared" si="24"/>
        <v>0</v>
      </c>
      <c r="E74" s="449">
        <f t="shared" si="24"/>
        <v>0</v>
      </c>
      <c r="F74" s="449">
        <f t="shared" si="24"/>
        <v>0</v>
      </c>
      <c r="G74" s="449">
        <f t="shared" si="24"/>
        <v>0</v>
      </c>
      <c r="H74" s="449">
        <f t="shared" si="24"/>
        <v>0</v>
      </c>
      <c r="I74" s="450">
        <f t="shared" si="24"/>
        <v>0</v>
      </c>
    </row>
    <row r="75" spans="1:9" ht="15.75" customHeight="1" x14ac:dyDescent="0.2">
      <c r="A75" s="468" t="s">
        <v>509</v>
      </c>
      <c r="B75" s="469"/>
      <c r="C75" s="472">
        <f t="shared" ref="C75:I75" si="25">C74</f>
        <v>0</v>
      </c>
      <c r="D75" s="472">
        <f t="shared" si="25"/>
        <v>0</v>
      </c>
      <c r="E75" s="472">
        <f t="shared" si="25"/>
        <v>0</v>
      </c>
      <c r="F75" s="472">
        <f t="shared" si="25"/>
        <v>0</v>
      </c>
      <c r="G75" s="472">
        <f t="shared" si="25"/>
        <v>0</v>
      </c>
      <c r="H75" s="472">
        <f t="shared" si="25"/>
        <v>0</v>
      </c>
      <c r="I75" s="473">
        <f t="shared" si="25"/>
        <v>0</v>
      </c>
    </row>
    <row r="76" spans="1:9" x14ac:dyDescent="0.2">
      <c r="A76" s="415" t="s">
        <v>550</v>
      </c>
      <c r="B76" s="416" t="s">
        <v>500</v>
      </c>
      <c r="C76" s="416" t="s">
        <v>501</v>
      </c>
      <c r="D76" s="416" t="s">
        <v>501</v>
      </c>
      <c r="E76" s="416" t="s">
        <v>501</v>
      </c>
      <c r="F76" s="416" t="s">
        <v>501</v>
      </c>
      <c r="G76" s="416" t="s">
        <v>501</v>
      </c>
      <c r="H76" s="416" t="s">
        <v>501</v>
      </c>
      <c r="I76" s="417" t="s">
        <v>501</v>
      </c>
    </row>
    <row r="77" spans="1:9" x14ac:dyDescent="0.2">
      <c r="A77" s="441" t="s">
        <v>42</v>
      </c>
      <c r="B77" s="458">
        <f t="shared" ref="B77:I77" si="26">B69</f>
        <v>9.9662923611111107E-2</v>
      </c>
      <c r="C77" s="459">
        <f t="shared" si="26"/>
        <v>0</v>
      </c>
      <c r="D77" s="459">
        <f t="shared" si="26"/>
        <v>0</v>
      </c>
      <c r="E77" s="459">
        <f t="shared" si="26"/>
        <v>0</v>
      </c>
      <c r="F77" s="459">
        <f t="shared" si="26"/>
        <v>0</v>
      </c>
      <c r="G77" s="459">
        <f t="shared" si="26"/>
        <v>0</v>
      </c>
      <c r="H77" s="459">
        <f t="shared" si="26"/>
        <v>0</v>
      </c>
      <c r="I77" s="460">
        <f t="shared" si="26"/>
        <v>0</v>
      </c>
    </row>
    <row r="78" spans="1:9" ht="15.75" customHeight="1" x14ac:dyDescent="0.2">
      <c r="A78" s="441" t="s">
        <v>548</v>
      </c>
      <c r="B78" s="458">
        <f t="shared" ref="B78:I78" si="27">B72</f>
        <v>0</v>
      </c>
      <c r="C78" s="459" t="str">
        <f t="shared" si="27"/>
        <v>-</v>
      </c>
      <c r="D78" s="459" t="str">
        <f t="shared" si="27"/>
        <v>-</v>
      </c>
      <c r="E78" s="459" t="str">
        <f t="shared" si="27"/>
        <v>-</v>
      </c>
      <c r="F78" s="459" t="str">
        <f t="shared" si="27"/>
        <v>-</v>
      </c>
      <c r="G78" s="459" t="str">
        <f t="shared" si="27"/>
        <v>-</v>
      </c>
      <c r="H78" s="459" t="str">
        <f t="shared" si="27"/>
        <v>-</v>
      </c>
      <c r="I78" s="460" t="str">
        <f t="shared" si="27"/>
        <v>-</v>
      </c>
    </row>
    <row r="79" spans="1:9" ht="15.75" customHeight="1" x14ac:dyDescent="0.2">
      <c r="A79" s="441" t="s">
        <v>64</v>
      </c>
      <c r="B79" s="458">
        <f t="shared" ref="B79:I79" si="28">B74</f>
        <v>6.18624E-3</v>
      </c>
      <c r="C79" s="459">
        <f t="shared" si="28"/>
        <v>0</v>
      </c>
      <c r="D79" s="459">
        <f t="shared" si="28"/>
        <v>0</v>
      </c>
      <c r="E79" s="459">
        <f t="shared" si="28"/>
        <v>0</v>
      </c>
      <c r="F79" s="459">
        <f t="shared" si="28"/>
        <v>0</v>
      </c>
      <c r="G79" s="459">
        <f t="shared" si="28"/>
        <v>0</v>
      </c>
      <c r="H79" s="459">
        <f t="shared" si="28"/>
        <v>0</v>
      </c>
      <c r="I79" s="460">
        <f t="shared" si="28"/>
        <v>0</v>
      </c>
    </row>
    <row r="80" spans="1:9" ht="15.75" customHeight="1" x14ac:dyDescent="0.2">
      <c r="A80" s="429" t="s">
        <v>509</v>
      </c>
      <c r="B80" s="430"/>
      <c r="C80" s="444">
        <f t="shared" ref="C80:I80" si="29">SUM(C77:C79)</f>
        <v>0</v>
      </c>
      <c r="D80" s="444">
        <f t="shared" si="29"/>
        <v>0</v>
      </c>
      <c r="E80" s="444">
        <f t="shared" si="29"/>
        <v>0</v>
      </c>
      <c r="F80" s="444">
        <f t="shared" si="29"/>
        <v>0</v>
      </c>
      <c r="G80" s="444">
        <f t="shared" si="29"/>
        <v>0</v>
      </c>
      <c r="H80" s="444">
        <f t="shared" si="29"/>
        <v>0</v>
      </c>
      <c r="I80" s="445">
        <f t="shared" si="29"/>
        <v>0</v>
      </c>
    </row>
    <row r="81" spans="1:9" ht="15.75" customHeight="1" x14ac:dyDescent="0.2">
      <c r="A81" s="434"/>
      <c r="B81" s="435"/>
      <c r="C81" s="435"/>
      <c r="D81" s="435"/>
      <c r="E81" s="435"/>
      <c r="F81" s="435"/>
      <c r="G81" s="435"/>
      <c r="H81" s="436"/>
      <c r="I81" s="437"/>
    </row>
    <row r="82" spans="1:9" ht="15.75" customHeight="1" x14ac:dyDescent="0.2">
      <c r="A82" s="474" t="s">
        <v>551</v>
      </c>
      <c r="B82" s="475"/>
      <c r="C82" s="475"/>
      <c r="D82" s="475"/>
      <c r="E82" s="475"/>
      <c r="F82" s="475"/>
      <c r="G82" s="475"/>
      <c r="H82" s="475"/>
      <c r="I82" s="476"/>
    </row>
    <row r="83" spans="1:9" ht="15.75" customHeight="1" x14ac:dyDescent="0.2">
      <c r="A83" s="415" t="s">
        <v>552</v>
      </c>
      <c r="B83" s="416" t="s">
        <v>553</v>
      </c>
      <c r="C83" s="416" t="s">
        <v>501</v>
      </c>
      <c r="D83" s="416" t="s">
        <v>501</v>
      </c>
      <c r="E83" s="416" t="s">
        <v>501</v>
      </c>
      <c r="F83" s="416" t="s">
        <v>501</v>
      </c>
      <c r="G83" s="416" t="s">
        <v>501</v>
      </c>
      <c r="H83" s="416" t="s">
        <v>501</v>
      </c>
      <c r="I83" s="417" t="s">
        <v>501</v>
      </c>
    </row>
    <row r="84" spans="1:9" ht="15.75" customHeight="1" x14ac:dyDescent="0.2">
      <c r="A84" s="441" t="s">
        <v>554</v>
      </c>
      <c r="B84" s="477"/>
      <c r="C84" s="420">
        <f>Insumos!$I126</f>
        <v>0</v>
      </c>
      <c r="D84" s="420">
        <f>Insumos!$I126</f>
        <v>0</v>
      </c>
      <c r="E84" s="420">
        <f>Insumos!$I126</f>
        <v>0</v>
      </c>
      <c r="F84" s="420">
        <f>Insumos!$I126</f>
        <v>0</v>
      </c>
      <c r="G84" s="420">
        <f>Insumos!$I118</f>
        <v>0</v>
      </c>
      <c r="H84" s="420">
        <f>Insumos!$I118</f>
        <v>0</v>
      </c>
      <c r="I84" s="422">
        <f>Insumos!I119</f>
        <v>0</v>
      </c>
    </row>
    <row r="85" spans="1:9" x14ac:dyDescent="0.2">
      <c r="A85" s="478" t="s">
        <v>555</v>
      </c>
      <c r="B85" s="477"/>
      <c r="C85" s="420">
        <f>Insumos!$G60</f>
        <v>0</v>
      </c>
      <c r="D85" s="420">
        <f>Insumos!$G60</f>
        <v>0</v>
      </c>
      <c r="E85" s="420">
        <f>Insumos!$G60</f>
        <v>0</v>
      </c>
      <c r="F85" s="420">
        <f>Insumos!$G60</f>
        <v>0</v>
      </c>
      <c r="G85" s="420">
        <f>Insumos!$G60</f>
        <v>0</v>
      </c>
      <c r="H85" s="424" t="s">
        <v>85</v>
      </c>
      <c r="I85" s="425" t="s">
        <v>85</v>
      </c>
    </row>
    <row r="86" spans="1:9" x14ac:dyDescent="0.2">
      <c r="A86" s="478" t="s">
        <v>556</v>
      </c>
      <c r="B86" s="479"/>
      <c r="C86" s="420">
        <f>Insumos!$I100</f>
        <v>0</v>
      </c>
      <c r="D86" s="420">
        <f>Insumos!$I100</f>
        <v>0</v>
      </c>
      <c r="E86" s="420">
        <f>Insumos!$I100</f>
        <v>0</v>
      </c>
      <c r="F86" s="420">
        <f>Insumos!$I100</f>
        <v>0</v>
      </c>
      <c r="G86" s="420">
        <f>Insumos!$I100</f>
        <v>0</v>
      </c>
      <c r="H86" s="424" t="s">
        <v>85</v>
      </c>
      <c r="I86" s="425" t="s">
        <v>85</v>
      </c>
    </row>
    <row r="87" spans="1:9" ht="15.75" customHeight="1" x14ac:dyDescent="0.2">
      <c r="A87" s="478" t="s">
        <v>557</v>
      </c>
      <c r="B87" s="477"/>
      <c r="C87" s="420">
        <f>Insumos!$I130</f>
        <v>0</v>
      </c>
      <c r="D87" s="420">
        <f>Insumos!$I130</f>
        <v>0</v>
      </c>
      <c r="E87" s="420">
        <f>Insumos!$H130</f>
        <v>0</v>
      </c>
      <c r="F87" s="420">
        <f>Insumos!$H130</f>
        <v>0</v>
      </c>
      <c r="G87" s="420">
        <f>Insumos!$H130</f>
        <v>0</v>
      </c>
      <c r="H87" s="424" t="s">
        <v>85</v>
      </c>
      <c r="I87" s="425" t="s">
        <v>85</v>
      </c>
    </row>
    <row r="88" spans="1:9" ht="15.75" customHeight="1" x14ac:dyDescent="0.2">
      <c r="A88" s="478" t="s">
        <v>558</v>
      </c>
      <c r="B88" s="442">
        <v>0.12</v>
      </c>
      <c r="C88" s="424" t="s">
        <v>85</v>
      </c>
      <c r="D88" s="424" t="s">
        <v>85</v>
      </c>
      <c r="E88" s="424" t="s">
        <v>85</v>
      </c>
      <c r="F88" s="424" t="s">
        <v>85</v>
      </c>
      <c r="G88" s="424" t="s">
        <v>85</v>
      </c>
      <c r="H88" s="421">
        <f>B88*(H123+H124+H84)</f>
        <v>0</v>
      </c>
      <c r="I88" s="425" t="s">
        <v>85</v>
      </c>
    </row>
    <row r="89" spans="1:9" ht="15.75" customHeight="1" x14ac:dyDescent="0.2">
      <c r="A89" s="480" t="s">
        <v>559</v>
      </c>
      <c r="B89" s="481"/>
      <c r="C89" s="482"/>
      <c r="D89" s="482"/>
      <c r="E89" s="482"/>
      <c r="F89" s="482"/>
      <c r="G89" s="482"/>
      <c r="H89" s="483"/>
      <c r="I89" s="484">
        <f>Insumos!H146</f>
        <v>0</v>
      </c>
    </row>
    <row r="90" spans="1:9" ht="15.75" customHeight="1" x14ac:dyDescent="0.2">
      <c r="A90" s="478" t="s">
        <v>560</v>
      </c>
      <c r="B90" s="442"/>
      <c r="C90" s="424"/>
      <c r="D90" s="424"/>
      <c r="E90" s="424"/>
      <c r="F90" s="424"/>
      <c r="G90" s="424"/>
      <c r="H90" s="421"/>
      <c r="I90" s="425"/>
    </row>
    <row r="91" spans="1:9" ht="15.75" customHeight="1" x14ac:dyDescent="0.2">
      <c r="A91" s="468" t="s">
        <v>509</v>
      </c>
      <c r="B91" s="485"/>
      <c r="C91" s="470">
        <f t="shared" ref="C91:I91" si="30">SUM(C84:C90)</f>
        <v>0</v>
      </c>
      <c r="D91" s="470">
        <f t="shared" si="30"/>
        <v>0</v>
      </c>
      <c r="E91" s="470">
        <f t="shared" si="30"/>
        <v>0</v>
      </c>
      <c r="F91" s="470">
        <f t="shared" si="30"/>
        <v>0</v>
      </c>
      <c r="G91" s="470">
        <f t="shared" si="30"/>
        <v>0</v>
      </c>
      <c r="H91" s="470">
        <f t="shared" si="30"/>
        <v>0</v>
      </c>
      <c r="I91" s="471">
        <f t="shared" si="30"/>
        <v>0</v>
      </c>
    </row>
    <row r="92" spans="1:9" ht="15.75" customHeight="1" x14ac:dyDescent="0.2">
      <c r="A92" s="778"/>
      <c r="B92" s="778"/>
      <c r="C92" s="486"/>
      <c r="D92" s="486"/>
      <c r="E92" s="486"/>
      <c r="F92" s="486"/>
      <c r="G92" s="486"/>
      <c r="H92" s="487"/>
      <c r="I92" s="488"/>
    </row>
    <row r="93" spans="1:9" ht="15.75" customHeight="1" x14ac:dyDescent="0.2">
      <c r="A93" s="474" t="s">
        <v>561</v>
      </c>
      <c r="B93" s="475"/>
      <c r="C93" s="475"/>
      <c r="D93" s="475"/>
      <c r="E93" s="475"/>
      <c r="F93" s="475"/>
      <c r="G93" s="475"/>
      <c r="H93" s="475"/>
      <c r="I93" s="476"/>
    </row>
    <row r="94" spans="1:9" ht="15.75" customHeight="1" x14ac:dyDescent="0.2">
      <c r="A94" s="415" t="s">
        <v>562</v>
      </c>
      <c r="B94" s="416" t="s">
        <v>500</v>
      </c>
      <c r="C94" s="416" t="s">
        <v>501</v>
      </c>
      <c r="D94" s="416" t="s">
        <v>501</v>
      </c>
      <c r="E94" s="416" t="s">
        <v>501</v>
      </c>
      <c r="F94" s="416" t="s">
        <v>501</v>
      </c>
      <c r="G94" s="416" t="s">
        <v>501</v>
      </c>
      <c r="H94" s="416" t="s">
        <v>501</v>
      </c>
      <c r="I94" s="417" t="s">
        <v>501</v>
      </c>
    </row>
    <row r="95" spans="1:9" ht="15.75" customHeight="1" x14ac:dyDescent="0.2">
      <c r="A95" s="418" t="s">
        <v>70</v>
      </c>
      <c r="B95" s="442">
        <f>MC!C66</f>
        <v>0</v>
      </c>
      <c r="C95" s="449">
        <f t="shared" ref="C95:I95" si="31">(C$19+C$49+C$60+C$80+C$91)*$B$95</f>
        <v>0</v>
      </c>
      <c r="D95" s="449">
        <f t="shared" si="31"/>
        <v>0</v>
      </c>
      <c r="E95" s="449">
        <f t="shared" si="31"/>
        <v>0</v>
      </c>
      <c r="F95" s="449">
        <f t="shared" si="31"/>
        <v>0</v>
      </c>
      <c r="G95" s="449">
        <f t="shared" si="31"/>
        <v>0</v>
      </c>
      <c r="H95" s="449">
        <f t="shared" si="31"/>
        <v>0</v>
      </c>
      <c r="I95" s="450">
        <f t="shared" si="31"/>
        <v>0</v>
      </c>
    </row>
    <row r="96" spans="1:9" x14ac:dyDescent="0.2">
      <c r="A96" s="418" t="s">
        <v>71</v>
      </c>
      <c r="B96" s="442">
        <f>MC!C67</f>
        <v>0</v>
      </c>
      <c r="C96" s="449">
        <f t="shared" ref="C96:I96" si="32">(C$19+C$49+C$60+C$80+C$91+C95)*$B$96</f>
        <v>0</v>
      </c>
      <c r="D96" s="449">
        <f t="shared" si="32"/>
        <v>0</v>
      </c>
      <c r="E96" s="449">
        <f t="shared" si="32"/>
        <v>0</v>
      </c>
      <c r="F96" s="449">
        <f t="shared" si="32"/>
        <v>0</v>
      </c>
      <c r="G96" s="449">
        <f t="shared" si="32"/>
        <v>0</v>
      </c>
      <c r="H96" s="449">
        <f t="shared" si="32"/>
        <v>0</v>
      </c>
      <c r="I96" s="450">
        <f t="shared" si="32"/>
        <v>0</v>
      </c>
    </row>
    <row r="97" spans="1:10" x14ac:dyDescent="0.2">
      <c r="A97" s="489" t="s">
        <v>563</v>
      </c>
      <c r="B97" s="490">
        <f>B98+B99</f>
        <v>0.1125</v>
      </c>
      <c r="C97" s="491">
        <f t="shared" ref="C97:I97" si="33">((C19+C49+C60+C80+C91+C95+C96)/(1-($B$97)))*$B$97</f>
        <v>0</v>
      </c>
      <c r="D97" s="491">
        <f t="shared" si="33"/>
        <v>0</v>
      </c>
      <c r="E97" s="491">
        <f t="shared" si="33"/>
        <v>0</v>
      </c>
      <c r="F97" s="491">
        <f t="shared" si="33"/>
        <v>0</v>
      </c>
      <c r="G97" s="491">
        <f t="shared" si="33"/>
        <v>0</v>
      </c>
      <c r="H97" s="491">
        <f t="shared" si="33"/>
        <v>0</v>
      </c>
      <c r="I97" s="492">
        <f t="shared" si="33"/>
        <v>0</v>
      </c>
    </row>
    <row r="98" spans="1:10" x14ac:dyDescent="0.2">
      <c r="A98" s="418" t="s">
        <v>564</v>
      </c>
      <c r="B98" s="442">
        <f>0.0165+0.076</f>
        <v>9.2499999999999999E-2</v>
      </c>
      <c r="C98" s="493">
        <f t="shared" ref="C98:I98" si="34">((C$19+C$49+C$60+C$80+C$91+C$95+C$96)/(1-($B$97)))*$B$98</f>
        <v>0</v>
      </c>
      <c r="D98" s="493">
        <f t="shared" si="34"/>
        <v>0</v>
      </c>
      <c r="E98" s="493">
        <f t="shared" si="34"/>
        <v>0</v>
      </c>
      <c r="F98" s="493">
        <f t="shared" si="34"/>
        <v>0</v>
      </c>
      <c r="G98" s="493">
        <f t="shared" si="34"/>
        <v>0</v>
      </c>
      <c r="H98" s="493">
        <f t="shared" si="34"/>
        <v>0</v>
      </c>
      <c r="I98" s="494">
        <f t="shared" si="34"/>
        <v>0</v>
      </c>
    </row>
    <row r="99" spans="1:10" x14ac:dyDescent="0.2">
      <c r="A99" s="418" t="s">
        <v>565</v>
      </c>
      <c r="B99" s="442">
        <v>0.02</v>
      </c>
      <c r="C99" s="495">
        <f t="shared" ref="C99:I99" si="35">((C$19+C$49+C$60+C$80+C$91+C$95+C$96)/(1-($B$97)))*$B$99</f>
        <v>0</v>
      </c>
      <c r="D99" s="495">
        <f t="shared" si="35"/>
        <v>0</v>
      </c>
      <c r="E99" s="495">
        <f t="shared" si="35"/>
        <v>0</v>
      </c>
      <c r="F99" s="495">
        <f t="shared" si="35"/>
        <v>0</v>
      </c>
      <c r="G99" s="495">
        <f t="shared" si="35"/>
        <v>0</v>
      </c>
      <c r="H99" s="495">
        <f t="shared" si="35"/>
        <v>0</v>
      </c>
      <c r="I99" s="496">
        <f t="shared" si="35"/>
        <v>0</v>
      </c>
    </row>
    <row r="100" spans="1:10" x14ac:dyDescent="0.2">
      <c r="A100" s="489" t="s">
        <v>566</v>
      </c>
      <c r="B100" s="490">
        <f>B101+B102</f>
        <v>0.11749999999999999</v>
      </c>
      <c r="C100" s="491">
        <f t="shared" ref="C100:I100" si="36">((C19+C49+C60+C80+C91+C95+C96)/(1-($B$100)))*$B$100</f>
        <v>0</v>
      </c>
      <c r="D100" s="491">
        <f t="shared" si="36"/>
        <v>0</v>
      </c>
      <c r="E100" s="491">
        <f t="shared" si="36"/>
        <v>0</v>
      </c>
      <c r="F100" s="491">
        <f t="shared" si="36"/>
        <v>0</v>
      </c>
      <c r="G100" s="491">
        <f t="shared" si="36"/>
        <v>0</v>
      </c>
      <c r="H100" s="491">
        <f t="shared" si="36"/>
        <v>0</v>
      </c>
      <c r="I100" s="492">
        <f t="shared" si="36"/>
        <v>0</v>
      </c>
    </row>
    <row r="101" spans="1:10" x14ac:dyDescent="0.2">
      <c r="A101" s="418" t="s">
        <v>564</v>
      </c>
      <c r="B101" s="442">
        <f>0.0165+0.076</f>
        <v>9.2499999999999999E-2</v>
      </c>
      <c r="C101" s="493">
        <f t="shared" ref="C101:I101" si="37">((C19+C49+C60+C80+C91+C95+C96)/(1-($B$100)))*$B$101</f>
        <v>0</v>
      </c>
      <c r="D101" s="493">
        <f t="shared" si="37"/>
        <v>0</v>
      </c>
      <c r="E101" s="493">
        <f t="shared" si="37"/>
        <v>0</v>
      </c>
      <c r="F101" s="493">
        <f t="shared" si="37"/>
        <v>0</v>
      </c>
      <c r="G101" s="493">
        <f t="shared" si="37"/>
        <v>0</v>
      </c>
      <c r="H101" s="493">
        <f t="shared" si="37"/>
        <v>0</v>
      </c>
      <c r="I101" s="494">
        <f t="shared" si="37"/>
        <v>0</v>
      </c>
    </row>
    <row r="102" spans="1:10" x14ac:dyDescent="0.2">
      <c r="A102" s="418" t="s">
        <v>565</v>
      </c>
      <c r="B102" s="442">
        <v>2.5000000000000001E-2</v>
      </c>
      <c r="C102" s="495">
        <f t="shared" ref="C102:I102" si="38">((C$19+C$49+C$60+C$80+C$91+C$95+C$96)/(1-($B$100)))*$B$102</f>
        <v>0</v>
      </c>
      <c r="D102" s="495">
        <f t="shared" si="38"/>
        <v>0</v>
      </c>
      <c r="E102" s="495">
        <f t="shared" si="38"/>
        <v>0</v>
      </c>
      <c r="F102" s="495">
        <f t="shared" si="38"/>
        <v>0</v>
      </c>
      <c r="G102" s="495">
        <f t="shared" si="38"/>
        <v>0</v>
      </c>
      <c r="H102" s="495">
        <f t="shared" si="38"/>
        <v>0</v>
      </c>
      <c r="I102" s="496">
        <f t="shared" si="38"/>
        <v>0</v>
      </c>
    </row>
    <row r="103" spans="1:10" x14ac:dyDescent="0.2">
      <c r="A103" s="489" t="s">
        <v>567</v>
      </c>
      <c r="B103" s="490">
        <f>B104+B105</f>
        <v>0.1225</v>
      </c>
      <c r="C103" s="491">
        <f t="shared" ref="C103:I103" si="39">((C19+C49+C60+C80+C91+C95+C96)/(1-($B$103)))*$B$103</f>
        <v>0</v>
      </c>
      <c r="D103" s="491">
        <f t="shared" si="39"/>
        <v>0</v>
      </c>
      <c r="E103" s="491">
        <f t="shared" si="39"/>
        <v>0</v>
      </c>
      <c r="F103" s="491">
        <f t="shared" si="39"/>
        <v>0</v>
      </c>
      <c r="G103" s="491">
        <f t="shared" si="39"/>
        <v>0</v>
      </c>
      <c r="H103" s="491">
        <f t="shared" si="39"/>
        <v>0</v>
      </c>
      <c r="I103" s="492">
        <f t="shared" si="39"/>
        <v>0</v>
      </c>
    </row>
    <row r="104" spans="1:10" x14ac:dyDescent="0.2">
      <c r="A104" s="418" t="s">
        <v>564</v>
      </c>
      <c r="B104" s="442">
        <f>0.0165+0.076</f>
        <v>9.2499999999999999E-2</v>
      </c>
      <c r="C104" s="493">
        <f t="shared" ref="C104:I104" si="40">((C19+C49+C60+C80+C91+C95+C96)/(1-($B$103)))*$B$104</f>
        <v>0</v>
      </c>
      <c r="D104" s="493">
        <f t="shared" si="40"/>
        <v>0</v>
      </c>
      <c r="E104" s="493">
        <f t="shared" si="40"/>
        <v>0</v>
      </c>
      <c r="F104" s="493">
        <f t="shared" si="40"/>
        <v>0</v>
      </c>
      <c r="G104" s="493">
        <f t="shared" si="40"/>
        <v>0</v>
      </c>
      <c r="H104" s="493">
        <f t="shared" si="40"/>
        <v>0</v>
      </c>
      <c r="I104" s="494">
        <f t="shared" si="40"/>
        <v>0</v>
      </c>
    </row>
    <row r="105" spans="1:10" x14ac:dyDescent="0.2">
      <c r="A105" s="418" t="s">
        <v>565</v>
      </c>
      <c r="B105" s="442">
        <v>0.03</v>
      </c>
      <c r="C105" s="495">
        <f t="shared" ref="C105:I105" si="41">((C19+C49+C60+C80+C91+C95+C96)/(1-($B$103)))*$B$105</f>
        <v>0</v>
      </c>
      <c r="D105" s="495">
        <f t="shared" si="41"/>
        <v>0</v>
      </c>
      <c r="E105" s="495">
        <f t="shared" si="41"/>
        <v>0</v>
      </c>
      <c r="F105" s="495">
        <f t="shared" si="41"/>
        <v>0</v>
      </c>
      <c r="G105" s="495">
        <f t="shared" si="41"/>
        <v>0</v>
      </c>
      <c r="H105" s="495">
        <f t="shared" si="41"/>
        <v>0</v>
      </c>
      <c r="I105" s="496">
        <f t="shared" si="41"/>
        <v>0</v>
      </c>
      <c r="J105" s="497"/>
    </row>
    <row r="106" spans="1:10" x14ac:dyDescent="0.2">
      <c r="A106" s="489" t="s">
        <v>568</v>
      </c>
      <c r="B106" s="490">
        <f>B107+B108</f>
        <v>0.13250000000000001</v>
      </c>
      <c r="C106" s="491">
        <f t="shared" ref="C106:I106" si="42">((C19+C49+C60+C80+C91+C95+C96)/(1-($B$106)))*$B$106</f>
        <v>0</v>
      </c>
      <c r="D106" s="491">
        <f t="shared" si="42"/>
        <v>0</v>
      </c>
      <c r="E106" s="491">
        <f t="shared" si="42"/>
        <v>0</v>
      </c>
      <c r="F106" s="491">
        <f t="shared" si="42"/>
        <v>0</v>
      </c>
      <c r="G106" s="491">
        <f t="shared" si="42"/>
        <v>0</v>
      </c>
      <c r="H106" s="491">
        <f t="shared" si="42"/>
        <v>0</v>
      </c>
      <c r="I106" s="492">
        <f t="shared" si="42"/>
        <v>0</v>
      </c>
    </row>
    <row r="107" spans="1:10" x14ac:dyDescent="0.2">
      <c r="A107" s="418" t="s">
        <v>564</v>
      </c>
      <c r="B107" s="442">
        <f>0.0165+0.076</f>
        <v>9.2499999999999999E-2</v>
      </c>
      <c r="C107" s="493">
        <f t="shared" ref="C107:I107" si="43">((C19+C49+C60+C80+C91+C95+C96)/(1-($B$106)))*$B$107</f>
        <v>0</v>
      </c>
      <c r="D107" s="493">
        <f t="shared" si="43"/>
        <v>0</v>
      </c>
      <c r="E107" s="493">
        <f t="shared" si="43"/>
        <v>0</v>
      </c>
      <c r="F107" s="493">
        <f t="shared" si="43"/>
        <v>0</v>
      </c>
      <c r="G107" s="493">
        <f t="shared" si="43"/>
        <v>0</v>
      </c>
      <c r="H107" s="493">
        <f t="shared" si="43"/>
        <v>0</v>
      </c>
      <c r="I107" s="494">
        <f t="shared" si="43"/>
        <v>0</v>
      </c>
    </row>
    <row r="108" spans="1:10" x14ac:dyDescent="0.2">
      <c r="A108" s="418" t="s">
        <v>565</v>
      </c>
      <c r="B108" s="442">
        <v>0.04</v>
      </c>
      <c r="C108" s="495">
        <f t="shared" ref="C108:I108" si="44">((C19+C49+C60+C80+C91+C95+C96)/(1-($B$106)))*$B$108</f>
        <v>0</v>
      </c>
      <c r="D108" s="495">
        <f t="shared" si="44"/>
        <v>0</v>
      </c>
      <c r="E108" s="495">
        <f t="shared" si="44"/>
        <v>0</v>
      </c>
      <c r="F108" s="495">
        <f t="shared" si="44"/>
        <v>0</v>
      </c>
      <c r="G108" s="495">
        <f t="shared" si="44"/>
        <v>0</v>
      </c>
      <c r="H108" s="495">
        <f t="shared" si="44"/>
        <v>0</v>
      </c>
      <c r="I108" s="496">
        <f t="shared" si="44"/>
        <v>0</v>
      </c>
    </row>
    <row r="109" spans="1:10" x14ac:dyDescent="0.2">
      <c r="A109" s="489" t="s">
        <v>569</v>
      </c>
      <c r="B109" s="490">
        <f>B110+B111</f>
        <v>0.14250000000000002</v>
      </c>
      <c r="C109" s="491">
        <f t="shared" ref="C109:I109" si="45">((C19+C49+C60+C80+C91+C95+C96)/(1-($B$109)))*$B$109</f>
        <v>0</v>
      </c>
      <c r="D109" s="491">
        <f t="shared" si="45"/>
        <v>0</v>
      </c>
      <c r="E109" s="491">
        <f t="shared" si="45"/>
        <v>0</v>
      </c>
      <c r="F109" s="491">
        <f t="shared" si="45"/>
        <v>0</v>
      </c>
      <c r="G109" s="491">
        <f t="shared" si="45"/>
        <v>0</v>
      </c>
      <c r="H109" s="491">
        <f t="shared" si="45"/>
        <v>0</v>
      </c>
      <c r="I109" s="492">
        <f t="shared" si="45"/>
        <v>0</v>
      </c>
    </row>
    <row r="110" spans="1:10" x14ac:dyDescent="0.2">
      <c r="A110" s="418" t="s">
        <v>564</v>
      </c>
      <c r="B110" s="442">
        <f>0.0165+0.076</f>
        <v>9.2499999999999999E-2</v>
      </c>
      <c r="C110" s="498">
        <f t="shared" ref="C110:I110" si="46">((C19+C49+C60+C80+C91+C95+C96)/(1-($B$109)))*$B$110</f>
        <v>0</v>
      </c>
      <c r="D110" s="498">
        <f t="shared" si="46"/>
        <v>0</v>
      </c>
      <c r="E110" s="498">
        <f t="shared" si="46"/>
        <v>0</v>
      </c>
      <c r="F110" s="498">
        <f t="shared" si="46"/>
        <v>0</v>
      </c>
      <c r="G110" s="498">
        <f t="shared" si="46"/>
        <v>0</v>
      </c>
      <c r="H110" s="498">
        <f t="shared" si="46"/>
        <v>0</v>
      </c>
      <c r="I110" s="499">
        <f t="shared" si="46"/>
        <v>0</v>
      </c>
    </row>
    <row r="111" spans="1:10" x14ac:dyDescent="0.2">
      <c r="A111" s="418" t="s">
        <v>565</v>
      </c>
      <c r="B111" s="500">
        <v>0.05</v>
      </c>
      <c r="C111" s="501">
        <f t="shared" ref="C111:I111" si="47">((C19+C49+C60+C80+C91+C95+C96)/(1-($B$109)))*$B$111</f>
        <v>0</v>
      </c>
      <c r="D111" s="501">
        <f t="shared" si="47"/>
        <v>0</v>
      </c>
      <c r="E111" s="501">
        <f t="shared" si="47"/>
        <v>0</v>
      </c>
      <c r="F111" s="501">
        <f t="shared" si="47"/>
        <v>0</v>
      </c>
      <c r="G111" s="501">
        <f t="shared" si="47"/>
        <v>0</v>
      </c>
      <c r="H111" s="501">
        <f t="shared" si="47"/>
        <v>0</v>
      </c>
      <c r="I111" s="502">
        <f t="shared" si="47"/>
        <v>0</v>
      </c>
    </row>
    <row r="112" spans="1:10" x14ac:dyDescent="0.2">
      <c r="A112" s="780" t="s">
        <v>570</v>
      </c>
      <c r="B112" s="503">
        <v>0.02</v>
      </c>
      <c r="C112" s="504">
        <f t="shared" ref="C112:I112" si="48">C95+C96+C97</f>
        <v>0</v>
      </c>
      <c r="D112" s="504">
        <f t="shared" si="48"/>
        <v>0</v>
      </c>
      <c r="E112" s="504">
        <f t="shared" si="48"/>
        <v>0</v>
      </c>
      <c r="F112" s="504">
        <f t="shared" si="48"/>
        <v>0</v>
      </c>
      <c r="G112" s="504">
        <f t="shared" si="48"/>
        <v>0</v>
      </c>
      <c r="H112" s="504">
        <f t="shared" si="48"/>
        <v>0</v>
      </c>
      <c r="I112" s="505">
        <f t="shared" si="48"/>
        <v>0</v>
      </c>
    </row>
    <row r="113" spans="1:10" x14ac:dyDescent="0.2">
      <c r="A113" s="780"/>
      <c r="B113" s="506">
        <v>2.5000000000000001E-2</v>
      </c>
      <c r="C113" s="507">
        <f t="shared" ref="C113:I113" si="49">C95+C96+C100</f>
        <v>0</v>
      </c>
      <c r="D113" s="507">
        <f t="shared" si="49"/>
        <v>0</v>
      </c>
      <c r="E113" s="507">
        <f t="shared" si="49"/>
        <v>0</v>
      </c>
      <c r="F113" s="507">
        <f t="shared" si="49"/>
        <v>0</v>
      </c>
      <c r="G113" s="507">
        <f t="shared" si="49"/>
        <v>0</v>
      </c>
      <c r="H113" s="507">
        <f t="shared" si="49"/>
        <v>0</v>
      </c>
      <c r="I113" s="508">
        <f t="shared" si="49"/>
        <v>0</v>
      </c>
    </row>
    <row r="114" spans="1:10" ht="15.75" customHeight="1" x14ac:dyDescent="0.2">
      <c r="A114" s="780"/>
      <c r="B114" s="506">
        <v>0.03</v>
      </c>
      <c r="C114" s="507">
        <f t="shared" ref="C114:I114" si="50">C95+C96+C103</f>
        <v>0</v>
      </c>
      <c r="D114" s="507">
        <f t="shared" si="50"/>
        <v>0</v>
      </c>
      <c r="E114" s="507">
        <f t="shared" si="50"/>
        <v>0</v>
      </c>
      <c r="F114" s="507">
        <f t="shared" si="50"/>
        <v>0</v>
      </c>
      <c r="G114" s="507">
        <f t="shared" si="50"/>
        <v>0</v>
      </c>
      <c r="H114" s="507">
        <f t="shared" si="50"/>
        <v>0</v>
      </c>
      <c r="I114" s="508">
        <f t="shared" si="50"/>
        <v>0</v>
      </c>
      <c r="J114" s="497"/>
    </row>
    <row r="115" spans="1:10" ht="15.75" customHeight="1" x14ac:dyDescent="0.2">
      <c r="A115" s="780"/>
      <c r="B115" s="506">
        <v>0.04</v>
      </c>
      <c r="C115" s="507">
        <f t="shared" ref="C115:I115" si="51">C95+C96+C106</f>
        <v>0</v>
      </c>
      <c r="D115" s="507">
        <f t="shared" si="51"/>
        <v>0</v>
      </c>
      <c r="E115" s="507">
        <f t="shared" si="51"/>
        <v>0</v>
      </c>
      <c r="F115" s="507">
        <f t="shared" si="51"/>
        <v>0</v>
      </c>
      <c r="G115" s="507">
        <f t="shared" si="51"/>
        <v>0</v>
      </c>
      <c r="H115" s="507">
        <f t="shared" si="51"/>
        <v>0</v>
      </c>
      <c r="I115" s="508">
        <f t="shared" si="51"/>
        <v>0</v>
      </c>
    </row>
    <row r="116" spans="1:10" ht="15.75" customHeight="1" x14ac:dyDescent="0.2">
      <c r="A116" s="780"/>
      <c r="B116" s="509">
        <v>0.05</v>
      </c>
      <c r="C116" s="510">
        <f t="shared" ref="C116:I116" si="52">C95+C96+C109</f>
        <v>0</v>
      </c>
      <c r="D116" s="510">
        <f t="shared" si="52"/>
        <v>0</v>
      </c>
      <c r="E116" s="510">
        <f t="shared" si="52"/>
        <v>0</v>
      </c>
      <c r="F116" s="510">
        <f t="shared" si="52"/>
        <v>0</v>
      </c>
      <c r="G116" s="510">
        <f t="shared" si="52"/>
        <v>0</v>
      </c>
      <c r="H116" s="510">
        <f t="shared" si="52"/>
        <v>0</v>
      </c>
      <c r="I116" s="511">
        <f t="shared" si="52"/>
        <v>0</v>
      </c>
    </row>
    <row r="117" spans="1:10" ht="15.75" customHeight="1" x14ac:dyDescent="0.2">
      <c r="A117" s="418" t="s">
        <v>571</v>
      </c>
      <c r="B117" s="512"/>
      <c r="C117" s="513"/>
      <c r="D117" s="513"/>
      <c r="E117" s="513"/>
      <c r="F117" s="513"/>
      <c r="G117" s="513"/>
      <c r="H117" s="514"/>
      <c r="I117" s="515"/>
    </row>
    <row r="118" spans="1:10" ht="24.75" customHeight="1" x14ac:dyDescent="0.2">
      <c r="A118" s="516"/>
      <c r="B118" s="517"/>
      <c r="C118" s="518"/>
      <c r="D118" s="518"/>
      <c r="E118" s="518"/>
      <c r="F118" s="518"/>
      <c r="G118" s="518"/>
      <c r="H118" s="519"/>
      <c r="I118" s="520"/>
    </row>
    <row r="119" spans="1:10" ht="15.75" customHeight="1" x14ac:dyDescent="0.2">
      <c r="A119" s="781"/>
      <c r="B119" s="781"/>
      <c r="C119" s="781"/>
      <c r="D119" s="781"/>
      <c r="E119" s="781"/>
      <c r="F119" s="781"/>
      <c r="G119" s="781"/>
      <c r="H119" s="781"/>
      <c r="I119" s="781"/>
    </row>
    <row r="120" spans="1:10" ht="15.75" customHeight="1" x14ac:dyDescent="0.2">
      <c r="A120" s="782"/>
      <c r="B120" s="782"/>
      <c r="C120" s="782"/>
      <c r="D120" s="782"/>
      <c r="E120" s="782"/>
      <c r="F120" s="782"/>
      <c r="G120" s="782"/>
      <c r="H120" s="782"/>
      <c r="I120" s="782"/>
    </row>
    <row r="121" spans="1:10" ht="54.75" customHeight="1" x14ac:dyDescent="0.2">
      <c r="A121" s="783" t="s">
        <v>572</v>
      </c>
      <c r="B121" s="783"/>
      <c r="C121" s="521" t="str">
        <f t="shared" ref="C121:I121" si="53">C10</f>
        <v>Servente 40h (banheirista)
(insalubridade 40%)</v>
      </c>
      <c r="D121" s="521" t="str">
        <f t="shared" si="53"/>
        <v>Servente 40h
(insalubridade 20%)</v>
      </c>
      <c r="E121" s="521" t="str">
        <f t="shared" si="53"/>
        <v>Servente 30h (banheirista)
(insalubridade 40%)</v>
      </c>
      <c r="F121" s="521" t="str">
        <f t="shared" si="53"/>
        <v>Servente 30h
(insalubridade 20%)</v>
      </c>
      <c r="G121" s="521" t="str">
        <f t="shared" si="53"/>
        <v>Servente 20h
(insalubridade 20%)</v>
      </c>
      <c r="H121" s="522" t="str">
        <f t="shared" si="53"/>
        <v>Limpador alpinista 44h (limpeza de esquadrias com risco)</v>
      </c>
      <c r="I121" s="523" t="str">
        <f t="shared" si="53"/>
        <v>Encarregada 40h</v>
      </c>
    </row>
    <row r="122" spans="1:10" ht="15.75" customHeight="1" x14ac:dyDescent="0.2">
      <c r="A122" s="784" t="s">
        <v>573</v>
      </c>
      <c r="B122" s="784"/>
      <c r="C122" s="524" t="s">
        <v>501</v>
      </c>
      <c r="D122" s="524" t="s">
        <v>501</v>
      </c>
      <c r="E122" s="524" t="s">
        <v>501</v>
      </c>
      <c r="F122" s="524" t="s">
        <v>501</v>
      </c>
      <c r="G122" s="524" t="s">
        <v>501</v>
      </c>
      <c r="H122" s="524" t="s">
        <v>501</v>
      </c>
      <c r="I122" s="525" t="s">
        <v>501</v>
      </c>
    </row>
    <row r="123" spans="1:10" ht="14.25" customHeight="1" x14ac:dyDescent="0.2">
      <c r="A123" s="785" t="s">
        <v>574</v>
      </c>
      <c r="B123" s="785"/>
      <c r="C123" s="526">
        <f t="shared" ref="C123:I123" si="54">C19</f>
        <v>0</v>
      </c>
      <c r="D123" s="526">
        <f t="shared" si="54"/>
        <v>0</v>
      </c>
      <c r="E123" s="526">
        <f t="shared" si="54"/>
        <v>0</v>
      </c>
      <c r="F123" s="526">
        <f t="shared" si="54"/>
        <v>0</v>
      </c>
      <c r="G123" s="526">
        <f t="shared" si="54"/>
        <v>0</v>
      </c>
      <c r="H123" s="526">
        <f t="shared" si="54"/>
        <v>0</v>
      </c>
      <c r="I123" s="527">
        <f t="shared" si="54"/>
        <v>0</v>
      </c>
    </row>
    <row r="124" spans="1:10" ht="14.25" customHeight="1" x14ac:dyDescent="0.2">
      <c r="A124" s="786" t="s">
        <v>575</v>
      </c>
      <c r="B124" s="786"/>
      <c r="C124" s="528">
        <f t="shared" ref="C124:I124" si="55">C49</f>
        <v>0</v>
      </c>
      <c r="D124" s="528">
        <f t="shared" si="55"/>
        <v>0</v>
      </c>
      <c r="E124" s="528">
        <f t="shared" si="55"/>
        <v>0</v>
      </c>
      <c r="F124" s="528">
        <f t="shared" si="55"/>
        <v>0</v>
      </c>
      <c r="G124" s="528">
        <f t="shared" si="55"/>
        <v>0</v>
      </c>
      <c r="H124" s="528">
        <f t="shared" si="55"/>
        <v>0</v>
      </c>
      <c r="I124" s="529">
        <f t="shared" si="55"/>
        <v>0</v>
      </c>
    </row>
    <row r="125" spans="1:10" ht="14.25" customHeight="1" x14ac:dyDescent="0.2">
      <c r="A125" s="786" t="s">
        <v>576</v>
      </c>
      <c r="B125" s="786"/>
      <c r="C125" s="528">
        <f t="shared" ref="C125:I125" si="56">C60</f>
        <v>0</v>
      </c>
      <c r="D125" s="528">
        <f t="shared" si="56"/>
        <v>0</v>
      </c>
      <c r="E125" s="528">
        <f t="shared" si="56"/>
        <v>0</v>
      </c>
      <c r="F125" s="528">
        <f t="shared" si="56"/>
        <v>0</v>
      </c>
      <c r="G125" s="528">
        <f t="shared" si="56"/>
        <v>0</v>
      </c>
      <c r="H125" s="528">
        <f t="shared" si="56"/>
        <v>0</v>
      </c>
      <c r="I125" s="529">
        <f t="shared" si="56"/>
        <v>0</v>
      </c>
    </row>
    <row r="126" spans="1:10" ht="14.25" customHeight="1" x14ac:dyDescent="0.2">
      <c r="A126" s="786" t="s">
        <v>577</v>
      </c>
      <c r="B126" s="786"/>
      <c r="C126" s="528">
        <f t="shared" ref="C126:H126" si="57">C80</f>
        <v>0</v>
      </c>
      <c r="D126" s="528">
        <f t="shared" si="57"/>
        <v>0</v>
      </c>
      <c r="E126" s="528">
        <f t="shared" si="57"/>
        <v>0</v>
      </c>
      <c r="F126" s="528">
        <f t="shared" si="57"/>
        <v>0</v>
      </c>
      <c r="G126" s="528">
        <f t="shared" si="57"/>
        <v>0</v>
      </c>
      <c r="H126" s="528">
        <f t="shared" si="57"/>
        <v>0</v>
      </c>
      <c r="I126" s="529">
        <f>I69</f>
        <v>0</v>
      </c>
    </row>
    <row r="127" spans="1:10" ht="15.75" customHeight="1" x14ac:dyDescent="0.2">
      <c r="A127" s="786" t="s">
        <v>578</v>
      </c>
      <c r="B127" s="786"/>
      <c r="C127" s="528">
        <f t="shared" ref="C127:I127" si="58">C91</f>
        <v>0</v>
      </c>
      <c r="D127" s="528">
        <f t="shared" si="58"/>
        <v>0</v>
      </c>
      <c r="E127" s="528">
        <f t="shared" si="58"/>
        <v>0</v>
      </c>
      <c r="F127" s="528">
        <f t="shared" si="58"/>
        <v>0</v>
      </c>
      <c r="G127" s="528">
        <f t="shared" si="58"/>
        <v>0</v>
      </c>
      <c r="H127" s="528">
        <f t="shared" si="58"/>
        <v>0</v>
      </c>
      <c r="I127" s="529">
        <f t="shared" si="58"/>
        <v>0</v>
      </c>
    </row>
    <row r="128" spans="1:10" ht="15.75" customHeight="1" x14ac:dyDescent="0.2">
      <c r="A128" s="787" t="s">
        <v>579</v>
      </c>
      <c r="B128" s="787"/>
      <c r="C128" s="530">
        <f t="shared" ref="C128:I128" si="59">SUM(C123:C127)</f>
        <v>0</v>
      </c>
      <c r="D128" s="530">
        <f t="shared" si="59"/>
        <v>0</v>
      </c>
      <c r="E128" s="530">
        <f t="shared" si="59"/>
        <v>0</v>
      </c>
      <c r="F128" s="530">
        <f t="shared" si="59"/>
        <v>0</v>
      </c>
      <c r="G128" s="530">
        <f t="shared" si="59"/>
        <v>0</v>
      </c>
      <c r="H128" s="531">
        <f t="shared" si="59"/>
        <v>0</v>
      </c>
      <c r="I128" s="532">
        <f t="shared" si="59"/>
        <v>0</v>
      </c>
    </row>
    <row r="129" spans="1:9" ht="15.75" customHeight="1" x14ac:dyDescent="0.2">
      <c r="A129" s="788" t="s">
        <v>580</v>
      </c>
      <c r="B129" s="788"/>
      <c r="C129" s="533">
        <f t="shared" ref="C129:I133" si="60">C112</f>
        <v>0</v>
      </c>
      <c r="D129" s="533">
        <f t="shared" si="60"/>
        <v>0</v>
      </c>
      <c r="E129" s="533">
        <f t="shared" si="60"/>
        <v>0</v>
      </c>
      <c r="F129" s="533">
        <f t="shared" si="60"/>
        <v>0</v>
      </c>
      <c r="G129" s="533">
        <f t="shared" si="60"/>
        <v>0</v>
      </c>
      <c r="H129" s="533">
        <f t="shared" si="60"/>
        <v>0</v>
      </c>
      <c r="I129" s="534">
        <f t="shared" si="60"/>
        <v>0</v>
      </c>
    </row>
    <row r="130" spans="1:9" ht="15.75" customHeight="1" x14ac:dyDescent="0.2">
      <c r="A130" s="786" t="s">
        <v>581</v>
      </c>
      <c r="B130" s="786"/>
      <c r="C130" s="535">
        <f t="shared" si="60"/>
        <v>0</v>
      </c>
      <c r="D130" s="535">
        <f t="shared" si="60"/>
        <v>0</v>
      </c>
      <c r="E130" s="535">
        <f t="shared" si="60"/>
        <v>0</v>
      </c>
      <c r="F130" s="535">
        <f t="shared" si="60"/>
        <v>0</v>
      </c>
      <c r="G130" s="535">
        <f t="shared" si="60"/>
        <v>0</v>
      </c>
      <c r="H130" s="535">
        <f t="shared" si="60"/>
        <v>0</v>
      </c>
      <c r="I130" s="536">
        <f t="shared" si="60"/>
        <v>0</v>
      </c>
    </row>
    <row r="131" spans="1:9" ht="15.75" customHeight="1" x14ac:dyDescent="0.2">
      <c r="A131" s="786" t="s">
        <v>582</v>
      </c>
      <c r="B131" s="786"/>
      <c r="C131" s="535">
        <f t="shared" si="60"/>
        <v>0</v>
      </c>
      <c r="D131" s="535">
        <f t="shared" si="60"/>
        <v>0</v>
      </c>
      <c r="E131" s="535">
        <f t="shared" si="60"/>
        <v>0</v>
      </c>
      <c r="F131" s="535">
        <f t="shared" si="60"/>
        <v>0</v>
      </c>
      <c r="G131" s="535">
        <f t="shared" si="60"/>
        <v>0</v>
      </c>
      <c r="H131" s="535">
        <f t="shared" si="60"/>
        <v>0</v>
      </c>
      <c r="I131" s="536">
        <f t="shared" si="60"/>
        <v>0</v>
      </c>
    </row>
    <row r="132" spans="1:9" ht="15.75" customHeight="1" x14ac:dyDescent="0.2">
      <c r="A132" s="786" t="s">
        <v>583</v>
      </c>
      <c r="B132" s="786"/>
      <c r="C132" s="535">
        <f t="shared" si="60"/>
        <v>0</v>
      </c>
      <c r="D132" s="535">
        <f t="shared" si="60"/>
        <v>0</v>
      </c>
      <c r="E132" s="535">
        <f t="shared" si="60"/>
        <v>0</v>
      </c>
      <c r="F132" s="535">
        <f t="shared" si="60"/>
        <v>0</v>
      </c>
      <c r="G132" s="535">
        <f t="shared" si="60"/>
        <v>0</v>
      </c>
      <c r="H132" s="535">
        <f t="shared" si="60"/>
        <v>0</v>
      </c>
      <c r="I132" s="536">
        <f t="shared" si="60"/>
        <v>0</v>
      </c>
    </row>
    <row r="133" spans="1:9" ht="15.75" customHeight="1" x14ac:dyDescent="0.2">
      <c r="A133" s="788" t="s">
        <v>584</v>
      </c>
      <c r="B133" s="788"/>
      <c r="C133" s="535">
        <f t="shared" si="60"/>
        <v>0</v>
      </c>
      <c r="D133" s="535">
        <f t="shared" si="60"/>
        <v>0</v>
      </c>
      <c r="E133" s="535">
        <f t="shared" si="60"/>
        <v>0</v>
      </c>
      <c r="F133" s="535">
        <f t="shared" si="60"/>
        <v>0</v>
      </c>
      <c r="G133" s="535">
        <f t="shared" si="60"/>
        <v>0</v>
      </c>
      <c r="H133" s="535">
        <f t="shared" si="60"/>
        <v>0</v>
      </c>
      <c r="I133" s="536">
        <f t="shared" si="60"/>
        <v>0</v>
      </c>
    </row>
    <row r="134" spans="1:9" ht="15.75" customHeight="1" x14ac:dyDescent="0.2">
      <c r="A134" s="537" t="s">
        <v>585</v>
      </c>
      <c r="B134" s="538"/>
      <c r="C134" s="539">
        <f t="shared" ref="C134:I134" si="61">C128+C129</f>
        <v>0</v>
      </c>
      <c r="D134" s="539">
        <f t="shared" si="61"/>
        <v>0</v>
      </c>
      <c r="E134" s="539">
        <f t="shared" si="61"/>
        <v>0</v>
      </c>
      <c r="F134" s="539">
        <f t="shared" si="61"/>
        <v>0</v>
      </c>
      <c r="G134" s="539">
        <f t="shared" si="61"/>
        <v>0</v>
      </c>
      <c r="H134" s="539">
        <f t="shared" si="61"/>
        <v>0</v>
      </c>
      <c r="I134" s="540">
        <f t="shared" si="61"/>
        <v>0</v>
      </c>
    </row>
    <row r="135" spans="1:9" ht="15.75" customHeight="1" x14ac:dyDescent="0.2">
      <c r="A135" s="541" t="s">
        <v>586</v>
      </c>
      <c r="B135" s="542"/>
      <c r="C135" s="543">
        <f t="shared" ref="C135:I135" si="62">C128+C130</f>
        <v>0</v>
      </c>
      <c r="D135" s="543">
        <f t="shared" si="62"/>
        <v>0</v>
      </c>
      <c r="E135" s="543">
        <f t="shared" si="62"/>
        <v>0</v>
      </c>
      <c r="F135" s="543">
        <f t="shared" si="62"/>
        <v>0</v>
      </c>
      <c r="G135" s="543">
        <f t="shared" si="62"/>
        <v>0</v>
      </c>
      <c r="H135" s="543">
        <f t="shared" si="62"/>
        <v>0</v>
      </c>
      <c r="I135" s="544">
        <f t="shared" si="62"/>
        <v>0</v>
      </c>
    </row>
    <row r="136" spans="1:9" ht="15.75" customHeight="1" x14ac:dyDescent="0.2">
      <c r="A136" s="541" t="s">
        <v>587</v>
      </c>
      <c r="B136" s="542"/>
      <c r="C136" s="543">
        <f t="shared" ref="C136:I136" si="63">C128+C131</f>
        <v>0</v>
      </c>
      <c r="D136" s="543">
        <f t="shared" si="63"/>
        <v>0</v>
      </c>
      <c r="E136" s="543">
        <f t="shared" si="63"/>
        <v>0</v>
      </c>
      <c r="F136" s="543">
        <f t="shared" si="63"/>
        <v>0</v>
      </c>
      <c r="G136" s="543">
        <f t="shared" si="63"/>
        <v>0</v>
      </c>
      <c r="H136" s="543">
        <f t="shared" si="63"/>
        <v>0</v>
      </c>
      <c r="I136" s="544">
        <f t="shared" si="63"/>
        <v>0</v>
      </c>
    </row>
    <row r="137" spans="1:9" ht="15.75" customHeight="1" x14ac:dyDescent="0.2">
      <c r="A137" s="541" t="s">
        <v>588</v>
      </c>
      <c r="B137" s="542"/>
      <c r="C137" s="543">
        <f t="shared" ref="C137:I137" si="64">C128+C132</f>
        <v>0</v>
      </c>
      <c r="D137" s="543">
        <f t="shared" si="64"/>
        <v>0</v>
      </c>
      <c r="E137" s="543">
        <f t="shared" si="64"/>
        <v>0</v>
      </c>
      <c r="F137" s="543">
        <f t="shared" si="64"/>
        <v>0</v>
      </c>
      <c r="G137" s="543">
        <f t="shared" si="64"/>
        <v>0</v>
      </c>
      <c r="H137" s="543">
        <f t="shared" si="64"/>
        <v>0</v>
      </c>
      <c r="I137" s="544">
        <f t="shared" si="64"/>
        <v>0</v>
      </c>
    </row>
    <row r="138" spans="1:9" ht="15.75" customHeight="1" x14ac:dyDescent="0.2">
      <c r="A138" s="541" t="s">
        <v>589</v>
      </c>
      <c r="B138" s="542"/>
      <c r="C138" s="543">
        <f t="shared" ref="C138:I138" si="65">C128+C133</f>
        <v>0</v>
      </c>
      <c r="D138" s="543">
        <f t="shared" si="65"/>
        <v>0</v>
      </c>
      <c r="E138" s="543">
        <f t="shared" si="65"/>
        <v>0</v>
      </c>
      <c r="F138" s="543">
        <f t="shared" si="65"/>
        <v>0</v>
      </c>
      <c r="G138" s="543">
        <f t="shared" si="65"/>
        <v>0</v>
      </c>
      <c r="H138" s="543">
        <f t="shared" si="65"/>
        <v>0</v>
      </c>
      <c r="I138" s="544">
        <f t="shared" si="65"/>
        <v>0</v>
      </c>
    </row>
    <row r="139" spans="1:9" ht="15.75" customHeight="1" x14ac:dyDescent="0.2">
      <c r="A139" s="545" t="s">
        <v>590</v>
      </c>
      <c r="B139" s="546"/>
      <c r="C139" s="547">
        <f>C134/200</f>
        <v>0</v>
      </c>
      <c r="D139" s="547"/>
      <c r="E139" s="547"/>
      <c r="F139" s="547"/>
      <c r="G139" s="547"/>
      <c r="H139" s="548"/>
      <c r="I139" s="549"/>
    </row>
    <row r="140" spans="1:9" ht="15.75" customHeight="1" x14ac:dyDescent="0.2">
      <c r="A140" s="550" t="s">
        <v>591</v>
      </c>
      <c r="B140" s="551"/>
      <c r="C140" s="552">
        <f>C135/200</f>
        <v>0</v>
      </c>
      <c r="D140" s="552"/>
      <c r="E140" s="552"/>
      <c r="F140" s="552"/>
      <c r="G140" s="552"/>
      <c r="H140" s="553"/>
      <c r="I140" s="554"/>
    </row>
    <row r="141" spans="1:9" ht="15.75" customHeight="1" x14ac:dyDescent="0.2">
      <c r="A141" s="550" t="s">
        <v>592</v>
      </c>
      <c r="B141" s="551"/>
      <c r="C141" s="552">
        <f>C136/200</f>
        <v>0</v>
      </c>
      <c r="D141" s="552"/>
      <c r="E141" s="552"/>
      <c r="F141" s="552"/>
      <c r="G141" s="552"/>
      <c r="H141" s="553"/>
      <c r="I141" s="554"/>
    </row>
    <row r="142" spans="1:9" ht="15.75" customHeight="1" x14ac:dyDescent="0.2">
      <c r="A142" s="550" t="s">
        <v>593</v>
      </c>
      <c r="B142" s="551"/>
      <c r="C142" s="552">
        <f>C137/200</f>
        <v>0</v>
      </c>
      <c r="D142" s="552"/>
      <c r="E142" s="552"/>
      <c r="F142" s="552"/>
      <c r="G142" s="552"/>
      <c r="H142" s="553"/>
      <c r="I142" s="554"/>
    </row>
    <row r="143" spans="1:9" ht="15.75" customHeight="1" x14ac:dyDescent="0.2">
      <c r="A143" s="555" t="s">
        <v>594</v>
      </c>
      <c r="B143" s="556"/>
      <c r="C143" s="557">
        <f>C138/200</f>
        <v>0</v>
      </c>
      <c r="D143" s="557"/>
      <c r="E143" s="557"/>
      <c r="F143" s="557"/>
      <c r="G143" s="557"/>
      <c r="H143" s="558"/>
      <c r="I143" s="559"/>
    </row>
    <row r="144" spans="1:9" x14ac:dyDescent="0.2">
      <c r="A144" s="560"/>
    </row>
    <row r="145" spans="1:15" ht="14.25" customHeight="1" x14ac:dyDescent="0.2">
      <c r="A145" s="789" t="s">
        <v>595</v>
      </c>
      <c r="B145" s="789"/>
      <c r="C145" s="789" t="s">
        <v>596</v>
      </c>
      <c r="D145" s="789"/>
      <c r="E145" s="790" t="s">
        <v>597</v>
      </c>
      <c r="F145" s="790"/>
      <c r="G145" s="789" t="s">
        <v>598</v>
      </c>
      <c r="H145" s="789"/>
      <c r="I145" s="789" t="s">
        <v>599</v>
      </c>
      <c r="J145" s="789"/>
      <c r="K145" s="789" t="s">
        <v>600</v>
      </c>
      <c r="L145" s="789"/>
    </row>
    <row r="146" spans="1:15" ht="25.5" x14ac:dyDescent="0.2">
      <c r="A146" s="561" t="s">
        <v>601</v>
      </c>
      <c r="B146" s="562" t="s">
        <v>602</v>
      </c>
      <c r="C146" s="562" t="s">
        <v>603</v>
      </c>
      <c r="D146" s="562" t="s">
        <v>604</v>
      </c>
      <c r="E146" s="562" t="s">
        <v>603</v>
      </c>
      <c r="F146" s="562" t="s">
        <v>604</v>
      </c>
      <c r="G146" s="562" t="s">
        <v>603</v>
      </c>
      <c r="H146" s="562" t="s">
        <v>604</v>
      </c>
      <c r="I146" s="562" t="s">
        <v>603</v>
      </c>
      <c r="J146" s="562" t="s">
        <v>604</v>
      </c>
      <c r="K146" s="562" t="s">
        <v>603</v>
      </c>
      <c r="L146" s="562" t="s">
        <v>604</v>
      </c>
    </row>
    <row r="147" spans="1:15" x14ac:dyDescent="0.2">
      <c r="A147" s="563" t="s">
        <v>605</v>
      </c>
      <c r="B147" s="564">
        <f>1/'Prod. GEXCAX'!D17</f>
        <v>1.25E-3</v>
      </c>
      <c r="C147" s="565">
        <f>D134</f>
        <v>0</v>
      </c>
      <c r="D147" s="565">
        <f>B147*C147</f>
        <v>0</v>
      </c>
      <c r="E147" s="565">
        <f>D135</f>
        <v>0</v>
      </c>
      <c r="F147" s="565">
        <f>B147*E147</f>
        <v>0</v>
      </c>
      <c r="G147" s="565">
        <f>D136</f>
        <v>0</v>
      </c>
      <c r="H147" s="565">
        <f>B147*G147</f>
        <v>0</v>
      </c>
      <c r="I147" s="565">
        <f>D137</f>
        <v>0</v>
      </c>
      <c r="J147" s="565">
        <f>B147*I147</f>
        <v>0</v>
      </c>
      <c r="K147" s="565">
        <f>D138</f>
        <v>0</v>
      </c>
      <c r="L147" s="565">
        <f>B147*K147</f>
        <v>0</v>
      </c>
    </row>
    <row r="148" spans="1:15" x14ac:dyDescent="0.2">
      <c r="A148" s="566" t="s">
        <v>606</v>
      </c>
      <c r="B148" s="564">
        <f>B147/'Prod. GEXCAX'!Q17</f>
        <v>8.3333333333333331E-5</v>
      </c>
      <c r="C148" s="565">
        <f>I137</f>
        <v>0</v>
      </c>
      <c r="D148" s="565">
        <f>C148*B148</f>
        <v>0</v>
      </c>
      <c r="E148" s="565">
        <f>C148</f>
        <v>0</v>
      </c>
      <c r="F148" s="565">
        <f>B148*E148</f>
        <v>0</v>
      </c>
      <c r="G148" s="565">
        <f>C148</f>
        <v>0</v>
      </c>
      <c r="H148" s="565">
        <f>B148*G148</f>
        <v>0</v>
      </c>
      <c r="I148" s="565">
        <f>C148</f>
        <v>0</v>
      </c>
      <c r="J148" s="565">
        <f>B148*I148</f>
        <v>0</v>
      </c>
      <c r="K148" s="565">
        <f>B148</f>
        <v>8.3333333333333331E-5</v>
      </c>
      <c r="L148" s="565">
        <f>B148*K148</f>
        <v>6.9444444444444443E-9</v>
      </c>
      <c r="M148" s="791" t="s">
        <v>607</v>
      </c>
      <c r="N148" s="791"/>
      <c r="O148" s="567" t="s">
        <v>608</v>
      </c>
    </row>
    <row r="149" spans="1:15" x14ac:dyDescent="0.2">
      <c r="A149" s="568" t="s">
        <v>609</v>
      </c>
      <c r="B149" s="569"/>
      <c r="C149" s="570"/>
      <c r="D149" s="570">
        <f>SUM(D147:D148)</f>
        <v>0</v>
      </c>
      <c r="E149" s="570"/>
      <c r="F149" s="570">
        <f>SUM(F147:F148)</f>
        <v>0</v>
      </c>
      <c r="G149" s="570"/>
      <c r="H149" s="570">
        <f>SUM(H147:H148)</f>
        <v>0</v>
      </c>
      <c r="I149" s="570"/>
      <c r="J149" s="570">
        <f>SUM(J147:J148)</f>
        <v>0</v>
      </c>
      <c r="K149" s="570"/>
      <c r="L149" s="570">
        <f>SUM(L147:L148)</f>
        <v>6.9444444444444443E-9</v>
      </c>
      <c r="M149" s="571">
        <v>3.08</v>
      </c>
      <c r="N149" s="572">
        <v>5.56</v>
      </c>
    </row>
    <row r="150" spans="1:15" x14ac:dyDescent="0.2">
      <c r="A150" s="560"/>
    </row>
    <row r="151" spans="1:15" ht="14.25" customHeight="1" x14ac:dyDescent="0.2">
      <c r="A151" s="789" t="s">
        <v>610</v>
      </c>
      <c r="B151" s="789"/>
      <c r="C151" s="789" t="s">
        <v>596</v>
      </c>
      <c r="D151" s="789"/>
      <c r="E151" s="790" t="s">
        <v>597</v>
      </c>
      <c r="F151" s="790"/>
      <c r="G151" s="789" t="s">
        <v>598</v>
      </c>
      <c r="H151" s="789"/>
      <c r="I151" s="789" t="s">
        <v>599</v>
      </c>
      <c r="J151" s="789"/>
      <c r="K151" s="789" t="s">
        <v>600</v>
      </c>
      <c r="L151" s="789"/>
    </row>
    <row r="152" spans="1:15" ht="25.5" x14ac:dyDescent="0.2">
      <c r="A152" s="561" t="s">
        <v>601</v>
      </c>
      <c r="B152" s="562" t="s">
        <v>602</v>
      </c>
      <c r="C152" s="562" t="s">
        <v>603</v>
      </c>
      <c r="D152" s="562" t="s">
        <v>604</v>
      </c>
      <c r="E152" s="562" t="s">
        <v>603</v>
      </c>
      <c r="F152" s="562" t="s">
        <v>604</v>
      </c>
      <c r="G152" s="562" t="s">
        <v>603</v>
      </c>
      <c r="H152" s="562" t="s">
        <v>604</v>
      </c>
      <c r="I152" s="562" t="s">
        <v>603</v>
      </c>
      <c r="J152" s="562" t="s">
        <v>604</v>
      </c>
      <c r="K152" s="562" t="s">
        <v>603</v>
      </c>
      <c r="L152" s="562" t="s">
        <v>604</v>
      </c>
    </row>
    <row r="153" spans="1:15" x14ac:dyDescent="0.2">
      <c r="A153" s="563" t="s">
        <v>605</v>
      </c>
      <c r="B153" s="564">
        <f>1/'Prod. GEXCAX'!E17</f>
        <v>1.25E-3</v>
      </c>
      <c r="C153" s="573">
        <f>C134</f>
        <v>0</v>
      </c>
      <c r="D153" s="565">
        <f>B153*C153</f>
        <v>0</v>
      </c>
      <c r="E153" s="573">
        <f>C135</f>
        <v>0</v>
      </c>
      <c r="F153" s="565">
        <f>B153*E153</f>
        <v>0</v>
      </c>
      <c r="G153" s="573">
        <f>C136</f>
        <v>0</v>
      </c>
      <c r="H153" s="565">
        <f>B153*G153</f>
        <v>0</v>
      </c>
      <c r="I153" s="573">
        <f>C137</f>
        <v>0</v>
      </c>
      <c r="J153" s="565">
        <f>B153*I153</f>
        <v>0</v>
      </c>
      <c r="K153" s="573">
        <f>C138</f>
        <v>0</v>
      </c>
      <c r="L153" s="565">
        <f>B153*K153</f>
        <v>0</v>
      </c>
    </row>
    <row r="154" spans="1:15" x14ac:dyDescent="0.2">
      <c r="A154" s="566" t="s">
        <v>606</v>
      </c>
      <c r="B154" s="564">
        <f>B153/'Prod. GEXCAX'!Q17</f>
        <v>8.3333333333333331E-5</v>
      </c>
      <c r="C154" s="565">
        <f>I137</f>
        <v>0</v>
      </c>
      <c r="D154" s="565">
        <f>C154*B154</f>
        <v>0</v>
      </c>
      <c r="E154" s="565">
        <f>C154</f>
        <v>0</v>
      </c>
      <c r="F154" s="565">
        <f>B154*E154</f>
        <v>0</v>
      </c>
      <c r="G154" s="565">
        <f>C154</f>
        <v>0</v>
      </c>
      <c r="H154" s="565">
        <f>B154*G154</f>
        <v>0</v>
      </c>
      <c r="I154" s="565">
        <f>C154</f>
        <v>0</v>
      </c>
      <c r="J154" s="565">
        <f>B154*I154</f>
        <v>0</v>
      </c>
      <c r="K154" s="565">
        <f>C154</f>
        <v>0</v>
      </c>
      <c r="L154" s="565">
        <f>B154*K154</f>
        <v>0</v>
      </c>
      <c r="M154" s="791"/>
      <c r="N154" s="791"/>
      <c r="O154" s="567"/>
    </row>
    <row r="155" spans="1:15" x14ac:dyDescent="0.2">
      <c r="A155" s="568" t="s">
        <v>609</v>
      </c>
      <c r="B155" s="569"/>
      <c r="C155" s="570"/>
      <c r="D155" s="570">
        <f>SUM(D153:D154)</f>
        <v>0</v>
      </c>
      <c r="E155" s="570"/>
      <c r="F155" s="570">
        <f>SUM(F153:F154)</f>
        <v>0</v>
      </c>
      <c r="G155" s="570"/>
      <c r="H155" s="570">
        <f>SUM(H153:H154)</f>
        <v>0</v>
      </c>
      <c r="I155" s="570"/>
      <c r="J155" s="570">
        <f>SUM(J153:J154)</f>
        <v>0</v>
      </c>
      <c r="K155" s="570"/>
      <c r="L155" s="570">
        <f>SUM(L153:L154)</f>
        <v>0</v>
      </c>
      <c r="M155" s="571"/>
      <c r="N155" s="572"/>
    </row>
    <row r="156" spans="1:15" x14ac:dyDescent="0.2">
      <c r="A156" s="574"/>
      <c r="B156" s="575"/>
      <c r="C156" s="575"/>
      <c r="D156" s="575"/>
      <c r="E156" s="576"/>
      <c r="F156" s="576"/>
      <c r="G156" s="576"/>
      <c r="H156" s="576"/>
    </row>
    <row r="157" spans="1:15" ht="14.25" customHeight="1" x14ac:dyDescent="0.2">
      <c r="A157" s="790" t="s">
        <v>611</v>
      </c>
      <c r="B157" s="790"/>
      <c r="C157" s="790" t="s">
        <v>596</v>
      </c>
      <c r="D157" s="790"/>
      <c r="E157" s="790" t="s">
        <v>597</v>
      </c>
      <c r="F157" s="790"/>
      <c r="G157" s="790" t="s">
        <v>598</v>
      </c>
      <c r="H157" s="790"/>
      <c r="I157" s="790" t="s">
        <v>599</v>
      </c>
      <c r="J157" s="790"/>
      <c r="K157" s="790" t="s">
        <v>600</v>
      </c>
      <c r="L157" s="790"/>
    </row>
    <row r="158" spans="1:15" ht="25.5" x14ac:dyDescent="0.2">
      <c r="A158" s="561" t="s">
        <v>601</v>
      </c>
      <c r="B158" s="562" t="s">
        <v>612</v>
      </c>
      <c r="C158" s="562" t="s">
        <v>603</v>
      </c>
      <c r="D158" s="562" t="s">
        <v>604</v>
      </c>
      <c r="E158" s="562" t="s">
        <v>603</v>
      </c>
      <c r="F158" s="562" t="s">
        <v>604</v>
      </c>
      <c r="G158" s="562" t="s">
        <v>603</v>
      </c>
      <c r="H158" s="562" t="s">
        <v>604</v>
      </c>
      <c r="I158" s="562" t="s">
        <v>603</v>
      </c>
      <c r="J158" s="562" t="s">
        <v>604</v>
      </c>
      <c r="K158" s="562" t="s">
        <v>603</v>
      </c>
      <c r="L158" s="562" t="s">
        <v>604</v>
      </c>
    </row>
    <row r="159" spans="1:15" x14ac:dyDescent="0.2">
      <c r="A159" s="563" t="s">
        <v>605</v>
      </c>
      <c r="B159" s="577">
        <f>1/'Prod. GEXCAX'!F17</f>
        <v>6.6666666666666664E-4</v>
      </c>
      <c r="C159" s="578">
        <f>D134</f>
        <v>0</v>
      </c>
      <c r="D159" s="565">
        <f>B159*C159</f>
        <v>0</v>
      </c>
      <c r="E159" s="565">
        <f>D135</f>
        <v>0</v>
      </c>
      <c r="F159" s="565">
        <f>B159*E159</f>
        <v>0</v>
      </c>
      <c r="G159" s="565">
        <f>D136</f>
        <v>0</v>
      </c>
      <c r="H159" s="565">
        <f>B159*G159</f>
        <v>0</v>
      </c>
      <c r="I159" s="565">
        <f>D137</f>
        <v>0</v>
      </c>
      <c r="J159" s="565">
        <f>B159*I159</f>
        <v>0</v>
      </c>
      <c r="K159" s="565">
        <f>D138</f>
        <v>0</v>
      </c>
      <c r="L159" s="565">
        <f>B159*K159</f>
        <v>0</v>
      </c>
    </row>
    <row r="160" spans="1:15" x14ac:dyDescent="0.2">
      <c r="A160" s="566" t="s">
        <v>606</v>
      </c>
      <c r="B160" s="564">
        <f>B159/'Prod. GEXCAX'!Q17</f>
        <v>4.444444444444444E-5</v>
      </c>
      <c r="C160" s="565">
        <f>I137</f>
        <v>0</v>
      </c>
      <c r="D160" s="565">
        <f>B160*C160</f>
        <v>0</v>
      </c>
      <c r="E160" s="565">
        <f>C160</f>
        <v>0</v>
      </c>
      <c r="F160" s="565">
        <f>B160*E160</f>
        <v>0</v>
      </c>
      <c r="G160" s="565">
        <f>C160</f>
        <v>0</v>
      </c>
      <c r="H160" s="565">
        <f>B160*G160</f>
        <v>0</v>
      </c>
      <c r="I160" s="565">
        <f>C160</f>
        <v>0</v>
      </c>
      <c r="J160" s="565">
        <f>B160*I160</f>
        <v>0</v>
      </c>
      <c r="K160" s="565">
        <f>C160</f>
        <v>0</v>
      </c>
      <c r="L160" s="565">
        <f>B160*K160</f>
        <v>0</v>
      </c>
    </row>
    <row r="161" spans="1:12" x14ac:dyDescent="0.2">
      <c r="A161" s="568" t="s">
        <v>613</v>
      </c>
      <c r="B161" s="569"/>
      <c r="C161" s="570"/>
      <c r="D161" s="570">
        <f>SUM(D159:D160)</f>
        <v>0</v>
      </c>
      <c r="E161" s="570"/>
      <c r="F161" s="570">
        <f>SUM(F159:F160)</f>
        <v>0</v>
      </c>
      <c r="G161" s="570"/>
      <c r="H161" s="570">
        <f>SUM(H159:H160)</f>
        <v>0</v>
      </c>
      <c r="I161" s="570"/>
      <c r="J161" s="570">
        <f>SUM(J159:J160)</f>
        <v>0</v>
      </c>
      <c r="K161" s="570"/>
      <c r="L161" s="570">
        <f>SUM(L159:L160)</f>
        <v>0</v>
      </c>
    </row>
    <row r="162" spans="1:12" x14ac:dyDescent="0.2">
      <c r="A162" s="574"/>
      <c r="B162" s="579"/>
      <c r="C162" s="579"/>
      <c r="D162" s="579"/>
      <c r="E162" s="579"/>
      <c r="F162" s="579"/>
      <c r="G162" s="579"/>
      <c r="H162" s="579"/>
    </row>
    <row r="163" spans="1:12" ht="14.25" customHeight="1" x14ac:dyDescent="0.2">
      <c r="A163" s="790" t="s">
        <v>614</v>
      </c>
      <c r="B163" s="790"/>
      <c r="C163" s="790" t="s">
        <v>596</v>
      </c>
      <c r="D163" s="790"/>
      <c r="E163" s="790" t="s">
        <v>597</v>
      </c>
      <c r="F163" s="790"/>
      <c r="G163" s="790" t="s">
        <v>598</v>
      </c>
      <c r="H163" s="790"/>
      <c r="I163" s="790" t="s">
        <v>599</v>
      </c>
      <c r="J163" s="790"/>
      <c r="K163" s="790" t="s">
        <v>600</v>
      </c>
      <c r="L163" s="790"/>
    </row>
    <row r="164" spans="1:12" ht="25.5" x14ac:dyDescent="0.2">
      <c r="A164" s="561" t="s">
        <v>601</v>
      </c>
      <c r="B164" s="562" t="s">
        <v>612</v>
      </c>
      <c r="C164" s="562" t="s">
        <v>603</v>
      </c>
      <c r="D164" s="562" t="s">
        <v>604</v>
      </c>
      <c r="E164" s="562" t="s">
        <v>603</v>
      </c>
      <c r="F164" s="562" t="s">
        <v>604</v>
      </c>
      <c r="G164" s="562" t="s">
        <v>603</v>
      </c>
      <c r="H164" s="562" t="s">
        <v>604</v>
      </c>
      <c r="I164" s="562" t="s">
        <v>603</v>
      </c>
      <c r="J164" s="562" t="s">
        <v>604</v>
      </c>
      <c r="K164" s="562" t="s">
        <v>603</v>
      </c>
      <c r="L164" s="562" t="s">
        <v>604</v>
      </c>
    </row>
    <row r="165" spans="1:12" x14ac:dyDescent="0.2">
      <c r="A165" s="563" t="s">
        <v>605</v>
      </c>
      <c r="B165" s="577">
        <f>1/'Prod. GEXCAX'!G17</f>
        <v>6.6666666666666664E-4</v>
      </c>
      <c r="C165" s="578">
        <f>D134</f>
        <v>0</v>
      </c>
      <c r="D165" s="565">
        <f>B165*C165</f>
        <v>0</v>
      </c>
      <c r="E165" s="565">
        <f>D135</f>
        <v>0</v>
      </c>
      <c r="F165" s="565">
        <f>B165*E165</f>
        <v>0</v>
      </c>
      <c r="G165" s="565">
        <f>D136</f>
        <v>0</v>
      </c>
      <c r="H165" s="565">
        <f>B165*G165</f>
        <v>0</v>
      </c>
      <c r="I165" s="565">
        <f>D137</f>
        <v>0</v>
      </c>
      <c r="J165" s="565">
        <f>B165*I165</f>
        <v>0</v>
      </c>
      <c r="K165" s="565">
        <f>D138</f>
        <v>0</v>
      </c>
      <c r="L165" s="565">
        <f>B165*K165</f>
        <v>0</v>
      </c>
    </row>
    <row r="166" spans="1:12" x14ac:dyDescent="0.2">
      <c r="A166" s="566" t="s">
        <v>606</v>
      </c>
      <c r="B166" s="564">
        <f>B165/'Prod. GEXCAX'!Q17</f>
        <v>4.444444444444444E-5</v>
      </c>
      <c r="C166" s="565">
        <f>I137</f>
        <v>0</v>
      </c>
      <c r="D166" s="565">
        <f>B166*C166</f>
        <v>0</v>
      </c>
      <c r="E166" s="565">
        <f>I137</f>
        <v>0</v>
      </c>
      <c r="F166" s="565">
        <f>B166*E166</f>
        <v>0</v>
      </c>
      <c r="G166" s="565">
        <f>E166</f>
        <v>0</v>
      </c>
      <c r="H166" s="565">
        <f>B166*G166</f>
        <v>0</v>
      </c>
      <c r="I166" s="565">
        <f>E166</f>
        <v>0</v>
      </c>
      <c r="J166" s="565">
        <f>B166*I166</f>
        <v>0</v>
      </c>
      <c r="K166" s="565">
        <f>E166</f>
        <v>0</v>
      </c>
      <c r="L166" s="565">
        <f>B166*K166</f>
        <v>0</v>
      </c>
    </row>
    <row r="167" spans="1:12" x14ac:dyDescent="0.2">
      <c r="A167" s="568" t="s">
        <v>613</v>
      </c>
      <c r="B167" s="569"/>
      <c r="C167" s="570"/>
      <c r="D167" s="570">
        <f>SUM(D165:D166)</f>
        <v>0</v>
      </c>
      <c r="E167" s="570"/>
      <c r="F167" s="570">
        <f>SUM(F165:F166)</f>
        <v>0</v>
      </c>
      <c r="G167" s="570"/>
      <c r="H167" s="570">
        <f>SUM(H165:H166)</f>
        <v>0</v>
      </c>
      <c r="I167" s="570"/>
      <c r="J167" s="570">
        <f>SUM(J165:J166)</f>
        <v>0</v>
      </c>
      <c r="K167" s="570"/>
      <c r="L167" s="570">
        <f>SUM(L165:L166)</f>
        <v>0</v>
      </c>
    </row>
    <row r="168" spans="1:12" x14ac:dyDescent="0.2">
      <c r="A168" s="574"/>
      <c r="B168" s="579"/>
      <c r="C168" s="579"/>
      <c r="D168" s="579"/>
      <c r="E168" s="579"/>
      <c r="F168" s="579"/>
      <c r="G168" s="579"/>
      <c r="H168" s="579"/>
    </row>
    <row r="169" spans="1:12" ht="14.25" customHeight="1" x14ac:dyDescent="0.2">
      <c r="A169" s="790" t="s">
        <v>615</v>
      </c>
      <c r="B169" s="790"/>
      <c r="C169" s="790" t="s">
        <v>596</v>
      </c>
      <c r="D169" s="790"/>
      <c r="E169" s="790" t="s">
        <v>597</v>
      </c>
      <c r="F169" s="790"/>
      <c r="G169" s="790" t="s">
        <v>598</v>
      </c>
      <c r="H169" s="790"/>
      <c r="I169" s="790" t="s">
        <v>599</v>
      </c>
      <c r="J169" s="790"/>
      <c r="K169" s="790" t="s">
        <v>600</v>
      </c>
      <c r="L169" s="790"/>
    </row>
    <row r="170" spans="1:12" ht="25.5" x14ac:dyDescent="0.2">
      <c r="A170" s="561" t="s">
        <v>601</v>
      </c>
      <c r="B170" s="562" t="s">
        <v>612</v>
      </c>
      <c r="C170" s="562" t="s">
        <v>603</v>
      </c>
      <c r="D170" s="562" t="s">
        <v>604</v>
      </c>
      <c r="E170" s="562" t="s">
        <v>603</v>
      </c>
      <c r="F170" s="562" t="s">
        <v>604</v>
      </c>
      <c r="G170" s="562" t="s">
        <v>603</v>
      </c>
      <c r="H170" s="562" t="s">
        <v>604</v>
      </c>
      <c r="I170" s="562" t="s">
        <v>603</v>
      </c>
      <c r="J170" s="562" t="s">
        <v>604</v>
      </c>
      <c r="K170" s="562" t="s">
        <v>603</v>
      </c>
      <c r="L170" s="562" t="s">
        <v>604</v>
      </c>
    </row>
    <row r="171" spans="1:12" x14ac:dyDescent="0.2">
      <c r="A171" s="563" t="s">
        <v>605</v>
      </c>
      <c r="B171" s="577">
        <f>1/'Prod. GEXCAX'!H17</f>
        <v>4.0000000000000001E-3</v>
      </c>
      <c r="C171" s="573">
        <f>C134</f>
        <v>0</v>
      </c>
      <c r="D171" s="565">
        <f>B171*C171</f>
        <v>0</v>
      </c>
      <c r="E171" s="573">
        <f>C135</f>
        <v>0</v>
      </c>
      <c r="F171" s="565">
        <f>B171*E171</f>
        <v>0</v>
      </c>
      <c r="G171" s="573">
        <f>C136</f>
        <v>0</v>
      </c>
      <c r="H171" s="565">
        <f>B171*G171</f>
        <v>0</v>
      </c>
      <c r="I171" s="573">
        <f>C137</f>
        <v>0</v>
      </c>
      <c r="J171" s="565">
        <f>B171*I171</f>
        <v>0</v>
      </c>
      <c r="K171" s="573">
        <f>C138</f>
        <v>0</v>
      </c>
      <c r="L171" s="565">
        <f>B171*K171</f>
        <v>0</v>
      </c>
    </row>
    <row r="172" spans="1:12" x14ac:dyDescent="0.2">
      <c r="A172" s="566" t="s">
        <v>606</v>
      </c>
      <c r="B172" s="564">
        <f>B171/'Prod. GEXCAX'!Q17</f>
        <v>2.6666666666666668E-4</v>
      </c>
      <c r="C172" s="565">
        <f>I137</f>
        <v>0</v>
      </c>
      <c r="D172" s="565">
        <f>C172*B172</f>
        <v>0</v>
      </c>
      <c r="E172" s="565">
        <f>I137</f>
        <v>0</v>
      </c>
      <c r="F172" s="565">
        <f>B172*E172</f>
        <v>0</v>
      </c>
      <c r="G172" s="565">
        <f>E172</f>
        <v>0</v>
      </c>
      <c r="H172" s="565">
        <f>B172*G172</f>
        <v>0</v>
      </c>
      <c r="I172" s="565">
        <f>E172</f>
        <v>0</v>
      </c>
      <c r="J172" s="565">
        <f>B172*I172</f>
        <v>0</v>
      </c>
      <c r="K172" s="565">
        <f>E172</f>
        <v>0</v>
      </c>
      <c r="L172" s="565">
        <f>B172*K172</f>
        <v>0</v>
      </c>
    </row>
    <row r="173" spans="1:12" x14ac:dyDescent="0.2">
      <c r="A173" s="568" t="s">
        <v>613</v>
      </c>
      <c r="B173" s="569"/>
      <c r="C173" s="570"/>
      <c r="D173" s="570">
        <f>SUM(D171:D172)</f>
        <v>0</v>
      </c>
      <c r="E173" s="570"/>
      <c r="F173" s="570">
        <f>SUM(F171:F172)</f>
        <v>0</v>
      </c>
      <c r="G173" s="570"/>
      <c r="H173" s="570">
        <f>SUM(H171:H172)</f>
        <v>0</v>
      </c>
      <c r="I173" s="570"/>
      <c r="J173" s="570">
        <f>SUM(J171:J172)</f>
        <v>0</v>
      </c>
      <c r="K173" s="570"/>
      <c r="L173" s="570">
        <f>SUM(L171:L172)</f>
        <v>0</v>
      </c>
    </row>
    <row r="174" spans="1:12" x14ac:dyDescent="0.2">
      <c r="A174" s="574"/>
      <c r="B174" s="580"/>
      <c r="C174" s="580"/>
      <c r="D174" s="580"/>
      <c r="E174" s="580"/>
      <c r="F174" s="580"/>
      <c r="G174" s="580"/>
      <c r="H174" s="580"/>
    </row>
    <row r="175" spans="1:12" ht="14.25" customHeight="1" x14ac:dyDescent="0.2">
      <c r="A175" s="792" t="s">
        <v>616</v>
      </c>
      <c r="B175" s="792"/>
      <c r="C175" s="792" t="s">
        <v>596</v>
      </c>
      <c r="D175" s="792"/>
      <c r="E175" s="792" t="s">
        <v>597</v>
      </c>
      <c r="F175" s="792"/>
      <c r="G175" s="792" t="s">
        <v>598</v>
      </c>
      <c r="H175" s="792"/>
      <c r="I175" s="792" t="s">
        <v>599</v>
      </c>
      <c r="J175" s="792"/>
      <c r="K175" s="792" t="s">
        <v>600</v>
      </c>
      <c r="L175" s="792"/>
    </row>
    <row r="176" spans="1:12" ht="25.5" x14ac:dyDescent="0.2">
      <c r="A176" s="561" t="s">
        <v>601</v>
      </c>
      <c r="B176" s="562" t="s">
        <v>612</v>
      </c>
      <c r="C176" s="562" t="s">
        <v>603</v>
      </c>
      <c r="D176" s="562" t="s">
        <v>604</v>
      </c>
      <c r="E176" s="562" t="s">
        <v>603</v>
      </c>
      <c r="F176" s="562" t="s">
        <v>604</v>
      </c>
      <c r="G176" s="562" t="s">
        <v>603</v>
      </c>
      <c r="H176" s="562" t="s">
        <v>604</v>
      </c>
      <c r="I176" s="562" t="s">
        <v>603</v>
      </c>
      <c r="J176" s="562" t="s">
        <v>604</v>
      </c>
      <c r="K176" s="562" t="s">
        <v>603</v>
      </c>
      <c r="L176" s="562" t="s">
        <v>604</v>
      </c>
    </row>
    <row r="177" spans="1:14" x14ac:dyDescent="0.2">
      <c r="A177" s="563" t="s">
        <v>617</v>
      </c>
      <c r="B177" s="577">
        <f>1/'Prod. GEXCAX'!I17</f>
        <v>4.0000000000000002E-4</v>
      </c>
      <c r="C177" s="565">
        <f>D134</f>
        <v>0</v>
      </c>
      <c r="D177" s="565">
        <f>B177*C177</f>
        <v>0</v>
      </c>
      <c r="E177" s="565">
        <f>D135</f>
        <v>0</v>
      </c>
      <c r="F177" s="565">
        <f>B177*E177</f>
        <v>0</v>
      </c>
      <c r="G177" s="565">
        <f>D136</f>
        <v>0</v>
      </c>
      <c r="H177" s="565">
        <f>B177*G177</f>
        <v>0</v>
      </c>
      <c r="I177" s="565">
        <f>D137</f>
        <v>0</v>
      </c>
      <c r="J177" s="565">
        <f>B177*I177</f>
        <v>0</v>
      </c>
      <c r="K177" s="565">
        <f>D138</f>
        <v>0</v>
      </c>
      <c r="L177" s="565">
        <f>B177*K177</f>
        <v>0</v>
      </c>
    </row>
    <row r="178" spans="1:14" x14ac:dyDescent="0.2">
      <c r="A178" s="566" t="s">
        <v>606</v>
      </c>
      <c r="B178" s="564">
        <f>B177/'Prod. GEXCAX'!Q17</f>
        <v>2.6666666666666667E-5</v>
      </c>
      <c r="C178" s="565">
        <f>I137</f>
        <v>0</v>
      </c>
      <c r="D178" s="565">
        <f>B178*C178</f>
        <v>0</v>
      </c>
      <c r="E178" s="565">
        <f>I137</f>
        <v>0</v>
      </c>
      <c r="F178" s="565">
        <f>B178*E178</f>
        <v>0</v>
      </c>
      <c r="G178" s="565">
        <f>E178</f>
        <v>0</v>
      </c>
      <c r="H178" s="565">
        <f>B178*G178</f>
        <v>0</v>
      </c>
      <c r="I178" s="565">
        <f>E178</f>
        <v>0</v>
      </c>
      <c r="J178" s="565">
        <f>B178*I178</f>
        <v>0</v>
      </c>
      <c r="K178" s="565">
        <f>E178</f>
        <v>0</v>
      </c>
      <c r="L178" s="565">
        <f>B178*K178</f>
        <v>0</v>
      </c>
      <c r="M178" s="791" t="s">
        <v>607</v>
      </c>
      <c r="N178" s="791"/>
    </row>
    <row r="179" spans="1:14" x14ac:dyDescent="0.2">
      <c r="A179" s="581" t="s">
        <v>618</v>
      </c>
      <c r="B179" s="582"/>
      <c r="C179" s="583"/>
      <c r="D179" s="584">
        <f>SUM(D177:D178)</f>
        <v>0</v>
      </c>
      <c r="E179" s="583"/>
      <c r="F179" s="584">
        <f>SUM(F177:F178)</f>
        <v>0</v>
      </c>
      <c r="G179" s="583"/>
      <c r="H179" s="584">
        <f>SUM(H177:H178)</f>
        <v>0</v>
      </c>
      <c r="I179" s="583"/>
      <c r="J179" s="584">
        <f>SUM(J177:J178)</f>
        <v>0</v>
      </c>
      <c r="K179" s="583"/>
      <c r="L179" s="584">
        <f>SUM(L177:L178)</f>
        <v>0</v>
      </c>
      <c r="M179" s="571">
        <v>1.37</v>
      </c>
      <c r="N179" s="572">
        <v>2.4700000000000002</v>
      </c>
    </row>
    <row r="180" spans="1:14" x14ac:dyDescent="0.2">
      <c r="A180" s="563" t="s">
        <v>619</v>
      </c>
      <c r="B180" s="577">
        <f>1/'Prod. GEXCAX'!J17</f>
        <v>1.0000000000000001E-5</v>
      </c>
      <c r="C180" s="565">
        <f>D134</f>
        <v>0</v>
      </c>
      <c r="D180" s="565">
        <f>B180*C180</f>
        <v>0</v>
      </c>
      <c r="E180" s="565">
        <f>D135</f>
        <v>0</v>
      </c>
      <c r="F180" s="565">
        <f>B180*E180</f>
        <v>0</v>
      </c>
      <c r="G180" s="565">
        <f>D136</f>
        <v>0</v>
      </c>
      <c r="H180" s="565">
        <f>B180*G180</f>
        <v>0</v>
      </c>
      <c r="I180" s="565">
        <f>D137</f>
        <v>0</v>
      </c>
      <c r="J180" s="565">
        <f>B180*I180</f>
        <v>0</v>
      </c>
      <c r="K180" s="565">
        <f>D138</f>
        <v>0</v>
      </c>
      <c r="L180" s="565">
        <f>B180*K180</f>
        <v>0</v>
      </c>
    </row>
    <row r="181" spans="1:14" x14ac:dyDescent="0.2">
      <c r="A181" s="566" t="s">
        <v>606</v>
      </c>
      <c r="B181" s="564">
        <f>B180/'Prod. GEXCAX'!Q17</f>
        <v>6.6666666666666671E-7</v>
      </c>
      <c r="C181" s="565">
        <f>I137</f>
        <v>0</v>
      </c>
      <c r="D181" s="565">
        <f>B181*C181</f>
        <v>0</v>
      </c>
      <c r="E181" s="565">
        <f>C181</f>
        <v>0</v>
      </c>
      <c r="F181" s="565">
        <f>B181*E181</f>
        <v>0</v>
      </c>
      <c r="G181" s="565">
        <f>C181</f>
        <v>0</v>
      </c>
      <c r="H181" s="565">
        <f>B181*G181</f>
        <v>0</v>
      </c>
      <c r="I181" s="565">
        <f>C181</f>
        <v>0</v>
      </c>
      <c r="J181" s="565">
        <f>B181*I181</f>
        <v>0</v>
      </c>
      <c r="K181" s="565">
        <f>C181</f>
        <v>0</v>
      </c>
      <c r="L181" s="565">
        <f>B181*K181</f>
        <v>0</v>
      </c>
    </row>
    <row r="182" spans="1:14" x14ac:dyDescent="0.2">
      <c r="A182" s="581" t="s">
        <v>620</v>
      </c>
      <c r="B182" s="585"/>
      <c r="C182" s="583"/>
      <c r="D182" s="584">
        <f>SUM(D180:D181)</f>
        <v>0</v>
      </c>
      <c r="E182" s="583"/>
      <c r="F182" s="584">
        <f>SUM(F180:F181)</f>
        <v>0</v>
      </c>
      <c r="G182" s="583"/>
      <c r="H182" s="584">
        <f>SUM(H180:H181)</f>
        <v>0</v>
      </c>
      <c r="I182" s="583"/>
      <c r="J182" s="584">
        <f>SUM(J180:J181)</f>
        <v>0</v>
      </c>
      <c r="K182" s="583"/>
      <c r="L182" s="584">
        <f>SUM(L180:L181)</f>
        <v>0</v>
      </c>
    </row>
    <row r="183" spans="1:14" x14ac:dyDescent="0.2">
      <c r="A183" s="563" t="s">
        <v>621</v>
      </c>
      <c r="B183" s="577">
        <f>1/'Prod. GEXCAX'!K17</f>
        <v>1.3333333333333334E-4</v>
      </c>
      <c r="C183" s="565">
        <f>D134</f>
        <v>0</v>
      </c>
      <c r="D183" s="565">
        <f>B183*C183</f>
        <v>0</v>
      </c>
      <c r="E183" s="565">
        <f>D135</f>
        <v>0</v>
      </c>
      <c r="F183" s="565">
        <f>B183*E183</f>
        <v>0</v>
      </c>
      <c r="G183" s="565">
        <f>D136</f>
        <v>0</v>
      </c>
      <c r="H183" s="565">
        <f>B183*G183</f>
        <v>0</v>
      </c>
      <c r="I183" s="565">
        <f>D137</f>
        <v>0</v>
      </c>
      <c r="J183" s="565">
        <f>B183*I183</f>
        <v>0</v>
      </c>
      <c r="K183" s="565">
        <f>D138</f>
        <v>0</v>
      </c>
      <c r="L183" s="565">
        <f>B183*K183</f>
        <v>0</v>
      </c>
    </row>
    <row r="184" spans="1:14" x14ac:dyDescent="0.2">
      <c r="A184" s="566" t="s">
        <v>606</v>
      </c>
      <c r="B184" s="564">
        <f>B183/'Prod. GEXCAX'!Q17</f>
        <v>8.88888888888889E-6</v>
      </c>
      <c r="C184" s="565">
        <f>I137</f>
        <v>0</v>
      </c>
      <c r="D184" s="565">
        <f>B184*C184</f>
        <v>0</v>
      </c>
      <c r="E184" s="565">
        <f>C184</f>
        <v>0</v>
      </c>
      <c r="F184" s="565">
        <f>B184*E184</f>
        <v>0</v>
      </c>
      <c r="G184" s="565">
        <f>C184</f>
        <v>0</v>
      </c>
      <c r="H184" s="565">
        <f>B184*G184</f>
        <v>0</v>
      </c>
      <c r="I184" s="565">
        <f>C184</f>
        <v>0</v>
      </c>
      <c r="J184" s="565">
        <f>B184*I184</f>
        <v>0</v>
      </c>
      <c r="K184" s="565">
        <f>C184</f>
        <v>0</v>
      </c>
      <c r="L184" s="565">
        <f>B184*K184</f>
        <v>0</v>
      </c>
    </row>
    <row r="185" spans="1:14" x14ac:dyDescent="0.2">
      <c r="A185" s="581" t="s">
        <v>622</v>
      </c>
      <c r="B185" s="585"/>
      <c r="C185" s="583"/>
      <c r="D185" s="584">
        <f>SUM(D183:D184)</f>
        <v>0</v>
      </c>
      <c r="E185" s="583"/>
      <c r="F185" s="584">
        <f>SUM(F183:F184)</f>
        <v>0</v>
      </c>
      <c r="G185" s="583"/>
      <c r="H185" s="584">
        <f>SUM(H183:H184)</f>
        <v>0</v>
      </c>
      <c r="I185" s="583"/>
      <c r="J185" s="584">
        <f>SUM(J183:J184)</f>
        <v>0</v>
      </c>
      <c r="K185" s="583"/>
      <c r="L185" s="584">
        <f>SUM(L183:L184)</f>
        <v>0</v>
      </c>
    </row>
    <row r="186" spans="1:14" x14ac:dyDescent="0.2">
      <c r="A186" s="574"/>
      <c r="B186" s="579"/>
      <c r="C186" s="579"/>
      <c r="D186" s="579"/>
      <c r="E186" s="579"/>
      <c r="F186" s="579"/>
      <c r="G186" s="579"/>
      <c r="H186" s="579"/>
    </row>
    <row r="187" spans="1:14" ht="14.25" customHeight="1" x14ac:dyDescent="0.2">
      <c r="A187" s="793" t="s">
        <v>623</v>
      </c>
      <c r="B187" s="793"/>
      <c r="C187" s="793" t="s">
        <v>596</v>
      </c>
      <c r="D187" s="793"/>
      <c r="E187" s="793" t="s">
        <v>597</v>
      </c>
      <c r="F187" s="793"/>
      <c r="G187" s="793" t="s">
        <v>598</v>
      </c>
      <c r="H187" s="793"/>
      <c r="I187" s="793" t="s">
        <v>599</v>
      </c>
      <c r="J187" s="793"/>
      <c r="K187" s="793" t="s">
        <v>600</v>
      </c>
      <c r="L187" s="793"/>
    </row>
    <row r="188" spans="1:14" ht="25.5" x14ac:dyDescent="0.2">
      <c r="A188" s="561" t="s">
        <v>601</v>
      </c>
      <c r="B188" s="562" t="s">
        <v>612</v>
      </c>
      <c r="C188" s="562" t="s">
        <v>603</v>
      </c>
      <c r="D188" s="562" t="s">
        <v>604</v>
      </c>
      <c r="E188" s="562" t="s">
        <v>603</v>
      </c>
      <c r="F188" s="562" t="s">
        <v>604</v>
      </c>
      <c r="G188" s="562" t="s">
        <v>603</v>
      </c>
      <c r="H188" s="562" t="s">
        <v>604</v>
      </c>
      <c r="I188" s="562" t="s">
        <v>603</v>
      </c>
      <c r="J188" s="562" t="s">
        <v>604</v>
      </c>
      <c r="K188" s="562" t="s">
        <v>603</v>
      </c>
      <c r="L188" s="562" t="s">
        <v>604</v>
      </c>
    </row>
    <row r="189" spans="1:14" x14ac:dyDescent="0.2">
      <c r="A189" s="586" t="s">
        <v>624</v>
      </c>
      <c r="B189" s="577">
        <f>(1/'Prod. GEXCAX'!L17)*(1/(30/7*44*6))*8</f>
        <v>4.4191919191919199E-5</v>
      </c>
      <c r="C189" s="587">
        <f>H134</f>
        <v>0</v>
      </c>
      <c r="D189" s="565">
        <f>B189*C189</f>
        <v>0</v>
      </c>
      <c r="E189" s="587">
        <f>H135</f>
        <v>0</v>
      </c>
      <c r="F189" s="565">
        <f>B189*E189</f>
        <v>0</v>
      </c>
      <c r="G189" s="587">
        <f>H136</f>
        <v>0</v>
      </c>
      <c r="H189" s="565">
        <f>B189*G189</f>
        <v>0</v>
      </c>
      <c r="I189" s="587">
        <f>H137</f>
        <v>0</v>
      </c>
      <c r="J189" s="565">
        <f>B189*I189</f>
        <v>0</v>
      </c>
      <c r="K189" s="587">
        <f>H138</f>
        <v>0</v>
      </c>
      <c r="L189" s="565">
        <f>B189*K189</f>
        <v>0</v>
      </c>
    </row>
    <row r="190" spans="1:14" x14ac:dyDescent="0.2">
      <c r="A190" s="566" t="s">
        <v>606</v>
      </c>
      <c r="B190" s="577">
        <f>B189/4</f>
        <v>1.10479797979798E-5</v>
      </c>
      <c r="C190" s="565">
        <f>I137</f>
        <v>0</v>
      </c>
      <c r="D190" s="565">
        <f>B190*C190</f>
        <v>0</v>
      </c>
      <c r="E190" s="565">
        <f>C190</f>
        <v>0</v>
      </c>
      <c r="F190" s="565">
        <f>B190*E190</f>
        <v>0</v>
      </c>
      <c r="G190" s="565">
        <f>C190</f>
        <v>0</v>
      </c>
      <c r="H190" s="565">
        <f>B190*G190</f>
        <v>0</v>
      </c>
      <c r="I190" s="565">
        <f>C190</f>
        <v>0</v>
      </c>
      <c r="J190" s="565">
        <f>B190*I190</f>
        <v>0</v>
      </c>
      <c r="K190" s="565">
        <f>C190</f>
        <v>0</v>
      </c>
      <c r="L190" s="565">
        <f>B190*K190</f>
        <v>0</v>
      </c>
      <c r="M190" s="791" t="s">
        <v>607</v>
      </c>
      <c r="N190" s="791"/>
    </row>
    <row r="191" spans="1:14" x14ac:dyDescent="0.2">
      <c r="A191" s="588" t="s">
        <v>625</v>
      </c>
      <c r="B191" s="589"/>
      <c r="C191" s="590"/>
      <c r="D191" s="591">
        <f>SUM(D189:D190)</f>
        <v>0</v>
      </c>
      <c r="E191" s="590"/>
      <c r="F191" s="591">
        <f>SUM(F189:F190)</f>
        <v>0</v>
      </c>
      <c r="G191" s="590"/>
      <c r="H191" s="591">
        <f>SUM(H189:H190)</f>
        <v>0</v>
      </c>
      <c r="I191" s="590"/>
      <c r="J191" s="591">
        <f>SUM(J189:J190)</f>
        <v>0</v>
      </c>
      <c r="K191" s="590"/>
      <c r="L191" s="591">
        <f>SUM(L189:L190)</f>
        <v>0</v>
      </c>
      <c r="M191" s="571">
        <v>0.2</v>
      </c>
      <c r="N191" s="572">
        <v>0.3</v>
      </c>
    </row>
    <row r="192" spans="1:14" x14ac:dyDescent="0.2">
      <c r="A192" s="586" t="s">
        <v>626</v>
      </c>
      <c r="B192" s="577">
        <f>1/'Prod. GEXCAX'!M17*16*(1/188.76)</f>
        <v>2.2306242401936183E-4</v>
      </c>
      <c r="C192" s="565">
        <f>D134</f>
        <v>0</v>
      </c>
      <c r="D192" s="565">
        <f>B192*C192</f>
        <v>0</v>
      </c>
      <c r="E192" s="565">
        <f>D135</f>
        <v>0</v>
      </c>
      <c r="F192" s="565">
        <f>B192*E192</f>
        <v>0</v>
      </c>
      <c r="G192" s="565">
        <f>D136</f>
        <v>0</v>
      </c>
      <c r="H192" s="565">
        <f>B192*G192</f>
        <v>0</v>
      </c>
      <c r="I192" s="565">
        <f>D137</f>
        <v>0</v>
      </c>
      <c r="J192" s="565">
        <f>B192*I192</f>
        <v>0</v>
      </c>
      <c r="K192" s="565">
        <f>D138</f>
        <v>0</v>
      </c>
      <c r="L192" s="565">
        <f>B192*K192</f>
        <v>0</v>
      </c>
    </row>
    <row r="193" spans="1:14" x14ac:dyDescent="0.2">
      <c r="A193" s="566" t="s">
        <v>606</v>
      </c>
      <c r="B193" s="577">
        <f>1/('Prod. GEXCAX'!Q17*'Prod. GEXCAX'!M17)*16*(1/188.76)</f>
        <v>1.4870828267957455E-5</v>
      </c>
      <c r="C193" s="565">
        <f>I137</f>
        <v>0</v>
      </c>
      <c r="D193" s="565">
        <f>B193*C193</f>
        <v>0</v>
      </c>
      <c r="E193" s="565">
        <f>C193</f>
        <v>0</v>
      </c>
      <c r="F193" s="565">
        <f>B193*E193</f>
        <v>0</v>
      </c>
      <c r="G193" s="565">
        <f>C193</f>
        <v>0</v>
      </c>
      <c r="H193" s="565">
        <f>B193*G193</f>
        <v>0</v>
      </c>
      <c r="I193" s="565">
        <f>C193</f>
        <v>0</v>
      </c>
      <c r="J193" s="565">
        <f>B193*I193</f>
        <v>0</v>
      </c>
      <c r="K193" s="565">
        <f>C193</f>
        <v>0</v>
      </c>
      <c r="L193" s="565">
        <f>B193*K193</f>
        <v>0</v>
      </c>
      <c r="M193" s="791"/>
      <c r="N193" s="791"/>
    </row>
    <row r="194" spans="1:14" x14ac:dyDescent="0.2">
      <c r="A194" s="588" t="s">
        <v>627</v>
      </c>
      <c r="B194" s="589"/>
      <c r="C194" s="590"/>
      <c r="D194" s="591">
        <f>SUM(D192:D193)</f>
        <v>0</v>
      </c>
      <c r="E194" s="590"/>
      <c r="F194" s="591">
        <f>SUM(F192:F193)</f>
        <v>0</v>
      </c>
      <c r="G194" s="590"/>
      <c r="H194" s="591">
        <f>SUM(H192:H193)</f>
        <v>0</v>
      </c>
      <c r="I194" s="590"/>
      <c r="J194" s="591">
        <f>SUM(J192:J193)</f>
        <v>0</v>
      </c>
      <c r="K194" s="590"/>
      <c r="L194" s="591">
        <f>SUM(L192:L193)</f>
        <v>0</v>
      </c>
      <c r="M194" s="571"/>
      <c r="N194" s="572"/>
    </row>
    <row r="195" spans="1:14" x14ac:dyDescent="0.2">
      <c r="A195" s="563" t="s">
        <v>628</v>
      </c>
      <c r="B195" s="577">
        <f>1/'Prod. GEXCAX'!N17*16*(1/188.76)</f>
        <v>2.2306242401936183E-4</v>
      </c>
      <c r="C195" s="565">
        <f>D134</f>
        <v>0</v>
      </c>
      <c r="D195" s="565">
        <f>B195*C195</f>
        <v>0</v>
      </c>
      <c r="E195" s="565">
        <f>D135</f>
        <v>0</v>
      </c>
      <c r="F195" s="565">
        <f>B195*E195</f>
        <v>0</v>
      </c>
      <c r="G195" s="565">
        <f>D136</f>
        <v>0</v>
      </c>
      <c r="H195" s="565">
        <f>B195*G195</f>
        <v>0</v>
      </c>
      <c r="I195" s="565">
        <f>D137</f>
        <v>0</v>
      </c>
      <c r="J195" s="565">
        <f>B195*I195</f>
        <v>0</v>
      </c>
      <c r="K195" s="565">
        <f>D138</f>
        <v>0</v>
      </c>
      <c r="L195" s="565">
        <f>B195*K195</f>
        <v>0</v>
      </c>
    </row>
    <row r="196" spans="1:14" x14ac:dyDescent="0.2">
      <c r="A196" s="566" t="s">
        <v>606</v>
      </c>
      <c r="B196" s="577">
        <f>1/('Prod. GEXCAX'!Q17*'Prod. GEXCAX'!N17)*16*(1/188.76)</f>
        <v>1.4870828267957455E-5</v>
      </c>
      <c r="C196" s="565">
        <f>I137</f>
        <v>0</v>
      </c>
      <c r="D196" s="565">
        <f>B196*C196</f>
        <v>0</v>
      </c>
      <c r="E196" s="565">
        <f>C196</f>
        <v>0</v>
      </c>
      <c r="F196" s="565">
        <f>B196*E196</f>
        <v>0</v>
      </c>
      <c r="G196" s="565">
        <f>C196</f>
        <v>0</v>
      </c>
      <c r="H196" s="565">
        <f>B196*G196</f>
        <v>0</v>
      </c>
      <c r="I196" s="565">
        <f>C196</f>
        <v>0</v>
      </c>
      <c r="J196" s="565">
        <f>B196*I196</f>
        <v>0</v>
      </c>
      <c r="K196" s="565">
        <f>C196</f>
        <v>0</v>
      </c>
      <c r="L196" s="565">
        <f>B196*K196</f>
        <v>0</v>
      </c>
      <c r="M196" s="791" t="s">
        <v>607</v>
      </c>
      <c r="N196" s="791"/>
    </row>
    <row r="197" spans="1:14" x14ac:dyDescent="0.2">
      <c r="A197" s="588" t="s">
        <v>629</v>
      </c>
      <c r="B197" s="589"/>
      <c r="C197" s="590"/>
      <c r="D197" s="591">
        <f>SUM(D195:D196)</f>
        <v>0</v>
      </c>
      <c r="E197" s="590"/>
      <c r="F197" s="591">
        <f>SUM(F195:F196)</f>
        <v>0</v>
      </c>
      <c r="G197" s="590"/>
      <c r="H197" s="591">
        <f>SUM(H195:H196)</f>
        <v>0</v>
      </c>
      <c r="I197" s="590"/>
      <c r="J197" s="591">
        <f>SUM(J195:J196)</f>
        <v>0</v>
      </c>
      <c r="K197" s="590"/>
      <c r="L197" s="591">
        <f>SUM(L195:L196)</f>
        <v>0</v>
      </c>
      <c r="M197" s="571">
        <v>0.82</v>
      </c>
      <c r="N197" s="572">
        <v>1.26</v>
      </c>
    </row>
    <row r="198" spans="1:14" x14ac:dyDescent="0.2">
      <c r="A198" s="560"/>
    </row>
  </sheetData>
  <mergeCells count="86">
    <mergeCell ref="M190:N190"/>
    <mergeCell ref="M193:N193"/>
    <mergeCell ref="M196:N196"/>
    <mergeCell ref="K175:L175"/>
    <mergeCell ref="M178:N178"/>
    <mergeCell ref="K187:L187"/>
    <mergeCell ref="A187:B187"/>
    <mergeCell ref="C187:D187"/>
    <mergeCell ref="E187:F187"/>
    <mergeCell ref="G187:H187"/>
    <mergeCell ref="I187:J187"/>
    <mergeCell ref="A175:B175"/>
    <mergeCell ref="C175:D175"/>
    <mergeCell ref="E175:F175"/>
    <mergeCell ref="G175:H175"/>
    <mergeCell ref="I175:J175"/>
    <mergeCell ref="K163:L163"/>
    <mergeCell ref="A169:B169"/>
    <mergeCell ref="C169:D169"/>
    <mergeCell ref="E169:F169"/>
    <mergeCell ref="G169:H169"/>
    <mergeCell ref="I169:J169"/>
    <mergeCell ref="K169:L169"/>
    <mergeCell ref="A163:B163"/>
    <mergeCell ref="C163:D163"/>
    <mergeCell ref="E163:F163"/>
    <mergeCell ref="G163:H163"/>
    <mergeCell ref="I163:J163"/>
    <mergeCell ref="M154:N154"/>
    <mergeCell ref="A157:B157"/>
    <mergeCell ref="C157:D157"/>
    <mergeCell ref="E157:F157"/>
    <mergeCell ref="G157:H157"/>
    <mergeCell ref="I157:J157"/>
    <mergeCell ref="K157:L157"/>
    <mergeCell ref="G145:H145"/>
    <mergeCell ref="I145:J145"/>
    <mergeCell ref="K145:L145"/>
    <mergeCell ref="M148:N148"/>
    <mergeCell ref="A151:B151"/>
    <mergeCell ref="C151:D151"/>
    <mergeCell ref="E151:F151"/>
    <mergeCell ref="G151:H151"/>
    <mergeCell ref="I151:J151"/>
    <mergeCell ref="K151:L151"/>
    <mergeCell ref="A132:B132"/>
    <mergeCell ref="A133:B133"/>
    <mergeCell ref="A145:B145"/>
    <mergeCell ref="C145:D145"/>
    <mergeCell ref="E145:F145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92:B92"/>
    <mergeCell ref="A112:A116"/>
    <mergeCell ref="A119:I119"/>
    <mergeCell ref="A120:I120"/>
    <mergeCell ref="A121:B121"/>
    <mergeCell ref="A21:I21"/>
    <mergeCell ref="A50:I50"/>
    <mergeCell ref="A51:I51"/>
    <mergeCell ref="A61:I61"/>
    <mergeCell ref="A62:I62"/>
    <mergeCell ref="C8:D8"/>
    <mergeCell ref="E8:F8"/>
    <mergeCell ref="A9:I9"/>
    <mergeCell ref="A11:I11"/>
    <mergeCell ref="A20:B20"/>
    <mergeCell ref="C5:D5"/>
    <mergeCell ref="E5:F5"/>
    <mergeCell ref="C6:D6"/>
    <mergeCell ref="E6:F6"/>
    <mergeCell ref="C7:D7"/>
    <mergeCell ref="E7:F7"/>
    <mergeCell ref="A1:I1"/>
    <mergeCell ref="A2:I2"/>
    <mergeCell ref="A3:I3"/>
    <mergeCell ref="C4:D4"/>
    <mergeCell ref="E4:F4"/>
  </mergeCells>
  <hyperlinks>
    <hyperlink ref="O148" r:id="rId1"/>
  </hyperlink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F139"/>
  <sheetViews>
    <sheetView zoomScale="75" zoomScaleNormal="75" workbookViewId="0">
      <pane ySplit="10" topLeftCell="A11" activePane="bottomLeft" state="frozen"/>
      <selection pane="bottomLeft" activeCell="E15" sqref="E15"/>
    </sheetView>
  </sheetViews>
  <sheetFormatPr defaultRowHeight="14.25" x14ac:dyDescent="0.2"/>
  <cols>
    <col min="1" max="1" width="55.5" style="393" customWidth="1"/>
    <col min="2" max="5" width="14" style="393" customWidth="1"/>
    <col min="6" max="1020" width="9" style="393" customWidth="1"/>
    <col min="1021" max="1025" width="8.625" customWidth="1"/>
  </cols>
  <sheetData>
    <row r="1" spans="1:5" ht="15.75" x14ac:dyDescent="0.2">
      <c r="A1" s="768" t="s">
        <v>477</v>
      </c>
      <c r="B1" s="768"/>
      <c r="C1" s="768"/>
      <c r="D1" s="768"/>
      <c r="E1" s="768"/>
    </row>
    <row r="2" spans="1:5" ht="15.75" x14ac:dyDescent="0.2">
      <c r="A2" s="769" t="s">
        <v>478</v>
      </c>
      <c r="B2" s="769"/>
      <c r="C2" s="769"/>
      <c r="D2" s="769"/>
      <c r="E2" s="769"/>
    </row>
    <row r="3" spans="1:5" ht="15.75" customHeight="1" x14ac:dyDescent="0.2">
      <c r="A3" s="769" t="s">
        <v>479</v>
      </c>
      <c r="B3" s="769"/>
      <c r="C3" s="769"/>
      <c r="D3" s="769"/>
      <c r="E3" s="769"/>
    </row>
    <row r="4" spans="1:5" ht="15.75" x14ac:dyDescent="0.2">
      <c r="A4" s="394"/>
      <c r="B4" s="395"/>
      <c r="C4" s="396" t="s">
        <v>480</v>
      </c>
      <c r="D4" s="399" t="s">
        <v>481</v>
      </c>
      <c r="E4" s="399" t="s">
        <v>482</v>
      </c>
    </row>
    <row r="5" spans="1:5" x14ac:dyDescent="0.2">
      <c r="A5" s="400"/>
      <c r="B5" s="401" t="s">
        <v>485</v>
      </c>
      <c r="C5" s="402">
        <f>MC!$D11</f>
        <v>0</v>
      </c>
      <c r="D5" s="402">
        <f>MC!$E11</f>
        <v>0</v>
      </c>
      <c r="E5" s="404">
        <f>MC!$F11</f>
        <v>0</v>
      </c>
    </row>
    <row r="6" spans="1:5" x14ac:dyDescent="0.2">
      <c r="A6" s="400"/>
      <c r="B6" s="401" t="s">
        <v>486</v>
      </c>
      <c r="C6" s="405">
        <f>MC!E8</f>
        <v>0</v>
      </c>
      <c r="D6" s="407">
        <f>MC!E8</f>
        <v>0</v>
      </c>
      <c r="E6" s="407">
        <f>MC!E8</f>
        <v>0</v>
      </c>
    </row>
    <row r="7" spans="1:5" x14ac:dyDescent="0.2">
      <c r="A7" s="400"/>
      <c r="B7" s="401" t="s">
        <v>487</v>
      </c>
      <c r="C7" s="405">
        <f>MC!C8</f>
        <v>0</v>
      </c>
      <c r="D7" s="407">
        <f>MC!C8</f>
        <v>0</v>
      </c>
      <c r="E7" s="407">
        <f>MC!C8</f>
        <v>0</v>
      </c>
    </row>
    <row r="8" spans="1:5" x14ac:dyDescent="0.2">
      <c r="A8" s="400"/>
      <c r="B8" s="401" t="s">
        <v>488</v>
      </c>
      <c r="C8" s="408">
        <f>MC!F8</f>
        <v>0</v>
      </c>
      <c r="D8" s="410">
        <f>MC!F8</f>
        <v>0</v>
      </c>
      <c r="E8" s="410">
        <f>MC!F8</f>
        <v>0</v>
      </c>
    </row>
    <row r="9" spans="1:5" x14ac:dyDescent="0.2">
      <c r="A9" s="776"/>
      <c r="B9" s="776"/>
      <c r="C9" s="776"/>
      <c r="D9" s="776"/>
      <c r="E9" s="776"/>
    </row>
    <row r="10" spans="1:5" ht="66.75" customHeight="1" x14ac:dyDescent="0.2">
      <c r="A10" s="411" t="s">
        <v>489</v>
      </c>
      <c r="B10" s="412" t="s">
        <v>490</v>
      </c>
      <c r="C10" s="412" t="s">
        <v>630</v>
      </c>
      <c r="D10" s="592" t="s">
        <v>631</v>
      </c>
      <c r="E10" s="593" t="s">
        <v>632</v>
      </c>
    </row>
    <row r="11" spans="1:5" ht="14.25" customHeight="1" x14ac:dyDescent="0.2">
      <c r="A11" s="777" t="s">
        <v>498</v>
      </c>
      <c r="B11" s="777"/>
      <c r="C11" s="777"/>
      <c r="D11" s="777"/>
      <c r="E11" s="777"/>
    </row>
    <row r="12" spans="1:5" ht="14.25" customHeight="1" x14ac:dyDescent="0.2">
      <c r="A12" s="415" t="s">
        <v>499</v>
      </c>
      <c r="B12" s="416" t="s">
        <v>500</v>
      </c>
      <c r="C12" s="416" t="s">
        <v>501</v>
      </c>
      <c r="D12" s="594" t="s">
        <v>501</v>
      </c>
      <c r="E12" s="595" t="s">
        <v>501</v>
      </c>
    </row>
    <row r="13" spans="1:5" ht="14.25" customHeight="1" x14ac:dyDescent="0.2">
      <c r="A13" s="418" t="s">
        <v>502</v>
      </c>
      <c r="B13" s="419"/>
      <c r="C13" s="420">
        <f>C5</f>
        <v>0</v>
      </c>
      <c r="D13" s="420">
        <f>D5</f>
        <v>0</v>
      </c>
      <c r="E13" s="422">
        <f>E5</f>
        <v>0</v>
      </c>
    </row>
    <row r="14" spans="1:5" ht="14.25" customHeight="1" x14ac:dyDescent="0.2">
      <c r="A14" s="418" t="s">
        <v>503</v>
      </c>
      <c r="B14" s="442">
        <v>0.2</v>
      </c>
      <c r="C14" s="420">
        <f>C13*$B$14</f>
        <v>0</v>
      </c>
      <c r="D14" s="596">
        <f>D13*$B$14</f>
        <v>0</v>
      </c>
      <c r="E14" s="597">
        <f>B14*E13</f>
        <v>0</v>
      </c>
    </row>
    <row r="15" spans="1:5" ht="14.25" customHeight="1" x14ac:dyDescent="0.2">
      <c r="A15" s="418" t="s">
        <v>505</v>
      </c>
      <c r="B15" s="426"/>
      <c r="C15" s="420"/>
      <c r="D15" s="596"/>
      <c r="E15" s="597"/>
    </row>
    <row r="16" spans="1:5" ht="14.25" customHeight="1" x14ac:dyDescent="0.2">
      <c r="A16" s="418" t="s">
        <v>506</v>
      </c>
      <c r="B16" s="426"/>
      <c r="C16" s="420"/>
      <c r="D16" s="596"/>
      <c r="E16" s="597"/>
    </row>
    <row r="17" spans="1:5" ht="14.25" customHeight="1" x14ac:dyDescent="0.2">
      <c r="A17" s="418" t="s">
        <v>507</v>
      </c>
      <c r="B17" s="426"/>
      <c r="C17" s="420"/>
      <c r="D17" s="596"/>
      <c r="E17" s="597"/>
    </row>
    <row r="18" spans="1:5" ht="14.25" customHeight="1" x14ac:dyDescent="0.2">
      <c r="A18" s="418" t="s">
        <v>508</v>
      </c>
      <c r="B18" s="428"/>
      <c r="C18" s="420"/>
      <c r="D18" s="596"/>
      <c r="E18" s="597"/>
    </row>
    <row r="19" spans="1:5" ht="14.25" customHeight="1" x14ac:dyDescent="0.2">
      <c r="A19" s="429" t="s">
        <v>509</v>
      </c>
      <c r="B19" s="430"/>
      <c r="C19" s="444">
        <f>SUM(C13:C18)</f>
        <v>0</v>
      </c>
      <c r="D19" s="598">
        <f>SUM(D13:D18)</f>
        <v>0</v>
      </c>
      <c r="E19" s="599">
        <f>SUM(E13:E18)</f>
        <v>0</v>
      </c>
    </row>
    <row r="20" spans="1:5" ht="14.25" customHeight="1" x14ac:dyDescent="0.2">
      <c r="A20" s="778"/>
      <c r="B20" s="778"/>
      <c r="C20" s="778"/>
      <c r="D20" s="778"/>
      <c r="E20" s="778"/>
    </row>
    <row r="21" spans="1:5" ht="14.25" customHeight="1" x14ac:dyDescent="0.2">
      <c r="A21" s="794" t="s">
        <v>510</v>
      </c>
      <c r="B21" s="794"/>
      <c r="C21" s="794"/>
      <c r="D21" s="794"/>
      <c r="E21" s="794"/>
    </row>
    <row r="22" spans="1:5" ht="14.25" customHeight="1" x14ac:dyDescent="0.2">
      <c r="A22" s="438" t="s">
        <v>511</v>
      </c>
      <c r="B22" s="439" t="s">
        <v>500</v>
      </c>
      <c r="C22" s="439" t="s">
        <v>501</v>
      </c>
      <c r="D22" s="600" t="s">
        <v>501</v>
      </c>
      <c r="E22" s="601" t="s">
        <v>501</v>
      </c>
    </row>
    <row r="23" spans="1:5" ht="14.25" customHeight="1" x14ac:dyDescent="0.2">
      <c r="A23" s="441" t="s">
        <v>512</v>
      </c>
      <c r="B23" s="442">
        <f>1/12</f>
        <v>8.3333333333333329E-2</v>
      </c>
      <c r="C23" s="420">
        <f>ROUND($B23*C$19,2)</f>
        <v>0</v>
      </c>
      <c r="D23" s="596">
        <f>ROUND($B23*D$19,2)</f>
        <v>0</v>
      </c>
      <c r="E23" s="597">
        <f>ROUND($B23*E$19,2)</f>
        <v>0</v>
      </c>
    </row>
    <row r="24" spans="1:5" ht="14.25" customHeight="1" x14ac:dyDescent="0.2">
      <c r="A24" s="441" t="s">
        <v>513</v>
      </c>
      <c r="B24" s="442">
        <f>1/3*1/12</f>
        <v>2.7777777777777776E-2</v>
      </c>
      <c r="C24" s="420">
        <f>C$19*$B$24</f>
        <v>0</v>
      </c>
      <c r="D24" s="596">
        <f>D$19*$B$24</f>
        <v>0</v>
      </c>
      <c r="E24" s="597">
        <f>E$19*$B$24</f>
        <v>0</v>
      </c>
    </row>
    <row r="25" spans="1:5" ht="14.25" customHeight="1" x14ac:dyDescent="0.2">
      <c r="A25" s="429" t="s">
        <v>509</v>
      </c>
      <c r="B25" s="443">
        <f>SUM(B23:B24)</f>
        <v>0.1111111111111111</v>
      </c>
      <c r="C25" s="444">
        <f>SUM(C23:C24)</f>
        <v>0</v>
      </c>
      <c r="D25" s="598">
        <f>SUM(D23:D24)</f>
        <v>0</v>
      </c>
      <c r="E25" s="599">
        <f>SUM(E23:E24)</f>
        <v>0</v>
      </c>
    </row>
    <row r="26" spans="1:5" ht="14.25" customHeight="1" x14ac:dyDescent="0.2">
      <c r="A26" s="438" t="s">
        <v>514</v>
      </c>
      <c r="B26" s="439" t="s">
        <v>500</v>
      </c>
      <c r="C26" s="439" t="s">
        <v>501</v>
      </c>
      <c r="D26" s="600" t="s">
        <v>501</v>
      </c>
      <c r="E26" s="601" t="s">
        <v>501</v>
      </c>
    </row>
    <row r="27" spans="1:5" ht="14.25" customHeight="1" x14ac:dyDescent="0.2">
      <c r="A27" s="438" t="s">
        <v>515</v>
      </c>
      <c r="B27" s="446"/>
      <c r="C27" s="446"/>
      <c r="D27" s="602"/>
      <c r="E27" s="603"/>
    </row>
    <row r="28" spans="1:5" ht="14.25" customHeight="1" x14ac:dyDescent="0.2">
      <c r="A28" s="441" t="s">
        <v>516</v>
      </c>
      <c r="B28" s="442">
        <v>0.2</v>
      </c>
      <c r="C28" s="604">
        <f t="shared" ref="C28:E35" si="0">ROUND((C$19+C$25)*$B28,2)</f>
        <v>0</v>
      </c>
      <c r="D28" s="604">
        <f t="shared" si="0"/>
        <v>0</v>
      </c>
      <c r="E28" s="605">
        <f t="shared" si="0"/>
        <v>0</v>
      </c>
    </row>
    <row r="29" spans="1:5" ht="14.25" customHeight="1" x14ac:dyDescent="0.2">
      <c r="A29" s="441" t="s">
        <v>517</v>
      </c>
      <c r="B29" s="442">
        <v>2.5000000000000001E-2</v>
      </c>
      <c r="C29" s="604">
        <f t="shared" si="0"/>
        <v>0</v>
      </c>
      <c r="D29" s="604">
        <f t="shared" si="0"/>
        <v>0</v>
      </c>
      <c r="E29" s="605">
        <f t="shared" si="0"/>
        <v>0</v>
      </c>
    </row>
    <row r="30" spans="1:5" ht="14.25" customHeight="1" x14ac:dyDescent="0.2">
      <c r="A30" s="441" t="s">
        <v>518</v>
      </c>
      <c r="B30" s="442">
        <v>0.03</v>
      </c>
      <c r="C30" s="604">
        <f t="shared" si="0"/>
        <v>0</v>
      </c>
      <c r="D30" s="604">
        <f t="shared" si="0"/>
        <v>0</v>
      </c>
      <c r="E30" s="605">
        <f t="shared" si="0"/>
        <v>0</v>
      </c>
    </row>
    <row r="31" spans="1:5" ht="14.25" customHeight="1" x14ac:dyDescent="0.2">
      <c r="A31" s="441" t="s">
        <v>519</v>
      </c>
      <c r="B31" s="442">
        <v>1.4999999999999999E-2</v>
      </c>
      <c r="C31" s="604">
        <f t="shared" si="0"/>
        <v>0</v>
      </c>
      <c r="D31" s="604">
        <f t="shared" si="0"/>
        <v>0</v>
      </c>
      <c r="E31" s="605">
        <f t="shared" si="0"/>
        <v>0</v>
      </c>
    </row>
    <row r="32" spans="1:5" ht="14.25" customHeight="1" x14ac:dyDescent="0.2">
      <c r="A32" s="441" t="s">
        <v>520</v>
      </c>
      <c r="B32" s="442">
        <v>0.01</v>
      </c>
      <c r="C32" s="604">
        <f t="shared" si="0"/>
        <v>0</v>
      </c>
      <c r="D32" s="604">
        <f t="shared" si="0"/>
        <v>0</v>
      </c>
      <c r="E32" s="605">
        <f t="shared" si="0"/>
        <v>0</v>
      </c>
    </row>
    <row r="33" spans="1:5" ht="14.25" customHeight="1" x14ac:dyDescent="0.2">
      <c r="A33" s="441" t="s">
        <v>521</v>
      </c>
      <c r="B33" s="442">
        <v>6.0000000000000001E-3</v>
      </c>
      <c r="C33" s="604">
        <f t="shared" si="0"/>
        <v>0</v>
      </c>
      <c r="D33" s="604">
        <f t="shared" si="0"/>
        <v>0</v>
      </c>
      <c r="E33" s="605">
        <f t="shared" si="0"/>
        <v>0</v>
      </c>
    </row>
    <row r="34" spans="1:5" ht="14.25" customHeight="1" x14ac:dyDescent="0.2">
      <c r="A34" s="441" t="s">
        <v>522</v>
      </c>
      <c r="B34" s="442">
        <v>2E-3</v>
      </c>
      <c r="C34" s="604">
        <f t="shared" si="0"/>
        <v>0</v>
      </c>
      <c r="D34" s="604">
        <f t="shared" si="0"/>
        <v>0</v>
      </c>
      <c r="E34" s="605">
        <f t="shared" si="0"/>
        <v>0</v>
      </c>
    </row>
    <row r="35" spans="1:5" ht="14.25" customHeight="1" x14ac:dyDescent="0.2">
      <c r="A35" s="441" t="s">
        <v>523</v>
      </c>
      <c r="B35" s="442">
        <v>0.08</v>
      </c>
      <c r="C35" s="604">
        <f t="shared" si="0"/>
        <v>0</v>
      </c>
      <c r="D35" s="604">
        <f t="shared" si="0"/>
        <v>0</v>
      </c>
      <c r="E35" s="605">
        <f t="shared" si="0"/>
        <v>0</v>
      </c>
    </row>
    <row r="36" spans="1:5" ht="14.25" customHeight="1" x14ac:dyDescent="0.2">
      <c r="A36" s="429" t="s">
        <v>509</v>
      </c>
      <c r="B36" s="443">
        <f>SUM(B28:B35)</f>
        <v>0.36800000000000005</v>
      </c>
      <c r="C36" s="444">
        <f>SUM(C27:C35)</f>
        <v>0</v>
      </c>
      <c r="D36" s="598">
        <f>SUM(D27:D35)</f>
        <v>0</v>
      </c>
      <c r="E36" s="599">
        <f>SUM(E27:E35)</f>
        <v>0</v>
      </c>
    </row>
    <row r="37" spans="1:5" ht="14.25" customHeight="1" x14ac:dyDescent="0.2">
      <c r="A37" s="438" t="s">
        <v>524</v>
      </c>
      <c r="B37" s="439" t="s">
        <v>525</v>
      </c>
      <c r="C37" s="439" t="s">
        <v>501</v>
      </c>
      <c r="D37" s="600" t="s">
        <v>501</v>
      </c>
      <c r="E37" s="440" t="s">
        <v>501</v>
      </c>
    </row>
    <row r="38" spans="1:5" ht="14.25" customHeight="1" x14ac:dyDescent="0.2">
      <c r="A38" s="441" t="s">
        <v>526</v>
      </c>
      <c r="B38" s="451">
        <f>MC!D84</f>
        <v>0</v>
      </c>
      <c r="C38" s="420">
        <f>ROUND(((2*22*$B$38)-0.06*C$13),2)</f>
        <v>0</v>
      </c>
      <c r="D38" s="596">
        <f>ROUND(((2*22*$B$38)-0.06*D$13),2)</f>
        <v>0</v>
      </c>
      <c r="E38" s="597">
        <f>ROUND(((2*22*$B$38)-0.06*E$13),2)</f>
        <v>0</v>
      </c>
    </row>
    <row r="39" spans="1:5" ht="14.25" customHeight="1" x14ac:dyDescent="0.2">
      <c r="A39" s="441" t="s">
        <v>527</v>
      </c>
      <c r="B39" s="452"/>
      <c r="C39" s="449">
        <f>MC!E19</f>
        <v>0</v>
      </c>
      <c r="D39" s="604">
        <f>MC!E20</f>
        <v>0</v>
      </c>
      <c r="E39" s="605">
        <f>MC!E20</f>
        <v>0</v>
      </c>
    </row>
    <row r="40" spans="1:5" ht="14.25" customHeight="1" x14ac:dyDescent="0.2">
      <c r="A40" s="441" t="s">
        <v>528</v>
      </c>
      <c r="B40" s="442">
        <f>MC!C24</f>
        <v>0</v>
      </c>
      <c r="C40" s="449"/>
      <c r="D40" s="604"/>
      <c r="E40" s="605"/>
    </row>
    <row r="41" spans="1:5" ht="14.25" customHeight="1" x14ac:dyDescent="0.2">
      <c r="A41" s="441" t="s">
        <v>633</v>
      </c>
      <c r="B41" s="455">
        <f>MC!E26</f>
        <v>0</v>
      </c>
      <c r="C41" s="449">
        <f>B41</f>
        <v>0</v>
      </c>
      <c r="D41" s="604">
        <f>B41</f>
        <v>0</v>
      </c>
      <c r="E41" s="605"/>
    </row>
    <row r="42" spans="1:5" ht="14.25" customHeight="1" x14ac:dyDescent="0.2">
      <c r="A42" s="441" t="s">
        <v>634</v>
      </c>
      <c r="B42" s="455">
        <f>MC!E27</f>
        <v>0</v>
      </c>
      <c r="C42" s="449">
        <f>$B42</f>
        <v>0</v>
      </c>
      <c r="D42" s="449">
        <f>$B42</f>
        <v>0</v>
      </c>
      <c r="E42" s="450">
        <f>$B42</f>
        <v>0</v>
      </c>
    </row>
    <row r="43" spans="1:5" ht="14.25" customHeight="1" x14ac:dyDescent="0.2">
      <c r="A43" s="441" t="s">
        <v>531</v>
      </c>
      <c r="B43" s="442"/>
      <c r="C43" s="449"/>
      <c r="D43" s="604"/>
      <c r="E43" s="605"/>
    </row>
    <row r="44" spans="1:5" ht="14.25" customHeight="1" x14ac:dyDescent="0.2">
      <c r="A44" s="429" t="s">
        <v>509</v>
      </c>
      <c r="B44" s="430"/>
      <c r="C44" s="444">
        <f>SUM(C38:C43)</f>
        <v>0</v>
      </c>
      <c r="D44" s="598">
        <f>SUM(D38:D43)</f>
        <v>0</v>
      </c>
      <c r="E44" s="599">
        <f>SUM(E38:E43)</f>
        <v>0</v>
      </c>
    </row>
    <row r="45" spans="1:5" ht="14.25" customHeight="1" x14ac:dyDescent="0.2">
      <c r="A45" s="415" t="s">
        <v>532</v>
      </c>
      <c r="B45" s="416" t="s">
        <v>500</v>
      </c>
      <c r="C45" s="416" t="s">
        <v>501</v>
      </c>
      <c r="D45" s="594" t="s">
        <v>501</v>
      </c>
      <c r="E45" s="595" t="s">
        <v>501</v>
      </c>
    </row>
    <row r="46" spans="1:5" ht="14.25" customHeight="1" x14ac:dyDescent="0.2">
      <c r="A46" s="441" t="s">
        <v>511</v>
      </c>
      <c r="B46" s="458">
        <f>B25</f>
        <v>0.1111111111111111</v>
      </c>
      <c r="C46" s="459">
        <f>C25</f>
        <v>0</v>
      </c>
      <c r="D46" s="606">
        <f>D25</f>
        <v>0</v>
      </c>
      <c r="E46" s="607">
        <f>E25</f>
        <v>0</v>
      </c>
    </row>
    <row r="47" spans="1:5" ht="14.25" customHeight="1" x14ac:dyDescent="0.2">
      <c r="A47" s="441" t="s">
        <v>533</v>
      </c>
      <c r="B47" s="458">
        <f>B36</f>
        <v>0.36800000000000005</v>
      </c>
      <c r="C47" s="459">
        <f>C36</f>
        <v>0</v>
      </c>
      <c r="D47" s="606">
        <f>D36</f>
        <v>0</v>
      </c>
      <c r="E47" s="607">
        <f>E36</f>
        <v>0</v>
      </c>
    </row>
    <row r="48" spans="1:5" ht="14.25" customHeight="1" x14ac:dyDescent="0.2">
      <c r="A48" s="441" t="s">
        <v>524</v>
      </c>
      <c r="B48" s="458"/>
      <c r="C48" s="459">
        <f>C44</f>
        <v>0</v>
      </c>
      <c r="D48" s="606">
        <f>D44</f>
        <v>0</v>
      </c>
      <c r="E48" s="607">
        <f>E44</f>
        <v>0</v>
      </c>
    </row>
    <row r="49" spans="1:5" ht="14.25" customHeight="1" x14ac:dyDescent="0.2">
      <c r="A49" s="429" t="s">
        <v>509</v>
      </c>
      <c r="B49" s="430"/>
      <c r="C49" s="444">
        <f>SUM(C46:C48)</f>
        <v>0</v>
      </c>
      <c r="D49" s="598">
        <f>SUM(D46:D48)</f>
        <v>0</v>
      </c>
      <c r="E49" s="599">
        <f>SUM(E46:E48)</f>
        <v>0</v>
      </c>
    </row>
    <row r="50" spans="1:5" ht="14.25" customHeight="1" x14ac:dyDescent="0.2">
      <c r="A50" s="778"/>
      <c r="B50" s="778"/>
      <c r="C50" s="778"/>
      <c r="D50" s="778"/>
      <c r="E50" s="778"/>
    </row>
    <row r="51" spans="1:5" s="461" customFormat="1" ht="14.25" customHeight="1" x14ac:dyDescent="0.2">
      <c r="A51" s="794" t="s">
        <v>534</v>
      </c>
      <c r="B51" s="794"/>
      <c r="C51" s="794"/>
      <c r="D51" s="794"/>
      <c r="E51" s="794"/>
    </row>
    <row r="52" spans="1:5" ht="14.25" customHeight="1" x14ac:dyDescent="0.2">
      <c r="A52" s="415" t="s">
        <v>535</v>
      </c>
      <c r="B52" s="416" t="s">
        <v>500</v>
      </c>
      <c r="C52" s="416" t="s">
        <v>501</v>
      </c>
      <c r="D52" s="594" t="s">
        <v>501</v>
      </c>
      <c r="E52" s="595" t="s">
        <v>501</v>
      </c>
    </row>
    <row r="53" spans="1:5" ht="14.25" customHeight="1" x14ac:dyDescent="0.2">
      <c r="A53" s="438" t="s">
        <v>536</v>
      </c>
      <c r="B53" s="462"/>
      <c r="C53" s="462"/>
      <c r="D53" s="608"/>
      <c r="E53" s="609"/>
    </row>
    <row r="54" spans="1:5" ht="14.25" customHeight="1" x14ac:dyDescent="0.2">
      <c r="A54" s="441" t="s">
        <v>537</v>
      </c>
      <c r="B54" s="458">
        <f>1/12*0.05</f>
        <v>4.1666666666666666E-3</v>
      </c>
      <c r="C54" s="465">
        <f>C19*$B54</f>
        <v>0</v>
      </c>
      <c r="D54" s="610">
        <f>D19*$B54</f>
        <v>0</v>
      </c>
      <c r="E54" s="611">
        <f>E19*$B54</f>
        <v>0</v>
      </c>
    </row>
    <row r="55" spans="1:5" ht="14.25" customHeight="1" x14ac:dyDescent="0.2">
      <c r="A55" s="441" t="s">
        <v>538</v>
      </c>
      <c r="B55" s="458">
        <f>B35*B54</f>
        <v>3.3333333333333332E-4</v>
      </c>
      <c r="C55" s="465">
        <f>$B$55*C19</f>
        <v>0</v>
      </c>
      <c r="D55" s="610">
        <f>$B$55*D19</f>
        <v>0</v>
      </c>
      <c r="E55" s="611">
        <f>$B$55*E19</f>
        <v>0</v>
      </c>
    </row>
    <row r="56" spans="1:5" ht="14.25" customHeight="1" x14ac:dyDescent="0.2">
      <c r="A56" s="441" t="s">
        <v>539</v>
      </c>
      <c r="B56" s="458">
        <v>0</v>
      </c>
      <c r="C56" s="465">
        <f>C35*$B56</f>
        <v>0</v>
      </c>
      <c r="D56" s="610">
        <f>D35*$B56</f>
        <v>0</v>
      </c>
      <c r="E56" s="611">
        <f>E35*$B56</f>
        <v>0</v>
      </c>
    </row>
    <row r="57" spans="1:5" ht="14.25" customHeight="1" x14ac:dyDescent="0.2">
      <c r="A57" s="441" t="s">
        <v>540</v>
      </c>
      <c r="B57" s="458">
        <f>1/12*1/30*7</f>
        <v>1.9444444444444441E-2</v>
      </c>
      <c r="C57" s="459">
        <f>C19*$B57</f>
        <v>0</v>
      </c>
      <c r="D57" s="606">
        <f>D19*$B57</f>
        <v>0</v>
      </c>
      <c r="E57" s="607">
        <f>E19*$B57</f>
        <v>0</v>
      </c>
    </row>
    <row r="58" spans="1:5" ht="14.25" customHeight="1" x14ac:dyDescent="0.2">
      <c r="A58" s="441" t="s">
        <v>541</v>
      </c>
      <c r="B58" s="458">
        <f>B36*B57</f>
        <v>7.1555555555555556E-3</v>
      </c>
      <c r="C58" s="459">
        <f>$B58*C19</f>
        <v>0</v>
      </c>
      <c r="D58" s="606">
        <f>$B58*D19</f>
        <v>0</v>
      </c>
      <c r="E58" s="607">
        <f>$B58*E19</f>
        <v>0</v>
      </c>
    </row>
    <row r="59" spans="1:5" ht="14.25" customHeight="1" x14ac:dyDescent="0.2">
      <c r="A59" s="441" t="s">
        <v>542</v>
      </c>
      <c r="B59" s="458">
        <f>B35*40/100*90/100*(1+1/12+1/12+1/3*1/12)</f>
        <v>3.4399999999999993E-2</v>
      </c>
      <c r="C59" s="459">
        <f>C19*$B59</f>
        <v>0</v>
      </c>
      <c r="D59" s="606">
        <f>D19*$B59</f>
        <v>0</v>
      </c>
      <c r="E59" s="607">
        <f>E19*$B59</f>
        <v>0</v>
      </c>
    </row>
    <row r="60" spans="1:5" ht="14.25" customHeight="1" x14ac:dyDescent="0.2">
      <c r="A60" s="429" t="s">
        <v>509</v>
      </c>
      <c r="B60" s="443">
        <f>SUM(B54:B59)</f>
        <v>6.5499999999999989E-2</v>
      </c>
      <c r="C60" s="431">
        <f>SUM(C54:C59)</f>
        <v>0</v>
      </c>
      <c r="D60" s="612">
        <f>SUM(D54:D59)</f>
        <v>0</v>
      </c>
      <c r="E60" s="613">
        <f>SUM(E54:E59)</f>
        <v>0</v>
      </c>
    </row>
    <row r="61" spans="1:5" ht="14.25" customHeight="1" x14ac:dyDescent="0.2">
      <c r="A61" s="778"/>
      <c r="B61" s="778"/>
      <c r="C61" s="778"/>
      <c r="D61" s="778"/>
      <c r="E61" s="778"/>
    </row>
    <row r="62" spans="1:5" ht="14.25" customHeight="1" x14ac:dyDescent="0.2">
      <c r="A62" s="794" t="s">
        <v>543</v>
      </c>
      <c r="B62" s="794"/>
      <c r="C62" s="794"/>
      <c r="D62" s="794"/>
      <c r="E62" s="794"/>
    </row>
    <row r="63" spans="1:5" ht="14.25" customHeight="1" x14ac:dyDescent="0.2">
      <c r="A63" s="438" t="s">
        <v>42</v>
      </c>
      <c r="B63" s="439" t="s">
        <v>500</v>
      </c>
      <c r="C63" s="439" t="s">
        <v>501</v>
      </c>
      <c r="D63" s="439" t="s">
        <v>501</v>
      </c>
      <c r="E63" s="440" t="s">
        <v>501</v>
      </c>
    </row>
    <row r="64" spans="1:5" ht="14.25" customHeight="1" x14ac:dyDescent="0.2">
      <c r="A64" s="441" t="s">
        <v>43</v>
      </c>
      <c r="B64" s="442">
        <f>1/12</f>
        <v>8.3333333333333329E-2</v>
      </c>
      <c r="C64" s="604">
        <f t="shared" ref="C64:E67" si="1">$B64*(C$19+C$49+C$60)</f>
        <v>0</v>
      </c>
      <c r="D64" s="604">
        <f t="shared" si="1"/>
        <v>0</v>
      </c>
      <c r="E64" s="605">
        <f t="shared" si="1"/>
        <v>0</v>
      </c>
    </row>
    <row r="65" spans="1:5" ht="14.25" customHeight="1" x14ac:dyDescent="0.2">
      <c r="A65" s="441" t="s">
        <v>544</v>
      </c>
      <c r="B65" s="442">
        <f>MC!E54/30/12</f>
        <v>1.3538888888888885E-2</v>
      </c>
      <c r="C65" s="604">
        <f t="shared" si="1"/>
        <v>0</v>
      </c>
      <c r="D65" s="604">
        <f t="shared" si="1"/>
        <v>0</v>
      </c>
      <c r="E65" s="605">
        <f t="shared" si="1"/>
        <v>0</v>
      </c>
    </row>
    <row r="66" spans="1:5" ht="14.25" customHeight="1" x14ac:dyDescent="0.2">
      <c r="A66" s="441" t="s">
        <v>545</v>
      </c>
      <c r="B66" s="467">
        <f>(5/30)/12*MC!F56*MC!C57</f>
        <v>1.0764583333333333E-4</v>
      </c>
      <c r="C66" s="604">
        <f t="shared" si="1"/>
        <v>0</v>
      </c>
      <c r="D66" s="604">
        <f t="shared" si="1"/>
        <v>0</v>
      </c>
      <c r="E66" s="605">
        <f t="shared" si="1"/>
        <v>0</v>
      </c>
    </row>
    <row r="67" spans="1:5" ht="14.25" customHeight="1" x14ac:dyDescent="0.2">
      <c r="A67" s="441" t="s">
        <v>546</v>
      </c>
      <c r="B67" s="467">
        <f>MC!C59/30/12</f>
        <v>2.6830555555555553E-3</v>
      </c>
      <c r="C67" s="604">
        <f t="shared" si="1"/>
        <v>0</v>
      </c>
      <c r="D67" s="604">
        <f t="shared" si="1"/>
        <v>0</v>
      </c>
      <c r="E67" s="605">
        <f t="shared" si="1"/>
        <v>0</v>
      </c>
    </row>
    <row r="68" spans="1:5" ht="14.25" customHeight="1" x14ac:dyDescent="0.2">
      <c r="A68" s="441" t="s">
        <v>508</v>
      </c>
      <c r="B68" s="442"/>
      <c r="C68" s="449"/>
      <c r="D68" s="604"/>
      <c r="E68" s="605"/>
    </row>
    <row r="69" spans="1:5" ht="14.25" customHeight="1" x14ac:dyDescent="0.2">
      <c r="A69" s="468" t="s">
        <v>547</v>
      </c>
      <c r="B69" s="469">
        <f>SUM(B64:B68)</f>
        <v>9.9662923611111107E-2</v>
      </c>
      <c r="C69" s="470">
        <f>SUM(C64:C68)</f>
        <v>0</v>
      </c>
      <c r="D69" s="614">
        <f>SUM(D64:D68)</f>
        <v>0</v>
      </c>
      <c r="E69" s="615">
        <f>SUM(E64:E68)</f>
        <v>0</v>
      </c>
    </row>
    <row r="70" spans="1:5" ht="14.25" customHeight="1" x14ac:dyDescent="0.2">
      <c r="A70" s="438" t="s">
        <v>548</v>
      </c>
      <c r="B70" s="439" t="s">
        <v>500</v>
      </c>
      <c r="C70" s="439" t="s">
        <v>501</v>
      </c>
      <c r="D70" s="439" t="s">
        <v>501</v>
      </c>
      <c r="E70" s="440" t="s">
        <v>501</v>
      </c>
    </row>
    <row r="71" spans="1:5" ht="14.25" customHeight="1" x14ac:dyDescent="0.2">
      <c r="A71" s="441" t="s">
        <v>549</v>
      </c>
      <c r="B71" s="442"/>
      <c r="C71" s="449"/>
      <c r="D71" s="604"/>
      <c r="E71" s="605"/>
    </row>
    <row r="72" spans="1:5" ht="14.25" customHeight="1" x14ac:dyDescent="0.2">
      <c r="A72" s="468" t="s">
        <v>547</v>
      </c>
      <c r="B72" s="469"/>
      <c r="C72" s="470">
        <f>C71</f>
        <v>0</v>
      </c>
      <c r="D72" s="614"/>
      <c r="E72" s="615"/>
    </row>
    <row r="73" spans="1:5" ht="14.25" customHeight="1" x14ac:dyDescent="0.2">
      <c r="A73" s="438" t="s">
        <v>64</v>
      </c>
      <c r="B73" s="439" t="s">
        <v>500</v>
      </c>
      <c r="C73" s="439" t="s">
        <v>501</v>
      </c>
      <c r="D73" s="439" t="s">
        <v>501</v>
      </c>
      <c r="E73" s="440" t="s">
        <v>501</v>
      </c>
    </row>
    <row r="74" spans="1:5" ht="14.25" customHeight="1" x14ac:dyDescent="0.2">
      <c r="A74" s="441" t="s">
        <v>65</v>
      </c>
      <c r="B74" s="442">
        <f>120/30*MC!C62*MC!C63</f>
        <v>6.18624E-3</v>
      </c>
      <c r="C74" s="449">
        <f>(((C19*2)+ (C19*1/3))+(C36)+(C44-C38-C39))*$B$74</f>
        <v>0</v>
      </c>
      <c r="D74" s="604">
        <f>(((D19*2)+ (D19*1/3))+(D36)+(D44-D38-D39))*$B$74</f>
        <v>0</v>
      </c>
      <c r="E74" s="605">
        <f>(((E19*2)+ (E19*1/3))+(E36)+(E44-E38-E39))*$B$74</f>
        <v>0</v>
      </c>
    </row>
    <row r="75" spans="1:5" ht="14.25" customHeight="1" x14ac:dyDescent="0.2">
      <c r="A75" s="468" t="s">
        <v>509</v>
      </c>
      <c r="B75" s="469"/>
      <c r="C75" s="470"/>
      <c r="D75" s="614"/>
      <c r="E75" s="615"/>
    </row>
    <row r="76" spans="1:5" ht="14.25" customHeight="1" x14ac:dyDescent="0.2">
      <c r="A76" s="415" t="s">
        <v>550</v>
      </c>
      <c r="B76" s="416" t="s">
        <v>500</v>
      </c>
      <c r="C76" s="416" t="s">
        <v>501</v>
      </c>
      <c r="D76" s="594" t="s">
        <v>501</v>
      </c>
      <c r="E76" s="595" t="s">
        <v>501</v>
      </c>
    </row>
    <row r="77" spans="1:5" ht="14.25" customHeight="1" x14ac:dyDescent="0.2">
      <c r="A77" s="441" t="s">
        <v>42</v>
      </c>
      <c r="B77" s="458">
        <f>B69</f>
        <v>9.9662923611111107E-2</v>
      </c>
      <c r="C77" s="459">
        <f>C69</f>
        <v>0</v>
      </c>
      <c r="D77" s="606">
        <f>D69</f>
        <v>0</v>
      </c>
      <c r="E77" s="607">
        <f>E69</f>
        <v>0</v>
      </c>
    </row>
    <row r="78" spans="1:5" ht="14.25" customHeight="1" x14ac:dyDescent="0.2">
      <c r="A78" s="441" t="s">
        <v>548</v>
      </c>
      <c r="B78" s="458">
        <f>B72</f>
        <v>0</v>
      </c>
      <c r="C78" s="459">
        <f>C72</f>
        <v>0</v>
      </c>
      <c r="D78" s="606">
        <f>D72</f>
        <v>0</v>
      </c>
      <c r="E78" s="607">
        <f>E72</f>
        <v>0</v>
      </c>
    </row>
    <row r="79" spans="1:5" ht="14.25" customHeight="1" x14ac:dyDescent="0.2">
      <c r="A79" s="441" t="s">
        <v>64</v>
      </c>
      <c r="B79" s="458">
        <f>B74</f>
        <v>6.18624E-3</v>
      </c>
      <c r="C79" s="459">
        <f>C74</f>
        <v>0</v>
      </c>
      <c r="D79" s="606">
        <f>D74</f>
        <v>0</v>
      </c>
      <c r="E79" s="607">
        <f>E74</f>
        <v>0</v>
      </c>
    </row>
    <row r="80" spans="1:5" ht="14.25" customHeight="1" x14ac:dyDescent="0.2">
      <c r="A80" s="429" t="s">
        <v>509</v>
      </c>
      <c r="B80" s="430"/>
      <c r="C80" s="444">
        <f>SUM(C77:C79)</f>
        <v>0</v>
      </c>
      <c r="D80" s="598">
        <f>SUM(D77:D79)</f>
        <v>0</v>
      </c>
      <c r="E80" s="599">
        <f>SUM(E77:E79)</f>
        <v>0</v>
      </c>
    </row>
    <row r="81" spans="1:5" ht="14.25" customHeight="1" x14ac:dyDescent="0.2">
      <c r="A81" s="778"/>
      <c r="B81" s="778"/>
      <c r="C81" s="778"/>
      <c r="D81" s="778"/>
      <c r="E81" s="778"/>
    </row>
    <row r="82" spans="1:5" ht="14.25" customHeight="1" x14ac:dyDescent="0.2">
      <c r="A82" s="795" t="s">
        <v>551</v>
      </c>
      <c r="B82" s="795"/>
      <c r="C82" s="795"/>
      <c r="D82" s="795"/>
      <c r="E82" s="795"/>
    </row>
    <row r="83" spans="1:5" ht="14.25" customHeight="1" x14ac:dyDescent="0.2">
      <c r="A83" s="415" t="s">
        <v>552</v>
      </c>
      <c r="B83" s="416" t="s">
        <v>525</v>
      </c>
      <c r="C83" s="416" t="s">
        <v>501</v>
      </c>
      <c r="D83" s="594" t="s">
        <v>501</v>
      </c>
      <c r="E83" s="595" t="s">
        <v>501</v>
      </c>
    </row>
    <row r="84" spans="1:5" ht="14.25" customHeight="1" x14ac:dyDescent="0.2">
      <c r="A84" s="441" t="s">
        <v>554</v>
      </c>
      <c r="B84" s="616"/>
      <c r="C84" s="596">
        <f>Insumos!$I118</f>
        <v>0</v>
      </c>
      <c r="D84" s="596">
        <f>Insumos!$I118</f>
        <v>0</v>
      </c>
      <c r="E84" s="596">
        <f>Insumos!$I118</f>
        <v>0</v>
      </c>
    </row>
    <row r="85" spans="1:5" ht="14.25" customHeight="1" x14ac:dyDescent="0.2">
      <c r="A85" s="478" t="s">
        <v>555</v>
      </c>
      <c r="B85" s="616"/>
      <c r="C85" s="596">
        <f>Insumos!$G70</f>
        <v>0</v>
      </c>
      <c r="D85" s="596">
        <f>Insumos!$G70</f>
        <v>0</v>
      </c>
      <c r="E85" s="596">
        <f>Insumos!$G70</f>
        <v>0</v>
      </c>
    </row>
    <row r="86" spans="1:5" ht="14.25" customHeight="1" x14ac:dyDescent="0.2">
      <c r="A86" s="478" t="s">
        <v>556</v>
      </c>
      <c r="B86" s="617"/>
      <c r="C86" s="618" t="s">
        <v>85</v>
      </c>
      <c r="D86" s="618" t="s">
        <v>85</v>
      </c>
      <c r="E86" s="618" t="s">
        <v>85</v>
      </c>
    </row>
    <row r="87" spans="1:5" ht="14.25" customHeight="1" x14ac:dyDescent="0.2">
      <c r="A87" s="478" t="s">
        <v>557</v>
      </c>
      <c r="B87" s="619"/>
      <c r="C87" s="596">
        <f>Insumos!$I123</f>
        <v>0</v>
      </c>
      <c r="D87" s="596">
        <f>Insumos!$H123</f>
        <v>0</v>
      </c>
      <c r="E87" s="596">
        <f>Insumos!$H123</f>
        <v>0</v>
      </c>
    </row>
    <row r="88" spans="1:5" ht="14.25" customHeight="1" x14ac:dyDescent="0.2">
      <c r="A88" s="468" t="s">
        <v>509</v>
      </c>
      <c r="B88" s="485"/>
      <c r="C88" s="470">
        <f>SUM(C84:C87)</f>
        <v>0</v>
      </c>
      <c r="D88" s="614">
        <f>SUM(D84:D87)</f>
        <v>0</v>
      </c>
      <c r="E88" s="615">
        <f>SUM(E84:E87)</f>
        <v>0</v>
      </c>
    </row>
    <row r="89" spans="1:5" ht="14.25" customHeight="1" x14ac:dyDescent="0.2">
      <c r="A89" s="778"/>
      <c r="B89" s="778"/>
      <c r="C89" s="778"/>
      <c r="D89" s="778"/>
      <c r="E89" s="778"/>
    </row>
    <row r="90" spans="1:5" ht="14.25" customHeight="1" x14ac:dyDescent="0.2">
      <c r="A90" s="795" t="s">
        <v>561</v>
      </c>
      <c r="B90" s="795"/>
      <c r="C90" s="795"/>
      <c r="D90" s="795"/>
      <c r="E90" s="795"/>
    </row>
    <row r="91" spans="1:5" ht="14.25" customHeight="1" x14ac:dyDescent="0.2">
      <c r="A91" s="415" t="s">
        <v>562</v>
      </c>
      <c r="B91" s="416" t="s">
        <v>500</v>
      </c>
      <c r="C91" s="416" t="s">
        <v>501</v>
      </c>
      <c r="D91" s="594" t="s">
        <v>501</v>
      </c>
      <c r="E91" s="595" t="s">
        <v>501</v>
      </c>
    </row>
    <row r="92" spans="1:5" ht="14.25" customHeight="1" x14ac:dyDescent="0.2">
      <c r="A92" s="418" t="s">
        <v>70</v>
      </c>
      <c r="B92" s="442">
        <v>0.03</v>
      </c>
      <c r="C92" s="449">
        <f>($C$19+$C$49+$C$60+$C$80+$C$88)*$B$92</f>
        <v>0</v>
      </c>
      <c r="D92" s="604">
        <f>(D$19+D$49+D$60+D$80+D$88)*$B$92</f>
        <v>0</v>
      </c>
      <c r="E92" s="605">
        <f>(E$19+E$49+E$60+E$80+E$88)*$B$92</f>
        <v>0</v>
      </c>
    </row>
    <row r="93" spans="1:5" ht="14.25" customHeight="1" x14ac:dyDescent="0.2">
      <c r="A93" s="418" t="s">
        <v>71</v>
      </c>
      <c r="B93" s="442">
        <v>6.7900000000000002E-2</v>
      </c>
      <c r="C93" s="449">
        <f>($C$19+$C$49+$C$60+$C$80+$C$88+C92)*B93</f>
        <v>0</v>
      </c>
      <c r="D93" s="604">
        <f>(D$19+D$49+D$60+D$80+D$88+D$92)*$B$93</f>
        <v>0</v>
      </c>
      <c r="E93" s="605">
        <f>(E$19+E$49+E$60+E$80+E$88+E$92)*$B$93</f>
        <v>0</v>
      </c>
    </row>
    <row r="94" spans="1:5" ht="14.25" customHeight="1" x14ac:dyDescent="0.2">
      <c r="A94" s="489" t="s">
        <v>563</v>
      </c>
      <c r="B94" s="490">
        <f>B95+B96</f>
        <v>0.1125</v>
      </c>
      <c r="C94" s="491">
        <f>((C19+C49+C60+C80+C88+C92+C93)/(1-($B$94)))*$B$94</f>
        <v>0</v>
      </c>
      <c r="D94" s="620">
        <f>((D19+D49+D60+D80+D88+D92+D93)/(1-($B$94)))*$B$94</f>
        <v>0</v>
      </c>
      <c r="E94" s="621">
        <f>((E19+E49+E60+E80+E88+E92+E93)/(1-($B$94)))*$B$94</f>
        <v>0</v>
      </c>
    </row>
    <row r="95" spans="1:5" ht="14.25" customHeight="1" x14ac:dyDescent="0.2">
      <c r="A95" s="418" t="s">
        <v>564</v>
      </c>
      <c r="B95" s="442">
        <f>0.0165+0.076</f>
        <v>9.2499999999999999E-2</v>
      </c>
      <c r="C95" s="498">
        <f>((C$19+C$49+C$60+C$80+C$88+C$92+C$93)/(1-($B$94)))*$B$95</f>
        <v>0</v>
      </c>
      <c r="D95" s="622">
        <f>((D$19+D$49+D$60+D$80+D$88+D$92+D$93)/(1-($B$94)))*$B$95</f>
        <v>0</v>
      </c>
      <c r="E95" s="623">
        <f>((E$19+E$49+E$60+E$80+E$88+E$92+E$93)/(1-($B$94)))*$B$95</f>
        <v>0</v>
      </c>
    </row>
    <row r="96" spans="1:5" ht="14.25" customHeight="1" x14ac:dyDescent="0.2">
      <c r="A96" s="418" t="s">
        <v>565</v>
      </c>
      <c r="B96" s="442">
        <v>0.02</v>
      </c>
      <c r="C96" s="501">
        <f>((C$19+C$49+C$60+C$80+C$88+C$92+C$93)/(1-($B$94)))*$B$96</f>
        <v>0</v>
      </c>
      <c r="D96" s="622">
        <f>((D$19+D$49+D$60+D$80+D$88+D$92+D$93)/(1-($B$94)))*$B$96</f>
        <v>0</v>
      </c>
      <c r="E96" s="623">
        <f>((E$19+E$49+E$60+E$80+E$88+E$92+E$93)/(1-($B$94)))*$B$96</f>
        <v>0</v>
      </c>
    </row>
    <row r="97" spans="1:6" ht="14.25" customHeight="1" x14ac:dyDescent="0.2">
      <c r="A97" s="489" t="s">
        <v>566</v>
      </c>
      <c r="B97" s="490">
        <f>B98+B99</f>
        <v>0.11749999999999999</v>
      </c>
      <c r="C97" s="491">
        <f>((C19+C49+C60+C80+C88+C92+C93)/(1-($B$97)))*$B$97</f>
        <v>0</v>
      </c>
      <c r="D97" s="620">
        <f>((D19+D49+D60+D80+D88+D92+D93)/(1-($B$97)))*$B$97</f>
        <v>0</v>
      </c>
      <c r="E97" s="621">
        <f>((E19+E49+E60+E80+E88+E92+E93)/(1-($B$97)))*$B$97</f>
        <v>0</v>
      </c>
    </row>
    <row r="98" spans="1:6" ht="14.25" customHeight="1" x14ac:dyDescent="0.2">
      <c r="A98" s="418" t="s">
        <v>564</v>
      </c>
      <c r="B98" s="442">
        <f>0.0165+0.076</f>
        <v>9.2499999999999999E-2</v>
      </c>
      <c r="C98" s="493">
        <f>((C19+C49+C60+C80+C88+C92+C93)/(1-($B$97)))*$B$98</f>
        <v>0</v>
      </c>
      <c r="D98" s="624">
        <f>((D19+D49+D60+D80+D88+D92+D93)/(1-($B$97)))*$B$98</f>
        <v>0</v>
      </c>
      <c r="E98" s="625">
        <f>((E19+E49+E60+E80+E88+E92+E93)/(1-($B$97)))*$B$98</f>
        <v>0</v>
      </c>
    </row>
    <row r="99" spans="1:6" ht="14.25" customHeight="1" x14ac:dyDescent="0.2">
      <c r="A99" s="418" t="s">
        <v>565</v>
      </c>
      <c r="B99" s="442">
        <v>2.5000000000000001E-2</v>
      </c>
      <c r="C99" s="495">
        <f>((C$19+C$49+C$60+C$80+C$88+C$92+C$93)/(1-($B$97)))*$B$99</f>
        <v>0</v>
      </c>
      <c r="D99" s="624">
        <f>((D$19+D$49+D$60+D$80+D$88+D$92+D$93)/(1-($B$97)))*$B$99</f>
        <v>0</v>
      </c>
      <c r="E99" s="625">
        <f>((E$19+E$49+E$60+E$80+E$88+E$92+E$93)/(1-($B$97)))*$B$99</f>
        <v>0</v>
      </c>
    </row>
    <row r="100" spans="1:6" ht="14.25" customHeight="1" x14ac:dyDescent="0.2">
      <c r="A100" s="489" t="s">
        <v>567</v>
      </c>
      <c r="B100" s="490">
        <f>B101+B102</f>
        <v>0.1225</v>
      </c>
      <c r="C100" s="491">
        <f>((C19+C49+C60+C80+C88+C92+C93)/(1-($B$100)))*$B$100</f>
        <v>0</v>
      </c>
      <c r="D100" s="620">
        <f>((D19+D49+D60+D80+D88+D92+D93)/(1-($B$100)))*$B$100</f>
        <v>0</v>
      </c>
      <c r="E100" s="621">
        <f>((E19+E49+E60+E80+E88+E92+E93)/(1-($B$100)))*$B$100</f>
        <v>0</v>
      </c>
    </row>
    <row r="101" spans="1:6" ht="14.25" customHeight="1" x14ac:dyDescent="0.2">
      <c r="A101" s="418" t="s">
        <v>564</v>
      </c>
      <c r="B101" s="442">
        <f>0.0165+0.076</f>
        <v>9.2499999999999999E-2</v>
      </c>
      <c r="C101" s="493">
        <f>((C19+C49+C60+C80+C88+C92+C93)/(1-($B$100)))*$B$101</f>
        <v>0</v>
      </c>
      <c r="D101" s="624">
        <f>((D19+D49+D60+D80+D88+D92+D93)/(1-($B$100)))*$B$101</f>
        <v>0</v>
      </c>
      <c r="E101" s="625">
        <f>((E19+E49+E60+E80+E88+E92+E93)/(1-($B$100)))*$B$101</f>
        <v>0</v>
      </c>
    </row>
    <row r="102" spans="1:6" ht="14.25" customHeight="1" x14ac:dyDescent="0.2">
      <c r="A102" s="418" t="s">
        <v>565</v>
      </c>
      <c r="B102" s="442">
        <v>0.03</v>
      </c>
      <c r="C102" s="495">
        <f>((C19+C49+C60+C80+C88+C92+C93)/(1-($B$100)))*$B$102</f>
        <v>0</v>
      </c>
      <c r="D102" s="624">
        <f>((D19+D49+D60+D80+D88+D92+D93)/(1-($B$100)))*$B$102</f>
        <v>0</v>
      </c>
      <c r="E102" s="625">
        <f>((E19+E49+E60+E80+E88+E92+E93)/(1-($B$100)))*$B$102</f>
        <v>0</v>
      </c>
      <c r="F102" s="497"/>
    </row>
    <row r="103" spans="1:6" ht="14.25" customHeight="1" x14ac:dyDescent="0.2">
      <c r="A103" s="489" t="s">
        <v>568</v>
      </c>
      <c r="B103" s="490">
        <f>B104+B105</f>
        <v>0.13250000000000001</v>
      </c>
      <c r="C103" s="491">
        <f>((C19+C49+C60+C80+C88+C92+C93)/(1-($B$103)))*$B$103</f>
        <v>0</v>
      </c>
      <c r="D103" s="620">
        <f>((D19+D49+D60+D80+D88+D92+D93)/(1-($B$103)))*$B$103</f>
        <v>0</v>
      </c>
      <c r="E103" s="621">
        <f>((E19+E49+E60+E80+E88+E92+E93)/(1-($B$103)))*$B$103</f>
        <v>0</v>
      </c>
    </row>
    <row r="104" spans="1:6" ht="14.25" customHeight="1" x14ac:dyDescent="0.2">
      <c r="A104" s="418" t="s">
        <v>564</v>
      </c>
      <c r="B104" s="442">
        <f>0.0165+0.076</f>
        <v>9.2499999999999999E-2</v>
      </c>
      <c r="C104" s="493">
        <f>((C19+C49+C60+C80+C88+C92+C93)/(1-($B$103)))*$B$104</f>
        <v>0</v>
      </c>
      <c r="D104" s="624">
        <f>((D19+D49+D60+D80+D88+D92+D93)/(1-($B$103)))*$B$104</f>
        <v>0</v>
      </c>
      <c r="E104" s="625">
        <f>((E19+E49+E60+E80+E88+E92+E93)/(1-($B$103)))*$B$104</f>
        <v>0</v>
      </c>
    </row>
    <row r="105" spans="1:6" ht="14.25" customHeight="1" x14ac:dyDescent="0.2">
      <c r="A105" s="418" t="s">
        <v>565</v>
      </c>
      <c r="B105" s="442">
        <v>0.04</v>
      </c>
      <c r="C105" s="495">
        <f>((C19+C49+C60+C80+C88+C92+C93)/(1-($B$103)))*$B$105</f>
        <v>0</v>
      </c>
      <c r="D105" s="624">
        <f>((D19+D49+D60+D80+D88+D92+D93)/(1-($B$103)))*$B$105</f>
        <v>0</v>
      </c>
      <c r="E105" s="625">
        <f>((E19+E49+E60+E80+E88+E92+E93)/(1-($B$103)))*$B$105</f>
        <v>0</v>
      </c>
    </row>
    <row r="106" spans="1:6" ht="14.25" customHeight="1" x14ac:dyDescent="0.2">
      <c r="A106" s="489" t="s">
        <v>569</v>
      </c>
      <c r="B106" s="490">
        <f>B107+B108</f>
        <v>0.14250000000000002</v>
      </c>
      <c r="C106" s="491">
        <f>((C19+C49+C60+C80+C88+C92+C93)/(1-($B$106)))*$B$106</f>
        <v>0</v>
      </c>
      <c r="D106" s="620">
        <f>((D19+D49+D60+D80+D88+D92+D93)/(1-($B$106)))*$B$106</f>
        <v>0</v>
      </c>
      <c r="E106" s="621">
        <f>((E19+E49+E60+E80+E88+E92+E93)/(1-($B$106)))*$B$106</f>
        <v>0</v>
      </c>
    </row>
    <row r="107" spans="1:6" ht="14.25" customHeight="1" x14ac:dyDescent="0.2">
      <c r="A107" s="418" t="s">
        <v>564</v>
      </c>
      <c r="B107" s="442">
        <f>0.0165+0.076</f>
        <v>9.2499999999999999E-2</v>
      </c>
      <c r="C107" s="498">
        <f>((C19+C49+C60+C80+C88+C92+C93)/(1-($B$106)))*$B$107</f>
        <v>0</v>
      </c>
      <c r="D107" s="622">
        <f>((D19+D49+D60+D80+D88+D92+D93)/(1-($B$106)))*$B$107</f>
        <v>0</v>
      </c>
      <c r="E107" s="623">
        <f>((E19+E49+E60+E80+E88+E92+E93)/(1-($B$106)))*$B$107</f>
        <v>0</v>
      </c>
    </row>
    <row r="108" spans="1:6" ht="14.25" customHeight="1" x14ac:dyDescent="0.2">
      <c r="A108" s="418" t="s">
        <v>565</v>
      </c>
      <c r="B108" s="500">
        <v>0.05</v>
      </c>
      <c r="C108" s="501">
        <f>((C19+C49+C60+C80+C88+C92+C93)/(1-($B$106)))*$B$108</f>
        <v>0</v>
      </c>
      <c r="D108" s="626">
        <f>((D19+D49+D60+D80+D88+D92+D93)/(1-($B$106)))*$B$108</f>
        <v>0</v>
      </c>
      <c r="E108" s="627">
        <f>((E19+E49+E60+E80+E88+E92+E93)/(1-($B$106)))*$B$108</f>
        <v>0</v>
      </c>
    </row>
    <row r="109" spans="1:6" ht="14.25" customHeight="1" x14ac:dyDescent="0.2">
      <c r="A109" s="780" t="s">
        <v>570</v>
      </c>
      <c r="B109" s="503">
        <v>0.02</v>
      </c>
      <c r="C109" s="504">
        <f>C92+C93+C94</f>
        <v>0</v>
      </c>
      <c r="D109" s="628">
        <f>D92+D93+D94</f>
        <v>0</v>
      </c>
      <c r="E109" s="629">
        <f>E92+E93+E94</f>
        <v>0</v>
      </c>
    </row>
    <row r="110" spans="1:6" ht="14.25" customHeight="1" x14ac:dyDescent="0.2">
      <c r="A110" s="780"/>
      <c r="B110" s="506">
        <v>2.5000000000000001E-2</v>
      </c>
      <c r="C110" s="507">
        <f>C92+C93+C97</f>
        <v>0</v>
      </c>
      <c r="D110" s="630">
        <f>D92+D93+D97</f>
        <v>0</v>
      </c>
      <c r="E110" s="631">
        <f>E92+E93+E97</f>
        <v>0</v>
      </c>
    </row>
    <row r="111" spans="1:6" ht="14.25" customHeight="1" x14ac:dyDescent="0.2">
      <c r="A111" s="780"/>
      <c r="B111" s="506">
        <v>0.03</v>
      </c>
      <c r="C111" s="507">
        <f>C92+C93+C100</f>
        <v>0</v>
      </c>
      <c r="D111" s="630">
        <f>D92+D93+D100</f>
        <v>0</v>
      </c>
      <c r="E111" s="631">
        <f>E92+E93+E100</f>
        <v>0</v>
      </c>
      <c r="F111" s="497"/>
    </row>
    <row r="112" spans="1:6" ht="14.25" customHeight="1" x14ac:dyDescent="0.2">
      <c r="A112" s="780"/>
      <c r="B112" s="506">
        <v>0.04</v>
      </c>
      <c r="C112" s="507">
        <f>C92+C93+C103</f>
        <v>0</v>
      </c>
      <c r="D112" s="630">
        <f>D92+D93+D103</f>
        <v>0</v>
      </c>
      <c r="E112" s="631">
        <f>E92+E93+E103</f>
        <v>0</v>
      </c>
    </row>
    <row r="113" spans="1:5" ht="14.25" customHeight="1" x14ac:dyDescent="0.2">
      <c r="A113" s="780"/>
      <c r="B113" s="509">
        <v>0.05</v>
      </c>
      <c r="C113" s="510">
        <f>C92+C93+C106</f>
        <v>0</v>
      </c>
      <c r="D113" s="632">
        <f>D92+D93+D106</f>
        <v>0</v>
      </c>
      <c r="E113" s="633">
        <f>E92+E93+E106</f>
        <v>0</v>
      </c>
    </row>
    <row r="114" spans="1:5" ht="7.5" customHeight="1" x14ac:dyDescent="0.2">
      <c r="A114" s="781"/>
      <c r="B114" s="781"/>
      <c r="C114" s="781"/>
      <c r="D114" s="781"/>
      <c r="E114" s="781"/>
    </row>
    <row r="115" spans="1:5" ht="7.5" customHeight="1" x14ac:dyDescent="0.2">
      <c r="A115" s="782"/>
      <c r="B115" s="782"/>
      <c r="C115" s="782"/>
      <c r="D115" s="782"/>
      <c r="E115" s="782"/>
    </row>
    <row r="116" spans="1:5" ht="54.75" customHeight="1" x14ac:dyDescent="0.2">
      <c r="A116" s="783" t="s">
        <v>572</v>
      </c>
      <c r="B116" s="783"/>
      <c r="C116" s="521" t="str">
        <f>C10</f>
        <v>Servente 40h
COVID</v>
      </c>
      <c r="D116" s="634" t="str">
        <f>D10</f>
        <v>Servente 30h
COVID</v>
      </c>
      <c r="E116" s="635" t="str">
        <f>E10</f>
        <v>Servente 20h
COVID</v>
      </c>
    </row>
    <row r="117" spans="1:5" ht="15.75" customHeight="1" x14ac:dyDescent="0.2">
      <c r="A117" s="784" t="s">
        <v>573</v>
      </c>
      <c r="B117" s="784"/>
      <c r="C117" s="524" t="s">
        <v>501</v>
      </c>
      <c r="D117" s="636" t="s">
        <v>501</v>
      </c>
      <c r="E117" s="637" t="s">
        <v>501</v>
      </c>
    </row>
    <row r="118" spans="1:5" ht="14.25" customHeight="1" x14ac:dyDescent="0.2">
      <c r="A118" s="785" t="s">
        <v>574</v>
      </c>
      <c r="B118" s="785"/>
      <c r="C118" s="526">
        <f>C19</f>
        <v>0</v>
      </c>
      <c r="D118" s="638">
        <f>D19</f>
        <v>0</v>
      </c>
      <c r="E118" s="639">
        <f>E19</f>
        <v>0</v>
      </c>
    </row>
    <row r="119" spans="1:5" ht="14.25" customHeight="1" x14ac:dyDescent="0.2">
      <c r="A119" s="786" t="s">
        <v>575</v>
      </c>
      <c r="B119" s="786"/>
      <c r="C119" s="528">
        <f>C49</f>
        <v>0</v>
      </c>
      <c r="D119" s="640">
        <f>D49</f>
        <v>0</v>
      </c>
      <c r="E119" s="641">
        <f>E49</f>
        <v>0</v>
      </c>
    </row>
    <row r="120" spans="1:5" ht="14.25" customHeight="1" x14ac:dyDescent="0.2">
      <c r="A120" s="786" t="s">
        <v>576</v>
      </c>
      <c r="B120" s="786"/>
      <c r="C120" s="528">
        <f>C60</f>
        <v>0</v>
      </c>
      <c r="D120" s="640">
        <f>D60</f>
        <v>0</v>
      </c>
      <c r="E120" s="641">
        <f>E60</f>
        <v>0</v>
      </c>
    </row>
    <row r="121" spans="1:5" ht="14.25" customHeight="1" x14ac:dyDescent="0.2">
      <c r="A121" s="786" t="s">
        <v>577</v>
      </c>
      <c r="B121" s="786"/>
      <c r="C121" s="528">
        <f>C80</f>
        <v>0</v>
      </c>
      <c r="D121" s="640">
        <f>D80</f>
        <v>0</v>
      </c>
      <c r="E121" s="641">
        <f>E80</f>
        <v>0</v>
      </c>
    </row>
    <row r="122" spans="1:5" ht="15.75" customHeight="1" x14ac:dyDescent="0.2">
      <c r="A122" s="786" t="s">
        <v>578</v>
      </c>
      <c r="B122" s="786"/>
      <c r="C122" s="528">
        <f>C88</f>
        <v>0</v>
      </c>
      <c r="D122" s="640">
        <f>D88</f>
        <v>0</v>
      </c>
      <c r="E122" s="641">
        <f>E88</f>
        <v>0</v>
      </c>
    </row>
    <row r="123" spans="1:5" ht="15.75" customHeight="1" x14ac:dyDescent="0.2">
      <c r="A123" s="787" t="s">
        <v>579</v>
      </c>
      <c r="B123" s="787"/>
      <c r="C123" s="530">
        <f>SUM(C118:C122)</f>
        <v>0</v>
      </c>
      <c r="D123" s="642">
        <f>SUM(D118:D122)</f>
        <v>0</v>
      </c>
      <c r="E123" s="643">
        <f>SUM(E118:E122)</f>
        <v>0</v>
      </c>
    </row>
    <row r="124" spans="1:5" ht="15.75" customHeight="1" x14ac:dyDescent="0.2">
      <c r="A124" s="788" t="s">
        <v>580</v>
      </c>
      <c r="B124" s="788"/>
      <c r="C124" s="533">
        <f t="shared" ref="C124:E128" si="2">C109</f>
        <v>0</v>
      </c>
      <c r="D124" s="642">
        <f t="shared" si="2"/>
        <v>0</v>
      </c>
      <c r="E124" s="643">
        <f t="shared" si="2"/>
        <v>0</v>
      </c>
    </row>
    <row r="125" spans="1:5" ht="15.75" customHeight="1" x14ac:dyDescent="0.2">
      <c r="A125" s="786" t="s">
        <v>581</v>
      </c>
      <c r="B125" s="786"/>
      <c r="C125" s="535">
        <f t="shared" si="2"/>
        <v>0</v>
      </c>
      <c r="D125" s="642">
        <f t="shared" si="2"/>
        <v>0</v>
      </c>
      <c r="E125" s="643">
        <f t="shared" si="2"/>
        <v>0</v>
      </c>
    </row>
    <row r="126" spans="1:5" ht="15.75" customHeight="1" x14ac:dyDescent="0.2">
      <c r="A126" s="786" t="s">
        <v>582</v>
      </c>
      <c r="B126" s="786"/>
      <c r="C126" s="535">
        <f t="shared" si="2"/>
        <v>0</v>
      </c>
      <c r="D126" s="642">
        <f t="shared" si="2"/>
        <v>0</v>
      </c>
      <c r="E126" s="643">
        <f t="shared" si="2"/>
        <v>0</v>
      </c>
    </row>
    <row r="127" spans="1:5" ht="15.75" customHeight="1" x14ac:dyDescent="0.2">
      <c r="A127" s="786" t="s">
        <v>583</v>
      </c>
      <c r="B127" s="786"/>
      <c r="C127" s="535">
        <f t="shared" si="2"/>
        <v>0</v>
      </c>
      <c r="D127" s="642">
        <f t="shared" si="2"/>
        <v>0</v>
      </c>
      <c r="E127" s="643">
        <f t="shared" si="2"/>
        <v>0</v>
      </c>
    </row>
    <row r="128" spans="1:5" ht="15.75" customHeight="1" x14ac:dyDescent="0.2">
      <c r="A128" s="788" t="s">
        <v>584</v>
      </c>
      <c r="B128" s="788"/>
      <c r="C128" s="535">
        <f t="shared" si="2"/>
        <v>0</v>
      </c>
      <c r="D128" s="644">
        <f t="shared" si="2"/>
        <v>0</v>
      </c>
      <c r="E128" s="645">
        <f t="shared" si="2"/>
        <v>0</v>
      </c>
    </row>
    <row r="129" spans="1:5" ht="15.75" customHeight="1" x14ac:dyDescent="0.2">
      <c r="A129" s="537" t="s">
        <v>585</v>
      </c>
      <c r="B129" s="538"/>
      <c r="C129" s="539">
        <f>C123+C124</f>
        <v>0</v>
      </c>
      <c r="D129" s="539">
        <f>D123+D124</f>
        <v>0</v>
      </c>
      <c r="E129" s="540">
        <f>E123+E124</f>
        <v>0</v>
      </c>
    </row>
    <row r="130" spans="1:5" ht="15.75" customHeight="1" x14ac:dyDescent="0.2">
      <c r="A130" s="541" t="s">
        <v>586</v>
      </c>
      <c r="B130" s="542"/>
      <c r="C130" s="543">
        <f>C123+C125</f>
        <v>0</v>
      </c>
      <c r="D130" s="543">
        <f>D123+D125</f>
        <v>0</v>
      </c>
      <c r="E130" s="544">
        <f>E123+E125</f>
        <v>0</v>
      </c>
    </row>
    <row r="131" spans="1:5" ht="15.75" customHeight="1" x14ac:dyDescent="0.2">
      <c r="A131" s="541" t="s">
        <v>587</v>
      </c>
      <c r="B131" s="542"/>
      <c r="C131" s="543">
        <f>C123+C126</f>
        <v>0</v>
      </c>
      <c r="D131" s="543">
        <f>D123+D126</f>
        <v>0</v>
      </c>
      <c r="E131" s="544">
        <f>E123+E126</f>
        <v>0</v>
      </c>
    </row>
    <row r="132" spans="1:5" ht="15.75" customHeight="1" x14ac:dyDescent="0.2">
      <c r="A132" s="541" t="s">
        <v>588</v>
      </c>
      <c r="B132" s="542"/>
      <c r="C132" s="543">
        <f>C123+C127</f>
        <v>0</v>
      </c>
      <c r="D132" s="543">
        <f>D123+D127</f>
        <v>0</v>
      </c>
      <c r="E132" s="544">
        <f>E123+E127</f>
        <v>0</v>
      </c>
    </row>
    <row r="133" spans="1:5" ht="15.75" customHeight="1" x14ac:dyDescent="0.2">
      <c r="A133" s="541" t="s">
        <v>589</v>
      </c>
      <c r="B133" s="542"/>
      <c r="C133" s="543">
        <f>C123+C128</f>
        <v>0</v>
      </c>
      <c r="D133" s="646">
        <f>D123+D128</f>
        <v>0</v>
      </c>
      <c r="E133" s="647">
        <f>E123+E128</f>
        <v>0</v>
      </c>
    </row>
    <row r="134" spans="1:5" ht="15.75" customHeight="1" x14ac:dyDescent="0.2">
      <c r="A134" s="545" t="s">
        <v>590</v>
      </c>
      <c r="B134" s="546"/>
      <c r="C134" s="547">
        <f>C129/200</f>
        <v>0</v>
      </c>
      <c r="D134" s="547"/>
      <c r="E134" s="648"/>
    </row>
    <row r="135" spans="1:5" ht="15.75" customHeight="1" x14ac:dyDescent="0.2">
      <c r="A135" s="550" t="s">
        <v>591</v>
      </c>
      <c r="B135" s="551"/>
      <c r="C135" s="552">
        <f>C130/200</f>
        <v>0</v>
      </c>
      <c r="D135" s="552"/>
      <c r="E135" s="649"/>
    </row>
    <row r="136" spans="1:5" ht="15.75" customHeight="1" x14ac:dyDescent="0.2">
      <c r="A136" s="550" t="s">
        <v>592</v>
      </c>
      <c r="B136" s="551"/>
      <c r="C136" s="552">
        <f>C131/200</f>
        <v>0</v>
      </c>
      <c r="D136" s="552"/>
      <c r="E136" s="649"/>
    </row>
    <row r="137" spans="1:5" ht="15.75" customHeight="1" x14ac:dyDescent="0.2">
      <c r="A137" s="550" t="s">
        <v>593</v>
      </c>
      <c r="B137" s="551"/>
      <c r="C137" s="552">
        <f>C132/200</f>
        <v>0</v>
      </c>
      <c r="D137" s="552"/>
      <c r="E137" s="649"/>
    </row>
    <row r="138" spans="1:5" ht="15.75" customHeight="1" x14ac:dyDescent="0.2">
      <c r="A138" s="555" t="s">
        <v>594</v>
      </c>
      <c r="B138" s="556"/>
      <c r="C138" s="557">
        <f>C133/200</f>
        <v>0</v>
      </c>
      <c r="D138" s="557"/>
      <c r="E138" s="650"/>
    </row>
    <row r="139" spans="1:5" x14ac:dyDescent="0.2">
      <c r="A139" s="560"/>
    </row>
  </sheetData>
  <mergeCells count="31">
    <mergeCell ref="A128:B128"/>
    <mergeCell ref="A123:B123"/>
    <mergeCell ref="A124:B124"/>
    <mergeCell ref="A125:B125"/>
    <mergeCell ref="A126:B126"/>
    <mergeCell ref="A127:B127"/>
    <mergeCell ref="A118:B118"/>
    <mergeCell ref="A119:B119"/>
    <mergeCell ref="A120:B120"/>
    <mergeCell ref="A121:B121"/>
    <mergeCell ref="A122:B122"/>
    <mergeCell ref="A109:A113"/>
    <mergeCell ref="A114:E114"/>
    <mergeCell ref="A115:E115"/>
    <mergeCell ref="A116:B116"/>
    <mergeCell ref="A117:B117"/>
    <mergeCell ref="A62:E62"/>
    <mergeCell ref="A81:E81"/>
    <mergeCell ref="A82:E82"/>
    <mergeCell ref="A89:E89"/>
    <mergeCell ref="A90:E90"/>
    <mergeCell ref="A20:E20"/>
    <mergeCell ref="A21:E21"/>
    <mergeCell ref="A50:E50"/>
    <mergeCell ref="A51:E51"/>
    <mergeCell ref="A61:E61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7070"/>
  </sheetPr>
  <dimension ref="A1:ALR181"/>
  <sheetViews>
    <sheetView zoomScaleNormal="100" workbookViewId="0">
      <pane xSplit="1" topLeftCell="B1" activePane="topRight" state="frozen"/>
      <selection pane="topRight" activeCell="O15" sqref="O15"/>
    </sheetView>
  </sheetViews>
  <sheetFormatPr defaultRowHeight="14.25" x14ac:dyDescent="0.2"/>
  <cols>
    <col min="1" max="1" width="34.5" customWidth="1"/>
    <col min="2" max="4" width="8.625" customWidth="1"/>
    <col min="5" max="6" width="13.625" customWidth="1"/>
    <col min="7" max="7" width="9.625" customWidth="1"/>
    <col min="8" max="8" width="11.625" customWidth="1"/>
    <col min="9" max="9" width="11" customWidth="1"/>
    <col min="10" max="10" width="13.5" customWidth="1"/>
    <col min="11" max="11" width="11.125" customWidth="1"/>
    <col min="12" max="12" width="9.875" customWidth="1"/>
    <col min="13" max="13" width="12.25" customWidth="1"/>
    <col min="14" max="14" width="12.5" customWidth="1"/>
    <col min="15" max="22" width="9.25" customWidth="1"/>
    <col min="23" max="23" width="10.875" customWidth="1"/>
    <col min="24" max="25" width="10.625" customWidth="1"/>
    <col min="26" max="26" width="11.625" customWidth="1"/>
    <col min="27" max="1006" width="10.625" customWidth="1"/>
    <col min="1007" max="1025" width="10.5" customWidth="1"/>
  </cols>
  <sheetData>
    <row r="1" spans="1:26" ht="15" customHeight="1" x14ac:dyDescent="0.2">
      <c r="A1" s="287"/>
      <c r="B1" s="287"/>
      <c r="C1" s="754" t="s">
        <v>332</v>
      </c>
      <c r="D1" s="754"/>
      <c r="E1" s="754"/>
      <c r="F1" s="754"/>
      <c r="G1" s="754"/>
      <c r="H1" s="754"/>
      <c r="I1" s="755" t="s">
        <v>333</v>
      </c>
      <c r="J1" s="755"/>
      <c r="K1" s="755"/>
      <c r="L1" s="756" t="s">
        <v>334</v>
      </c>
      <c r="M1" s="756"/>
      <c r="N1" s="756"/>
      <c r="O1" s="287"/>
      <c r="P1" s="287"/>
      <c r="Q1" s="287"/>
      <c r="R1" s="287"/>
      <c r="S1" s="287"/>
      <c r="T1" s="287"/>
      <c r="U1" s="287"/>
      <c r="V1" s="287"/>
      <c r="W1" s="757"/>
      <c r="X1" s="757"/>
      <c r="Y1" s="757"/>
      <c r="Z1" s="287"/>
    </row>
    <row r="2" spans="1:26" ht="68.099999999999994" customHeight="1" x14ac:dyDescent="0.2">
      <c r="A2" s="758" t="s">
        <v>340</v>
      </c>
      <c r="B2" s="758" t="s">
        <v>341</v>
      </c>
      <c r="C2" s="759" t="s">
        <v>441</v>
      </c>
      <c r="D2" s="740" t="s">
        <v>342</v>
      </c>
      <c r="E2" s="740" t="s">
        <v>343</v>
      </c>
      <c r="F2" s="741" t="s">
        <v>344</v>
      </c>
      <c r="G2" s="739" t="s">
        <v>345</v>
      </c>
      <c r="H2" s="760" t="s">
        <v>442</v>
      </c>
      <c r="I2" s="761" t="s">
        <v>347</v>
      </c>
      <c r="J2" s="742" t="s">
        <v>443</v>
      </c>
      <c r="K2" s="762" t="s">
        <v>349</v>
      </c>
      <c r="L2" s="763" t="s">
        <v>350</v>
      </c>
      <c r="M2" s="744" t="s">
        <v>351</v>
      </c>
      <c r="N2" s="764" t="s">
        <v>352</v>
      </c>
      <c r="O2" s="765" t="s">
        <v>444</v>
      </c>
      <c r="P2" s="766" t="s">
        <v>445</v>
      </c>
      <c r="Q2" s="766"/>
      <c r="R2" s="766"/>
      <c r="S2" s="766"/>
      <c r="T2" s="767" t="s">
        <v>446</v>
      </c>
      <c r="U2" s="767"/>
      <c r="V2" s="767"/>
      <c r="W2" s="304" t="s">
        <v>447</v>
      </c>
      <c r="X2" s="305" t="s">
        <v>448</v>
      </c>
      <c r="Y2" s="306" t="s">
        <v>449</v>
      </c>
      <c r="Z2" s="307" t="s">
        <v>450</v>
      </c>
    </row>
    <row r="3" spans="1:26" x14ac:dyDescent="0.2">
      <c r="A3" s="758"/>
      <c r="B3" s="758"/>
      <c r="C3" s="758"/>
      <c r="D3" s="740"/>
      <c r="E3" s="740"/>
      <c r="F3" s="741"/>
      <c r="G3" s="739"/>
      <c r="H3" s="760"/>
      <c r="I3" s="761"/>
      <c r="J3" s="742"/>
      <c r="K3" s="762"/>
      <c r="L3" s="763"/>
      <c r="M3" s="744"/>
      <c r="N3" s="764"/>
      <c r="O3" s="765"/>
      <c r="P3" s="308" t="s">
        <v>451</v>
      </c>
      <c r="Q3" s="308" t="s">
        <v>452</v>
      </c>
      <c r="R3" s="308" t="s">
        <v>454</v>
      </c>
      <c r="S3" s="309" t="s">
        <v>635</v>
      </c>
      <c r="T3" s="310" t="s">
        <v>455</v>
      </c>
      <c r="U3" s="310" t="s">
        <v>456</v>
      </c>
      <c r="V3" s="310" t="s">
        <v>636</v>
      </c>
      <c r="W3" s="311" t="s">
        <v>457</v>
      </c>
      <c r="X3" s="312" t="s">
        <v>457</v>
      </c>
      <c r="Y3" s="313" t="s">
        <v>458</v>
      </c>
      <c r="Z3" s="307" t="s">
        <v>455</v>
      </c>
    </row>
    <row r="4" spans="1:26" x14ac:dyDescent="0.2">
      <c r="A4" s="69" t="s">
        <v>80</v>
      </c>
      <c r="B4" s="651">
        <f>'Resumo Proposta'!D19</f>
        <v>0</v>
      </c>
      <c r="C4" s="652">
        <v>2424.59</v>
      </c>
      <c r="D4" s="317">
        <f>C4-E4-F4-G4-H4</f>
        <v>648.29</v>
      </c>
      <c r="E4" s="317">
        <f t="shared" ref="E4:E20" si="0">$E$22*(1-H4/$H$22)</f>
        <v>537.63</v>
      </c>
      <c r="F4" s="653">
        <v>518.88</v>
      </c>
      <c r="G4" s="653">
        <v>599</v>
      </c>
      <c r="H4" s="653">
        <v>120.79</v>
      </c>
      <c r="I4" s="653">
        <v>265.57</v>
      </c>
      <c r="J4" s="653">
        <v>6.37</v>
      </c>
      <c r="K4" s="653">
        <v>344.36</v>
      </c>
      <c r="L4" s="653">
        <v>0</v>
      </c>
      <c r="M4" s="653">
        <v>441.41</v>
      </c>
      <c r="N4" s="654">
        <f>L4+M4</f>
        <v>441.41</v>
      </c>
      <c r="O4" s="321">
        <f t="shared" ref="O4:O20" si="1">D4/$D$22+E4/$E$22+F4/$F$22+G4/$G$22+H4/$H$22+I4/$I$22+J4/$J$22+K4/$K$22+M4/$M$22*16*1/188.76+N4/$N$22*16*1/188.76</f>
        <v>2.6952424469505512</v>
      </c>
      <c r="P4" s="321">
        <v>1</v>
      </c>
      <c r="Q4" s="321">
        <v>1</v>
      </c>
      <c r="R4" s="321"/>
      <c r="S4" s="321"/>
      <c r="T4" s="322"/>
      <c r="U4" s="322"/>
      <c r="V4" s="322"/>
      <c r="W4" s="323">
        <v>6</v>
      </c>
      <c r="X4" s="324">
        <v>6</v>
      </c>
      <c r="Y4" s="325">
        <v>22</v>
      </c>
      <c r="Z4" s="326">
        <v>1</v>
      </c>
    </row>
    <row r="5" spans="1:26" x14ac:dyDescent="0.2">
      <c r="A5" s="74" t="s">
        <v>82</v>
      </c>
      <c r="B5" s="651">
        <f>'Resumo Proposta'!D20</f>
        <v>0</v>
      </c>
      <c r="C5" s="652"/>
      <c r="D5" s="317"/>
      <c r="E5" s="317">
        <f t="shared" si="0"/>
        <v>900</v>
      </c>
      <c r="F5" s="329"/>
      <c r="G5" s="329"/>
      <c r="H5" s="329"/>
      <c r="I5" s="329"/>
      <c r="J5" s="329"/>
      <c r="K5" s="655"/>
      <c r="L5" s="329"/>
      <c r="M5" s="329"/>
      <c r="N5" s="331"/>
      <c r="O5" s="321">
        <f t="shared" si="1"/>
        <v>1</v>
      </c>
      <c r="P5" s="332">
        <v>1</v>
      </c>
      <c r="Q5" s="333"/>
      <c r="R5" s="333"/>
      <c r="S5" s="333"/>
      <c r="T5" s="334"/>
      <c r="U5" s="334"/>
      <c r="V5" s="334"/>
      <c r="W5" s="335">
        <v>6</v>
      </c>
      <c r="X5" s="336">
        <v>6</v>
      </c>
      <c r="Y5" s="337"/>
      <c r="Z5" s="338"/>
    </row>
    <row r="6" spans="1:26" x14ac:dyDescent="0.2">
      <c r="A6" s="74" t="s">
        <v>84</v>
      </c>
      <c r="B6" s="651">
        <f>'Resumo Proposta'!D21</f>
        <v>0</v>
      </c>
      <c r="C6" s="652"/>
      <c r="D6" s="317"/>
      <c r="E6" s="317">
        <f t="shared" si="0"/>
        <v>900</v>
      </c>
      <c r="F6" s="329"/>
      <c r="G6" s="329"/>
      <c r="H6" s="329"/>
      <c r="I6" s="329"/>
      <c r="J6" s="329"/>
      <c r="K6" s="329"/>
      <c r="L6" s="329"/>
      <c r="M6" s="329"/>
      <c r="N6" s="331"/>
      <c r="O6" s="321">
        <f t="shared" si="1"/>
        <v>1</v>
      </c>
      <c r="P6" s="332">
        <v>1</v>
      </c>
      <c r="Q6" s="333"/>
      <c r="R6" s="333"/>
      <c r="S6" s="333"/>
      <c r="T6" s="334"/>
      <c r="U6" s="334">
        <v>1</v>
      </c>
      <c r="V6" s="334"/>
      <c r="W6" s="335">
        <v>6</v>
      </c>
      <c r="X6" s="336">
        <v>6</v>
      </c>
      <c r="Y6" s="339"/>
      <c r="Z6" s="338"/>
    </row>
    <row r="7" spans="1:26" x14ac:dyDescent="0.2">
      <c r="A7" s="74" t="s">
        <v>87</v>
      </c>
      <c r="B7" s="651">
        <f>'Resumo Proposta'!D22</f>
        <v>0</v>
      </c>
      <c r="C7" s="652">
        <v>2236.54</v>
      </c>
      <c r="D7" s="317">
        <f>C7-E7-F7-G7-H7</f>
        <v>-66.919999999999874</v>
      </c>
      <c r="E7" s="317">
        <f t="shared" si="0"/>
        <v>583.41</v>
      </c>
      <c r="F7" s="329">
        <v>1291.25</v>
      </c>
      <c r="G7" s="329">
        <v>323.27</v>
      </c>
      <c r="H7" s="329">
        <v>105.53</v>
      </c>
      <c r="I7" s="329">
        <v>45.86</v>
      </c>
      <c r="J7" s="329">
        <v>12.59</v>
      </c>
      <c r="K7" s="329">
        <v>115.53</v>
      </c>
      <c r="L7" s="329">
        <v>0</v>
      </c>
      <c r="M7" s="329">
        <v>301.04000000000002</v>
      </c>
      <c r="N7" s="331">
        <f>L7+M7</f>
        <v>301.04000000000002</v>
      </c>
      <c r="O7" s="321">
        <f t="shared" si="1"/>
        <v>1.827851768698022</v>
      </c>
      <c r="P7" s="321">
        <v>1</v>
      </c>
      <c r="Q7" s="321">
        <v>1</v>
      </c>
      <c r="R7" s="321"/>
      <c r="S7" s="321"/>
      <c r="T7" s="322"/>
      <c r="U7" s="322">
        <v>1</v>
      </c>
      <c r="V7" s="322"/>
      <c r="W7" s="335">
        <v>6</v>
      </c>
      <c r="X7" s="336">
        <v>6</v>
      </c>
      <c r="Y7" s="339"/>
      <c r="Z7" s="338"/>
    </row>
    <row r="8" spans="1:26" x14ac:dyDescent="0.2">
      <c r="A8" s="74" t="s">
        <v>89</v>
      </c>
      <c r="B8" s="651">
        <f>'Resumo Proposta'!D23</f>
        <v>0</v>
      </c>
      <c r="C8" s="652">
        <v>1046.23</v>
      </c>
      <c r="D8" s="317">
        <f>C8-E8-F8-G8-H8</f>
        <v>-110.94999999999995</v>
      </c>
      <c r="E8" s="317">
        <f t="shared" si="0"/>
        <v>712.26</v>
      </c>
      <c r="F8" s="329">
        <v>382.34</v>
      </c>
      <c r="G8" s="329">
        <v>0</v>
      </c>
      <c r="H8" s="329">
        <v>62.58</v>
      </c>
      <c r="I8" s="329">
        <v>210.78</v>
      </c>
      <c r="J8" s="329">
        <v>711.97</v>
      </c>
      <c r="K8" s="329">
        <v>502.77</v>
      </c>
      <c r="L8" s="329">
        <v>0</v>
      </c>
      <c r="M8" s="329">
        <v>289.35000000000002</v>
      </c>
      <c r="N8" s="331">
        <f>L8+M8</f>
        <v>289.35000000000002</v>
      </c>
      <c r="O8" s="321">
        <f t="shared" si="1"/>
        <v>1.3271174803355608</v>
      </c>
      <c r="P8" s="332">
        <v>1</v>
      </c>
      <c r="Q8" s="333"/>
      <c r="R8" s="333"/>
      <c r="S8" s="333">
        <v>1</v>
      </c>
      <c r="T8" s="334">
        <v>1</v>
      </c>
      <c r="U8" s="334"/>
      <c r="V8" s="334"/>
      <c r="W8" s="335">
        <v>6</v>
      </c>
      <c r="X8" s="336">
        <v>6</v>
      </c>
      <c r="Y8" s="339"/>
      <c r="Z8" s="338"/>
    </row>
    <row r="9" spans="1:26" x14ac:dyDescent="0.2">
      <c r="A9" s="74" t="s">
        <v>91</v>
      </c>
      <c r="B9" s="651">
        <f>'Resumo Proposta'!D24</f>
        <v>0</v>
      </c>
      <c r="C9" s="652">
        <v>1010.79</v>
      </c>
      <c r="D9" s="317">
        <f>C9-E9-F9-G9-H9</f>
        <v>-28.500000000000071</v>
      </c>
      <c r="E9" s="317">
        <f t="shared" si="0"/>
        <v>773.58</v>
      </c>
      <c r="F9" s="329">
        <v>223.57</v>
      </c>
      <c r="G9" s="329">
        <v>0</v>
      </c>
      <c r="H9" s="329">
        <v>42.14</v>
      </c>
      <c r="I9" s="329">
        <v>0</v>
      </c>
      <c r="J9" s="329">
        <v>0</v>
      </c>
      <c r="K9" s="655">
        <v>0</v>
      </c>
      <c r="L9" s="329">
        <v>0</v>
      </c>
      <c r="M9" s="329">
        <v>232.49</v>
      </c>
      <c r="N9" s="331">
        <f>L9+M9</f>
        <v>232.49</v>
      </c>
      <c r="O9" s="321">
        <f t="shared" si="1"/>
        <v>1.1614808992538561</v>
      </c>
      <c r="P9" s="332">
        <v>1</v>
      </c>
      <c r="Q9" s="333"/>
      <c r="R9" s="333">
        <v>1</v>
      </c>
      <c r="S9" s="333"/>
      <c r="T9" s="334">
        <v>1</v>
      </c>
      <c r="U9" s="334"/>
      <c r="V9" s="334"/>
      <c r="W9" s="335">
        <v>6</v>
      </c>
      <c r="X9" s="336">
        <v>6</v>
      </c>
      <c r="Y9" s="339"/>
      <c r="Z9" s="338"/>
    </row>
    <row r="10" spans="1:26" x14ac:dyDescent="0.2">
      <c r="A10" s="74" t="s">
        <v>93</v>
      </c>
      <c r="B10" s="651">
        <f>'Resumo Proposta'!D25</f>
        <v>0</v>
      </c>
      <c r="C10" s="652">
        <v>1662.23</v>
      </c>
      <c r="D10" s="317">
        <f>C10-E10-F10-G10-H10</f>
        <v>-83.309999999999974</v>
      </c>
      <c r="E10" s="317">
        <f t="shared" si="0"/>
        <v>647.66999999999996</v>
      </c>
      <c r="F10" s="329">
        <v>977.47</v>
      </c>
      <c r="G10" s="329">
        <v>36.29</v>
      </c>
      <c r="H10" s="329">
        <v>84.11</v>
      </c>
      <c r="I10" s="329">
        <v>263.12</v>
      </c>
      <c r="J10" s="329">
        <v>62.91</v>
      </c>
      <c r="K10" s="329">
        <v>30.96</v>
      </c>
      <c r="L10" s="329">
        <v>0</v>
      </c>
      <c r="M10" s="329">
        <v>220.32</v>
      </c>
      <c r="N10" s="331">
        <f>L10+M10</f>
        <v>220.32</v>
      </c>
      <c r="O10" s="321">
        <f t="shared" si="1"/>
        <v>1.5565339931865583</v>
      </c>
      <c r="P10" s="321">
        <v>1</v>
      </c>
      <c r="Q10" s="321"/>
      <c r="R10" s="321"/>
      <c r="S10" s="321">
        <v>1</v>
      </c>
      <c r="T10" s="322"/>
      <c r="U10" s="322">
        <v>1</v>
      </c>
      <c r="V10" s="322"/>
      <c r="W10" s="335">
        <v>6</v>
      </c>
      <c r="X10" s="336">
        <v>6</v>
      </c>
      <c r="Y10" s="339"/>
      <c r="Z10" s="338"/>
    </row>
    <row r="11" spans="1:26" x14ac:dyDescent="0.2">
      <c r="A11" s="74" t="s">
        <v>95</v>
      </c>
      <c r="B11" s="651">
        <f>'Resumo Proposta'!D26</f>
        <v>0</v>
      </c>
      <c r="C11" s="652"/>
      <c r="D11" s="317"/>
      <c r="E11" s="317">
        <f t="shared" si="0"/>
        <v>900</v>
      </c>
      <c r="F11" s="329"/>
      <c r="G11" s="329"/>
      <c r="H11" s="329"/>
      <c r="I11" s="329"/>
      <c r="J11" s="329"/>
      <c r="K11" s="329"/>
      <c r="L11" s="329"/>
      <c r="M11" s="329"/>
      <c r="N11" s="331"/>
      <c r="O11" s="321">
        <f t="shared" si="1"/>
        <v>1</v>
      </c>
      <c r="P11" s="332">
        <v>1</v>
      </c>
      <c r="Q11" s="333"/>
      <c r="R11" s="333"/>
      <c r="S11" s="333"/>
      <c r="T11" s="334"/>
      <c r="U11" s="334"/>
      <c r="V11" s="334">
        <v>1</v>
      </c>
      <c r="W11" s="335">
        <v>6</v>
      </c>
      <c r="X11" s="336">
        <v>6</v>
      </c>
      <c r="Y11" s="339"/>
      <c r="Z11" s="338"/>
    </row>
    <row r="12" spans="1:26" x14ac:dyDescent="0.2">
      <c r="A12" s="74" t="s">
        <v>97</v>
      </c>
      <c r="B12" s="651">
        <f>'Resumo Proposta'!D27</f>
        <v>0</v>
      </c>
      <c r="C12" s="652">
        <v>2738.32</v>
      </c>
      <c r="D12" s="317">
        <f>C12-E12-F12-G12-H12</f>
        <v>325.6800000000004</v>
      </c>
      <c r="E12" s="317">
        <f t="shared" si="0"/>
        <v>491.01</v>
      </c>
      <c r="F12" s="329">
        <v>1322.29</v>
      </c>
      <c r="G12" s="329">
        <v>463.01</v>
      </c>
      <c r="H12" s="329">
        <v>136.33000000000001</v>
      </c>
      <c r="I12" s="329">
        <v>271.67</v>
      </c>
      <c r="J12" s="329">
        <v>102.21</v>
      </c>
      <c r="K12" s="329">
        <v>147.44999999999999</v>
      </c>
      <c r="L12" s="329">
        <v>0</v>
      </c>
      <c r="M12" s="329">
        <v>820.76</v>
      </c>
      <c r="N12" s="331">
        <f>L12+M12</f>
        <v>820.76</v>
      </c>
      <c r="O12" s="321">
        <f t="shared" si="1"/>
        <v>2.7188578636095966</v>
      </c>
      <c r="P12" s="332">
        <v>1</v>
      </c>
      <c r="Q12" s="333">
        <v>1</v>
      </c>
      <c r="R12" s="333"/>
      <c r="S12" s="333"/>
      <c r="T12" s="334">
        <v>1</v>
      </c>
      <c r="U12" s="334"/>
      <c r="V12" s="334"/>
      <c r="W12" s="335">
        <v>6</v>
      </c>
      <c r="X12" s="336">
        <v>6</v>
      </c>
      <c r="Y12" s="339"/>
      <c r="Z12" s="338"/>
    </row>
    <row r="13" spans="1:26" x14ac:dyDescent="0.2">
      <c r="A13" s="74" t="s">
        <v>99</v>
      </c>
      <c r="B13" s="651">
        <f>'Resumo Proposta'!D28</f>
        <v>0</v>
      </c>
      <c r="C13" s="652">
        <v>1057.46</v>
      </c>
      <c r="D13" s="317">
        <f>C13-E13-F13-G13-H13</f>
        <v>-77.399999999999906</v>
      </c>
      <c r="E13" s="317">
        <f t="shared" si="0"/>
        <v>765.93</v>
      </c>
      <c r="F13" s="329">
        <v>261.38</v>
      </c>
      <c r="G13" s="329">
        <v>62.86</v>
      </c>
      <c r="H13" s="329">
        <v>44.69</v>
      </c>
      <c r="I13" s="329">
        <v>178.32</v>
      </c>
      <c r="J13" s="329">
        <v>112.58</v>
      </c>
      <c r="K13" s="329">
        <v>573.14</v>
      </c>
      <c r="L13" s="329">
        <v>0</v>
      </c>
      <c r="M13" s="329">
        <v>281.08999999999997</v>
      </c>
      <c r="N13" s="331">
        <f>L13+M13</f>
        <v>281.08999999999997</v>
      </c>
      <c r="O13" s="321">
        <f t="shared" si="1"/>
        <v>1.3398279224240937</v>
      </c>
      <c r="P13" s="321">
        <v>1</v>
      </c>
      <c r="Q13" s="321"/>
      <c r="R13" s="321">
        <v>1</v>
      </c>
      <c r="S13" s="321"/>
      <c r="T13" s="322">
        <v>1</v>
      </c>
      <c r="U13" s="322"/>
      <c r="V13" s="322"/>
      <c r="W13" s="335">
        <v>6</v>
      </c>
      <c r="X13" s="336">
        <v>6</v>
      </c>
      <c r="Y13" s="339"/>
      <c r="Z13" s="338"/>
    </row>
    <row r="14" spans="1:26" x14ac:dyDescent="0.2">
      <c r="A14" s="74" t="s">
        <v>101</v>
      </c>
      <c r="B14" s="651">
        <f>'Resumo Proposta'!D29</f>
        <v>0</v>
      </c>
      <c r="C14" s="652">
        <v>1733.91</v>
      </c>
      <c r="D14" s="317">
        <f>C14-E14-F14-G14-H14</f>
        <v>128.06000000000023</v>
      </c>
      <c r="E14" s="317">
        <f t="shared" si="0"/>
        <v>548.18999999999994</v>
      </c>
      <c r="F14" s="329">
        <v>852.69</v>
      </c>
      <c r="G14" s="329">
        <v>87.7</v>
      </c>
      <c r="H14" s="329">
        <v>117.27</v>
      </c>
      <c r="I14" s="329">
        <v>187.88</v>
      </c>
      <c r="J14" s="329">
        <v>147.66999999999999</v>
      </c>
      <c r="K14" s="329">
        <v>98.24</v>
      </c>
      <c r="L14" s="329">
        <v>0</v>
      </c>
      <c r="M14" s="329">
        <v>286.83</v>
      </c>
      <c r="N14" s="331">
        <f>L14+M14</f>
        <v>286.83</v>
      </c>
      <c r="O14" s="321">
        <f t="shared" si="1"/>
        <v>1.7761258012740586</v>
      </c>
      <c r="P14" s="332">
        <v>1</v>
      </c>
      <c r="Q14" s="333"/>
      <c r="R14" s="333"/>
      <c r="S14" s="333">
        <v>1</v>
      </c>
      <c r="T14" s="334"/>
      <c r="U14" s="334">
        <v>1</v>
      </c>
      <c r="V14" s="334"/>
      <c r="W14" s="335">
        <v>6</v>
      </c>
      <c r="X14" s="336">
        <v>6</v>
      </c>
      <c r="Y14" s="339"/>
      <c r="Z14" s="338"/>
    </row>
    <row r="15" spans="1:26" x14ac:dyDescent="0.2">
      <c r="A15" s="74" t="s">
        <v>103</v>
      </c>
      <c r="B15" s="651">
        <f>'Resumo Proposta'!D30</f>
        <v>0</v>
      </c>
      <c r="C15" s="652"/>
      <c r="D15" s="317"/>
      <c r="E15" s="317">
        <f t="shared" si="0"/>
        <v>900</v>
      </c>
      <c r="F15" s="329"/>
      <c r="G15" s="329"/>
      <c r="H15" s="329"/>
      <c r="I15" s="329"/>
      <c r="J15" s="329"/>
      <c r="K15" s="329"/>
      <c r="L15" s="329"/>
      <c r="M15" s="329"/>
      <c r="N15" s="331"/>
      <c r="O15" s="321">
        <f t="shared" si="1"/>
        <v>1</v>
      </c>
      <c r="P15" s="332">
        <v>1</v>
      </c>
      <c r="Q15" s="333"/>
      <c r="R15" s="333"/>
      <c r="S15" s="333"/>
      <c r="T15" s="334"/>
      <c r="U15" s="334"/>
      <c r="V15" s="334">
        <v>1</v>
      </c>
      <c r="W15" s="335">
        <v>6</v>
      </c>
      <c r="X15" s="336">
        <v>6</v>
      </c>
      <c r="Y15" s="339"/>
      <c r="Z15" s="338"/>
    </row>
    <row r="16" spans="1:26" x14ac:dyDescent="0.2">
      <c r="A16" s="74" t="s">
        <v>105</v>
      </c>
      <c r="B16" s="651">
        <f>'Resumo Proposta'!D31</f>
        <v>0</v>
      </c>
      <c r="C16" s="652">
        <v>1428.32</v>
      </c>
      <c r="D16" s="317">
        <f>C16-E16-F16-G16-H16</f>
        <v>-174.45000000000007</v>
      </c>
      <c r="E16" s="317">
        <f t="shared" si="0"/>
        <v>765.78</v>
      </c>
      <c r="F16" s="329">
        <v>652.46</v>
      </c>
      <c r="G16" s="329">
        <v>139.79</v>
      </c>
      <c r="H16" s="329">
        <v>44.74</v>
      </c>
      <c r="I16" s="329">
        <v>69.94</v>
      </c>
      <c r="J16" s="329">
        <v>114.73</v>
      </c>
      <c r="K16" s="329">
        <v>326.63</v>
      </c>
      <c r="L16" s="329">
        <v>0</v>
      </c>
      <c r="M16" s="329">
        <v>413.11</v>
      </c>
      <c r="N16" s="331">
        <f>L16+M16</f>
        <v>413.11</v>
      </c>
      <c r="O16" s="321">
        <f t="shared" si="1"/>
        <v>1.4170521581954991</v>
      </c>
      <c r="P16" s="332">
        <v>1</v>
      </c>
      <c r="Q16" s="333"/>
      <c r="R16" s="333"/>
      <c r="S16" s="333">
        <v>1</v>
      </c>
      <c r="T16" s="334"/>
      <c r="U16" s="334"/>
      <c r="V16" s="334">
        <v>1</v>
      </c>
      <c r="W16" s="335">
        <v>6</v>
      </c>
      <c r="X16" s="336">
        <v>6</v>
      </c>
      <c r="Y16" s="339"/>
      <c r="Z16" s="338"/>
    </row>
    <row r="17" spans="1:1006" x14ac:dyDescent="0.2">
      <c r="A17" s="74" t="s">
        <v>107</v>
      </c>
      <c r="B17" s="651">
        <f>'Resumo Proposta'!D32</f>
        <v>0</v>
      </c>
      <c r="C17" s="652"/>
      <c r="D17" s="317"/>
      <c r="E17" s="317">
        <f t="shared" si="0"/>
        <v>900</v>
      </c>
      <c r="F17" s="329"/>
      <c r="G17" s="329"/>
      <c r="H17" s="329"/>
      <c r="I17" s="329"/>
      <c r="J17" s="329"/>
      <c r="K17" s="329"/>
      <c r="L17" s="329"/>
      <c r="M17" s="329"/>
      <c r="N17" s="331"/>
      <c r="O17" s="321">
        <f t="shared" si="1"/>
        <v>1</v>
      </c>
      <c r="P17" s="332">
        <v>1</v>
      </c>
      <c r="Q17" s="333"/>
      <c r="R17" s="333"/>
      <c r="S17" s="333"/>
      <c r="T17" s="334"/>
      <c r="U17" s="334"/>
      <c r="V17" s="334"/>
      <c r="W17" s="335">
        <v>6</v>
      </c>
      <c r="X17" s="336">
        <v>6</v>
      </c>
      <c r="Y17" s="339"/>
      <c r="Z17" s="338"/>
    </row>
    <row r="18" spans="1:1006" x14ac:dyDescent="0.2">
      <c r="A18" s="74" t="s">
        <v>108</v>
      </c>
      <c r="B18" s="651">
        <f>'Resumo Proposta'!D33</f>
        <v>0</v>
      </c>
      <c r="C18" s="652"/>
      <c r="D18" s="317"/>
      <c r="E18" s="317">
        <f t="shared" si="0"/>
        <v>900</v>
      </c>
      <c r="F18" s="329"/>
      <c r="G18" s="329"/>
      <c r="H18" s="329"/>
      <c r="I18" s="329"/>
      <c r="J18" s="329"/>
      <c r="K18" s="329"/>
      <c r="L18" s="329"/>
      <c r="M18" s="329"/>
      <c r="N18" s="331"/>
      <c r="O18" s="321">
        <f t="shared" si="1"/>
        <v>1</v>
      </c>
      <c r="P18" s="332">
        <v>1</v>
      </c>
      <c r="Q18" s="333"/>
      <c r="R18" s="333"/>
      <c r="S18" s="333"/>
      <c r="T18" s="334"/>
      <c r="U18" s="334"/>
      <c r="V18" s="334"/>
      <c r="W18" s="335">
        <v>6</v>
      </c>
      <c r="X18" s="336">
        <v>6</v>
      </c>
      <c r="Y18" s="339"/>
      <c r="Z18" s="338"/>
    </row>
    <row r="19" spans="1:1006" x14ac:dyDescent="0.2">
      <c r="A19" s="74" t="s">
        <v>109</v>
      </c>
      <c r="B19" s="651">
        <f>'Resumo Proposta'!D34</f>
        <v>0</v>
      </c>
      <c r="C19" s="652"/>
      <c r="D19" s="317"/>
      <c r="E19" s="317">
        <f t="shared" si="0"/>
        <v>900</v>
      </c>
      <c r="F19" s="329"/>
      <c r="G19" s="329"/>
      <c r="H19" s="329"/>
      <c r="I19" s="329"/>
      <c r="J19" s="329"/>
      <c r="K19" s="329"/>
      <c r="L19" s="329"/>
      <c r="M19" s="329"/>
      <c r="N19" s="331"/>
      <c r="O19" s="321">
        <f t="shared" si="1"/>
        <v>1</v>
      </c>
      <c r="P19" s="332">
        <v>1</v>
      </c>
      <c r="Q19" s="333"/>
      <c r="R19" s="333"/>
      <c r="S19" s="333"/>
      <c r="T19" s="334"/>
      <c r="U19" s="334"/>
      <c r="V19" s="334"/>
      <c r="W19" s="335">
        <v>6</v>
      </c>
      <c r="X19" s="336">
        <v>6</v>
      </c>
      <c r="Y19" s="339"/>
      <c r="Z19" s="338"/>
    </row>
    <row r="20" spans="1:1006" x14ac:dyDescent="0.2">
      <c r="A20" s="74" t="s">
        <v>111</v>
      </c>
      <c r="B20" s="651">
        <f>'Resumo Proposta'!D35</f>
        <v>0</v>
      </c>
      <c r="C20" s="652"/>
      <c r="D20" s="317"/>
      <c r="E20" s="317">
        <f t="shared" si="0"/>
        <v>900</v>
      </c>
      <c r="F20" s="341"/>
      <c r="G20" s="341"/>
      <c r="H20" s="341"/>
      <c r="I20" s="341"/>
      <c r="J20" s="341"/>
      <c r="K20" s="341"/>
      <c r="L20" s="341"/>
      <c r="M20" s="341"/>
      <c r="N20" s="343"/>
      <c r="O20" s="321">
        <f t="shared" si="1"/>
        <v>1</v>
      </c>
      <c r="P20" s="332">
        <v>1</v>
      </c>
      <c r="Q20" s="333"/>
      <c r="R20" s="333"/>
      <c r="S20" s="333"/>
      <c r="T20" s="334"/>
      <c r="U20" s="334"/>
      <c r="V20" s="334"/>
      <c r="W20" s="335">
        <v>6</v>
      </c>
      <c r="X20" s="336">
        <v>6</v>
      </c>
      <c r="Y20" s="339"/>
      <c r="Z20" s="338"/>
    </row>
    <row r="21" spans="1:1006" x14ac:dyDescent="0.2">
      <c r="A21" s="344" t="s">
        <v>459</v>
      </c>
      <c r="B21" s="344"/>
      <c r="C21" s="344"/>
      <c r="D21" s="345">
        <f t="shared" ref="D21:Z21" si="2">SUM(D4:D20)</f>
        <v>560.50000000000091</v>
      </c>
      <c r="E21" s="345">
        <f t="shared" si="2"/>
        <v>13025.460000000001</v>
      </c>
      <c r="F21" s="345">
        <f t="shared" si="2"/>
        <v>6482.3300000000008</v>
      </c>
      <c r="G21" s="345">
        <f t="shared" si="2"/>
        <v>1711.9199999999998</v>
      </c>
      <c r="H21" s="345">
        <f t="shared" si="2"/>
        <v>758.18000000000006</v>
      </c>
      <c r="I21" s="345">
        <f t="shared" si="2"/>
        <v>1493.1399999999999</v>
      </c>
      <c r="J21" s="345">
        <f t="shared" si="2"/>
        <v>1271.0300000000002</v>
      </c>
      <c r="K21" s="345">
        <f t="shared" si="2"/>
        <v>2139.08</v>
      </c>
      <c r="L21" s="345">
        <f t="shared" si="2"/>
        <v>0</v>
      </c>
      <c r="M21" s="345">
        <f t="shared" si="2"/>
        <v>3286.4</v>
      </c>
      <c r="N21" s="345">
        <f t="shared" si="2"/>
        <v>3286.4</v>
      </c>
      <c r="O21" s="348">
        <f t="shared" si="2"/>
        <v>23.820090333927798</v>
      </c>
      <c r="P21" s="350">
        <f t="shared" si="2"/>
        <v>17</v>
      </c>
      <c r="Q21" s="350">
        <f t="shared" si="2"/>
        <v>3</v>
      </c>
      <c r="R21" s="350">
        <f t="shared" si="2"/>
        <v>2</v>
      </c>
      <c r="S21" s="350">
        <f t="shared" si="2"/>
        <v>4</v>
      </c>
      <c r="T21" s="656">
        <f t="shared" si="2"/>
        <v>4</v>
      </c>
      <c r="U21" s="656">
        <f t="shared" si="2"/>
        <v>4</v>
      </c>
      <c r="V21" s="656">
        <f t="shared" si="2"/>
        <v>3</v>
      </c>
      <c r="W21" s="353">
        <f t="shared" si="2"/>
        <v>102</v>
      </c>
      <c r="X21" s="354">
        <f t="shared" si="2"/>
        <v>102</v>
      </c>
      <c r="Y21" s="355">
        <f t="shared" si="2"/>
        <v>22</v>
      </c>
      <c r="Z21" s="356">
        <f t="shared" si="2"/>
        <v>1</v>
      </c>
      <c r="ALO21" s="257"/>
      <c r="ALP21" s="257"/>
      <c r="ALQ21" s="257"/>
      <c r="ALR21" s="257"/>
    </row>
    <row r="22" spans="1:1006" ht="15" x14ac:dyDescent="0.25">
      <c r="A22" s="357" t="s">
        <v>460</v>
      </c>
      <c r="B22" s="357"/>
      <c r="C22" s="357"/>
      <c r="D22" s="358">
        <v>900</v>
      </c>
      <c r="E22" s="358">
        <v>900</v>
      </c>
      <c r="F22" s="359">
        <v>2500</v>
      </c>
      <c r="G22" s="359">
        <v>1500</v>
      </c>
      <c r="H22" s="359">
        <v>300</v>
      </c>
      <c r="I22" s="359">
        <v>2000</v>
      </c>
      <c r="J22" s="359">
        <v>100000</v>
      </c>
      <c r="K22" s="359">
        <v>9000</v>
      </c>
      <c r="L22" s="359">
        <v>160</v>
      </c>
      <c r="M22" s="359">
        <v>380</v>
      </c>
      <c r="N22" s="360">
        <v>380</v>
      </c>
      <c r="O22" s="361"/>
      <c r="P22" s="362" t="s">
        <v>461</v>
      </c>
      <c r="Q22" s="363">
        <f>P21+Q21+R21+S21</f>
        <v>26</v>
      </c>
      <c r="R22" s="364"/>
      <c r="S22" s="364"/>
      <c r="T22" s="362" t="s">
        <v>461</v>
      </c>
      <c r="U22" s="365">
        <f>T21+U21+V21</f>
        <v>11</v>
      </c>
      <c r="V22" s="289"/>
      <c r="W22" s="366"/>
      <c r="X22" s="366"/>
      <c r="Y22" s="366"/>
      <c r="Z22" s="289"/>
      <c r="ALR22" s="290"/>
    </row>
    <row r="23" spans="1:1006" ht="15" x14ac:dyDescent="0.25">
      <c r="A23" s="367" t="s">
        <v>462</v>
      </c>
      <c r="B23" s="367"/>
      <c r="C23" s="367"/>
      <c r="D23" s="368">
        <f t="shared" ref="D23:K23" si="3">D21/D22</f>
        <v>0.62277777777777876</v>
      </c>
      <c r="E23" s="368">
        <f t="shared" si="3"/>
        <v>14.472733333333334</v>
      </c>
      <c r="F23" s="369">
        <f t="shared" si="3"/>
        <v>2.5929320000000002</v>
      </c>
      <c r="G23" s="369">
        <f t="shared" si="3"/>
        <v>1.1412799999999999</v>
      </c>
      <c r="H23" s="369">
        <f t="shared" si="3"/>
        <v>2.5272666666666668</v>
      </c>
      <c r="I23" s="369">
        <f t="shared" si="3"/>
        <v>0.74656999999999996</v>
      </c>
      <c r="J23" s="369">
        <f t="shared" si="3"/>
        <v>1.2710300000000002E-2</v>
      </c>
      <c r="K23" s="369">
        <f t="shared" si="3"/>
        <v>0.23767555555555556</v>
      </c>
      <c r="L23" s="369">
        <f>1/L22*8*1/1132.6*L21</f>
        <v>0</v>
      </c>
      <c r="M23" s="369">
        <f>1/M22*16*1/188.76*M21</f>
        <v>0.73307235029723072</v>
      </c>
      <c r="N23" s="370">
        <f>1/N22*16*1/188.76*N21</f>
        <v>0.73307235029723072</v>
      </c>
      <c r="O23" s="371">
        <f>SUM(D23:N23)-L23</f>
        <v>23.820090333927791</v>
      </c>
      <c r="P23" s="362" t="s">
        <v>463</v>
      </c>
      <c r="Q23" s="365">
        <f>P21+Q21+(R21*0.75)+(S21*0.5)</f>
        <v>23.5</v>
      </c>
      <c r="R23" s="289"/>
      <c r="S23" s="289"/>
      <c r="T23" s="372"/>
      <c r="U23" s="372"/>
      <c r="V23" s="289"/>
      <c r="W23" s="289"/>
      <c r="X23" s="289"/>
      <c r="Y23" s="289"/>
      <c r="Z23" s="289"/>
      <c r="ALR23" s="290"/>
    </row>
    <row r="24" spans="1:1006" ht="15" x14ac:dyDescent="0.25">
      <c r="A24" s="373" t="s">
        <v>464</v>
      </c>
      <c r="B24" s="373"/>
      <c r="C24" s="373"/>
      <c r="D24" s="374">
        <f t="shared" ref="D24:K24" si="4">D21/($O23*D22)</f>
        <v>2.6145063643639277E-2</v>
      </c>
      <c r="E24" s="374">
        <f t="shared" si="4"/>
        <v>0.60758515733751495</v>
      </c>
      <c r="F24" s="375">
        <f t="shared" si="4"/>
        <v>0.10885483487469384</v>
      </c>
      <c r="G24" s="375">
        <f t="shared" si="4"/>
        <v>4.7912496720234295E-2</v>
      </c>
      <c r="H24" s="375">
        <f t="shared" si="4"/>
        <v>0.10609811429081745</v>
      </c>
      <c r="I24" s="375">
        <f t="shared" si="4"/>
        <v>3.1342030594091998E-2</v>
      </c>
      <c r="J24" s="375">
        <f t="shared" si="4"/>
        <v>5.3359579337515256E-4</v>
      </c>
      <c r="K24" s="375">
        <f t="shared" si="4"/>
        <v>9.9779451808806076E-3</v>
      </c>
      <c r="L24" s="375">
        <f>1/$O23*1/L22*16*1/188.76*L21</f>
        <v>0</v>
      </c>
      <c r="M24" s="375">
        <f>1/$O23*1/M22*16*1/188.76*M21</f>
        <v>3.0775380782376384E-2</v>
      </c>
      <c r="N24" s="375">
        <f>1/$O23*1/N22*16*1/188.76*N21</f>
        <v>3.0775380782376384E-2</v>
      </c>
      <c r="O24" s="376">
        <f>SUM(D24:N24)</f>
        <v>1.0000000000000002</v>
      </c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90"/>
      <c r="ALR24" s="290"/>
    </row>
    <row r="25" spans="1:1006" ht="15" hidden="1" x14ac:dyDescent="0.25">
      <c r="A25" s="377" t="s">
        <v>465</v>
      </c>
      <c r="B25" s="377"/>
      <c r="C25" s="377"/>
      <c r="D25" s="378">
        <f>ROUND(1/D22,9)</f>
        <v>1.1111109999999999E-3</v>
      </c>
      <c r="E25" s="378"/>
      <c r="F25" s="379">
        <f t="shared" ref="F25:K25" si="5">ROUND(1/F22,9)</f>
        <v>4.0000000000000002E-4</v>
      </c>
      <c r="G25" s="379">
        <f t="shared" si="5"/>
        <v>6.6666700000000002E-4</v>
      </c>
      <c r="H25" s="379">
        <f t="shared" si="5"/>
        <v>3.333333E-3</v>
      </c>
      <c r="I25" s="379">
        <f t="shared" si="5"/>
        <v>5.0000000000000001E-4</v>
      </c>
      <c r="J25" s="379">
        <f t="shared" si="5"/>
        <v>1.0000000000000001E-5</v>
      </c>
      <c r="K25" s="379">
        <f t="shared" si="5"/>
        <v>1.11111E-4</v>
      </c>
      <c r="L25" s="380">
        <f>(1/L22)*(1/N30)*8</f>
        <v>4.8611111111111115E-5</v>
      </c>
      <c r="M25" s="380">
        <f>(1/M22)*(1/N29)*16</f>
        <v>2.4561403508771931E-4</v>
      </c>
      <c r="N25" s="381">
        <f>(1/N22)*(1/N29)*16</f>
        <v>2.4561403508771931E-4</v>
      </c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LR25" s="290"/>
    </row>
    <row r="26" spans="1:1006" ht="15" hidden="1" x14ac:dyDescent="0.25">
      <c r="A26" s="382" t="s">
        <v>466</v>
      </c>
      <c r="B26" s="382"/>
      <c r="C26" s="382"/>
      <c r="D26" s="383">
        <f>D25/$Z$21</f>
        <v>1.1111109999999999E-3</v>
      </c>
      <c r="E26" s="383"/>
      <c r="F26" s="384">
        <f t="shared" ref="F26:N26" si="6">F25/$Z$21</f>
        <v>4.0000000000000002E-4</v>
      </c>
      <c r="G26" s="384">
        <f t="shared" si="6"/>
        <v>6.6666700000000002E-4</v>
      </c>
      <c r="H26" s="384">
        <f t="shared" si="6"/>
        <v>3.333333E-3</v>
      </c>
      <c r="I26" s="384">
        <f t="shared" si="6"/>
        <v>5.0000000000000001E-4</v>
      </c>
      <c r="J26" s="384">
        <f t="shared" si="6"/>
        <v>1.0000000000000001E-5</v>
      </c>
      <c r="K26" s="384">
        <f t="shared" si="6"/>
        <v>1.11111E-4</v>
      </c>
      <c r="L26" s="385">
        <f t="shared" si="6"/>
        <v>4.8611111111111115E-5</v>
      </c>
      <c r="M26" s="385">
        <f t="shared" si="6"/>
        <v>2.4561403508771931E-4</v>
      </c>
      <c r="N26" s="386">
        <f t="shared" si="6"/>
        <v>2.4561403508771931E-4</v>
      </c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LR26" s="290"/>
    </row>
    <row r="27" spans="1:1006" ht="15" x14ac:dyDescent="0.25">
      <c r="A27" s="387" t="s">
        <v>467</v>
      </c>
      <c r="B27" s="387"/>
      <c r="C27" s="387"/>
      <c r="D27" s="388" t="s">
        <v>468</v>
      </c>
      <c r="E27" s="388" t="s">
        <v>468</v>
      </c>
      <c r="F27" s="389" t="s">
        <v>469</v>
      </c>
      <c r="G27" s="389" t="s">
        <v>470</v>
      </c>
      <c r="H27" s="389" t="s">
        <v>471</v>
      </c>
      <c r="I27" s="390" t="s">
        <v>472</v>
      </c>
      <c r="J27" s="390" t="s">
        <v>472</v>
      </c>
      <c r="K27" s="390" t="s">
        <v>473</v>
      </c>
      <c r="L27" s="391" t="s">
        <v>474</v>
      </c>
      <c r="M27" s="391" t="s">
        <v>475</v>
      </c>
      <c r="N27" s="392" t="s">
        <v>475</v>
      </c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LR27" s="290"/>
    </row>
    <row r="28" spans="1:1006" ht="15" hidden="1" x14ac:dyDescent="0.25">
      <c r="A28" s="290"/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LO28" s="257"/>
      <c r="ALP28" s="257"/>
      <c r="ALQ28" s="257"/>
      <c r="ALR28" s="257"/>
    </row>
    <row r="29" spans="1:1006" ht="15" hidden="1" x14ac:dyDescent="0.25">
      <c r="A29" s="290"/>
      <c r="B29" s="290"/>
      <c r="C29" s="290"/>
      <c r="D29" s="290"/>
      <c r="E29" s="290"/>
      <c r="F29" s="290"/>
      <c r="G29" s="290"/>
      <c r="H29" s="290"/>
      <c r="I29" s="290"/>
      <c r="J29" s="290"/>
      <c r="K29" s="290"/>
      <c r="L29" s="393">
        <f>30/7</f>
        <v>4.2857142857142856</v>
      </c>
      <c r="M29" s="393">
        <v>40</v>
      </c>
      <c r="N29" s="393">
        <f>L29*M29</f>
        <v>171.42857142857142</v>
      </c>
      <c r="O29" s="393"/>
      <c r="P29" s="393"/>
      <c r="Q29" s="393"/>
      <c r="R29" s="393"/>
      <c r="S29" s="393"/>
      <c r="T29" s="393"/>
      <c r="U29" s="393"/>
      <c r="V29" s="393"/>
      <c r="W29" s="393"/>
      <c r="X29" s="393"/>
      <c r="Y29" s="393"/>
      <c r="Z29" s="393"/>
      <c r="ALO29" s="257"/>
      <c r="ALP29" s="257"/>
      <c r="ALQ29" s="257"/>
      <c r="ALR29" s="257"/>
    </row>
    <row r="30" spans="1:1006" ht="15" hidden="1" x14ac:dyDescent="0.25">
      <c r="A30" s="290"/>
      <c r="B30" s="290"/>
      <c r="C30" s="290"/>
      <c r="D30" s="290"/>
      <c r="E30" s="290"/>
      <c r="F30" s="290"/>
      <c r="G30" s="290"/>
      <c r="H30" s="290"/>
      <c r="I30" s="290"/>
      <c r="J30" s="290"/>
      <c r="K30" s="290"/>
      <c r="L30" s="393"/>
      <c r="M30" s="393"/>
      <c r="N30" s="393">
        <f>N29*6</f>
        <v>1028.5714285714284</v>
      </c>
      <c r="O30" s="393" t="s">
        <v>476</v>
      </c>
      <c r="P30" s="393"/>
      <c r="Q30" s="393"/>
      <c r="R30" s="393"/>
      <c r="S30" s="393"/>
      <c r="T30" s="393"/>
      <c r="U30" s="393"/>
      <c r="V30" s="393"/>
      <c r="W30" s="393"/>
      <c r="X30" s="393"/>
      <c r="Y30" s="393"/>
      <c r="Z30" s="393"/>
      <c r="ALO30" s="257"/>
      <c r="ALP30" s="257"/>
      <c r="ALQ30" s="257"/>
      <c r="ALR30" s="257"/>
    </row>
    <row r="181" spans="4:4" x14ac:dyDescent="0.2">
      <c r="D181">
        <f>(1/'Prod. GEXCAX'!L17)*(1/('Prod. GEXCAX'!L18))*8</f>
        <v>3.8910265219183722</v>
      </c>
    </row>
  </sheetData>
  <mergeCells count="21">
    <mergeCell ref="M2:M3"/>
    <mergeCell ref="N2:N3"/>
    <mergeCell ref="O2:O3"/>
    <mergeCell ref="P2:S2"/>
    <mergeCell ref="T2:V2"/>
    <mergeCell ref="C1:H1"/>
    <mergeCell ref="I1:K1"/>
    <mergeCell ref="L1:N1"/>
    <mergeCell ref="W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" right="0" top="0.39374999999999999" bottom="0.39374999999999999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CFD6"/>
  </sheetPr>
  <dimension ref="A1:AMK198"/>
  <sheetViews>
    <sheetView zoomScale="75" zoomScaleNormal="75" workbookViewId="0">
      <pane xSplit="2" ySplit="10" topLeftCell="C147" activePane="bottomRight" state="frozen"/>
      <selection pane="topRight" activeCell="C1" sqref="C1"/>
      <selection pane="bottomLeft" activeCell="A147" sqref="A147"/>
      <selection pane="bottomRight" activeCell="M148" sqref="M148:N148"/>
    </sheetView>
  </sheetViews>
  <sheetFormatPr defaultRowHeight="14.25" x14ac:dyDescent="0.2"/>
  <cols>
    <col min="1" max="1" width="58.125" style="393" customWidth="1"/>
    <col min="2" max="2" width="16.25" style="393" customWidth="1"/>
    <col min="3" max="12" width="14" style="393" customWidth="1"/>
    <col min="13" max="13" width="15.125" style="393" customWidth="1"/>
    <col min="14" max="14" width="10.5" style="393" customWidth="1"/>
    <col min="15" max="15" width="14.25" style="393" customWidth="1"/>
    <col min="16" max="1025" width="10.5" style="393" customWidth="1"/>
  </cols>
  <sheetData>
    <row r="1" spans="1:9" ht="15.75" x14ac:dyDescent="0.2">
      <c r="A1" s="768" t="s">
        <v>477</v>
      </c>
      <c r="B1" s="768"/>
      <c r="C1" s="768"/>
      <c r="D1" s="768"/>
      <c r="E1" s="768"/>
      <c r="F1" s="768"/>
      <c r="G1" s="768"/>
      <c r="H1" s="768"/>
      <c r="I1" s="768"/>
    </row>
    <row r="2" spans="1:9" ht="15.75" x14ac:dyDescent="0.2">
      <c r="A2" s="769" t="s">
        <v>478</v>
      </c>
      <c r="B2" s="769"/>
      <c r="C2" s="769"/>
      <c r="D2" s="769"/>
      <c r="E2" s="769"/>
      <c r="F2" s="769"/>
      <c r="G2" s="769"/>
      <c r="H2" s="769"/>
      <c r="I2" s="769"/>
    </row>
    <row r="3" spans="1:9" ht="15.75" customHeight="1" x14ac:dyDescent="0.2">
      <c r="A3" s="769" t="s">
        <v>479</v>
      </c>
      <c r="B3" s="769"/>
      <c r="C3" s="769"/>
      <c r="D3" s="769"/>
      <c r="E3" s="769"/>
      <c r="F3" s="769"/>
      <c r="G3" s="769"/>
      <c r="H3" s="769"/>
      <c r="I3" s="769"/>
    </row>
    <row r="4" spans="1:9" ht="24" x14ac:dyDescent="0.2">
      <c r="A4" s="394"/>
      <c r="B4" s="395"/>
      <c r="C4" s="770" t="s">
        <v>480</v>
      </c>
      <c r="D4" s="770"/>
      <c r="E4" s="771" t="s">
        <v>481</v>
      </c>
      <c r="F4" s="771"/>
      <c r="G4" s="397" t="s">
        <v>482</v>
      </c>
      <c r="H4" s="398" t="s">
        <v>483</v>
      </c>
      <c r="I4" s="399" t="s">
        <v>484</v>
      </c>
    </row>
    <row r="5" spans="1:9" x14ac:dyDescent="0.2">
      <c r="A5" s="400"/>
      <c r="B5" s="401" t="s">
        <v>485</v>
      </c>
      <c r="C5" s="772">
        <f>MC!$D11</f>
        <v>0</v>
      </c>
      <c r="D5" s="772"/>
      <c r="E5" s="772">
        <f>MC!$E11</f>
        <v>0</v>
      </c>
      <c r="F5" s="772"/>
      <c r="G5" s="403">
        <f>MC!$F11</f>
        <v>0</v>
      </c>
      <c r="H5" s="404">
        <f>MC!$C13</f>
        <v>0</v>
      </c>
      <c r="I5" s="404">
        <f>MC!$D12</f>
        <v>0</v>
      </c>
    </row>
    <row r="6" spans="1:9" x14ac:dyDescent="0.2">
      <c r="A6" s="400"/>
      <c r="B6" s="401" t="s">
        <v>486</v>
      </c>
      <c r="C6" s="773">
        <f>MC!$E8</f>
        <v>0</v>
      </c>
      <c r="D6" s="773"/>
      <c r="E6" s="773">
        <f>MC!$E8</f>
        <v>0</v>
      </c>
      <c r="F6" s="773"/>
      <c r="G6" s="406">
        <f>MC!$E8</f>
        <v>0</v>
      </c>
      <c r="H6" s="407">
        <f>MC!$E8</f>
        <v>0</v>
      </c>
      <c r="I6" s="407">
        <f>MC!$E8</f>
        <v>0</v>
      </c>
    </row>
    <row r="7" spans="1:9" x14ac:dyDescent="0.2">
      <c r="A7" s="400"/>
      <c r="B7" s="401" t="s">
        <v>487</v>
      </c>
      <c r="C7" s="773">
        <f>MC!$C8</f>
        <v>0</v>
      </c>
      <c r="D7" s="773"/>
      <c r="E7" s="773">
        <f>MC!$C8</f>
        <v>0</v>
      </c>
      <c r="F7" s="773"/>
      <c r="G7" s="406">
        <f>MC!$C8</f>
        <v>0</v>
      </c>
      <c r="H7" s="407">
        <f>MC!$C8</f>
        <v>0</v>
      </c>
      <c r="I7" s="407">
        <f>MC!$C8</f>
        <v>0</v>
      </c>
    </row>
    <row r="8" spans="1:9" x14ac:dyDescent="0.2">
      <c r="A8" s="400"/>
      <c r="B8" s="401" t="s">
        <v>488</v>
      </c>
      <c r="C8" s="774">
        <f>MC!$F8</f>
        <v>0</v>
      </c>
      <c r="D8" s="774"/>
      <c r="E8" s="775">
        <f>MC!$F8</f>
        <v>0</v>
      </c>
      <c r="F8" s="775"/>
      <c r="G8" s="409">
        <f>MC!$F8</f>
        <v>0</v>
      </c>
      <c r="H8" s="410">
        <f>MC!$F8</f>
        <v>0</v>
      </c>
      <c r="I8" s="410">
        <f>MC!$F8</f>
        <v>0</v>
      </c>
    </row>
    <row r="9" spans="1:9" x14ac:dyDescent="0.2">
      <c r="A9" s="776"/>
      <c r="B9" s="776"/>
      <c r="C9" s="776"/>
      <c r="D9" s="776"/>
      <c r="E9" s="776"/>
      <c r="F9" s="776"/>
      <c r="G9" s="776"/>
      <c r="H9" s="776"/>
      <c r="I9" s="776"/>
    </row>
    <row r="10" spans="1:9" ht="56.1" customHeight="1" x14ac:dyDescent="0.2">
      <c r="A10" s="411" t="s">
        <v>489</v>
      </c>
      <c r="B10" s="412" t="s">
        <v>490</v>
      </c>
      <c r="C10" s="413" t="s">
        <v>491</v>
      </c>
      <c r="D10" s="413" t="s">
        <v>492</v>
      </c>
      <c r="E10" s="413" t="s">
        <v>493</v>
      </c>
      <c r="F10" s="413" t="s">
        <v>494</v>
      </c>
      <c r="G10" s="413" t="s">
        <v>495</v>
      </c>
      <c r="H10" s="413" t="s">
        <v>496</v>
      </c>
      <c r="I10" s="414" t="s">
        <v>497</v>
      </c>
    </row>
    <row r="11" spans="1:9" ht="14.25" customHeight="1" x14ac:dyDescent="0.2">
      <c r="A11" s="777" t="s">
        <v>498</v>
      </c>
      <c r="B11" s="777"/>
      <c r="C11" s="777"/>
      <c r="D11" s="777"/>
      <c r="E11" s="777"/>
      <c r="F11" s="777"/>
      <c r="G11" s="777"/>
      <c r="H11" s="777"/>
      <c r="I11" s="777"/>
    </row>
    <row r="12" spans="1:9" ht="15.75" customHeight="1" x14ac:dyDescent="0.2">
      <c r="A12" s="415" t="s">
        <v>499</v>
      </c>
      <c r="B12" s="416" t="s">
        <v>500</v>
      </c>
      <c r="C12" s="416" t="s">
        <v>501</v>
      </c>
      <c r="D12" s="416" t="s">
        <v>501</v>
      </c>
      <c r="E12" s="416" t="s">
        <v>501</v>
      </c>
      <c r="F12" s="416" t="s">
        <v>501</v>
      </c>
      <c r="G12" s="416" t="s">
        <v>501</v>
      </c>
      <c r="H12" s="416" t="s">
        <v>501</v>
      </c>
      <c r="I12" s="417" t="s">
        <v>501</v>
      </c>
    </row>
    <row r="13" spans="1:9" ht="15.75" customHeight="1" x14ac:dyDescent="0.2">
      <c r="A13" s="418" t="s">
        <v>502</v>
      </c>
      <c r="B13" s="419"/>
      <c r="C13" s="420">
        <f>C5</f>
        <v>0</v>
      </c>
      <c r="D13" s="420">
        <f>C5</f>
        <v>0</v>
      </c>
      <c r="E13" s="421">
        <f>E5</f>
        <v>0</v>
      </c>
      <c r="F13" s="421">
        <f>E5</f>
        <v>0</v>
      </c>
      <c r="G13" s="421">
        <f>G5</f>
        <v>0</v>
      </c>
      <c r="H13" s="421">
        <f>H5</f>
        <v>0</v>
      </c>
      <c r="I13" s="422">
        <f>I5</f>
        <v>0</v>
      </c>
    </row>
    <row r="14" spans="1:9" ht="15.75" customHeight="1" x14ac:dyDescent="0.2">
      <c r="A14" s="418" t="s">
        <v>503</v>
      </c>
      <c r="B14" s="423" t="s">
        <v>504</v>
      </c>
      <c r="C14" s="420">
        <f>C5*0.4</f>
        <v>0</v>
      </c>
      <c r="D14" s="420">
        <f>C5*0.2</f>
        <v>0</v>
      </c>
      <c r="E14" s="420">
        <f>E5*0.4</f>
        <v>0</v>
      </c>
      <c r="F14" s="420">
        <f>E5*0.2</f>
        <v>0</v>
      </c>
      <c r="G14" s="420">
        <f>G5*0.2</f>
        <v>0</v>
      </c>
      <c r="H14" s="424" t="s">
        <v>85</v>
      </c>
      <c r="I14" s="425" t="s">
        <v>85</v>
      </c>
    </row>
    <row r="15" spans="1:9" ht="15.75" customHeight="1" x14ac:dyDescent="0.2">
      <c r="A15" s="418" t="s">
        <v>505</v>
      </c>
      <c r="B15" s="426"/>
      <c r="C15" s="424" t="s">
        <v>85</v>
      </c>
      <c r="D15" s="424" t="s">
        <v>85</v>
      </c>
      <c r="E15" s="427" t="s">
        <v>85</v>
      </c>
      <c r="F15" s="427" t="s">
        <v>85</v>
      </c>
      <c r="G15" s="427" t="s">
        <v>85</v>
      </c>
      <c r="H15" s="427" t="s">
        <v>85</v>
      </c>
      <c r="I15" s="425" t="s">
        <v>85</v>
      </c>
    </row>
    <row r="16" spans="1:9" ht="15.75" customHeight="1" x14ac:dyDescent="0.2">
      <c r="A16" s="418" t="s">
        <v>506</v>
      </c>
      <c r="B16" s="426"/>
      <c r="C16" s="424" t="s">
        <v>85</v>
      </c>
      <c r="D16" s="424" t="s">
        <v>85</v>
      </c>
      <c r="E16" s="427" t="s">
        <v>85</v>
      </c>
      <c r="F16" s="427" t="s">
        <v>85</v>
      </c>
      <c r="G16" s="427" t="s">
        <v>85</v>
      </c>
      <c r="H16" s="427" t="s">
        <v>85</v>
      </c>
      <c r="I16" s="425" t="s">
        <v>85</v>
      </c>
    </row>
    <row r="17" spans="1:9" ht="15.75" customHeight="1" x14ac:dyDescent="0.2">
      <c r="A17" s="418" t="s">
        <v>507</v>
      </c>
      <c r="B17" s="426"/>
      <c r="C17" s="424" t="s">
        <v>85</v>
      </c>
      <c r="D17" s="424" t="s">
        <v>85</v>
      </c>
      <c r="E17" s="427" t="s">
        <v>85</v>
      </c>
      <c r="F17" s="427" t="s">
        <v>85</v>
      </c>
      <c r="G17" s="427" t="s">
        <v>85</v>
      </c>
      <c r="H17" s="427" t="s">
        <v>85</v>
      </c>
      <c r="I17" s="425" t="s">
        <v>85</v>
      </c>
    </row>
    <row r="18" spans="1:9" ht="15.75" customHeight="1" x14ac:dyDescent="0.2">
      <c r="A18" s="418" t="s">
        <v>508</v>
      </c>
      <c r="B18" s="428"/>
      <c r="C18" s="424" t="s">
        <v>85</v>
      </c>
      <c r="D18" s="424" t="s">
        <v>85</v>
      </c>
      <c r="E18" s="424" t="s">
        <v>85</v>
      </c>
      <c r="F18" s="424" t="s">
        <v>85</v>
      </c>
      <c r="G18" s="424" t="s">
        <v>85</v>
      </c>
      <c r="H18" s="427" t="s">
        <v>85</v>
      </c>
      <c r="I18" s="425" t="s">
        <v>85</v>
      </c>
    </row>
    <row r="19" spans="1:9" ht="15.75" customHeight="1" x14ac:dyDescent="0.2">
      <c r="A19" s="429" t="s">
        <v>509</v>
      </c>
      <c r="B19" s="430"/>
      <c r="C19" s="431">
        <f t="shared" ref="C19:I19" si="0">SUM(C13:C18)</f>
        <v>0</v>
      </c>
      <c r="D19" s="432">
        <f t="shared" si="0"/>
        <v>0</v>
      </c>
      <c r="E19" s="432">
        <f t="shared" si="0"/>
        <v>0</v>
      </c>
      <c r="F19" s="432">
        <f t="shared" si="0"/>
        <v>0</v>
      </c>
      <c r="G19" s="432">
        <f t="shared" si="0"/>
        <v>0</v>
      </c>
      <c r="H19" s="432">
        <f t="shared" si="0"/>
        <v>0</v>
      </c>
      <c r="I19" s="433">
        <f t="shared" si="0"/>
        <v>0</v>
      </c>
    </row>
    <row r="20" spans="1:9" ht="15.75" customHeight="1" x14ac:dyDescent="0.2">
      <c r="A20" s="778"/>
      <c r="B20" s="778"/>
      <c r="C20" s="435"/>
      <c r="D20" s="435"/>
      <c r="E20" s="436"/>
      <c r="F20" s="436"/>
      <c r="G20" s="436"/>
      <c r="H20" s="436"/>
      <c r="I20" s="437"/>
    </row>
    <row r="21" spans="1:9" ht="14.25" customHeight="1" x14ac:dyDescent="0.2">
      <c r="A21" s="777" t="s">
        <v>510</v>
      </c>
      <c r="B21" s="777"/>
      <c r="C21" s="777"/>
      <c r="D21" s="777"/>
      <c r="E21" s="777"/>
      <c r="F21" s="777"/>
      <c r="G21" s="777"/>
      <c r="H21" s="777"/>
      <c r="I21" s="777"/>
    </row>
    <row r="22" spans="1:9" ht="28.35" customHeight="1" x14ac:dyDescent="0.2">
      <c r="A22" s="438" t="s">
        <v>511</v>
      </c>
      <c r="B22" s="439" t="s">
        <v>500</v>
      </c>
      <c r="C22" s="439" t="s">
        <v>501</v>
      </c>
      <c r="D22" s="439" t="s">
        <v>501</v>
      </c>
      <c r="E22" s="439" t="s">
        <v>501</v>
      </c>
      <c r="F22" s="439" t="s">
        <v>501</v>
      </c>
      <c r="G22" s="439" t="s">
        <v>501</v>
      </c>
      <c r="H22" s="439" t="s">
        <v>501</v>
      </c>
      <c r="I22" s="440" t="s">
        <v>501</v>
      </c>
    </row>
    <row r="23" spans="1:9" ht="15.75" customHeight="1" x14ac:dyDescent="0.2">
      <c r="A23" s="441" t="s">
        <v>512</v>
      </c>
      <c r="B23" s="442">
        <f>1/12</f>
        <v>8.3333333333333329E-2</v>
      </c>
      <c r="C23" s="420">
        <f t="shared" ref="C23:I23" si="1">ROUND($B23*C$19,2)</f>
        <v>0</v>
      </c>
      <c r="D23" s="420">
        <f t="shared" si="1"/>
        <v>0</v>
      </c>
      <c r="E23" s="420">
        <f t="shared" si="1"/>
        <v>0</v>
      </c>
      <c r="F23" s="420">
        <f t="shared" si="1"/>
        <v>0</v>
      </c>
      <c r="G23" s="420">
        <f t="shared" si="1"/>
        <v>0</v>
      </c>
      <c r="H23" s="420">
        <f t="shared" si="1"/>
        <v>0</v>
      </c>
      <c r="I23" s="422">
        <f t="shared" si="1"/>
        <v>0</v>
      </c>
    </row>
    <row r="24" spans="1:9" x14ac:dyDescent="0.2">
      <c r="A24" s="441" t="s">
        <v>513</v>
      </c>
      <c r="B24" s="442">
        <f>1/3*1/12</f>
        <v>2.7777777777777776E-2</v>
      </c>
      <c r="C24" s="420">
        <f t="shared" ref="C24:I24" si="2">C$19*$B$24</f>
        <v>0</v>
      </c>
      <c r="D24" s="420">
        <f t="shared" si="2"/>
        <v>0</v>
      </c>
      <c r="E24" s="420">
        <f t="shared" si="2"/>
        <v>0</v>
      </c>
      <c r="F24" s="420">
        <f t="shared" si="2"/>
        <v>0</v>
      </c>
      <c r="G24" s="420">
        <f t="shared" si="2"/>
        <v>0</v>
      </c>
      <c r="H24" s="420">
        <f t="shared" si="2"/>
        <v>0</v>
      </c>
      <c r="I24" s="422">
        <f t="shared" si="2"/>
        <v>0</v>
      </c>
    </row>
    <row r="25" spans="1:9" ht="14.25" customHeight="1" x14ac:dyDescent="0.2">
      <c r="A25" s="429" t="s">
        <v>509</v>
      </c>
      <c r="B25" s="443">
        <f t="shared" ref="B25:I25" si="3">SUM(B23:B24)</f>
        <v>0.1111111111111111</v>
      </c>
      <c r="C25" s="444">
        <f t="shared" si="3"/>
        <v>0</v>
      </c>
      <c r="D25" s="444">
        <f t="shared" si="3"/>
        <v>0</v>
      </c>
      <c r="E25" s="444">
        <f t="shared" si="3"/>
        <v>0</v>
      </c>
      <c r="F25" s="444">
        <f t="shared" si="3"/>
        <v>0</v>
      </c>
      <c r="G25" s="444">
        <f t="shared" si="3"/>
        <v>0</v>
      </c>
      <c r="H25" s="444">
        <f t="shared" si="3"/>
        <v>0</v>
      </c>
      <c r="I25" s="445">
        <f t="shared" si="3"/>
        <v>0</v>
      </c>
    </row>
    <row r="26" spans="1:9" x14ac:dyDescent="0.2">
      <c r="A26" s="438" t="s">
        <v>514</v>
      </c>
      <c r="B26" s="439" t="s">
        <v>500</v>
      </c>
      <c r="C26" s="439" t="s">
        <v>501</v>
      </c>
      <c r="D26" s="439" t="s">
        <v>501</v>
      </c>
      <c r="E26" s="439" t="s">
        <v>501</v>
      </c>
      <c r="F26" s="439" t="s">
        <v>501</v>
      </c>
      <c r="G26" s="439" t="s">
        <v>501</v>
      </c>
      <c r="H26" s="439" t="s">
        <v>501</v>
      </c>
      <c r="I26" s="440" t="s">
        <v>501</v>
      </c>
    </row>
    <row r="27" spans="1:9" ht="15.75" customHeight="1" x14ac:dyDescent="0.2">
      <c r="A27" s="438" t="s">
        <v>515</v>
      </c>
      <c r="B27" s="446"/>
      <c r="C27" s="446"/>
      <c r="D27" s="446"/>
      <c r="E27" s="446"/>
      <c r="F27" s="446"/>
      <c r="G27" s="446"/>
      <c r="H27" s="447"/>
      <c r="I27" s="448"/>
    </row>
    <row r="28" spans="1:9" ht="14.25" customHeight="1" x14ac:dyDescent="0.2">
      <c r="A28" s="441" t="s">
        <v>516</v>
      </c>
      <c r="B28" s="442">
        <v>0.2</v>
      </c>
      <c r="C28" s="449">
        <f>ROUND(($C$19+$C$25)*B28,2)</f>
        <v>0</v>
      </c>
      <c r="D28" s="449">
        <f t="shared" ref="D28:I35" si="4">ROUND((D$19+D$25)*$B28,2)</f>
        <v>0</v>
      </c>
      <c r="E28" s="449">
        <f t="shared" si="4"/>
        <v>0</v>
      </c>
      <c r="F28" s="449">
        <f t="shared" si="4"/>
        <v>0</v>
      </c>
      <c r="G28" s="449">
        <f t="shared" si="4"/>
        <v>0</v>
      </c>
      <c r="H28" s="449">
        <f t="shared" si="4"/>
        <v>0</v>
      </c>
      <c r="I28" s="450">
        <f t="shared" si="4"/>
        <v>0</v>
      </c>
    </row>
    <row r="29" spans="1:9" ht="15.75" customHeight="1" x14ac:dyDescent="0.2">
      <c r="A29" s="441" t="s">
        <v>517</v>
      </c>
      <c r="B29" s="442">
        <v>2.5000000000000001E-2</v>
      </c>
      <c r="C29" s="449">
        <f t="shared" ref="C29:C35" si="5">ROUND((C$19+C$25)*$B29,2)</f>
        <v>0</v>
      </c>
      <c r="D29" s="449">
        <f t="shared" si="4"/>
        <v>0</v>
      </c>
      <c r="E29" s="449">
        <f t="shared" si="4"/>
        <v>0</v>
      </c>
      <c r="F29" s="449">
        <f t="shared" si="4"/>
        <v>0</v>
      </c>
      <c r="G29" s="449">
        <f t="shared" si="4"/>
        <v>0</v>
      </c>
      <c r="H29" s="449">
        <f t="shared" si="4"/>
        <v>0</v>
      </c>
      <c r="I29" s="450">
        <f t="shared" si="4"/>
        <v>0</v>
      </c>
    </row>
    <row r="30" spans="1:9" ht="15.75" customHeight="1" x14ac:dyDescent="0.2">
      <c r="A30" s="441" t="s">
        <v>518</v>
      </c>
      <c r="B30" s="442">
        <v>0.03</v>
      </c>
      <c r="C30" s="449">
        <f t="shared" si="5"/>
        <v>0</v>
      </c>
      <c r="D30" s="449">
        <f t="shared" si="4"/>
        <v>0</v>
      </c>
      <c r="E30" s="449">
        <f t="shared" si="4"/>
        <v>0</v>
      </c>
      <c r="F30" s="449">
        <f t="shared" si="4"/>
        <v>0</v>
      </c>
      <c r="G30" s="449">
        <f t="shared" si="4"/>
        <v>0</v>
      </c>
      <c r="H30" s="449">
        <f t="shared" si="4"/>
        <v>0</v>
      </c>
      <c r="I30" s="450">
        <f t="shared" si="4"/>
        <v>0</v>
      </c>
    </row>
    <row r="31" spans="1:9" ht="15.75" customHeight="1" x14ac:dyDescent="0.2">
      <c r="A31" s="441" t="s">
        <v>519</v>
      </c>
      <c r="B31" s="442">
        <v>1.4999999999999999E-2</v>
      </c>
      <c r="C31" s="449">
        <f t="shared" si="5"/>
        <v>0</v>
      </c>
      <c r="D31" s="449">
        <f t="shared" si="4"/>
        <v>0</v>
      </c>
      <c r="E31" s="449">
        <f t="shared" si="4"/>
        <v>0</v>
      </c>
      <c r="F31" s="449">
        <f t="shared" si="4"/>
        <v>0</v>
      </c>
      <c r="G31" s="449">
        <f t="shared" si="4"/>
        <v>0</v>
      </c>
      <c r="H31" s="449">
        <f t="shared" si="4"/>
        <v>0</v>
      </c>
      <c r="I31" s="450">
        <f t="shared" si="4"/>
        <v>0</v>
      </c>
    </row>
    <row r="32" spans="1:9" ht="15.75" customHeight="1" x14ac:dyDescent="0.2">
      <c r="A32" s="441" t="s">
        <v>520</v>
      </c>
      <c r="B32" s="442">
        <v>0.01</v>
      </c>
      <c r="C32" s="449">
        <f t="shared" si="5"/>
        <v>0</v>
      </c>
      <c r="D32" s="449">
        <f t="shared" si="4"/>
        <v>0</v>
      </c>
      <c r="E32" s="449">
        <f t="shared" si="4"/>
        <v>0</v>
      </c>
      <c r="F32" s="449">
        <f t="shared" si="4"/>
        <v>0</v>
      </c>
      <c r="G32" s="449">
        <f t="shared" si="4"/>
        <v>0</v>
      </c>
      <c r="H32" s="449">
        <f t="shared" si="4"/>
        <v>0</v>
      </c>
      <c r="I32" s="450">
        <f t="shared" si="4"/>
        <v>0</v>
      </c>
    </row>
    <row r="33" spans="1:9" ht="15.75" customHeight="1" x14ac:dyDescent="0.2">
      <c r="A33" s="441" t="s">
        <v>521</v>
      </c>
      <c r="B33" s="442">
        <v>6.0000000000000001E-3</v>
      </c>
      <c r="C33" s="449">
        <f t="shared" si="5"/>
        <v>0</v>
      </c>
      <c r="D33" s="449">
        <f t="shared" si="4"/>
        <v>0</v>
      </c>
      <c r="E33" s="449">
        <f t="shared" si="4"/>
        <v>0</v>
      </c>
      <c r="F33" s="449">
        <f t="shared" si="4"/>
        <v>0</v>
      </c>
      <c r="G33" s="449">
        <f t="shared" si="4"/>
        <v>0</v>
      </c>
      <c r="H33" s="449">
        <f t="shared" si="4"/>
        <v>0</v>
      </c>
      <c r="I33" s="450">
        <f t="shared" si="4"/>
        <v>0</v>
      </c>
    </row>
    <row r="34" spans="1:9" ht="15.75" customHeight="1" x14ac:dyDescent="0.2">
      <c r="A34" s="441" t="s">
        <v>522</v>
      </c>
      <c r="B34" s="442">
        <v>2E-3</v>
      </c>
      <c r="C34" s="449">
        <f t="shared" si="5"/>
        <v>0</v>
      </c>
      <c r="D34" s="449">
        <f t="shared" si="4"/>
        <v>0</v>
      </c>
      <c r="E34" s="449">
        <f t="shared" si="4"/>
        <v>0</v>
      </c>
      <c r="F34" s="449">
        <f t="shared" si="4"/>
        <v>0</v>
      </c>
      <c r="G34" s="449">
        <f t="shared" si="4"/>
        <v>0</v>
      </c>
      <c r="H34" s="449">
        <f t="shared" si="4"/>
        <v>0</v>
      </c>
      <c r="I34" s="450">
        <f t="shared" si="4"/>
        <v>0</v>
      </c>
    </row>
    <row r="35" spans="1:9" ht="15.75" customHeight="1" x14ac:dyDescent="0.2">
      <c r="A35" s="441" t="s">
        <v>523</v>
      </c>
      <c r="B35" s="442">
        <v>0.08</v>
      </c>
      <c r="C35" s="449">
        <f t="shared" si="5"/>
        <v>0</v>
      </c>
      <c r="D35" s="449">
        <f t="shared" si="4"/>
        <v>0</v>
      </c>
      <c r="E35" s="449">
        <f t="shared" si="4"/>
        <v>0</v>
      </c>
      <c r="F35" s="449">
        <f t="shared" si="4"/>
        <v>0</v>
      </c>
      <c r="G35" s="449">
        <f t="shared" si="4"/>
        <v>0</v>
      </c>
      <c r="H35" s="449">
        <f t="shared" si="4"/>
        <v>0</v>
      </c>
      <c r="I35" s="450">
        <f t="shared" si="4"/>
        <v>0</v>
      </c>
    </row>
    <row r="36" spans="1:9" ht="15.75" customHeight="1" x14ac:dyDescent="0.2">
      <c r="A36" s="429" t="s">
        <v>509</v>
      </c>
      <c r="B36" s="443">
        <f t="shared" ref="B36:I36" si="6">SUM(B28:B35)</f>
        <v>0.36800000000000005</v>
      </c>
      <c r="C36" s="444">
        <f t="shared" si="6"/>
        <v>0</v>
      </c>
      <c r="D36" s="444">
        <f t="shared" si="6"/>
        <v>0</v>
      </c>
      <c r="E36" s="444">
        <f t="shared" si="6"/>
        <v>0</v>
      </c>
      <c r="F36" s="444">
        <f t="shared" si="6"/>
        <v>0</v>
      </c>
      <c r="G36" s="444">
        <f t="shared" si="6"/>
        <v>0</v>
      </c>
      <c r="H36" s="444">
        <f t="shared" si="6"/>
        <v>0</v>
      </c>
      <c r="I36" s="445">
        <f t="shared" si="6"/>
        <v>0</v>
      </c>
    </row>
    <row r="37" spans="1:9" ht="15.75" customHeight="1" x14ac:dyDescent="0.2">
      <c r="A37" s="438" t="s">
        <v>524</v>
      </c>
      <c r="B37" s="439" t="s">
        <v>525</v>
      </c>
      <c r="C37" s="439" t="s">
        <v>501</v>
      </c>
      <c r="D37" s="439" t="s">
        <v>501</v>
      </c>
      <c r="E37" s="439" t="s">
        <v>501</v>
      </c>
      <c r="F37" s="439" t="s">
        <v>501</v>
      </c>
      <c r="G37" s="439" t="s">
        <v>501</v>
      </c>
      <c r="H37" s="439" t="s">
        <v>501</v>
      </c>
      <c r="I37" s="440" t="s">
        <v>501</v>
      </c>
    </row>
    <row r="38" spans="1:9" ht="15.75" customHeight="1" x14ac:dyDescent="0.2">
      <c r="A38" s="441" t="s">
        <v>526</v>
      </c>
      <c r="B38" s="451">
        <f>MC!K89</f>
        <v>0</v>
      </c>
      <c r="C38" s="420">
        <f t="shared" ref="C38:I38" si="7">ROUND(((2*22*$B$38)-0.06*C$13),2)</f>
        <v>0</v>
      </c>
      <c r="D38" s="420">
        <f t="shared" si="7"/>
        <v>0</v>
      </c>
      <c r="E38" s="420">
        <f t="shared" si="7"/>
        <v>0</v>
      </c>
      <c r="F38" s="420">
        <f t="shared" si="7"/>
        <v>0</v>
      </c>
      <c r="G38" s="420">
        <f t="shared" si="7"/>
        <v>0</v>
      </c>
      <c r="H38" s="420">
        <f t="shared" si="7"/>
        <v>0</v>
      </c>
      <c r="I38" s="422">
        <f t="shared" si="7"/>
        <v>0</v>
      </c>
    </row>
    <row r="39" spans="1:9" ht="15.75" customHeight="1" x14ac:dyDescent="0.2">
      <c r="A39" s="441" t="s">
        <v>527</v>
      </c>
      <c r="B39" s="452"/>
      <c r="C39" s="449">
        <f>MC!$E$19</f>
        <v>0</v>
      </c>
      <c r="D39" s="449">
        <f>MC!$E$19</f>
        <v>0</v>
      </c>
      <c r="E39" s="449">
        <f>MC!$E$20</f>
        <v>0</v>
      </c>
      <c r="F39" s="449">
        <f>MC!$E$20</f>
        <v>0</v>
      </c>
      <c r="G39" s="449">
        <f>MC!$E$20</f>
        <v>0</v>
      </c>
      <c r="H39" s="449">
        <f>MC!$E$19</f>
        <v>0</v>
      </c>
      <c r="I39" s="450">
        <f>MC!$E$19</f>
        <v>0</v>
      </c>
    </row>
    <row r="40" spans="1:9" ht="15.75" customHeight="1" x14ac:dyDescent="0.2">
      <c r="A40" s="441" t="s">
        <v>528</v>
      </c>
      <c r="B40" s="442"/>
      <c r="C40" s="453" t="s">
        <v>85</v>
      </c>
      <c r="D40" s="453" t="s">
        <v>85</v>
      </c>
      <c r="E40" s="453" t="s">
        <v>85</v>
      </c>
      <c r="F40" s="453" t="s">
        <v>85</v>
      </c>
      <c r="G40" s="453" t="s">
        <v>85</v>
      </c>
      <c r="H40" s="453" t="s">
        <v>85</v>
      </c>
      <c r="I40" s="454" t="s">
        <v>85</v>
      </c>
    </row>
    <row r="41" spans="1:9" ht="15.75" customHeight="1" x14ac:dyDescent="0.2">
      <c r="A41" s="441" t="s">
        <v>529</v>
      </c>
      <c r="B41" s="455"/>
      <c r="C41" s="453" t="s">
        <v>85</v>
      </c>
      <c r="D41" s="453" t="s">
        <v>85</v>
      </c>
      <c r="E41" s="453" t="s">
        <v>85</v>
      </c>
      <c r="F41" s="453" t="s">
        <v>85</v>
      </c>
      <c r="G41" s="453" t="s">
        <v>85</v>
      </c>
      <c r="H41" s="456" t="s">
        <v>85</v>
      </c>
      <c r="I41" s="454" t="s">
        <v>85</v>
      </c>
    </row>
    <row r="42" spans="1:9" ht="15.75" customHeight="1" x14ac:dyDescent="0.2">
      <c r="A42" s="441" t="s">
        <v>530</v>
      </c>
      <c r="B42" s="457">
        <f>MC!E27</f>
        <v>0</v>
      </c>
      <c r="C42" s="449">
        <f t="shared" ref="C42:I42" si="8">$B42</f>
        <v>0</v>
      </c>
      <c r="D42" s="449">
        <f t="shared" si="8"/>
        <v>0</v>
      </c>
      <c r="E42" s="449">
        <f t="shared" si="8"/>
        <v>0</v>
      </c>
      <c r="F42" s="449">
        <f t="shared" si="8"/>
        <v>0</v>
      </c>
      <c r="G42" s="449">
        <f t="shared" si="8"/>
        <v>0</v>
      </c>
      <c r="H42" s="449">
        <f t="shared" si="8"/>
        <v>0</v>
      </c>
      <c r="I42" s="450">
        <f t="shared" si="8"/>
        <v>0</v>
      </c>
    </row>
    <row r="43" spans="1:9" ht="15.75" customHeight="1" x14ac:dyDescent="0.2">
      <c r="A43" s="441" t="s">
        <v>531</v>
      </c>
      <c r="B43" s="442"/>
      <c r="C43" s="453" t="s">
        <v>85</v>
      </c>
      <c r="D43" s="453" t="s">
        <v>85</v>
      </c>
      <c r="E43" s="453" t="s">
        <v>85</v>
      </c>
      <c r="F43" s="453" t="s">
        <v>85</v>
      </c>
      <c r="G43" s="453" t="s">
        <v>85</v>
      </c>
      <c r="H43" s="456" t="s">
        <v>85</v>
      </c>
      <c r="I43" s="454" t="s">
        <v>85</v>
      </c>
    </row>
    <row r="44" spans="1:9" ht="15.75" customHeight="1" x14ac:dyDescent="0.2">
      <c r="A44" s="429" t="s">
        <v>509</v>
      </c>
      <c r="B44" s="430"/>
      <c r="C44" s="444">
        <f t="shared" ref="C44:I44" si="9">SUM(C38:C43)</f>
        <v>0</v>
      </c>
      <c r="D44" s="444">
        <f t="shared" si="9"/>
        <v>0</v>
      </c>
      <c r="E44" s="444">
        <f t="shared" si="9"/>
        <v>0</v>
      </c>
      <c r="F44" s="444">
        <f t="shared" si="9"/>
        <v>0</v>
      </c>
      <c r="G44" s="444">
        <f t="shared" si="9"/>
        <v>0</v>
      </c>
      <c r="H44" s="444">
        <f t="shared" si="9"/>
        <v>0</v>
      </c>
      <c r="I44" s="445">
        <f t="shared" si="9"/>
        <v>0</v>
      </c>
    </row>
    <row r="45" spans="1:9" x14ac:dyDescent="0.2">
      <c r="A45" s="415" t="s">
        <v>532</v>
      </c>
      <c r="B45" s="416" t="s">
        <v>500</v>
      </c>
      <c r="C45" s="416" t="s">
        <v>501</v>
      </c>
      <c r="D45" s="416" t="s">
        <v>501</v>
      </c>
      <c r="E45" s="416" t="s">
        <v>501</v>
      </c>
      <c r="F45" s="416" t="s">
        <v>501</v>
      </c>
      <c r="G45" s="416" t="s">
        <v>501</v>
      </c>
      <c r="H45" s="416" t="s">
        <v>501</v>
      </c>
      <c r="I45" s="417" t="s">
        <v>501</v>
      </c>
    </row>
    <row r="46" spans="1:9" ht="15.75" customHeight="1" x14ac:dyDescent="0.2">
      <c r="A46" s="441" t="s">
        <v>511</v>
      </c>
      <c r="B46" s="458">
        <f t="shared" ref="B46:I46" si="10">B25</f>
        <v>0.1111111111111111</v>
      </c>
      <c r="C46" s="459">
        <f t="shared" si="10"/>
        <v>0</v>
      </c>
      <c r="D46" s="459">
        <f t="shared" si="10"/>
        <v>0</v>
      </c>
      <c r="E46" s="459">
        <f t="shared" si="10"/>
        <v>0</v>
      </c>
      <c r="F46" s="459">
        <f t="shared" si="10"/>
        <v>0</v>
      </c>
      <c r="G46" s="459">
        <f t="shared" si="10"/>
        <v>0</v>
      </c>
      <c r="H46" s="459">
        <f t="shared" si="10"/>
        <v>0</v>
      </c>
      <c r="I46" s="460">
        <f t="shared" si="10"/>
        <v>0</v>
      </c>
    </row>
    <row r="47" spans="1:9" ht="15.75" customHeight="1" x14ac:dyDescent="0.2">
      <c r="A47" s="441" t="s">
        <v>533</v>
      </c>
      <c r="B47" s="458">
        <f t="shared" ref="B47:I47" si="11">B36</f>
        <v>0.36800000000000005</v>
      </c>
      <c r="C47" s="459">
        <f t="shared" si="11"/>
        <v>0</v>
      </c>
      <c r="D47" s="459">
        <f t="shared" si="11"/>
        <v>0</v>
      </c>
      <c r="E47" s="459">
        <f t="shared" si="11"/>
        <v>0</v>
      </c>
      <c r="F47" s="459">
        <f t="shared" si="11"/>
        <v>0</v>
      </c>
      <c r="G47" s="459">
        <f t="shared" si="11"/>
        <v>0</v>
      </c>
      <c r="H47" s="459">
        <f t="shared" si="11"/>
        <v>0</v>
      </c>
      <c r="I47" s="460">
        <f t="shared" si="11"/>
        <v>0</v>
      </c>
    </row>
    <row r="48" spans="1:9" ht="15.75" customHeight="1" x14ac:dyDescent="0.2">
      <c r="A48" s="441" t="s">
        <v>524</v>
      </c>
      <c r="B48" s="458"/>
      <c r="C48" s="459">
        <f t="shared" ref="C48:I48" si="12">C44</f>
        <v>0</v>
      </c>
      <c r="D48" s="459">
        <f t="shared" si="12"/>
        <v>0</v>
      </c>
      <c r="E48" s="459">
        <f t="shared" si="12"/>
        <v>0</v>
      </c>
      <c r="F48" s="459">
        <f t="shared" si="12"/>
        <v>0</v>
      </c>
      <c r="G48" s="459">
        <f t="shared" si="12"/>
        <v>0</v>
      </c>
      <c r="H48" s="459">
        <f t="shared" si="12"/>
        <v>0</v>
      </c>
      <c r="I48" s="460">
        <f t="shared" si="12"/>
        <v>0</v>
      </c>
    </row>
    <row r="49" spans="1:9" ht="15.75" customHeight="1" x14ac:dyDescent="0.2">
      <c r="A49" s="429" t="s">
        <v>509</v>
      </c>
      <c r="B49" s="430"/>
      <c r="C49" s="444">
        <f t="shared" ref="C49:I49" si="13">SUM(C46:C48)</f>
        <v>0</v>
      </c>
      <c r="D49" s="431">
        <f t="shared" si="13"/>
        <v>0</v>
      </c>
      <c r="E49" s="444">
        <f t="shared" si="13"/>
        <v>0</v>
      </c>
      <c r="F49" s="444">
        <f t="shared" si="13"/>
        <v>0</v>
      </c>
      <c r="G49" s="444">
        <f t="shared" si="13"/>
        <v>0</v>
      </c>
      <c r="H49" s="444">
        <f t="shared" si="13"/>
        <v>0</v>
      </c>
      <c r="I49" s="445">
        <f t="shared" si="13"/>
        <v>0</v>
      </c>
    </row>
    <row r="50" spans="1:9" ht="14.25" customHeight="1" x14ac:dyDescent="0.2">
      <c r="A50" s="778"/>
      <c r="B50" s="778"/>
      <c r="C50" s="778"/>
      <c r="D50" s="778"/>
      <c r="E50" s="778"/>
      <c r="F50" s="778"/>
      <c r="G50" s="778"/>
      <c r="H50" s="778"/>
      <c r="I50" s="778"/>
    </row>
    <row r="51" spans="1:9" s="461" customFormat="1" ht="12.75" customHeight="1" x14ac:dyDescent="0.2">
      <c r="A51" s="777" t="s">
        <v>534</v>
      </c>
      <c r="B51" s="777"/>
      <c r="C51" s="777"/>
      <c r="D51" s="777"/>
      <c r="E51" s="777"/>
      <c r="F51" s="777"/>
      <c r="G51" s="777"/>
      <c r="H51" s="777"/>
      <c r="I51" s="777"/>
    </row>
    <row r="52" spans="1:9" ht="15.75" customHeight="1" x14ac:dyDescent="0.2">
      <c r="A52" s="415" t="s">
        <v>535</v>
      </c>
      <c r="B52" s="416" t="s">
        <v>500</v>
      </c>
      <c r="C52" s="416" t="s">
        <v>501</v>
      </c>
      <c r="D52" s="416" t="s">
        <v>501</v>
      </c>
      <c r="E52" s="416" t="s">
        <v>501</v>
      </c>
      <c r="F52" s="416" t="s">
        <v>501</v>
      </c>
      <c r="G52" s="416" t="s">
        <v>501</v>
      </c>
      <c r="H52" s="416" t="s">
        <v>501</v>
      </c>
      <c r="I52" s="417" t="s">
        <v>501</v>
      </c>
    </row>
    <row r="53" spans="1:9" ht="15.75" customHeight="1" x14ac:dyDescent="0.2">
      <c r="A53" s="438" t="s">
        <v>536</v>
      </c>
      <c r="B53" s="462"/>
      <c r="C53" s="462"/>
      <c r="D53" s="462"/>
      <c r="E53" s="462"/>
      <c r="F53" s="462"/>
      <c r="G53" s="462"/>
      <c r="H53" s="463"/>
      <c r="I53" s="464"/>
    </row>
    <row r="54" spans="1:9" ht="15.75" customHeight="1" x14ac:dyDescent="0.2">
      <c r="A54" s="441" t="s">
        <v>537</v>
      </c>
      <c r="B54" s="458">
        <f>1/12*0.05</f>
        <v>4.1666666666666666E-3</v>
      </c>
      <c r="C54" s="465">
        <f t="shared" ref="C54:I54" si="14">C19*$B54</f>
        <v>0</v>
      </c>
      <c r="D54" s="465">
        <f t="shared" si="14"/>
        <v>0</v>
      </c>
      <c r="E54" s="465">
        <f t="shared" si="14"/>
        <v>0</v>
      </c>
      <c r="F54" s="465">
        <f t="shared" si="14"/>
        <v>0</v>
      </c>
      <c r="G54" s="465">
        <f t="shared" si="14"/>
        <v>0</v>
      </c>
      <c r="H54" s="465">
        <f t="shared" si="14"/>
        <v>0</v>
      </c>
      <c r="I54" s="466">
        <f t="shared" si="14"/>
        <v>0</v>
      </c>
    </row>
    <row r="55" spans="1:9" x14ac:dyDescent="0.2">
      <c r="A55" s="441" t="s">
        <v>538</v>
      </c>
      <c r="B55" s="458">
        <f>B35*B54</f>
        <v>3.3333333333333332E-4</v>
      </c>
      <c r="C55" s="465">
        <f t="shared" ref="C55:I55" si="15">$B$55*C19</f>
        <v>0</v>
      </c>
      <c r="D55" s="465">
        <f t="shared" si="15"/>
        <v>0</v>
      </c>
      <c r="E55" s="465">
        <f t="shared" si="15"/>
        <v>0</v>
      </c>
      <c r="F55" s="465">
        <f t="shared" si="15"/>
        <v>0</v>
      </c>
      <c r="G55" s="465">
        <f t="shared" si="15"/>
        <v>0</v>
      </c>
      <c r="H55" s="465">
        <f t="shared" si="15"/>
        <v>0</v>
      </c>
      <c r="I55" s="466">
        <f t="shared" si="15"/>
        <v>0</v>
      </c>
    </row>
    <row r="56" spans="1:9" x14ac:dyDescent="0.2">
      <c r="A56" s="441" t="s">
        <v>539</v>
      </c>
      <c r="B56" s="458">
        <v>0</v>
      </c>
      <c r="C56" s="465">
        <f t="shared" ref="C56:I56" si="16">C35*$B56</f>
        <v>0</v>
      </c>
      <c r="D56" s="465">
        <f t="shared" si="16"/>
        <v>0</v>
      </c>
      <c r="E56" s="465">
        <f t="shared" si="16"/>
        <v>0</v>
      </c>
      <c r="F56" s="465">
        <f t="shared" si="16"/>
        <v>0</v>
      </c>
      <c r="G56" s="465">
        <f t="shared" si="16"/>
        <v>0</v>
      </c>
      <c r="H56" s="465">
        <f t="shared" si="16"/>
        <v>0</v>
      </c>
      <c r="I56" s="466">
        <f t="shared" si="16"/>
        <v>0</v>
      </c>
    </row>
    <row r="57" spans="1:9" x14ac:dyDescent="0.2">
      <c r="A57" s="441" t="s">
        <v>540</v>
      </c>
      <c r="B57" s="458">
        <f>1/12*1/30*7</f>
        <v>1.9444444444444441E-2</v>
      </c>
      <c r="C57" s="459">
        <f t="shared" ref="C57:I57" si="17">C19*$B57</f>
        <v>0</v>
      </c>
      <c r="D57" s="459">
        <f t="shared" si="17"/>
        <v>0</v>
      </c>
      <c r="E57" s="459">
        <f t="shared" si="17"/>
        <v>0</v>
      </c>
      <c r="F57" s="459">
        <f t="shared" si="17"/>
        <v>0</v>
      </c>
      <c r="G57" s="459">
        <f t="shared" si="17"/>
        <v>0</v>
      </c>
      <c r="H57" s="459">
        <f t="shared" si="17"/>
        <v>0</v>
      </c>
      <c r="I57" s="460">
        <f t="shared" si="17"/>
        <v>0</v>
      </c>
    </row>
    <row r="58" spans="1:9" x14ac:dyDescent="0.2">
      <c r="A58" s="441" t="s">
        <v>541</v>
      </c>
      <c r="B58" s="458">
        <f>B36*B57</f>
        <v>7.1555555555555556E-3</v>
      </c>
      <c r="C58" s="459">
        <f t="shared" ref="C58:I58" si="18">$B58*C19</f>
        <v>0</v>
      </c>
      <c r="D58" s="459">
        <f t="shared" si="18"/>
        <v>0</v>
      </c>
      <c r="E58" s="459">
        <f t="shared" si="18"/>
        <v>0</v>
      </c>
      <c r="F58" s="459">
        <f t="shared" si="18"/>
        <v>0</v>
      </c>
      <c r="G58" s="459">
        <f t="shared" si="18"/>
        <v>0</v>
      </c>
      <c r="H58" s="459">
        <f t="shared" si="18"/>
        <v>0</v>
      </c>
      <c r="I58" s="460">
        <f t="shared" si="18"/>
        <v>0</v>
      </c>
    </row>
    <row r="59" spans="1:9" x14ac:dyDescent="0.2">
      <c r="A59" s="441" t="s">
        <v>542</v>
      </c>
      <c r="B59" s="458">
        <f>B35*40/100*90/100*(1+1/12+1/12+1/3*1/12)</f>
        <v>3.4399999999999993E-2</v>
      </c>
      <c r="C59" s="459">
        <f t="shared" ref="C59:I59" si="19">C19*$B59</f>
        <v>0</v>
      </c>
      <c r="D59" s="459">
        <f t="shared" si="19"/>
        <v>0</v>
      </c>
      <c r="E59" s="459">
        <f t="shared" si="19"/>
        <v>0</v>
      </c>
      <c r="F59" s="459">
        <f t="shared" si="19"/>
        <v>0</v>
      </c>
      <c r="G59" s="459">
        <f t="shared" si="19"/>
        <v>0</v>
      </c>
      <c r="H59" s="459">
        <f t="shared" si="19"/>
        <v>0</v>
      </c>
      <c r="I59" s="460">
        <f t="shared" si="19"/>
        <v>0</v>
      </c>
    </row>
    <row r="60" spans="1:9" ht="14.25" customHeight="1" x14ac:dyDescent="0.2">
      <c r="A60" s="429" t="s">
        <v>509</v>
      </c>
      <c r="B60" s="443">
        <f t="shared" ref="B60:I60" si="20">SUM(B54:B59)</f>
        <v>6.5499999999999989E-2</v>
      </c>
      <c r="C60" s="431">
        <f t="shared" si="20"/>
        <v>0</v>
      </c>
      <c r="D60" s="431">
        <f t="shared" si="20"/>
        <v>0</v>
      </c>
      <c r="E60" s="431">
        <f t="shared" si="20"/>
        <v>0</v>
      </c>
      <c r="F60" s="431">
        <f t="shared" si="20"/>
        <v>0</v>
      </c>
      <c r="G60" s="431">
        <f t="shared" si="20"/>
        <v>0</v>
      </c>
      <c r="H60" s="432">
        <f t="shared" si="20"/>
        <v>0</v>
      </c>
      <c r="I60" s="433">
        <f t="shared" si="20"/>
        <v>0</v>
      </c>
    </row>
    <row r="61" spans="1:9" ht="14.25" customHeight="1" x14ac:dyDescent="0.2">
      <c r="A61" s="779"/>
      <c r="B61" s="779"/>
      <c r="C61" s="779"/>
      <c r="D61" s="779"/>
      <c r="E61" s="779"/>
      <c r="F61" s="779"/>
      <c r="G61" s="779"/>
      <c r="H61" s="779"/>
      <c r="I61" s="779"/>
    </row>
    <row r="62" spans="1:9" ht="15.75" customHeight="1" x14ac:dyDescent="0.2">
      <c r="A62" s="777" t="s">
        <v>543</v>
      </c>
      <c r="B62" s="777"/>
      <c r="C62" s="777"/>
      <c r="D62" s="777"/>
      <c r="E62" s="777"/>
      <c r="F62" s="777"/>
      <c r="G62" s="777"/>
      <c r="H62" s="777"/>
      <c r="I62" s="777"/>
    </row>
    <row r="63" spans="1:9" ht="14.25" customHeight="1" x14ac:dyDescent="0.2">
      <c r="A63" s="438" t="s">
        <v>42</v>
      </c>
      <c r="B63" s="439" t="s">
        <v>500</v>
      </c>
      <c r="C63" s="439" t="s">
        <v>501</v>
      </c>
      <c r="D63" s="439" t="s">
        <v>501</v>
      </c>
      <c r="E63" s="439" t="s">
        <v>501</v>
      </c>
      <c r="F63" s="439" t="s">
        <v>501</v>
      </c>
      <c r="G63" s="439" t="s">
        <v>501</v>
      </c>
      <c r="H63" s="439" t="s">
        <v>501</v>
      </c>
      <c r="I63" s="439" t="s">
        <v>501</v>
      </c>
    </row>
    <row r="64" spans="1:9" ht="14.25" customHeight="1" x14ac:dyDescent="0.2">
      <c r="A64" s="441" t="s">
        <v>43</v>
      </c>
      <c r="B64" s="442">
        <f>1/12</f>
        <v>8.3333333333333329E-2</v>
      </c>
      <c r="C64" s="449">
        <f t="shared" ref="C64:I67" si="21">$B64*(C$19+C$49+C$60)</f>
        <v>0</v>
      </c>
      <c r="D64" s="449">
        <f t="shared" si="21"/>
        <v>0</v>
      </c>
      <c r="E64" s="449">
        <f t="shared" si="21"/>
        <v>0</v>
      </c>
      <c r="F64" s="449">
        <f t="shared" si="21"/>
        <v>0</v>
      </c>
      <c r="G64" s="449">
        <f t="shared" si="21"/>
        <v>0</v>
      </c>
      <c r="H64" s="449">
        <f t="shared" si="21"/>
        <v>0</v>
      </c>
      <c r="I64" s="450">
        <f t="shared" si="21"/>
        <v>0</v>
      </c>
    </row>
    <row r="65" spans="1:9" x14ac:dyDescent="0.2">
      <c r="A65" s="441" t="s">
        <v>544</v>
      </c>
      <c r="B65" s="442">
        <f>MC!E54/30/12</f>
        <v>1.3538888888888885E-2</v>
      </c>
      <c r="C65" s="449">
        <f t="shared" si="21"/>
        <v>0</v>
      </c>
      <c r="D65" s="449">
        <f t="shared" si="21"/>
        <v>0</v>
      </c>
      <c r="E65" s="449">
        <f t="shared" si="21"/>
        <v>0</v>
      </c>
      <c r="F65" s="449">
        <f t="shared" si="21"/>
        <v>0</v>
      </c>
      <c r="G65" s="449">
        <f t="shared" si="21"/>
        <v>0</v>
      </c>
      <c r="H65" s="449">
        <f t="shared" si="21"/>
        <v>0</v>
      </c>
      <c r="I65" s="450">
        <f t="shared" si="21"/>
        <v>0</v>
      </c>
    </row>
    <row r="66" spans="1:9" x14ac:dyDescent="0.2">
      <c r="A66" s="441" t="s">
        <v>545</v>
      </c>
      <c r="B66" s="467">
        <f>(5/30)/12*MC!F56*MC!C57</f>
        <v>1.0764583333333333E-4</v>
      </c>
      <c r="C66" s="449">
        <f t="shared" si="21"/>
        <v>0</v>
      </c>
      <c r="D66" s="449">
        <f t="shared" si="21"/>
        <v>0</v>
      </c>
      <c r="E66" s="449">
        <f t="shared" si="21"/>
        <v>0</v>
      </c>
      <c r="F66" s="449">
        <f t="shared" si="21"/>
        <v>0</v>
      </c>
      <c r="G66" s="449">
        <f t="shared" si="21"/>
        <v>0</v>
      </c>
      <c r="H66" s="449">
        <f t="shared" si="21"/>
        <v>0</v>
      </c>
      <c r="I66" s="450">
        <f t="shared" si="21"/>
        <v>0</v>
      </c>
    </row>
    <row r="67" spans="1:9" ht="14.25" customHeight="1" x14ac:dyDescent="0.2">
      <c r="A67" s="441" t="s">
        <v>546</v>
      </c>
      <c r="B67" s="467">
        <f>MC!C59/30/12</f>
        <v>2.6830555555555553E-3</v>
      </c>
      <c r="C67" s="449">
        <f t="shared" si="21"/>
        <v>0</v>
      </c>
      <c r="D67" s="449">
        <f t="shared" si="21"/>
        <v>0</v>
      </c>
      <c r="E67" s="449">
        <f t="shared" si="21"/>
        <v>0</v>
      </c>
      <c r="F67" s="449">
        <f t="shared" si="21"/>
        <v>0</v>
      </c>
      <c r="G67" s="449">
        <f t="shared" si="21"/>
        <v>0</v>
      </c>
      <c r="H67" s="449">
        <f t="shared" si="21"/>
        <v>0</v>
      </c>
      <c r="I67" s="450">
        <f t="shared" si="21"/>
        <v>0</v>
      </c>
    </row>
    <row r="68" spans="1:9" ht="14.25" customHeight="1" x14ac:dyDescent="0.2">
      <c r="A68" s="441" t="s">
        <v>508</v>
      </c>
      <c r="B68" s="442"/>
      <c r="C68" s="453" t="s">
        <v>85</v>
      </c>
      <c r="D68" s="453" t="s">
        <v>85</v>
      </c>
      <c r="E68" s="453" t="s">
        <v>85</v>
      </c>
      <c r="F68" s="453" t="s">
        <v>85</v>
      </c>
      <c r="G68" s="453" t="s">
        <v>85</v>
      </c>
      <c r="H68" s="456" t="s">
        <v>85</v>
      </c>
      <c r="I68" s="454" t="s">
        <v>85</v>
      </c>
    </row>
    <row r="69" spans="1:9" ht="14.25" customHeight="1" x14ac:dyDescent="0.2">
      <c r="A69" s="468" t="s">
        <v>547</v>
      </c>
      <c r="B69" s="469">
        <f t="shared" ref="B69:I69" si="22">SUM(B64:B68)</f>
        <v>9.9662923611111107E-2</v>
      </c>
      <c r="C69" s="470">
        <f t="shared" si="22"/>
        <v>0</v>
      </c>
      <c r="D69" s="470">
        <f t="shared" si="22"/>
        <v>0</v>
      </c>
      <c r="E69" s="470">
        <f t="shared" si="22"/>
        <v>0</v>
      </c>
      <c r="F69" s="470">
        <f t="shared" si="22"/>
        <v>0</v>
      </c>
      <c r="G69" s="470">
        <f t="shared" si="22"/>
        <v>0</v>
      </c>
      <c r="H69" s="470">
        <f t="shared" si="22"/>
        <v>0</v>
      </c>
      <c r="I69" s="471">
        <f t="shared" si="22"/>
        <v>0</v>
      </c>
    </row>
    <row r="70" spans="1:9" ht="14.25" customHeight="1" x14ac:dyDescent="0.2">
      <c r="A70" s="438" t="s">
        <v>548</v>
      </c>
      <c r="B70" s="439" t="s">
        <v>500</v>
      </c>
      <c r="C70" s="439" t="s">
        <v>501</v>
      </c>
      <c r="D70" s="439" t="s">
        <v>501</v>
      </c>
      <c r="E70" s="439" t="s">
        <v>501</v>
      </c>
      <c r="F70" s="439" t="s">
        <v>501</v>
      </c>
      <c r="G70" s="439" t="s">
        <v>501</v>
      </c>
      <c r="H70" s="439" t="s">
        <v>501</v>
      </c>
      <c r="I70" s="440" t="s">
        <v>501</v>
      </c>
    </row>
    <row r="71" spans="1:9" ht="14.25" customHeight="1" x14ac:dyDescent="0.2">
      <c r="A71" s="441" t="s">
        <v>549</v>
      </c>
      <c r="B71" s="442"/>
      <c r="C71" s="453" t="s">
        <v>85</v>
      </c>
      <c r="D71" s="453" t="s">
        <v>85</v>
      </c>
      <c r="E71" s="453" t="s">
        <v>85</v>
      </c>
      <c r="F71" s="453" t="s">
        <v>85</v>
      </c>
      <c r="G71" s="453" t="s">
        <v>85</v>
      </c>
      <c r="H71" s="456" t="s">
        <v>85</v>
      </c>
      <c r="I71" s="454" t="s">
        <v>85</v>
      </c>
    </row>
    <row r="72" spans="1:9" ht="14.25" customHeight="1" x14ac:dyDescent="0.2">
      <c r="A72" s="468" t="s">
        <v>547</v>
      </c>
      <c r="B72" s="469"/>
      <c r="C72" s="472" t="str">
        <f t="shared" ref="C72:I72" si="23">C71</f>
        <v>-</v>
      </c>
      <c r="D72" s="472" t="str">
        <f t="shared" si="23"/>
        <v>-</v>
      </c>
      <c r="E72" s="472" t="str">
        <f t="shared" si="23"/>
        <v>-</v>
      </c>
      <c r="F72" s="472" t="str">
        <f t="shared" si="23"/>
        <v>-</v>
      </c>
      <c r="G72" s="472" t="str">
        <f t="shared" si="23"/>
        <v>-</v>
      </c>
      <c r="H72" s="472" t="str">
        <f t="shared" si="23"/>
        <v>-</v>
      </c>
      <c r="I72" s="473" t="str">
        <f t="shared" si="23"/>
        <v>-</v>
      </c>
    </row>
    <row r="73" spans="1:9" ht="14.25" customHeight="1" x14ac:dyDescent="0.2">
      <c r="A73" s="438" t="s">
        <v>64</v>
      </c>
      <c r="B73" s="439" t="s">
        <v>500</v>
      </c>
      <c r="C73" s="439" t="s">
        <v>501</v>
      </c>
      <c r="D73" s="439" t="s">
        <v>501</v>
      </c>
      <c r="E73" s="439" t="s">
        <v>501</v>
      </c>
      <c r="F73" s="439" t="s">
        <v>501</v>
      </c>
      <c r="G73" s="439" t="s">
        <v>501</v>
      </c>
      <c r="H73" s="439" t="s">
        <v>501</v>
      </c>
      <c r="I73" s="440" t="s">
        <v>501</v>
      </c>
    </row>
    <row r="74" spans="1:9" ht="14.25" customHeight="1" x14ac:dyDescent="0.2">
      <c r="A74" s="441" t="s">
        <v>65</v>
      </c>
      <c r="B74" s="442">
        <f>120/30*MC!C62*MC!C63</f>
        <v>6.18624E-3</v>
      </c>
      <c r="C74" s="449">
        <f t="shared" ref="C74:I74" si="24">(((C19*2)+ (C19*1/3))+(C36)+(C44-C38-C39))*$B$74</f>
        <v>0</v>
      </c>
      <c r="D74" s="449">
        <f t="shared" si="24"/>
        <v>0</v>
      </c>
      <c r="E74" s="449">
        <f t="shared" si="24"/>
        <v>0</v>
      </c>
      <c r="F74" s="449">
        <f t="shared" si="24"/>
        <v>0</v>
      </c>
      <c r="G74" s="449">
        <f t="shared" si="24"/>
        <v>0</v>
      </c>
      <c r="H74" s="449">
        <f t="shared" si="24"/>
        <v>0</v>
      </c>
      <c r="I74" s="450">
        <f t="shared" si="24"/>
        <v>0</v>
      </c>
    </row>
    <row r="75" spans="1:9" ht="15.75" customHeight="1" x14ac:dyDescent="0.2">
      <c r="A75" s="468" t="s">
        <v>509</v>
      </c>
      <c r="B75" s="469"/>
      <c r="C75" s="472">
        <f t="shared" ref="C75:I75" si="25">C74</f>
        <v>0</v>
      </c>
      <c r="D75" s="472">
        <f t="shared" si="25"/>
        <v>0</v>
      </c>
      <c r="E75" s="472">
        <f t="shared" si="25"/>
        <v>0</v>
      </c>
      <c r="F75" s="472">
        <f t="shared" si="25"/>
        <v>0</v>
      </c>
      <c r="G75" s="472">
        <f t="shared" si="25"/>
        <v>0</v>
      </c>
      <c r="H75" s="472">
        <f t="shared" si="25"/>
        <v>0</v>
      </c>
      <c r="I75" s="473">
        <f t="shared" si="25"/>
        <v>0</v>
      </c>
    </row>
    <row r="76" spans="1:9" x14ac:dyDescent="0.2">
      <c r="A76" s="415" t="s">
        <v>550</v>
      </c>
      <c r="B76" s="416" t="s">
        <v>500</v>
      </c>
      <c r="C76" s="416" t="s">
        <v>501</v>
      </c>
      <c r="D76" s="416" t="s">
        <v>501</v>
      </c>
      <c r="E76" s="416" t="s">
        <v>501</v>
      </c>
      <c r="F76" s="416" t="s">
        <v>501</v>
      </c>
      <c r="G76" s="416" t="s">
        <v>501</v>
      </c>
      <c r="H76" s="416" t="s">
        <v>501</v>
      </c>
      <c r="I76" s="417" t="s">
        <v>501</v>
      </c>
    </row>
    <row r="77" spans="1:9" x14ac:dyDescent="0.2">
      <c r="A77" s="441" t="s">
        <v>42</v>
      </c>
      <c r="B77" s="458">
        <f t="shared" ref="B77:I77" si="26">B69</f>
        <v>9.9662923611111107E-2</v>
      </c>
      <c r="C77" s="459">
        <f t="shared" si="26"/>
        <v>0</v>
      </c>
      <c r="D77" s="459">
        <f t="shared" si="26"/>
        <v>0</v>
      </c>
      <c r="E77" s="459">
        <f t="shared" si="26"/>
        <v>0</v>
      </c>
      <c r="F77" s="459">
        <f t="shared" si="26"/>
        <v>0</v>
      </c>
      <c r="G77" s="459">
        <f t="shared" si="26"/>
        <v>0</v>
      </c>
      <c r="H77" s="459">
        <f t="shared" si="26"/>
        <v>0</v>
      </c>
      <c r="I77" s="460">
        <f t="shared" si="26"/>
        <v>0</v>
      </c>
    </row>
    <row r="78" spans="1:9" ht="15.75" customHeight="1" x14ac:dyDescent="0.2">
      <c r="A78" s="441" t="s">
        <v>548</v>
      </c>
      <c r="B78" s="458">
        <f t="shared" ref="B78:I78" si="27">B72</f>
        <v>0</v>
      </c>
      <c r="C78" s="459" t="str">
        <f t="shared" si="27"/>
        <v>-</v>
      </c>
      <c r="D78" s="459" t="str">
        <f t="shared" si="27"/>
        <v>-</v>
      </c>
      <c r="E78" s="459" t="str">
        <f t="shared" si="27"/>
        <v>-</v>
      </c>
      <c r="F78" s="459" t="str">
        <f t="shared" si="27"/>
        <v>-</v>
      </c>
      <c r="G78" s="459" t="str">
        <f t="shared" si="27"/>
        <v>-</v>
      </c>
      <c r="H78" s="459" t="str">
        <f t="shared" si="27"/>
        <v>-</v>
      </c>
      <c r="I78" s="460" t="str">
        <f t="shared" si="27"/>
        <v>-</v>
      </c>
    </row>
    <row r="79" spans="1:9" ht="15.75" customHeight="1" x14ac:dyDescent="0.2">
      <c r="A79" s="441" t="s">
        <v>64</v>
      </c>
      <c r="B79" s="458">
        <f t="shared" ref="B79:I79" si="28">B74</f>
        <v>6.18624E-3</v>
      </c>
      <c r="C79" s="459">
        <f t="shared" si="28"/>
        <v>0</v>
      </c>
      <c r="D79" s="459">
        <f t="shared" si="28"/>
        <v>0</v>
      </c>
      <c r="E79" s="459">
        <f t="shared" si="28"/>
        <v>0</v>
      </c>
      <c r="F79" s="459">
        <f t="shared" si="28"/>
        <v>0</v>
      </c>
      <c r="G79" s="459">
        <f t="shared" si="28"/>
        <v>0</v>
      </c>
      <c r="H79" s="459">
        <f t="shared" si="28"/>
        <v>0</v>
      </c>
      <c r="I79" s="460">
        <f t="shared" si="28"/>
        <v>0</v>
      </c>
    </row>
    <row r="80" spans="1:9" ht="15.75" customHeight="1" x14ac:dyDescent="0.2">
      <c r="A80" s="429" t="s">
        <v>509</v>
      </c>
      <c r="B80" s="430"/>
      <c r="C80" s="444">
        <f t="shared" ref="C80:I80" si="29">SUM(C77:C79)</f>
        <v>0</v>
      </c>
      <c r="D80" s="444">
        <f t="shared" si="29"/>
        <v>0</v>
      </c>
      <c r="E80" s="444">
        <f t="shared" si="29"/>
        <v>0</v>
      </c>
      <c r="F80" s="444">
        <f t="shared" si="29"/>
        <v>0</v>
      </c>
      <c r="G80" s="444">
        <f t="shared" si="29"/>
        <v>0</v>
      </c>
      <c r="H80" s="444">
        <f t="shared" si="29"/>
        <v>0</v>
      </c>
      <c r="I80" s="445">
        <f t="shared" si="29"/>
        <v>0</v>
      </c>
    </row>
    <row r="81" spans="1:9" ht="15.75" customHeight="1" x14ac:dyDescent="0.2">
      <c r="A81" s="434"/>
      <c r="B81" s="435"/>
      <c r="C81" s="435"/>
      <c r="D81" s="435"/>
      <c r="E81" s="435"/>
      <c r="F81" s="435"/>
      <c r="G81" s="435"/>
      <c r="H81" s="436"/>
      <c r="I81" s="437"/>
    </row>
    <row r="82" spans="1:9" ht="15.75" customHeight="1" x14ac:dyDescent="0.2">
      <c r="A82" s="474" t="s">
        <v>551</v>
      </c>
      <c r="B82" s="475"/>
      <c r="C82" s="475"/>
      <c r="D82" s="475"/>
      <c r="E82" s="475"/>
      <c r="F82" s="475"/>
      <c r="G82" s="475"/>
      <c r="H82" s="475"/>
      <c r="I82" s="476"/>
    </row>
    <row r="83" spans="1:9" ht="15.75" customHeight="1" x14ac:dyDescent="0.2">
      <c r="A83" s="415" t="s">
        <v>552</v>
      </c>
      <c r="B83" s="416" t="s">
        <v>553</v>
      </c>
      <c r="C83" s="416" t="s">
        <v>501</v>
      </c>
      <c r="D83" s="416" t="s">
        <v>501</v>
      </c>
      <c r="E83" s="416" t="s">
        <v>501</v>
      </c>
      <c r="F83" s="416" t="s">
        <v>501</v>
      </c>
      <c r="G83" s="416" t="s">
        <v>501</v>
      </c>
      <c r="H83" s="416" t="s">
        <v>501</v>
      </c>
      <c r="I83" s="417" t="s">
        <v>501</v>
      </c>
    </row>
    <row r="84" spans="1:9" ht="15.75" customHeight="1" x14ac:dyDescent="0.2">
      <c r="A84" s="441" t="s">
        <v>554</v>
      </c>
      <c r="B84" s="477"/>
      <c r="C84" s="420">
        <f>Insumos!$J119</f>
        <v>0</v>
      </c>
      <c r="D84" s="420">
        <f>Insumos!$J119</f>
        <v>0</v>
      </c>
      <c r="E84" s="420">
        <f>Insumos!$J119</f>
        <v>0</v>
      </c>
      <c r="F84" s="420">
        <f>Insumos!$J119</f>
        <v>0</v>
      </c>
      <c r="G84" s="420">
        <f>Insumos!$J119</f>
        <v>0</v>
      </c>
      <c r="H84" s="420">
        <f>Insumos!$J119</f>
        <v>0</v>
      </c>
      <c r="I84" s="420">
        <f>Insumos!$J118</f>
        <v>0</v>
      </c>
    </row>
    <row r="85" spans="1:9" x14ac:dyDescent="0.2">
      <c r="A85" s="478" t="s">
        <v>555</v>
      </c>
      <c r="B85" s="477"/>
      <c r="C85" s="420">
        <f>Insumos!$G60</f>
        <v>0</v>
      </c>
      <c r="D85" s="420">
        <f>Insumos!$G60</f>
        <v>0</v>
      </c>
      <c r="E85" s="420">
        <f>Insumos!$G60</f>
        <v>0</v>
      </c>
      <c r="F85" s="420">
        <f>Insumos!$G60</f>
        <v>0</v>
      </c>
      <c r="G85" s="420">
        <f>Insumos!$G60</f>
        <v>0</v>
      </c>
      <c r="H85" s="424" t="s">
        <v>85</v>
      </c>
      <c r="I85" s="425" t="s">
        <v>85</v>
      </c>
    </row>
    <row r="86" spans="1:9" x14ac:dyDescent="0.2">
      <c r="A86" s="478" t="s">
        <v>556</v>
      </c>
      <c r="B86" s="479"/>
      <c r="C86" s="420">
        <f>Insumos!$J100</f>
        <v>0</v>
      </c>
      <c r="D86" s="420">
        <f>Insumos!$J100</f>
        <v>0</v>
      </c>
      <c r="E86" s="420">
        <f>Insumos!$J100</f>
        <v>0</v>
      </c>
      <c r="F86" s="420">
        <f>Insumos!$J100</f>
        <v>0</v>
      </c>
      <c r="G86" s="420">
        <f>Insumos!$J100</f>
        <v>0</v>
      </c>
      <c r="H86" s="424" t="s">
        <v>85</v>
      </c>
      <c r="I86" s="425" t="s">
        <v>85</v>
      </c>
    </row>
    <row r="87" spans="1:9" ht="15.75" customHeight="1" x14ac:dyDescent="0.2">
      <c r="A87" s="478" t="s">
        <v>557</v>
      </c>
      <c r="B87" s="477"/>
      <c r="C87" s="420">
        <f>Insumos!$I130</f>
        <v>0</v>
      </c>
      <c r="D87" s="420">
        <f>Insumos!$I130</f>
        <v>0</v>
      </c>
      <c r="E87" s="420">
        <f>Insumos!$H130</f>
        <v>0</v>
      </c>
      <c r="F87" s="420">
        <f>Insumos!$H130</f>
        <v>0</v>
      </c>
      <c r="G87" s="420">
        <f>Insumos!$H130</f>
        <v>0</v>
      </c>
      <c r="H87" s="424" t="s">
        <v>85</v>
      </c>
      <c r="I87" s="425" t="s">
        <v>85</v>
      </c>
    </row>
    <row r="88" spans="1:9" ht="15.75" customHeight="1" x14ac:dyDescent="0.2">
      <c r="A88" s="478" t="s">
        <v>558</v>
      </c>
      <c r="B88" s="442">
        <v>0.12</v>
      </c>
      <c r="C88" s="424" t="s">
        <v>85</v>
      </c>
      <c r="D88" s="424" t="s">
        <v>85</v>
      </c>
      <c r="E88" s="424" t="s">
        <v>85</v>
      </c>
      <c r="F88" s="424" t="s">
        <v>85</v>
      </c>
      <c r="G88" s="424" t="s">
        <v>85</v>
      </c>
      <c r="H88" s="421">
        <f>B88*(H123+H124+H84)</f>
        <v>0</v>
      </c>
      <c r="I88" s="425" t="s">
        <v>85</v>
      </c>
    </row>
    <row r="89" spans="1:9" ht="15.75" customHeight="1" x14ac:dyDescent="0.2">
      <c r="A89" s="480" t="s">
        <v>559</v>
      </c>
      <c r="B89" s="481"/>
      <c r="C89" s="482"/>
      <c r="D89" s="482"/>
      <c r="E89" s="482"/>
      <c r="F89" s="482"/>
      <c r="G89" s="482"/>
      <c r="H89" s="483"/>
      <c r="I89" s="484">
        <f>Insumos!H146</f>
        <v>0</v>
      </c>
    </row>
    <row r="90" spans="1:9" ht="15.75" customHeight="1" x14ac:dyDescent="0.2">
      <c r="A90" s="478" t="s">
        <v>560</v>
      </c>
      <c r="B90" s="442"/>
      <c r="C90" s="424"/>
      <c r="D90" s="424"/>
      <c r="E90" s="424"/>
      <c r="F90" s="424"/>
      <c r="G90" s="424"/>
      <c r="H90" s="421"/>
      <c r="I90" s="425"/>
    </row>
    <row r="91" spans="1:9" ht="15.75" customHeight="1" x14ac:dyDescent="0.2">
      <c r="A91" s="468" t="s">
        <v>509</v>
      </c>
      <c r="B91" s="485"/>
      <c r="C91" s="470">
        <f t="shared" ref="C91:I91" si="30">SUM(C84:C90)</f>
        <v>0</v>
      </c>
      <c r="D91" s="470">
        <f t="shared" si="30"/>
        <v>0</v>
      </c>
      <c r="E91" s="470">
        <f t="shared" si="30"/>
        <v>0</v>
      </c>
      <c r="F91" s="470">
        <f t="shared" si="30"/>
        <v>0</v>
      </c>
      <c r="G91" s="470">
        <f t="shared" si="30"/>
        <v>0</v>
      </c>
      <c r="H91" s="470">
        <f t="shared" si="30"/>
        <v>0</v>
      </c>
      <c r="I91" s="470">
        <f t="shared" si="30"/>
        <v>0</v>
      </c>
    </row>
    <row r="92" spans="1:9" ht="15.75" customHeight="1" x14ac:dyDescent="0.2">
      <c r="A92" s="778"/>
      <c r="B92" s="778"/>
      <c r="C92" s="486"/>
      <c r="D92" s="486"/>
      <c r="E92" s="486"/>
      <c r="F92" s="486"/>
      <c r="G92" s="486"/>
      <c r="H92" s="487"/>
      <c r="I92" s="488"/>
    </row>
    <row r="93" spans="1:9" ht="15.75" customHeight="1" x14ac:dyDescent="0.2">
      <c r="A93" s="474" t="s">
        <v>561</v>
      </c>
      <c r="B93" s="475"/>
      <c r="C93" s="475"/>
      <c r="D93" s="475"/>
      <c r="E93" s="475"/>
      <c r="F93" s="475"/>
      <c r="G93" s="475"/>
      <c r="H93" s="475"/>
      <c r="I93" s="476"/>
    </row>
    <row r="94" spans="1:9" ht="15.75" customHeight="1" x14ac:dyDescent="0.2">
      <c r="A94" s="415" t="s">
        <v>562</v>
      </c>
      <c r="B94" s="416" t="s">
        <v>500</v>
      </c>
      <c r="C94" s="416" t="s">
        <v>501</v>
      </c>
      <c r="D94" s="416" t="s">
        <v>501</v>
      </c>
      <c r="E94" s="416" t="s">
        <v>501</v>
      </c>
      <c r="F94" s="416" t="s">
        <v>501</v>
      </c>
      <c r="G94" s="416" t="s">
        <v>501</v>
      </c>
      <c r="H94" s="416" t="s">
        <v>501</v>
      </c>
      <c r="I94" s="417" t="s">
        <v>501</v>
      </c>
    </row>
    <row r="95" spans="1:9" ht="15.75" customHeight="1" x14ac:dyDescent="0.2">
      <c r="A95" s="418" t="s">
        <v>70</v>
      </c>
      <c r="B95" s="442">
        <f>MC!C66</f>
        <v>0</v>
      </c>
      <c r="C95" s="449">
        <f t="shared" ref="C95:I95" si="31">(C$19+C$49+C$60+C$80+C$91)*$B$95</f>
        <v>0</v>
      </c>
      <c r="D95" s="449">
        <f t="shared" si="31"/>
        <v>0</v>
      </c>
      <c r="E95" s="449">
        <f t="shared" si="31"/>
        <v>0</v>
      </c>
      <c r="F95" s="449">
        <f t="shared" si="31"/>
        <v>0</v>
      </c>
      <c r="G95" s="449">
        <f t="shared" si="31"/>
        <v>0</v>
      </c>
      <c r="H95" s="449">
        <f t="shared" si="31"/>
        <v>0</v>
      </c>
      <c r="I95" s="450">
        <f t="shared" si="31"/>
        <v>0</v>
      </c>
    </row>
    <row r="96" spans="1:9" x14ac:dyDescent="0.2">
      <c r="A96" s="418" t="s">
        <v>71</v>
      </c>
      <c r="B96" s="442">
        <f>MC!C67</f>
        <v>0</v>
      </c>
      <c r="C96" s="449">
        <f t="shared" ref="C96:I96" si="32">(C$19+C$49+C$60+C$80+C$91+C95)*$B$96</f>
        <v>0</v>
      </c>
      <c r="D96" s="449">
        <f t="shared" si="32"/>
        <v>0</v>
      </c>
      <c r="E96" s="449">
        <f t="shared" si="32"/>
        <v>0</v>
      </c>
      <c r="F96" s="449">
        <f t="shared" si="32"/>
        <v>0</v>
      </c>
      <c r="G96" s="449">
        <f t="shared" si="32"/>
        <v>0</v>
      </c>
      <c r="H96" s="449">
        <f t="shared" si="32"/>
        <v>0</v>
      </c>
      <c r="I96" s="450">
        <f t="shared" si="32"/>
        <v>0</v>
      </c>
    </row>
    <row r="97" spans="1:10" x14ac:dyDescent="0.2">
      <c r="A97" s="489" t="s">
        <v>563</v>
      </c>
      <c r="B97" s="490">
        <f>B98+B99</f>
        <v>0.1125</v>
      </c>
      <c r="C97" s="491">
        <f t="shared" ref="C97:I97" si="33">((C19+C49+C60+C80+C91+C95+C96)/(1-($B$97)))*$B$97</f>
        <v>0</v>
      </c>
      <c r="D97" s="491">
        <f t="shared" si="33"/>
        <v>0</v>
      </c>
      <c r="E97" s="491">
        <f t="shared" si="33"/>
        <v>0</v>
      </c>
      <c r="F97" s="491">
        <f t="shared" si="33"/>
        <v>0</v>
      </c>
      <c r="G97" s="491">
        <f t="shared" si="33"/>
        <v>0</v>
      </c>
      <c r="H97" s="491">
        <f t="shared" si="33"/>
        <v>0</v>
      </c>
      <c r="I97" s="492">
        <f t="shared" si="33"/>
        <v>0</v>
      </c>
    </row>
    <row r="98" spans="1:10" x14ac:dyDescent="0.2">
      <c r="A98" s="418" t="s">
        <v>564</v>
      </c>
      <c r="B98" s="442">
        <f>0.0165+0.076</f>
        <v>9.2499999999999999E-2</v>
      </c>
      <c r="C98" s="493">
        <f t="shared" ref="C98:I98" si="34">((C$19+C$49+C$60+C$80+C$91+C$95+C$96)/(1-($B$97)))*$B$98</f>
        <v>0</v>
      </c>
      <c r="D98" s="493">
        <f t="shared" si="34"/>
        <v>0</v>
      </c>
      <c r="E98" s="493">
        <f t="shared" si="34"/>
        <v>0</v>
      </c>
      <c r="F98" s="493">
        <f t="shared" si="34"/>
        <v>0</v>
      </c>
      <c r="G98" s="493">
        <f t="shared" si="34"/>
        <v>0</v>
      </c>
      <c r="H98" s="493">
        <f t="shared" si="34"/>
        <v>0</v>
      </c>
      <c r="I98" s="494">
        <f t="shared" si="34"/>
        <v>0</v>
      </c>
    </row>
    <row r="99" spans="1:10" x14ac:dyDescent="0.2">
      <c r="A99" s="418" t="s">
        <v>565</v>
      </c>
      <c r="B99" s="442">
        <v>0.02</v>
      </c>
      <c r="C99" s="495">
        <f t="shared" ref="C99:I99" si="35">((C$19+C$49+C$60+C$80+C$91+C$95+C$96)/(1-($B$97)))*$B$99</f>
        <v>0</v>
      </c>
      <c r="D99" s="495">
        <f t="shared" si="35"/>
        <v>0</v>
      </c>
      <c r="E99" s="495">
        <f t="shared" si="35"/>
        <v>0</v>
      </c>
      <c r="F99" s="495">
        <f t="shared" si="35"/>
        <v>0</v>
      </c>
      <c r="G99" s="495">
        <f t="shared" si="35"/>
        <v>0</v>
      </c>
      <c r="H99" s="495">
        <f t="shared" si="35"/>
        <v>0</v>
      </c>
      <c r="I99" s="496">
        <f t="shared" si="35"/>
        <v>0</v>
      </c>
    </row>
    <row r="100" spans="1:10" x14ac:dyDescent="0.2">
      <c r="A100" s="489" t="s">
        <v>566</v>
      </c>
      <c r="B100" s="490">
        <f>B101+B102</f>
        <v>0.11749999999999999</v>
      </c>
      <c r="C100" s="491">
        <f t="shared" ref="C100:I100" si="36">((C19+C49+C60+C80+C91+C95+C96)/(1-($B$100)))*$B$100</f>
        <v>0</v>
      </c>
      <c r="D100" s="491">
        <f t="shared" si="36"/>
        <v>0</v>
      </c>
      <c r="E100" s="491">
        <f t="shared" si="36"/>
        <v>0</v>
      </c>
      <c r="F100" s="491">
        <f t="shared" si="36"/>
        <v>0</v>
      </c>
      <c r="G100" s="491">
        <f t="shared" si="36"/>
        <v>0</v>
      </c>
      <c r="H100" s="491">
        <f t="shared" si="36"/>
        <v>0</v>
      </c>
      <c r="I100" s="492">
        <f t="shared" si="36"/>
        <v>0</v>
      </c>
    </row>
    <row r="101" spans="1:10" x14ac:dyDescent="0.2">
      <c r="A101" s="418" t="s">
        <v>564</v>
      </c>
      <c r="B101" s="442">
        <f>0.0165+0.076</f>
        <v>9.2499999999999999E-2</v>
      </c>
      <c r="C101" s="493">
        <f t="shared" ref="C101:I101" si="37">((C19+C49+C60+C80+C91+C95+C96)/(1-($B$100)))*$B$101</f>
        <v>0</v>
      </c>
      <c r="D101" s="493">
        <f t="shared" si="37"/>
        <v>0</v>
      </c>
      <c r="E101" s="493">
        <f t="shared" si="37"/>
        <v>0</v>
      </c>
      <c r="F101" s="493">
        <f t="shared" si="37"/>
        <v>0</v>
      </c>
      <c r="G101" s="493">
        <f t="shared" si="37"/>
        <v>0</v>
      </c>
      <c r="H101" s="493">
        <f t="shared" si="37"/>
        <v>0</v>
      </c>
      <c r="I101" s="494">
        <f t="shared" si="37"/>
        <v>0</v>
      </c>
    </row>
    <row r="102" spans="1:10" x14ac:dyDescent="0.2">
      <c r="A102" s="418" t="s">
        <v>565</v>
      </c>
      <c r="B102" s="442">
        <v>2.5000000000000001E-2</v>
      </c>
      <c r="C102" s="495">
        <f t="shared" ref="C102:I102" si="38">((C$19+C$49+C$60+C$80+C$91+C$95+C$96)/(1-($B$100)))*$B$102</f>
        <v>0</v>
      </c>
      <c r="D102" s="495">
        <f t="shared" si="38"/>
        <v>0</v>
      </c>
      <c r="E102" s="495">
        <f t="shared" si="38"/>
        <v>0</v>
      </c>
      <c r="F102" s="495">
        <f t="shared" si="38"/>
        <v>0</v>
      </c>
      <c r="G102" s="495">
        <f t="shared" si="38"/>
        <v>0</v>
      </c>
      <c r="H102" s="495">
        <f t="shared" si="38"/>
        <v>0</v>
      </c>
      <c r="I102" s="496">
        <f t="shared" si="38"/>
        <v>0</v>
      </c>
    </row>
    <row r="103" spans="1:10" x14ac:dyDescent="0.2">
      <c r="A103" s="489" t="s">
        <v>567</v>
      </c>
      <c r="B103" s="490">
        <f>B104+B105</f>
        <v>0.1225</v>
      </c>
      <c r="C103" s="491">
        <f t="shared" ref="C103:I103" si="39">((C19+C49+C60+C80+C91+C95+C96)/(1-($B$103)))*$B$103</f>
        <v>0</v>
      </c>
      <c r="D103" s="491">
        <f t="shared" si="39"/>
        <v>0</v>
      </c>
      <c r="E103" s="491">
        <f t="shared" si="39"/>
        <v>0</v>
      </c>
      <c r="F103" s="491">
        <f t="shared" si="39"/>
        <v>0</v>
      </c>
      <c r="G103" s="491">
        <f t="shared" si="39"/>
        <v>0</v>
      </c>
      <c r="H103" s="491">
        <f t="shared" si="39"/>
        <v>0</v>
      </c>
      <c r="I103" s="492">
        <f t="shared" si="39"/>
        <v>0</v>
      </c>
    </row>
    <row r="104" spans="1:10" x14ac:dyDescent="0.2">
      <c r="A104" s="418" t="s">
        <v>564</v>
      </c>
      <c r="B104" s="442">
        <f>0.0165+0.076</f>
        <v>9.2499999999999999E-2</v>
      </c>
      <c r="C104" s="493">
        <f t="shared" ref="C104:I104" si="40">((C19+C49+C60+C80+C91+C95+C96)/(1-($B$103)))*$B$104</f>
        <v>0</v>
      </c>
      <c r="D104" s="493">
        <f t="shared" si="40"/>
        <v>0</v>
      </c>
      <c r="E104" s="493">
        <f t="shared" si="40"/>
        <v>0</v>
      </c>
      <c r="F104" s="493">
        <f t="shared" si="40"/>
        <v>0</v>
      </c>
      <c r="G104" s="493">
        <f t="shared" si="40"/>
        <v>0</v>
      </c>
      <c r="H104" s="493">
        <f t="shared" si="40"/>
        <v>0</v>
      </c>
      <c r="I104" s="494">
        <f t="shared" si="40"/>
        <v>0</v>
      </c>
    </row>
    <row r="105" spans="1:10" x14ac:dyDescent="0.2">
      <c r="A105" s="418" t="s">
        <v>565</v>
      </c>
      <c r="B105" s="442">
        <v>0.03</v>
      </c>
      <c r="C105" s="495">
        <f t="shared" ref="C105:I105" si="41">((C19+C49+C60+C80+C91+C95+C96)/(1-($B$103)))*$B$105</f>
        <v>0</v>
      </c>
      <c r="D105" s="495">
        <f t="shared" si="41"/>
        <v>0</v>
      </c>
      <c r="E105" s="495">
        <f t="shared" si="41"/>
        <v>0</v>
      </c>
      <c r="F105" s="495">
        <f t="shared" si="41"/>
        <v>0</v>
      </c>
      <c r="G105" s="495">
        <f t="shared" si="41"/>
        <v>0</v>
      </c>
      <c r="H105" s="495">
        <f t="shared" si="41"/>
        <v>0</v>
      </c>
      <c r="I105" s="496">
        <f t="shared" si="41"/>
        <v>0</v>
      </c>
      <c r="J105" s="497"/>
    </row>
    <row r="106" spans="1:10" x14ac:dyDescent="0.2">
      <c r="A106" s="489" t="s">
        <v>568</v>
      </c>
      <c r="B106" s="490">
        <f>B107+B108</f>
        <v>0.13250000000000001</v>
      </c>
      <c r="C106" s="491">
        <f t="shared" ref="C106:I106" si="42">((C19+C49+C60+C80+C91+C95+C96)/(1-($B$106)))*$B$106</f>
        <v>0</v>
      </c>
      <c r="D106" s="491">
        <f t="shared" si="42"/>
        <v>0</v>
      </c>
      <c r="E106" s="491">
        <f t="shared" si="42"/>
        <v>0</v>
      </c>
      <c r="F106" s="491">
        <f t="shared" si="42"/>
        <v>0</v>
      </c>
      <c r="G106" s="491">
        <f t="shared" si="42"/>
        <v>0</v>
      </c>
      <c r="H106" s="491">
        <f t="shared" si="42"/>
        <v>0</v>
      </c>
      <c r="I106" s="492">
        <f t="shared" si="42"/>
        <v>0</v>
      </c>
    </row>
    <row r="107" spans="1:10" x14ac:dyDescent="0.2">
      <c r="A107" s="418" t="s">
        <v>564</v>
      </c>
      <c r="B107" s="442">
        <f>0.0165+0.076</f>
        <v>9.2499999999999999E-2</v>
      </c>
      <c r="C107" s="493">
        <f t="shared" ref="C107:I107" si="43">((C19+C49+C60+C80+C91+C95+C96)/(1-($B$106)))*$B$107</f>
        <v>0</v>
      </c>
      <c r="D107" s="493">
        <f t="shared" si="43"/>
        <v>0</v>
      </c>
      <c r="E107" s="493">
        <f t="shared" si="43"/>
        <v>0</v>
      </c>
      <c r="F107" s="493">
        <f t="shared" si="43"/>
        <v>0</v>
      </c>
      <c r="G107" s="493">
        <f t="shared" si="43"/>
        <v>0</v>
      </c>
      <c r="H107" s="493">
        <f t="shared" si="43"/>
        <v>0</v>
      </c>
      <c r="I107" s="494">
        <f t="shared" si="43"/>
        <v>0</v>
      </c>
    </row>
    <row r="108" spans="1:10" x14ac:dyDescent="0.2">
      <c r="A108" s="418" t="s">
        <v>565</v>
      </c>
      <c r="B108" s="442">
        <v>0.04</v>
      </c>
      <c r="C108" s="495">
        <f t="shared" ref="C108:I108" si="44">((C19+C49+C60+C80+C91+C95+C96)/(1-($B$106)))*$B$108</f>
        <v>0</v>
      </c>
      <c r="D108" s="495">
        <f t="shared" si="44"/>
        <v>0</v>
      </c>
      <c r="E108" s="495">
        <f t="shared" si="44"/>
        <v>0</v>
      </c>
      <c r="F108" s="495">
        <f t="shared" si="44"/>
        <v>0</v>
      </c>
      <c r="G108" s="495">
        <f t="shared" si="44"/>
        <v>0</v>
      </c>
      <c r="H108" s="495">
        <f t="shared" si="44"/>
        <v>0</v>
      </c>
      <c r="I108" s="496">
        <f t="shared" si="44"/>
        <v>0</v>
      </c>
    </row>
    <row r="109" spans="1:10" x14ac:dyDescent="0.2">
      <c r="A109" s="489" t="s">
        <v>569</v>
      </c>
      <c r="B109" s="490">
        <f>B110+B111</f>
        <v>0.14250000000000002</v>
      </c>
      <c r="C109" s="491">
        <f t="shared" ref="C109:I109" si="45">((C19+C49+C60+C80+C91+C95+C96)/(1-($B$109)))*$B$109</f>
        <v>0</v>
      </c>
      <c r="D109" s="491">
        <f t="shared" si="45"/>
        <v>0</v>
      </c>
      <c r="E109" s="491">
        <f t="shared" si="45"/>
        <v>0</v>
      </c>
      <c r="F109" s="491">
        <f t="shared" si="45"/>
        <v>0</v>
      </c>
      <c r="G109" s="491">
        <f t="shared" si="45"/>
        <v>0</v>
      </c>
      <c r="H109" s="491">
        <f t="shared" si="45"/>
        <v>0</v>
      </c>
      <c r="I109" s="492">
        <f t="shared" si="45"/>
        <v>0</v>
      </c>
    </row>
    <row r="110" spans="1:10" x14ac:dyDescent="0.2">
      <c r="A110" s="418" t="s">
        <v>564</v>
      </c>
      <c r="B110" s="442">
        <f>0.0165+0.076</f>
        <v>9.2499999999999999E-2</v>
      </c>
      <c r="C110" s="498">
        <f t="shared" ref="C110:I110" si="46">((C19+C49+C60+C80+C91+C95+C96)/(1-($B$109)))*$B$110</f>
        <v>0</v>
      </c>
      <c r="D110" s="498">
        <f t="shared" si="46"/>
        <v>0</v>
      </c>
      <c r="E110" s="498">
        <f t="shared" si="46"/>
        <v>0</v>
      </c>
      <c r="F110" s="498">
        <f t="shared" si="46"/>
        <v>0</v>
      </c>
      <c r="G110" s="498">
        <f t="shared" si="46"/>
        <v>0</v>
      </c>
      <c r="H110" s="498">
        <f t="shared" si="46"/>
        <v>0</v>
      </c>
      <c r="I110" s="499">
        <f t="shared" si="46"/>
        <v>0</v>
      </c>
    </row>
    <row r="111" spans="1:10" x14ac:dyDescent="0.2">
      <c r="A111" s="418" t="s">
        <v>565</v>
      </c>
      <c r="B111" s="500">
        <v>0.05</v>
      </c>
      <c r="C111" s="501">
        <f t="shared" ref="C111:I111" si="47">((C19+C49+C60+C80+C91+C95+C96)/(1-($B$109)))*$B$111</f>
        <v>0</v>
      </c>
      <c r="D111" s="501">
        <f t="shared" si="47"/>
        <v>0</v>
      </c>
      <c r="E111" s="501">
        <f t="shared" si="47"/>
        <v>0</v>
      </c>
      <c r="F111" s="501">
        <f t="shared" si="47"/>
        <v>0</v>
      </c>
      <c r="G111" s="501">
        <f t="shared" si="47"/>
        <v>0</v>
      </c>
      <c r="H111" s="501">
        <f t="shared" si="47"/>
        <v>0</v>
      </c>
      <c r="I111" s="502">
        <f t="shared" si="47"/>
        <v>0</v>
      </c>
    </row>
    <row r="112" spans="1:10" x14ac:dyDescent="0.2">
      <c r="A112" s="780" t="s">
        <v>570</v>
      </c>
      <c r="B112" s="503">
        <v>0.02</v>
      </c>
      <c r="C112" s="504">
        <f t="shared" ref="C112:I112" si="48">C95+C96+C97</f>
        <v>0</v>
      </c>
      <c r="D112" s="504">
        <f t="shared" si="48"/>
        <v>0</v>
      </c>
      <c r="E112" s="504">
        <f t="shared" si="48"/>
        <v>0</v>
      </c>
      <c r="F112" s="504">
        <f t="shared" si="48"/>
        <v>0</v>
      </c>
      <c r="G112" s="504">
        <f t="shared" si="48"/>
        <v>0</v>
      </c>
      <c r="H112" s="504">
        <f t="shared" si="48"/>
        <v>0</v>
      </c>
      <c r="I112" s="505">
        <f t="shared" si="48"/>
        <v>0</v>
      </c>
    </row>
    <row r="113" spans="1:10" x14ac:dyDescent="0.2">
      <c r="A113" s="780"/>
      <c r="B113" s="506">
        <v>2.5000000000000001E-2</v>
      </c>
      <c r="C113" s="507">
        <f t="shared" ref="C113:I113" si="49">C95+C96+C100</f>
        <v>0</v>
      </c>
      <c r="D113" s="507">
        <f t="shared" si="49"/>
        <v>0</v>
      </c>
      <c r="E113" s="507">
        <f t="shared" si="49"/>
        <v>0</v>
      </c>
      <c r="F113" s="507">
        <f t="shared" si="49"/>
        <v>0</v>
      </c>
      <c r="G113" s="507">
        <f t="shared" si="49"/>
        <v>0</v>
      </c>
      <c r="H113" s="507">
        <f t="shared" si="49"/>
        <v>0</v>
      </c>
      <c r="I113" s="508">
        <f t="shared" si="49"/>
        <v>0</v>
      </c>
    </row>
    <row r="114" spans="1:10" ht="15.75" customHeight="1" x14ac:dyDescent="0.2">
      <c r="A114" s="780"/>
      <c r="B114" s="506">
        <v>0.03</v>
      </c>
      <c r="C114" s="507">
        <f t="shared" ref="C114:I114" si="50">C95+C96+C103</f>
        <v>0</v>
      </c>
      <c r="D114" s="507">
        <f t="shared" si="50"/>
        <v>0</v>
      </c>
      <c r="E114" s="507">
        <f t="shared" si="50"/>
        <v>0</v>
      </c>
      <c r="F114" s="507">
        <f t="shared" si="50"/>
        <v>0</v>
      </c>
      <c r="G114" s="507">
        <f t="shared" si="50"/>
        <v>0</v>
      </c>
      <c r="H114" s="507">
        <f t="shared" si="50"/>
        <v>0</v>
      </c>
      <c r="I114" s="508">
        <f t="shared" si="50"/>
        <v>0</v>
      </c>
      <c r="J114" s="497"/>
    </row>
    <row r="115" spans="1:10" ht="15.75" customHeight="1" x14ac:dyDescent="0.2">
      <c r="A115" s="780"/>
      <c r="B115" s="506">
        <v>0.04</v>
      </c>
      <c r="C115" s="507">
        <f t="shared" ref="C115:I115" si="51">C95+C96+C106</f>
        <v>0</v>
      </c>
      <c r="D115" s="507">
        <f t="shared" si="51"/>
        <v>0</v>
      </c>
      <c r="E115" s="507">
        <f t="shared" si="51"/>
        <v>0</v>
      </c>
      <c r="F115" s="507">
        <f t="shared" si="51"/>
        <v>0</v>
      </c>
      <c r="G115" s="507">
        <f t="shared" si="51"/>
        <v>0</v>
      </c>
      <c r="H115" s="507">
        <f t="shared" si="51"/>
        <v>0</v>
      </c>
      <c r="I115" s="508">
        <f t="shared" si="51"/>
        <v>0</v>
      </c>
    </row>
    <row r="116" spans="1:10" ht="15.75" customHeight="1" x14ac:dyDescent="0.2">
      <c r="A116" s="780"/>
      <c r="B116" s="509">
        <v>0.05</v>
      </c>
      <c r="C116" s="510">
        <f t="shared" ref="C116:I116" si="52">C95+C96+C109</f>
        <v>0</v>
      </c>
      <c r="D116" s="510">
        <f t="shared" si="52"/>
        <v>0</v>
      </c>
      <c r="E116" s="510">
        <f t="shared" si="52"/>
        <v>0</v>
      </c>
      <c r="F116" s="510">
        <f t="shared" si="52"/>
        <v>0</v>
      </c>
      <c r="G116" s="510">
        <f t="shared" si="52"/>
        <v>0</v>
      </c>
      <c r="H116" s="510">
        <f t="shared" si="52"/>
        <v>0</v>
      </c>
      <c r="I116" s="511">
        <f t="shared" si="52"/>
        <v>0</v>
      </c>
    </row>
    <row r="117" spans="1:10" ht="15.75" customHeight="1" x14ac:dyDescent="0.2">
      <c r="A117" s="418" t="s">
        <v>571</v>
      </c>
      <c r="B117" s="512"/>
      <c r="C117" s="513"/>
      <c r="D117" s="513"/>
      <c r="E117" s="513"/>
      <c r="F117" s="513"/>
      <c r="G117" s="513"/>
      <c r="H117" s="514"/>
      <c r="I117" s="515"/>
    </row>
    <row r="118" spans="1:10" ht="24.75" customHeight="1" x14ac:dyDescent="0.2">
      <c r="A118" s="516"/>
      <c r="B118" s="517"/>
      <c r="C118" s="518"/>
      <c r="D118" s="518"/>
      <c r="E118" s="518"/>
      <c r="F118" s="518"/>
      <c r="G118" s="518"/>
      <c r="H118" s="519"/>
      <c r="I118" s="520"/>
    </row>
    <row r="119" spans="1:10" ht="15.75" customHeight="1" x14ac:dyDescent="0.2">
      <c r="A119" s="781"/>
      <c r="B119" s="781"/>
      <c r="C119" s="781"/>
      <c r="D119" s="781"/>
      <c r="E119" s="781"/>
      <c r="F119" s="781"/>
      <c r="G119" s="781"/>
      <c r="H119" s="781"/>
      <c r="I119" s="781"/>
    </row>
    <row r="120" spans="1:10" ht="15.75" customHeight="1" x14ac:dyDescent="0.2">
      <c r="A120" s="782"/>
      <c r="B120" s="782"/>
      <c r="C120" s="782"/>
      <c r="D120" s="782"/>
      <c r="E120" s="782"/>
      <c r="F120" s="782"/>
      <c r="G120" s="782"/>
      <c r="H120" s="782"/>
      <c r="I120" s="782"/>
    </row>
    <row r="121" spans="1:10" ht="54.75" customHeight="1" x14ac:dyDescent="0.2">
      <c r="A121" s="783" t="s">
        <v>572</v>
      </c>
      <c r="B121" s="783"/>
      <c r="C121" s="521" t="str">
        <f t="shared" ref="C121:I121" si="53">C10</f>
        <v>Servente 40h (banheirista)
(insalubridade 40%)</v>
      </c>
      <c r="D121" s="521" t="str">
        <f t="shared" si="53"/>
        <v>Servente 40h
(insalubridade 20%)</v>
      </c>
      <c r="E121" s="521" t="str">
        <f t="shared" si="53"/>
        <v>Servente 30h (banheirista)
(insalubridade 40%)</v>
      </c>
      <c r="F121" s="521" t="str">
        <f t="shared" si="53"/>
        <v>Servente 30h
(insalubridade 20%)</v>
      </c>
      <c r="G121" s="521" t="str">
        <f t="shared" si="53"/>
        <v>Servente 20h
(insalubridade 20%)</v>
      </c>
      <c r="H121" s="522" t="str">
        <f t="shared" si="53"/>
        <v>Limpador alpinista 44h (limpeza de esquadrias com risco)</v>
      </c>
      <c r="I121" s="523" t="str">
        <f t="shared" si="53"/>
        <v>Encarregada 40h</v>
      </c>
    </row>
    <row r="122" spans="1:10" ht="15.75" customHeight="1" x14ac:dyDescent="0.2">
      <c r="A122" s="784" t="s">
        <v>573</v>
      </c>
      <c r="B122" s="784"/>
      <c r="C122" s="524" t="s">
        <v>501</v>
      </c>
      <c r="D122" s="524" t="s">
        <v>501</v>
      </c>
      <c r="E122" s="524" t="s">
        <v>501</v>
      </c>
      <c r="F122" s="524" t="s">
        <v>501</v>
      </c>
      <c r="G122" s="524" t="s">
        <v>501</v>
      </c>
      <c r="H122" s="524" t="s">
        <v>501</v>
      </c>
      <c r="I122" s="525" t="s">
        <v>501</v>
      </c>
    </row>
    <row r="123" spans="1:10" ht="14.25" customHeight="1" x14ac:dyDescent="0.2">
      <c r="A123" s="785" t="s">
        <v>574</v>
      </c>
      <c r="B123" s="785"/>
      <c r="C123" s="526">
        <f t="shared" ref="C123:I123" si="54">C19</f>
        <v>0</v>
      </c>
      <c r="D123" s="526">
        <f t="shared" si="54"/>
        <v>0</v>
      </c>
      <c r="E123" s="526">
        <f t="shared" si="54"/>
        <v>0</v>
      </c>
      <c r="F123" s="526">
        <f t="shared" si="54"/>
        <v>0</v>
      </c>
      <c r="G123" s="526">
        <f t="shared" si="54"/>
        <v>0</v>
      </c>
      <c r="H123" s="526">
        <f t="shared" si="54"/>
        <v>0</v>
      </c>
      <c r="I123" s="527">
        <f t="shared" si="54"/>
        <v>0</v>
      </c>
    </row>
    <row r="124" spans="1:10" ht="14.25" customHeight="1" x14ac:dyDescent="0.2">
      <c r="A124" s="786" t="s">
        <v>575</v>
      </c>
      <c r="B124" s="786"/>
      <c r="C124" s="528">
        <f t="shared" ref="C124:I124" si="55">C49</f>
        <v>0</v>
      </c>
      <c r="D124" s="528">
        <f t="shared" si="55"/>
        <v>0</v>
      </c>
      <c r="E124" s="528">
        <f t="shared" si="55"/>
        <v>0</v>
      </c>
      <c r="F124" s="528">
        <f t="shared" si="55"/>
        <v>0</v>
      </c>
      <c r="G124" s="528">
        <f t="shared" si="55"/>
        <v>0</v>
      </c>
      <c r="H124" s="528">
        <f t="shared" si="55"/>
        <v>0</v>
      </c>
      <c r="I124" s="529">
        <f t="shared" si="55"/>
        <v>0</v>
      </c>
    </row>
    <row r="125" spans="1:10" ht="14.25" customHeight="1" x14ac:dyDescent="0.2">
      <c r="A125" s="786" t="s">
        <v>576</v>
      </c>
      <c r="B125" s="786"/>
      <c r="C125" s="528">
        <f t="shared" ref="C125:I125" si="56">C60</f>
        <v>0</v>
      </c>
      <c r="D125" s="528">
        <f t="shared" si="56"/>
        <v>0</v>
      </c>
      <c r="E125" s="528">
        <f t="shared" si="56"/>
        <v>0</v>
      </c>
      <c r="F125" s="528">
        <f t="shared" si="56"/>
        <v>0</v>
      </c>
      <c r="G125" s="528">
        <f t="shared" si="56"/>
        <v>0</v>
      </c>
      <c r="H125" s="528">
        <f t="shared" si="56"/>
        <v>0</v>
      </c>
      <c r="I125" s="529">
        <f t="shared" si="56"/>
        <v>0</v>
      </c>
    </row>
    <row r="126" spans="1:10" ht="14.25" customHeight="1" x14ac:dyDescent="0.2">
      <c r="A126" s="786" t="s">
        <v>577</v>
      </c>
      <c r="B126" s="786"/>
      <c r="C126" s="528">
        <f t="shared" ref="C126:H126" si="57">C80</f>
        <v>0</v>
      </c>
      <c r="D126" s="528">
        <f t="shared" si="57"/>
        <v>0</v>
      </c>
      <c r="E126" s="528">
        <f t="shared" si="57"/>
        <v>0</v>
      </c>
      <c r="F126" s="528">
        <f t="shared" si="57"/>
        <v>0</v>
      </c>
      <c r="G126" s="528">
        <f t="shared" si="57"/>
        <v>0</v>
      </c>
      <c r="H126" s="528">
        <f t="shared" si="57"/>
        <v>0</v>
      </c>
      <c r="I126" s="529">
        <f>I69</f>
        <v>0</v>
      </c>
    </row>
    <row r="127" spans="1:10" ht="15.75" customHeight="1" x14ac:dyDescent="0.2">
      <c r="A127" s="786" t="s">
        <v>578</v>
      </c>
      <c r="B127" s="786"/>
      <c r="C127" s="528">
        <f t="shared" ref="C127:I127" si="58">C91</f>
        <v>0</v>
      </c>
      <c r="D127" s="528">
        <f t="shared" si="58"/>
        <v>0</v>
      </c>
      <c r="E127" s="528">
        <f t="shared" si="58"/>
        <v>0</v>
      </c>
      <c r="F127" s="528">
        <f t="shared" si="58"/>
        <v>0</v>
      </c>
      <c r="G127" s="528">
        <f t="shared" si="58"/>
        <v>0</v>
      </c>
      <c r="H127" s="528">
        <f t="shared" si="58"/>
        <v>0</v>
      </c>
      <c r="I127" s="529">
        <f t="shared" si="58"/>
        <v>0</v>
      </c>
    </row>
    <row r="128" spans="1:10" ht="15.75" customHeight="1" x14ac:dyDescent="0.2">
      <c r="A128" s="787" t="s">
        <v>579</v>
      </c>
      <c r="B128" s="787"/>
      <c r="C128" s="530">
        <f t="shared" ref="C128:I128" si="59">SUM(C123:C127)</f>
        <v>0</v>
      </c>
      <c r="D128" s="530">
        <f t="shared" si="59"/>
        <v>0</v>
      </c>
      <c r="E128" s="530">
        <f t="shared" si="59"/>
        <v>0</v>
      </c>
      <c r="F128" s="530">
        <f t="shared" si="59"/>
        <v>0</v>
      </c>
      <c r="G128" s="530">
        <f t="shared" si="59"/>
        <v>0</v>
      </c>
      <c r="H128" s="531">
        <f t="shared" si="59"/>
        <v>0</v>
      </c>
      <c r="I128" s="532">
        <f t="shared" si="59"/>
        <v>0</v>
      </c>
    </row>
    <row r="129" spans="1:9" ht="15.75" customHeight="1" x14ac:dyDescent="0.2">
      <c r="A129" s="788" t="s">
        <v>580</v>
      </c>
      <c r="B129" s="788"/>
      <c r="C129" s="533">
        <f t="shared" ref="C129:I133" si="60">C112</f>
        <v>0</v>
      </c>
      <c r="D129" s="533">
        <f t="shared" si="60"/>
        <v>0</v>
      </c>
      <c r="E129" s="533">
        <f t="shared" si="60"/>
        <v>0</v>
      </c>
      <c r="F129" s="533">
        <f t="shared" si="60"/>
        <v>0</v>
      </c>
      <c r="G129" s="533">
        <f t="shared" si="60"/>
        <v>0</v>
      </c>
      <c r="H129" s="533">
        <f t="shared" si="60"/>
        <v>0</v>
      </c>
      <c r="I129" s="534">
        <f t="shared" si="60"/>
        <v>0</v>
      </c>
    </row>
    <row r="130" spans="1:9" ht="15.75" customHeight="1" x14ac:dyDescent="0.2">
      <c r="A130" s="786" t="s">
        <v>581</v>
      </c>
      <c r="B130" s="786"/>
      <c r="C130" s="535">
        <f t="shared" si="60"/>
        <v>0</v>
      </c>
      <c r="D130" s="535">
        <f t="shared" si="60"/>
        <v>0</v>
      </c>
      <c r="E130" s="535">
        <f t="shared" si="60"/>
        <v>0</v>
      </c>
      <c r="F130" s="535">
        <f t="shared" si="60"/>
        <v>0</v>
      </c>
      <c r="G130" s="535">
        <f t="shared" si="60"/>
        <v>0</v>
      </c>
      <c r="H130" s="535">
        <f t="shared" si="60"/>
        <v>0</v>
      </c>
      <c r="I130" s="536">
        <f t="shared" si="60"/>
        <v>0</v>
      </c>
    </row>
    <row r="131" spans="1:9" ht="15.75" customHeight="1" x14ac:dyDescent="0.2">
      <c r="A131" s="786" t="s">
        <v>582</v>
      </c>
      <c r="B131" s="786"/>
      <c r="C131" s="535">
        <f t="shared" si="60"/>
        <v>0</v>
      </c>
      <c r="D131" s="535">
        <f t="shared" si="60"/>
        <v>0</v>
      </c>
      <c r="E131" s="535">
        <f t="shared" si="60"/>
        <v>0</v>
      </c>
      <c r="F131" s="535">
        <f t="shared" si="60"/>
        <v>0</v>
      </c>
      <c r="G131" s="535">
        <f t="shared" si="60"/>
        <v>0</v>
      </c>
      <c r="H131" s="535">
        <f t="shared" si="60"/>
        <v>0</v>
      </c>
      <c r="I131" s="536">
        <f t="shared" si="60"/>
        <v>0</v>
      </c>
    </row>
    <row r="132" spans="1:9" ht="15.75" customHeight="1" x14ac:dyDescent="0.2">
      <c r="A132" s="786" t="s">
        <v>583</v>
      </c>
      <c r="B132" s="786"/>
      <c r="C132" s="535">
        <f t="shared" si="60"/>
        <v>0</v>
      </c>
      <c r="D132" s="535">
        <f t="shared" si="60"/>
        <v>0</v>
      </c>
      <c r="E132" s="535">
        <f t="shared" si="60"/>
        <v>0</v>
      </c>
      <c r="F132" s="535">
        <f t="shared" si="60"/>
        <v>0</v>
      </c>
      <c r="G132" s="535">
        <f t="shared" si="60"/>
        <v>0</v>
      </c>
      <c r="H132" s="535">
        <f t="shared" si="60"/>
        <v>0</v>
      </c>
      <c r="I132" s="536">
        <f t="shared" si="60"/>
        <v>0</v>
      </c>
    </row>
    <row r="133" spans="1:9" ht="15.75" customHeight="1" x14ac:dyDescent="0.2">
      <c r="A133" s="788" t="s">
        <v>584</v>
      </c>
      <c r="B133" s="788"/>
      <c r="C133" s="535">
        <f t="shared" si="60"/>
        <v>0</v>
      </c>
      <c r="D133" s="535">
        <f t="shared" si="60"/>
        <v>0</v>
      </c>
      <c r="E133" s="535">
        <f t="shared" si="60"/>
        <v>0</v>
      </c>
      <c r="F133" s="535">
        <f t="shared" si="60"/>
        <v>0</v>
      </c>
      <c r="G133" s="535">
        <f t="shared" si="60"/>
        <v>0</v>
      </c>
      <c r="H133" s="535">
        <f t="shared" si="60"/>
        <v>0</v>
      </c>
      <c r="I133" s="536">
        <f t="shared" si="60"/>
        <v>0</v>
      </c>
    </row>
    <row r="134" spans="1:9" ht="15.75" customHeight="1" x14ac:dyDescent="0.2">
      <c r="A134" s="537" t="s">
        <v>585</v>
      </c>
      <c r="B134" s="538"/>
      <c r="C134" s="539">
        <f t="shared" ref="C134:I134" si="61">C128+C129</f>
        <v>0</v>
      </c>
      <c r="D134" s="539">
        <f t="shared" si="61"/>
        <v>0</v>
      </c>
      <c r="E134" s="539">
        <f t="shared" si="61"/>
        <v>0</v>
      </c>
      <c r="F134" s="539">
        <f t="shared" si="61"/>
        <v>0</v>
      </c>
      <c r="G134" s="539">
        <f t="shared" si="61"/>
        <v>0</v>
      </c>
      <c r="H134" s="539">
        <f t="shared" si="61"/>
        <v>0</v>
      </c>
      <c r="I134" s="540">
        <f t="shared" si="61"/>
        <v>0</v>
      </c>
    </row>
    <row r="135" spans="1:9" ht="15.75" customHeight="1" x14ac:dyDescent="0.2">
      <c r="A135" s="541" t="s">
        <v>586</v>
      </c>
      <c r="B135" s="542"/>
      <c r="C135" s="543">
        <f t="shared" ref="C135:I135" si="62">C128+C130</f>
        <v>0</v>
      </c>
      <c r="D135" s="543">
        <f t="shared" si="62"/>
        <v>0</v>
      </c>
      <c r="E135" s="543">
        <f t="shared" si="62"/>
        <v>0</v>
      </c>
      <c r="F135" s="543">
        <f t="shared" si="62"/>
        <v>0</v>
      </c>
      <c r="G135" s="543">
        <f t="shared" si="62"/>
        <v>0</v>
      </c>
      <c r="H135" s="543">
        <f t="shared" si="62"/>
        <v>0</v>
      </c>
      <c r="I135" s="544">
        <f t="shared" si="62"/>
        <v>0</v>
      </c>
    </row>
    <row r="136" spans="1:9" ht="15.75" customHeight="1" x14ac:dyDescent="0.2">
      <c r="A136" s="541" t="s">
        <v>587</v>
      </c>
      <c r="B136" s="542"/>
      <c r="C136" s="543">
        <f t="shared" ref="C136:I136" si="63">C128+C131</f>
        <v>0</v>
      </c>
      <c r="D136" s="543">
        <f t="shared" si="63"/>
        <v>0</v>
      </c>
      <c r="E136" s="543">
        <f t="shared" si="63"/>
        <v>0</v>
      </c>
      <c r="F136" s="543">
        <f t="shared" si="63"/>
        <v>0</v>
      </c>
      <c r="G136" s="543">
        <f t="shared" si="63"/>
        <v>0</v>
      </c>
      <c r="H136" s="543">
        <f t="shared" si="63"/>
        <v>0</v>
      </c>
      <c r="I136" s="544">
        <f t="shared" si="63"/>
        <v>0</v>
      </c>
    </row>
    <row r="137" spans="1:9" ht="15.75" customHeight="1" x14ac:dyDescent="0.2">
      <c r="A137" s="541" t="s">
        <v>588</v>
      </c>
      <c r="B137" s="542"/>
      <c r="C137" s="543">
        <f t="shared" ref="C137:I137" si="64">C128+C132</f>
        <v>0</v>
      </c>
      <c r="D137" s="543">
        <f t="shared" si="64"/>
        <v>0</v>
      </c>
      <c r="E137" s="543">
        <f t="shared" si="64"/>
        <v>0</v>
      </c>
      <c r="F137" s="543">
        <f t="shared" si="64"/>
        <v>0</v>
      </c>
      <c r="G137" s="543">
        <f t="shared" si="64"/>
        <v>0</v>
      </c>
      <c r="H137" s="543">
        <f t="shared" si="64"/>
        <v>0</v>
      </c>
      <c r="I137" s="544">
        <f t="shared" si="64"/>
        <v>0</v>
      </c>
    </row>
    <row r="138" spans="1:9" ht="15.75" customHeight="1" x14ac:dyDescent="0.2">
      <c r="A138" s="541" t="s">
        <v>589</v>
      </c>
      <c r="B138" s="542"/>
      <c r="C138" s="543">
        <f t="shared" ref="C138:I138" si="65">C128+C133</f>
        <v>0</v>
      </c>
      <c r="D138" s="543">
        <f t="shared" si="65"/>
        <v>0</v>
      </c>
      <c r="E138" s="543">
        <f t="shared" si="65"/>
        <v>0</v>
      </c>
      <c r="F138" s="543">
        <f t="shared" si="65"/>
        <v>0</v>
      </c>
      <c r="G138" s="543">
        <f t="shared" si="65"/>
        <v>0</v>
      </c>
      <c r="H138" s="543">
        <f t="shared" si="65"/>
        <v>0</v>
      </c>
      <c r="I138" s="544">
        <f t="shared" si="65"/>
        <v>0</v>
      </c>
    </row>
    <row r="139" spans="1:9" ht="15.75" customHeight="1" x14ac:dyDescent="0.2">
      <c r="A139" s="545" t="s">
        <v>590</v>
      </c>
      <c r="B139" s="546"/>
      <c r="C139" s="547">
        <f>C134/200</f>
        <v>0</v>
      </c>
      <c r="D139" s="547"/>
      <c r="E139" s="547"/>
      <c r="F139" s="547"/>
      <c r="G139" s="547"/>
      <c r="H139" s="548"/>
      <c r="I139" s="549"/>
    </row>
    <row r="140" spans="1:9" ht="15.75" customHeight="1" x14ac:dyDescent="0.2">
      <c r="A140" s="550" t="s">
        <v>591</v>
      </c>
      <c r="B140" s="551"/>
      <c r="C140" s="552">
        <f>C135/200</f>
        <v>0</v>
      </c>
      <c r="D140" s="552"/>
      <c r="E140" s="552"/>
      <c r="F140" s="552"/>
      <c r="G140" s="552"/>
      <c r="H140" s="553"/>
      <c r="I140" s="554"/>
    </row>
    <row r="141" spans="1:9" ht="15.75" customHeight="1" x14ac:dyDescent="0.2">
      <c r="A141" s="550" t="s">
        <v>592</v>
      </c>
      <c r="B141" s="551"/>
      <c r="C141" s="552">
        <f>C136/200</f>
        <v>0</v>
      </c>
      <c r="D141" s="552"/>
      <c r="E141" s="552"/>
      <c r="F141" s="552"/>
      <c r="G141" s="552"/>
      <c r="H141" s="553"/>
      <c r="I141" s="554"/>
    </row>
    <row r="142" spans="1:9" ht="15.75" customHeight="1" x14ac:dyDescent="0.2">
      <c r="A142" s="550" t="s">
        <v>593</v>
      </c>
      <c r="B142" s="551"/>
      <c r="C142" s="552">
        <f>C137/200</f>
        <v>0</v>
      </c>
      <c r="D142" s="552"/>
      <c r="E142" s="552"/>
      <c r="F142" s="552"/>
      <c r="G142" s="552"/>
      <c r="H142" s="553"/>
      <c r="I142" s="554"/>
    </row>
    <row r="143" spans="1:9" ht="15.75" customHeight="1" x14ac:dyDescent="0.2">
      <c r="A143" s="555" t="s">
        <v>594</v>
      </c>
      <c r="B143" s="556"/>
      <c r="C143" s="557">
        <f>C138/200</f>
        <v>0</v>
      </c>
      <c r="D143" s="557"/>
      <c r="E143" s="557"/>
      <c r="F143" s="557"/>
      <c r="G143" s="557"/>
      <c r="H143" s="558"/>
      <c r="I143" s="559"/>
    </row>
    <row r="144" spans="1:9" x14ac:dyDescent="0.2">
      <c r="A144" s="560"/>
    </row>
    <row r="145" spans="1:15" ht="14.25" customHeight="1" x14ac:dyDescent="0.2">
      <c r="A145" s="789" t="s">
        <v>595</v>
      </c>
      <c r="B145" s="789"/>
      <c r="C145" s="789" t="s">
        <v>596</v>
      </c>
      <c r="D145" s="789"/>
      <c r="E145" s="790" t="s">
        <v>597</v>
      </c>
      <c r="F145" s="790"/>
      <c r="G145" s="789" t="s">
        <v>598</v>
      </c>
      <c r="H145" s="789"/>
      <c r="I145" s="789" t="s">
        <v>599</v>
      </c>
      <c r="J145" s="789"/>
      <c r="K145" s="789" t="s">
        <v>600</v>
      </c>
      <c r="L145" s="789"/>
    </row>
    <row r="146" spans="1:15" ht="25.5" x14ac:dyDescent="0.2">
      <c r="A146" s="561" t="s">
        <v>601</v>
      </c>
      <c r="B146" s="562" t="s">
        <v>602</v>
      </c>
      <c r="C146" s="562" t="s">
        <v>603</v>
      </c>
      <c r="D146" s="562" t="s">
        <v>604</v>
      </c>
      <c r="E146" s="562" t="s">
        <v>603</v>
      </c>
      <c r="F146" s="562" t="s">
        <v>604</v>
      </c>
      <c r="G146" s="562" t="s">
        <v>603</v>
      </c>
      <c r="H146" s="562" t="s">
        <v>604</v>
      </c>
      <c r="I146" s="562" t="s">
        <v>603</v>
      </c>
      <c r="J146" s="562" t="s">
        <v>604</v>
      </c>
      <c r="K146" s="562" t="s">
        <v>603</v>
      </c>
      <c r="L146" s="562" t="s">
        <v>604</v>
      </c>
    </row>
    <row r="147" spans="1:15" x14ac:dyDescent="0.2">
      <c r="A147" s="563" t="s">
        <v>605</v>
      </c>
      <c r="B147" s="564">
        <f>1/'Prod. GEXIJU'!D22</f>
        <v>1.1111111111111111E-3</v>
      </c>
      <c r="C147" s="565">
        <f>D134</f>
        <v>0</v>
      </c>
      <c r="D147" s="565">
        <f>B147*C147</f>
        <v>0</v>
      </c>
      <c r="E147" s="565">
        <f>D135</f>
        <v>0</v>
      </c>
      <c r="F147" s="565">
        <f>B147*E147</f>
        <v>0</v>
      </c>
      <c r="G147" s="565">
        <f>D136</f>
        <v>0</v>
      </c>
      <c r="H147" s="565">
        <f>B147*G147</f>
        <v>0</v>
      </c>
      <c r="I147" s="565">
        <f>D137</f>
        <v>0</v>
      </c>
      <c r="J147" s="565">
        <f>B147*I147</f>
        <v>0</v>
      </c>
      <c r="K147" s="565">
        <f>D138</f>
        <v>0</v>
      </c>
      <c r="L147" s="565">
        <f>B147*K147</f>
        <v>0</v>
      </c>
    </row>
    <row r="148" spans="1:15" x14ac:dyDescent="0.2">
      <c r="A148" s="566" t="s">
        <v>606</v>
      </c>
      <c r="B148" s="564">
        <f>B147/'Prod. GEXIJU'!Q22</f>
        <v>4.2735042735042735E-5</v>
      </c>
      <c r="C148" s="565">
        <f>I134</f>
        <v>0</v>
      </c>
      <c r="D148" s="565">
        <f>C148*B148</f>
        <v>0</v>
      </c>
      <c r="E148" s="565">
        <f>C148</f>
        <v>0</v>
      </c>
      <c r="F148" s="565">
        <f>B148*E148</f>
        <v>0</v>
      </c>
      <c r="G148" s="565">
        <f>C148</f>
        <v>0</v>
      </c>
      <c r="H148" s="565">
        <f>B148*G148</f>
        <v>0</v>
      </c>
      <c r="I148" s="565">
        <f>C148</f>
        <v>0</v>
      </c>
      <c r="J148" s="565">
        <f>B148*I148</f>
        <v>0</v>
      </c>
      <c r="K148" s="565">
        <f>C148</f>
        <v>0</v>
      </c>
      <c r="L148" s="565">
        <f>B148*K148</f>
        <v>0</v>
      </c>
      <c r="M148" s="791"/>
      <c r="N148" s="791"/>
      <c r="O148" s="567"/>
    </row>
    <row r="149" spans="1:15" x14ac:dyDescent="0.2">
      <c r="A149" s="568" t="s">
        <v>609</v>
      </c>
      <c r="B149" s="569"/>
      <c r="C149" s="570"/>
      <c r="D149" s="570">
        <f>SUM(D147:D148)</f>
        <v>0</v>
      </c>
      <c r="E149" s="570"/>
      <c r="F149" s="570">
        <f>SUM(F147:F148)</f>
        <v>0</v>
      </c>
      <c r="G149" s="570"/>
      <c r="H149" s="570">
        <f>SUM(H147:H148)</f>
        <v>0</v>
      </c>
      <c r="I149" s="570"/>
      <c r="J149" s="570">
        <f>SUM(J147:J148)</f>
        <v>0</v>
      </c>
      <c r="K149" s="570"/>
      <c r="L149" s="570">
        <f>SUM(L147:L148)</f>
        <v>0</v>
      </c>
      <c r="M149" s="571"/>
      <c r="N149" s="572"/>
    </row>
    <row r="150" spans="1:15" x14ac:dyDescent="0.2">
      <c r="A150" s="560"/>
    </row>
    <row r="151" spans="1:15" ht="14.25" customHeight="1" x14ac:dyDescent="0.2">
      <c r="A151" s="789" t="s">
        <v>610</v>
      </c>
      <c r="B151" s="789"/>
      <c r="C151" s="789" t="s">
        <v>596</v>
      </c>
      <c r="D151" s="789"/>
      <c r="E151" s="790" t="s">
        <v>597</v>
      </c>
      <c r="F151" s="790"/>
      <c r="G151" s="789" t="s">
        <v>598</v>
      </c>
      <c r="H151" s="789"/>
      <c r="I151" s="789" t="s">
        <v>599</v>
      </c>
      <c r="J151" s="789"/>
      <c r="K151" s="789" t="s">
        <v>600</v>
      </c>
      <c r="L151" s="789"/>
    </row>
    <row r="152" spans="1:15" ht="25.5" x14ac:dyDescent="0.2">
      <c r="A152" s="561" t="s">
        <v>601</v>
      </c>
      <c r="B152" s="562" t="s">
        <v>602</v>
      </c>
      <c r="C152" s="562" t="s">
        <v>603</v>
      </c>
      <c r="D152" s="562" t="s">
        <v>604</v>
      </c>
      <c r="E152" s="562" t="s">
        <v>603</v>
      </c>
      <c r="F152" s="562" t="s">
        <v>604</v>
      </c>
      <c r="G152" s="562" t="s">
        <v>603</v>
      </c>
      <c r="H152" s="562" t="s">
        <v>604</v>
      </c>
      <c r="I152" s="562" t="s">
        <v>603</v>
      </c>
      <c r="J152" s="562" t="s">
        <v>604</v>
      </c>
      <c r="K152" s="562" t="s">
        <v>603</v>
      </c>
      <c r="L152" s="562" t="s">
        <v>604</v>
      </c>
    </row>
    <row r="153" spans="1:15" x14ac:dyDescent="0.2">
      <c r="A153" s="563" t="s">
        <v>605</v>
      </c>
      <c r="B153" s="564">
        <f>1/'Prod. GEXIJU'!E22</f>
        <v>1.1111111111111111E-3</v>
      </c>
      <c r="C153" s="573">
        <f>C134</f>
        <v>0</v>
      </c>
      <c r="D153" s="565">
        <f>B153*C153</f>
        <v>0</v>
      </c>
      <c r="E153" s="573">
        <f>C135</f>
        <v>0</v>
      </c>
      <c r="F153" s="565">
        <f>B153*E153</f>
        <v>0</v>
      </c>
      <c r="G153" s="573">
        <f>C136</f>
        <v>0</v>
      </c>
      <c r="H153" s="565">
        <f>B153*G153</f>
        <v>0</v>
      </c>
      <c r="I153" s="573">
        <f>C137</f>
        <v>0</v>
      </c>
      <c r="J153" s="565">
        <f>B153*I153</f>
        <v>0</v>
      </c>
      <c r="K153" s="573">
        <f>C138</f>
        <v>0</v>
      </c>
      <c r="L153" s="565">
        <f>B153*K153</f>
        <v>0</v>
      </c>
    </row>
    <row r="154" spans="1:15" x14ac:dyDescent="0.2">
      <c r="A154" s="566" t="s">
        <v>606</v>
      </c>
      <c r="B154" s="564">
        <f>B153/'Prod. GEXIJU'!Q22</f>
        <v>4.2735042735042735E-5</v>
      </c>
      <c r="C154" s="565">
        <f>I134</f>
        <v>0</v>
      </c>
      <c r="D154" s="565">
        <f>C154*B154</f>
        <v>0</v>
      </c>
      <c r="E154" s="565">
        <f>C154</f>
        <v>0</v>
      </c>
      <c r="F154" s="565">
        <f>B154*E154</f>
        <v>0</v>
      </c>
      <c r="G154" s="565">
        <f>C154</f>
        <v>0</v>
      </c>
      <c r="H154" s="565">
        <f>B154*G154</f>
        <v>0</v>
      </c>
      <c r="I154" s="565">
        <f>C154</f>
        <v>0</v>
      </c>
      <c r="J154" s="565">
        <f>B154*I154</f>
        <v>0</v>
      </c>
      <c r="K154" s="565">
        <f>C154</f>
        <v>0</v>
      </c>
      <c r="L154" s="565">
        <f>B154*K154</f>
        <v>0</v>
      </c>
      <c r="M154" s="791"/>
      <c r="N154" s="791"/>
      <c r="O154" s="567"/>
    </row>
    <row r="155" spans="1:15" x14ac:dyDescent="0.2">
      <c r="A155" s="568" t="s">
        <v>609</v>
      </c>
      <c r="B155" s="569"/>
      <c r="C155" s="570"/>
      <c r="D155" s="570">
        <f>SUM(D153:D154)</f>
        <v>0</v>
      </c>
      <c r="E155" s="570"/>
      <c r="F155" s="570">
        <f>SUM(F153:F154)</f>
        <v>0</v>
      </c>
      <c r="G155" s="570"/>
      <c r="H155" s="570">
        <f>SUM(H153:H154)</f>
        <v>0</v>
      </c>
      <c r="I155" s="570"/>
      <c r="J155" s="570">
        <f>SUM(J153:J154)</f>
        <v>0</v>
      </c>
      <c r="K155" s="570"/>
      <c r="L155" s="570">
        <f>SUM(L153:L154)</f>
        <v>0</v>
      </c>
      <c r="M155" s="571"/>
      <c r="N155" s="572"/>
    </row>
    <row r="156" spans="1:15" x14ac:dyDescent="0.2">
      <c r="A156" s="574"/>
      <c r="B156" s="575"/>
      <c r="C156" s="575"/>
      <c r="D156" s="575"/>
      <c r="E156" s="576"/>
      <c r="F156" s="576"/>
      <c r="G156" s="576"/>
      <c r="H156" s="576"/>
    </row>
    <row r="157" spans="1:15" ht="14.25" customHeight="1" x14ac:dyDescent="0.2">
      <c r="A157" s="790" t="s">
        <v>611</v>
      </c>
      <c r="B157" s="790"/>
      <c r="C157" s="790" t="s">
        <v>596</v>
      </c>
      <c r="D157" s="790"/>
      <c r="E157" s="790" t="s">
        <v>597</v>
      </c>
      <c r="F157" s="790"/>
      <c r="G157" s="790" t="s">
        <v>598</v>
      </c>
      <c r="H157" s="790"/>
      <c r="I157" s="790" t="s">
        <v>599</v>
      </c>
      <c r="J157" s="790"/>
      <c r="K157" s="790" t="s">
        <v>600</v>
      </c>
      <c r="L157" s="790"/>
    </row>
    <row r="158" spans="1:15" ht="25.5" x14ac:dyDescent="0.2">
      <c r="A158" s="561" t="s">
        <v>601</v>
      </c>
      <c r="B158" s="562" t="s">
        <v>612</v>
      </c>
      <c r="C158" s="562" t="s">
        <v>603</v>
      </c>
      <c r="D158" s="562" t="s">
        <v>604</v>
      </c>
      <c r="E158" s="562" t="s">
        <v>603</v>
      </c>
      <c r="F158" s="562" t="s">
        <v>604</v>
      </c>
      <c r="G158" s="562" t="s">
        <v>603</v>
      </c>
      <c r="H158" s="562" t="s">
        <v>604</v>
      </c>
      <c r="I158" s="562" t="s">
        <v>603</v>
      </c>
      <c r="J158" s="562" t="s">
        <v>604</v>
      </c>
      <c r="K158" s="562" t="s">
        <v>603</v>
      </c>
      <c r="L158" s="562" t="s">
        <v>604</v>
      </c>
    </row>
    <row r="159" spans="1:15" x14ac:dyDescent="0.2">
      <c r="A159" s="563" t="s">
        <v>605</v>
      </c>
      <c r="B159" s="577">
        <f>1/'Prod. GEXIJU'!F22</f>
        <v>4.0000000000000002E-4</v>
      </c>
      <c r="C159" s="578">
        <f>D134</f>
        <v>0</v>
      </c>
      <c r="D159" s="565">
        <f>B159*C159</f>
        <v>0</v>
      </c>
      <c r="E159" s="565">
        <f>D135</f>
        <v>0</v>
      </c>
      <c r="F159" s="565">
        <f>B159*E159</f>
        <v>0</v>
      </c>
      <c r="G159" s="565">
        <f>D136</f>
        <v>0</v>
      </c>
      <c r="H159" s="565">
        <f>B159*G159</f>
        <v>0</v>
      </c>
      <c r="I159" s="565">
        <f>D137</f>
        <v>0</v>
      </c>
      <c r="J159" s="565">
        <f>B159*I159</f>
        <v>0</v>
      </c>
      <c r="K159" s="565">
        <f>D138</f>
        <v>0</v>
      </c>
      <c r="L159" s="565">
        <f>B159*K159</f>
        <v>0</v>
      </c>
    </row>
    <row r="160" spans="1:15" x14ac:dyDescent="0.2">
      <c r="A160" s="566" t="s">
        <v>606</v>
      </c>
      <c r="B160" s="564">
        <f>B159/'Prod. GEXIJU'!Q22</f>
        <v>1.5384615384615384E-5</v>
      </c>
      <c r="C160" s="565">
        <f>I134</f>
        <v>0</v>
      </c>
      <c r="D160" s="565">
        <f>B160*C160</f>
        <v>0</v>
      </c>
      <c r="E160" s="565">
        <f>C160</f>
        <v>0</v>
      </c>
      <c r="F160" s="565">
        <f>B160*E160</f>
        <v>0</v>
      </c>
      <c r="G160" s="565">
        <f>C160</f>
        <v>0</v>
      </c>
      <c r="H160" s="565">
        <f>B160*G160</f>
        <v>0</v>
      </c>
      <c r="I160" s="565">
        <f>C160</f>
        <v>0</v>
      </c>
      <c r="J160" s="565">
        <f>B160*I160</f>
        <v>0</v>
      </c>
      <c r="K160" s="565">
        <f>C160</f>
        <v>0</v>
      </c>
      <c r="L160" s="565">
        <f>B160*K160</f>
        <v>0</v>
      </c>
    </row>
    <row r="161" spans="1:12" x14ac:dyDescent="0.2">
      <c r="A161" s="568" t="s">
        <v>613</v>
      </c>
      <c r="B161" s="569"/>
      <c r="C161" s="570"/>
      <c r="D161" s="570">
        <f>SUM(D159:D160)</f>
        <v>0</v>
      </c>
      <c r="E161" s="570"/>
      <c r="F161" s="570">
        <f>SUM(F159:F160)</f>
        <v>0</v>
      </c>
      <c r="G161" s="570"/>
      <c r="H161" s="570">
        <f>SUM(H159:H160)</f>
        <v>0</v>
      </c>
      <c r="I161" s="570"/>
      <c r="J161" s="570">
        <f>SUM(J159:J160)</f>
        <v>0</v>
      </c>
      <c r="K161" s="570"/>
      <c r="L161" s="570">
        <f>SUM(L159:L160)</f>
        <v>0</v>
      </c>
    </row>
    <row r="162" spans="1:12" x14ac:dyDescent="0.2">
      <c r="A162" s="574"/>
      <c r="B162" s="579"/>
      <c r="C162" s="579"/>
      <c r="D162" s="579"/>
      <c r="E162" s="579"/>
      <c r="F162" s="579"/>
      <c r="G162" s="579"/>
      <c r="H162" s="579"/>
    </row>
    <row r="163" spans="1:12" ht="14.25" customHeight="1" x14ac:dyDescent="0.2">
      <c r="A163" s="790" t="s">
        <v>614</v>
      </c>
      <c r="B163" s="790"/>
      <c r="C163" s="790" t="s">
        <v>596</v>
      </c>
      <c r="D163" s="790"/>
      <c r="E163" s="790" t="s">
        <v>597</v>
      </c>
      <c r="F163" s="790"/>
      <c r="G163" s="790" t="s">
        <v>598</v>
      </c>
      <c r="H163" s="790"/>
      <c r="I163" s="790" t="s">
        <v>599</v>
      </c>
      <c r="J163" s="790"/>
      <c r="K163" s="790" t="s">
        <v>600</v>
      </c>
      <c r="L163" s="790"/>
    </row>
    <row r="164" spans="1:12" ht="25.5" x14ac:dyDescent="0.2">
      <c r="A164" s="561" t="s">
        <v>601</v>
      </c>
      <c r="B164" s="562" t="s">
        <v>612</v>
      </c>
      <c r="C164" s="562" t="s">
        <v>603</v>
      </c>
      <c r="D164" s="562" t="s">
        <v>604</v>
      </c>
      <c r="E164" s="562" t="s">
        <v>603</v>
      </c>
      <c r="F164" s="562" t="s">
        <v>604</v>
      </c>
      <c r="G164" s="562" t="s">
        <v>603</v>
      </c>
      <c r="H164" s="562" t="s">
        <v>604</v>
      </c>
      <c r="I164" s="562" t="s">
        <v>603</v>
      </c>
      <c r="J164" s="562" t="s">
        <v>604</v>
      </c>
      <c r="K164" s="562" t="s">
        <v>603</v>
      </c>
      <c r="L164" s="562" t="s">
        <v>604</v>
      </c>
    </row>
    <row r="165" spans="1:12" x14ac:dyDescent="0.2">
      <c r="A165" s="563" t="s">
        <v>605</v>
      </c>
      <c r="B165" s="577">
        <f>1/'Prod. GEXIJU'!G22</f>
        <v>6.6666666666666664E-4</v>
      </c>
      <c r="C165" s="578">
        <f>D134</f>
        <v>0</v>
      </c>
      <c r="D165" s="565">
        <f>B165*C165</f>
        <v>0</v>
      </c>
      <c r="E165" s="565">
        <f>D135</f>
        <v>0</v>
      </c>
      <c r="F165" s="565">
        <f>B165*E165</f>
        <v>0</v>
      </c>
      <c r="G165" s="565">
        <f>D136</f>
        <v>0</v>
      </c>
      <c r="H165" s="565">
        <f>B165*G165</f>
        <v>0</v>
      </c>
      <c r="I165" s="565">
        <f>D137</f>
        <v>0</v>
      </c>
      <c r="J165" s="565">
        <f>B165*I165</f>
        <v>0</v>
      </c>
      <c r="K165" s="565">
        <f>D138</f>
        <v>0</v>
      </c>
      <c r="L165" s="565">
        <f>B165*K165</f>
        <v>0</v>
      </c>
    </row>
    <row r="166" spans="1:12" x14ac:dyDescent="0.2">
      <c r="A166" s="566" t="s">
        <v>606</v>
      </c>
      <c r="B166" s="564">
        <f>B165/'Prod. GEXIJU'!Q22</f>
        <v>2.564102564102564E-5</v>
      </c>
      <c r="C166" s="565">
        <f>I134</f>
        <v>0</v>
      </c>
      <c r="D166" s="565">
        <f>B166*C166</f>
        <v>0</v>
      </c>
      <c r="E166" s="565">
        <f>C166</f>
        <v>0</v>
      </c>
      <c r="F166" s="565">
        <f>B166*E166</f>
        <v>0</v>
      </c>
      <c r="G166" s="565">
        <f>C166</f>
        <v>0</v>
      </c>
      <c r="H166" s="565">
        <f>B166*G166</f>
        <v>0</v>
      </c>
      <c r="I166" s="565">
        <f>C166</f>
        <v>0</v>
      </c>
      <c r="J166" s="565">
        <f>B166*I166</f>
        <v>0</v>
      </c>
      <c r="K166" s="565">
        <f>C166</f>
        <v>0</v>
      </c>
      <c r="L166" s="565">
        <f>B166*K166</f>
        <v>0</v>
      </c>
    </row>
    <row r="167" spans="1:12" x14ac:dyDescent="0.2">
      <c r="A167" s="568" t="s">
        <v>613</v>
      </c>
      <c r="B167" s="569"/>
      <c r="C167" s="570"/>
      <c r="D167" s="570">
        <f>SUM(D165:D166)</f>
        <v>0</v>
      </c>
      <c r="E167" s="570"/>
      <c r="F167" s="570">
        <f>SUM(F165:F166)</f>
        <v>0</v>
      </c>
      <c r="G167" s="570"/>
      <c r="H167" s="570">
        <f>SUM(H165:H166)</f>
        <v>0</v>
      </c>
      <c r="I167" s="570"/>
      <c r="J167" s="570">
        <f>SUM(J165:J166)</f>
        <v>0</v>
      </c>
      <c r="K167" s="570"/>
      <c r="L167" s="570">
        <f>SUM(L165:L166)</f>
        <v>0</v>
      </c>
    </row>
    <row r="168" spans="1:12" x14ac:dyDescent="0.2">
      <c r="A168" s="574"/>
      <c r="B168" s="579"/>
      <c r="C168" s="579"/>
      <c r="D168" s="579"/>
      <c r="E168" s="579"/>
      <c r="F168" s="579"/>
      <c r="G168" s="579"/>
      <c r="H168" s="579"/>
    </row>
    <row r="169" spans="1:12" ht="14.25" customHeight="1" x14ac:dyDescent="0.2">
      <c r="A169" s="790" t="s">
        <v>615</v>
      </c>
      <c r="B169" s="790"/>
      <c r="C169" s="790" t="s">
        <v>596</v>
      </c>
      <c r="D169" s="790"/>
      <c r="E169" s="790" t="s">
        <v>597</v>
      </c>
      <c r="F169" s="790"/>
      <c r="G169" s="790" t="s">
        <v>598</v>
      </c>
      <c r="H169" s="790"/>
      <c r="I169" s="790" t="s">
        <v>599</v>
      </c>
      <c r="J169" s="790"/>
      <c r="K169" s="790" t="s">
        <v>600</v>
      </c>
      <c r="L169" s="790"/>
    </row>
    <row r="170" spans="1:12" ht="25.5" x14ac:dyDescent="0.2">
      <c r="A170" s="561" t="s">
        <v>601</v>
      </c>
      <c r="B170" s="562" t="s">
        <v>612</v>
      </c>
      <c r="C170" s="562" t="s">
        <v>603</v>
      </c>
      <c r="D170" s="562" t="s">
        <v>604</v>
      </c>
      <c r="E170" s="562" t="s">
        <v>603</v>
      </c>
      <c r="F170" s="562" t="s">
        <v>604</v>
      </c>
      <c r="G170" s="562" t="s">
        <v>603</v>
      </c>
      <c r="H170" s="562" t="s">
        <v>604</v>
      </c>
      <c r="I170" s="562" t="s">
        <v>603</v>
      </c>
      <c r="J170" s="562" t="s">
        <v>604</v>
      </c>
      <c r="K170" s="562" t="s">
        <v>603</v>
      </c>
      <c r="L170" s="562" t="s">
        <v>604</v>
      </c>
    </row>
    <row r="171" spans="1:12" x14ac:dyDescent="0.2">
      <c r="A171" s="563" t="s">
        <v>605</v>
      </c>
      <c r="B171" s="577">
        <f>1/'Prod. GEXIJU'!H22</f>
        <v>3.3333333333333335E-3</v>
      </c>
      <c r="C171" s="573">
        <f>C134</f>
        <v>0</v>
      </c>
      <c r="D171" s="565">
        <f>B171*C171</f>
        <v>0</v>
      </c>
      <c r="E171" s="573">
        <f>C135</f>
        <v>0</v>
      </c>
      <c r="F171" s="565">
        <f>B171*E171</f>
        <v>0</v>
      </c>
      <c r="G171" s="573">
        <f>C136</f>
        <v>0</v>
      </c>
      <c r="H171" s="565">
        <f>B171*G171</f>
        <v>0</v>
      </c>
      <c r="I171" s="573">
        <f>C137</f>
        <v>0</v>
      </c>
      <c r="J171" s="565">
        <f>B171*I171</f>
        <v>0</v>
      </c>
      <c r="K171" s="573">
        <f>C138</f>
        <v>0</v>
      </c>
      <c r="L171" s="565">
        <f>B171*K171</f>
        <v>0</v>
      </c>
    </row>
    <row r="172" spans="1:12" x14ac:dyDescent="0.2">
      <c r="A172" s="566" t="s">
        <v>606</v>
      </c>
      <c r="B172" s="564">
        <f>B171/'Prod. GEXIJU'!Q22</f>
        <v>1.2820512820512821E-4</v>
      </c>
      <c r="C172" s="565">
        <f>I134</f>
        <v>0</v>
      </c>
      <c r="D172" s="565">
        <f>C172*B172</f>
        <v>0</v>
      </c>
      <c r="E172" s="565">
        <f>C172</f>
        <v>0</v>
      </c>
      <c r="F172" s="565">
        <f>B172*E172</f>
        <v>0</v>
      </c>
      <c r="G172" s="565">
        <f>C172</f>
        <v>0</v>
      </c>
      <c r="H172" s="565">
        <f>B172*G172</f>
        <v>0</v>
      </c>
      <c r="I172" s="565">
        <f>C172</f>
        <v>0</v>
      </c>
      <c r="J172" s="565">
        <f>B172*I172</f>
        <v>0</v>
      </c>
      <c r="K172" s="565">
        <f>C172</f>
        <v>0</v>
      </c>
      <c r="L172" s="565">
        <f>B172*K172</f>
        <v>0</v>
      </c>
    </row>
    <row r="173" spans="1:12" x14ac:dyDescent="0.2">
      <c r="A173" s="568" t="s">
        <v>613</v>
      </c>
      <c r="B173" s="569"/>
      <c r="C173" s="570"/>
      <c r="D173" s="570">
        <f>SUM(D171:D172)</f>
        <v>0</v>
      </c>
      <c r="E173" s="570"/>
      <c r="F173" s="570">
        <f>SUM(F171:F172)</f>
        <v>0</v>
      </c>
      <c r="G173" s="570"/>
      <c r="H173" s="570">
        <f>SUM(H171:H172)</f>
        <v>0</v>
      </c>
      <c r="I173" s="570"/>
      <c r="J173" s="570">
        <f>SUM(J171:J172)</f>
        <v>0</v>
      </c>
      <c r="K173" s="570"/>
      <c r="L173" s="570">
        <f>SUM(L171:L172)</f>
        <v>0</v>
      </c>
    </row>
    <row r="174" spans="1:12" x14ac:dyDescent="0.2">
      <c r="A174" s="574"/>
      <c r="B174" s="580"/>
      <c r="C174" s="580"/>
      <c r="D174" s="580"/>
      <c r="E174" s="580"/>
      <c r="F174" s="580"/>
      <c r="G174" s="580"/>
      <c r="H174" s="580"/>
    </row>
    <row r="175" spans="1:12" ht="14.25" customHeight="1" x14ac:dyDescent="0.2">
      <c r="A175" s="792" t="s">
        <v>616</v>
      </c>
      <c r="B175" s="792"/>
      <c r="C175" s="792" t="s">
        <v>596</v>
      </c>
      <c r="D175" s="792"/>
      <c r="E175" s="792" t="s">
        <v>597</v>
      </c>
      <c r="F175" s="792"/>
      <c r="G175" s="792" t="s">
        <v>598</v>
      </c>
      <c r="H175" s="792"/>
      <c r="I175" s="792" t="s">
        <v>599</v>
      </c>
      <c r="J175" s="792"/>
      <c r="K175" s="792" t="s">
        <v>600</v>
      </c>
      <c r="L175" s="792"/>
    </row>
    <row r="176" spans="1:12" ht="25.5" x14ac:dyDescent="0.2">
      <c r="A176" s="561" t="s">
        <v>601</v>
      </c>
      <c r="B176" s="562" t="s">
        <v>612</v>
      </c>
      <c r="C176" s="562" t="s">
        <v>603</v>
      </c>
      <c r="D176" s="562" t="s">
        <v>604</v>
      </c>
      <c r="E176" s="562" t="s">
        <v>603</v>
      </c>
      <c r="F176" s="562" t="s">
        <v>604</v>
      </c>
      <c r="G176" s="562" t="s">
        <v>603</v>
      </c>
      <c r="H176" s="562" t="s">
        <v>604</v>
      </c>
      <c r="I176" s="562" t="s">
        <v>603</v>
      </c>
      <c r="J176" s="562" t="s">
        <v>604</v>
      </c>
      <c r="K176" s="562" t="s">
        <v>603</v>
      </c>
      <c r="L176" s="562" t="s">
        <v>604</v>
      </c>
    </row>
    <row r="177" spans="1:14" x14ac:dyDescent="0.2">
      <c r="A177" s="563" t="s">
        <v>617</v>
      </c>
      <c r="B177" s="577">
        <f>1/'Prod. GEXIJU'!I22</f>
        <v>5.0000000000000001E-4</v>
      </c>
      <c r="C177" s="565">
        <f>D134</f>
        <v>0</v>
      </c>
      <c r="D177" s="565">
        <f>B177*C177</f>
        <v>0</v>
      </c>
      <c r="E177" s="565">
        <f>D135</f>
        <v>0</v>
      </c>
      <c r="F177" s="565">
        <f>B177*E177</f>
        <v>0</v>
      </c>
      <c r="G177" s="565">
        <f>D136</f>
        <v>0</v>
      </c>
      <c r="H177" s="565">
        <f>B177*G177</f>
        <v>0</v>
      </c>
      <c r="I177" s="565">
        <f>D137</f>
        <v>0</v>
      </c>
      <c r="J177" s="565">
        <f>B177*I177</f>
        <v>0</v>
      </c>
      <c r="K177" s="565">
        <f>D138</f>
        <v>0</v>
      </c>
      <c r="L177" s="565">
        <f>B177*K177</f>
        <v>0</v>
      </c>
    </row>
    <row r="178" spans="1:14" x14ac:dyDescent="0.2">
      <c r="A178" s="566" t="s">
        <v>606</v>
      </c>
      <c r="B178" s="564">
        <f>B177/'Prod. GEXIJU'!Q22</f>
        <v>1.9230769230769231E-5</v>
      </c>
      <c r="C178" s="565">
        <f>I134</f>
        <v>0</v>
      </c>
      <c r="D178" s="565">
        <f>B178*C178</f>
        <v>0</v>
      </c>
      <c r="E178" s="565">
        <f>C178</f>
        <v>0</v>
      </c>
      <c r="F178" s="565">
        <f>B178*E178</f>
        <v>0</v>
      </c>
      <c r="G178" s="565">
        <f>C178</f>
        <v>0</v>
      </c>
      <c r="H178" s="565">
        <f>B178*G178</f>
        <v>0</v>
      </c>
      <c r="I178" s="565">
        <f>C178</f>
        <v>0</v>
      </c>
      <c r="J178" s="565">
        <f>B178*I178</f>
        <v>0</v>
      </c>
      <c r="K178" s="565">
        <f>C178</f>
        <v>0</v>
      </c>
      <c r="L178" s="565">
        <f>B178*K178</f>
        <v>0</v>
      </c>
      <c r="M178" s="791"/>
      <c r="N178" s="791"/>
    </row>
    <row r="179" spans="1:14" x14ac:dyDescent="0.2">
      <c r="A179" s="581" t="s">
        <v>618</v>
      </c>
      <c r="B179" s="582"/>
      <c r="C179" s="583"/>
      <c r="D179" s="584">
        <f>SUM(D177:D178)</f>
        <v>0</v>
      </c>
      <c r="E179" s="583"/>
      <c r="F179" s="584">
        <f>SUM(F177:F178)</f>
        <v>0</v>
      </c>
      <c r="G179" s="583"/>
      <c r="H179" s="584">
        <f>SUM(H177:H178)</f>
        <v>0</v>
      </c>
      <c r="I179" s="583"/>
      <c r="J179" s="584">
        <f>SUM(J177:J178)</f>
        <v>0</v>
      </c>
      <c r="K179" s="583"/>
      <c r="L179" s="584">
        <f>SUM(L177:L178)</f>
        <v>0</v>
      </c>
      <c r="M179" s="571"/>
      <c r="N179" s="572"/>
    </row>
    <row r="180" spans="1:14" x14ac:dyDescent="0.2">
      <c r="A180" s="563" t="s">
        <v>619</v>
      </c>
      <c r="B180" s="577">
        <f>1/'Prod. GEXIJU'!J22</f>
        <v>1.0000000000000001E-5</v>
      </c>
      <c r="C180" s="565">
        <f>D134</f>
        <v>0</v>
      </c>
      <c r="D180" s="565">
        <f>B180*C180</f>
        <v>0</v>
      </c>
      <c r="E180" s="565">
        <f>D135</f>
        <v>0</v>
      </c>
      <c r="F180" s="565">
        <f>B180*E180</f>
        <v>0</v>
      </c>
      <c r="G180" s="565">
        <f>D136</f>
        <v>0</v>
      </c>
      <c r="H180" s="565">
        <f>B180*G180</f>
        <v>0</v>
      </c>
      <c r="I180" s="565">
        <f>D137</f>
        <v>0</v>
      </c>
      <c r="J180" s="565">
        <f>B180*I180</f>
        <v>0</v>
      </c>
      <c r="K180" s="565">
        <f>D138</f>
        <v>0</v>
      </c>
      <c r="L180" s="565">
        <f>B180*K180</f>
        <v>0</v>
      </c>
    </row>
    <row r="181" spans="1:14" x14ac:dyDescent="0.2">
      <c r="A181" s="566" t="s">
        <v>606</v>
      </c>
      <c r="B181" s="564">
        <f>B180/'Prod. GEXIJU'!Q22</f>
        <v>3.8461538461538463E-7</v>
      </c>
      <c r="C181" s="565">
        <f>I134</f>
        <v>0</v>
      </c>
      <c r="D181" s="565">
        <f>B181*C181</f>
        <v>0</v>
      </c>
      <c r="E181" s="565">
        <f>C181</f>
        <v>0</v>
      </c>
      <c r="F181" s="565">
        <f>B181*E181</f>
        <v>0</v>
      </c>
      <c r="G181" s="565">
        <f>C181</f>
        <v>0</v>
      </c>
      <c r="H181" s="565">
        <f>B181*G181</f>
        <v>0</v>
      </c>
      <c r="I181" s="565">
        <f>C181</f>
        <v>0</v>
      </c>
      <c r="J181" s="565">
        <f>B181*I181</f>
        <v>0</v>
      </c>
      <c r="K181" s="565">
        <f>C181</f>
        <v>0</v>
      </c>
      <c r="L181" s="565">
        <f>B181*K181</f>
        <v>0</v>
      </c>
    </row>
    <row r="182" spans="1:14" x14ac:dyDescent="0.2">
      <c r="A182" s="581" t="s">
        <v>620</v>
      </c>
      <c r="B182" s="585"/>
      <c r="C182" s="583"/>
      <c r="D182" s="584">
        <f>SUM(D180:D181)</f>
        <v>0</v>
      </c>
      <c r="E182" s="583"/>
      <c r="F182" s="584">
        <f>SUM(F180:F181)</f>
        <v>0</v>
      </c>
      <c r="G182" s="583"/>
      <c r="H182" s="584">
        <f>SUM(H180:H181)</f>
        <v>0</v>
      </c>
      <c r="I182" s="583"/>
      <c r="J182" s="584">
        <f>SUM(J180:J181)</f>
        <v>0</v>
      </c>
      <c r="K182" s="583"/>
      <c r="L182" s="584">
        <f>SUM(L180:L181)</f>
        <v>0</v>
      </c>
    </row>
    <row r="183" spans="1:14" x14ac:dyDescent="0.2">
      <c r="A183" s="563" t="s">
        <v>621</v>
      </c>
      <c r="B183" s="577">
        <f>1/'Prod. GEXIJU'!K22</f>
        <v>1.1111111111111112E-4</v>
      </c>
      <c r="C183" s="565">
        <f>D134</f>
        <v>0</v>
      </c>
      <c r="D183" s="565">
        <f>B183*C183</f>
        <v>0</v>
      </c>
      <c r="E183" s="565">
        <f>D135</f>
        <v>0</v>
      </c>
      <c r="F183" s="565">
        <f>B183*E183</f>
        <v>0</v>
      </c>
      <c r="G183" s="565">
        <f>D136</f>
        <v>0</v>
      </c>
      <c r="H183" s="565">
        <f>B183*G183</f>
        <v>0</v>
      </c>
      <c r="I183" s="565">
        <f>D137</f>
        <v>0</v>
      </c>
      <c r="J183" s="565">
        <f>B183*I183</f>
        <v>0</v>
      </c>
      <c r="K183" s="565">
        <f>D138</f>
        <v>0</v>
      </c>
      <c r="L183" s="565">
        <f>B183*K183</f>
        <v>0</v>
      </c>
    </row>
    <row r="184" spans="1:14" x14ac:dyDescent="0.2">
      <c r="A184" s="566" t="s">
        <v>606</v>
      </c>
      <c r="B184" s="564">
        <f>B183/'Prod. GEXIJU'!Q22</f>
        <v>4.2735042735042738E-6</v>
      </c>
      <c r="C184" s="565">
        <f>I134</f>
        <v>0</v>
      </c>
      <c r="D184" s="565">
        <f>B184*C184</f>
        <v>0</v>
      </c>
      <c r="E184" s="565">
        <f>C184</f>
        <v>0</v>
      </c>
      <c r="F184" s="565">
        <f>B184*E184</f>
        <v>0</v>
      </c>
      <c r="G184" s="565">
        <f>C184</f>
        <v>0</v>
      </c>
      <c r="H184" s="565">
        <f>B184*G184</f>
        <v>0</v>
      </c>
      <c r="I184" s="565">
        <f>C184</f>
        <v>0</v>
      </c>
      <c r="J184" s="565">
        <f>B184*I184</f>
        <v>0</v>
      </c>
      <c r="K184" s="565">
        <f>C184</f>
        <v>0</v>
      </c>
      <c r="L184" s="565">
        <f>B184*K184</f>
        <v>0</v>
      </c>
    </row>
    <row r="185" spans="1:14" x14ac:dyDescent="0.2">
      <c r="A185" s="581" t="s">
        <v>622</v>
      </c>
      <c r="B185" s="585"/>
      <c r="C185" s="583"/>
      <c r="D185" s="584">
        <f>SUM(D183:D184)</f>
        <v>0</v>
      </c>
      <c r="E185" s="583"/>
      <c r="F185" s="584">
        <f>SUM(F183:F184)</f>
        <v>0</v>
      </c>
      <c r="G185" s="583"/>
      <c r="H185" s="584">
        <f>SUM(H183:H184)</f>
        <v>0</v>
      </c>
      <c r="I185" s="583"/>
      <c r="J185" s="584">
        <f>SUM(J183:J184)</f>
        <v>0</v>
      </c>
      <c r="K185" s="583"/>
      <c r="L185" s="584">
        <f>SUM(L183:L184)</f>
        <v>0</v>
      </c>
    </row>
    <row r="186" spans="1:14" x14ac:dyDescent="0.2">
      <c r="A186" s="574"/>
      <c r="B186" s="579"/>
      <c r="C186" s="579"/>
      <c r="D186" s="579"/>
      <c r="E186" s="579"/>
      <c r="F186" s="579"/>
      <c r="G186" s="579"/>
      <c r="H186" s="579"/>
    </row>
    <row r="187" spans="1:14" ht="14.25" customHeight="1" x14ac:dyDescent="0.2">
      <c r="A187" s="793" t="s">
        <v>623</v>
      </c>
      <c r="B187" s="793"/>
      <c r="C187" s="793" t="s">
        <v>596</v>
      </c>
      <c r="D187" s="793"/>
      <c r="E187" s="793" t="s">
        <v>597</v>
      </c>
      <c r="F187" s="793"/>
      <c r="G187" s="793" t="s">
        <v>598</v>
      </c>
      <c r="H187" s="793"/>
      <c r="I187" s="793" t="s">
        <v>599</v>
      </c>
      <c r="J187" s="793"/>
      <c r="K187" s="793" t="s">
        <v>600</v>
      </c>
      <c r="L187" s="793"/>
    </row>
    <row r="188" spans="1:14" ht="25.5" x14ac:dyDescent="0.2">
      <c r="A188" s="561" t="s">
        <v>601</v>
      </c>
      <c r="B188" s="562" t="s">
        <v>612</v>
      </c>
      <c r="C188" s="562" t="s">
        <v>603</v>
      </c>
      <c r="D188" s="562" t="s">
        <v>604</v>
      </c>
      <c r="E188" s="562" t="s">
        <v>603</v>
      </c>
      <c r="F188" s="562" t="s">
        <v>604</v>
      </c>
      <c r="G188" s="562" t="s">
        <v>603</v>
      </c>
      <c r="H188" s="562" t="s">
        <v>604</v>
      </c>
      <c r="I188" s="562" t="s">
        <v>603</v>
      </c>
      <c r="J188" s="562" t="s">
        <v>604</v>
      </c>
      <c r="K188" s="562" t="s">
        <v>603</v>
      </c>
      <c r="L188" s="562" t="s">
        <v>604</v>
      </c>
    </row>
    <row r="189" spans="1:14" x14ac:dyDescent="0.2">
      <c r="A189" s="586" t="s">
        <v>624</v>
      </c>
      <c r="B189" s="577">
        <f>(1/'Prod. GEXIJU'!L22)*(1/(30/7*44*6))*8</f>
        <v>4.4191919191919199E-5</v>
      </c>
      <c r="C189" s="587">
        <f>H134</f>
        <v>0</v>
      </c>
      <c r="D189" s="565">
        <f>B189*C189</f>
        <v>0</v>
      </c>
      <c r="E189" s="587">
        <f>H135</f>
        <v>0</v>
      </c>
      <c r="F189" s="565">
        <f>B189*E189</f>
        <v>0</v>
      </c>
      <c r="G189" s="587">
        <f>H136</f>
        <v>0</v>
      </c>
      <c r="H189" s="565">
        <f>B189*G189</f>
        <v>0</v>
      </c>
      <c r="I189" s="587">
        <f>H137</f>
        <v>0</v>
      </c>
      <c r="J189" s="565">
        <f>B189*I189</f>
        <v>0</v>
      </c>
      <c r="K189" s="587">
        <f>H138</f>
        <v>0</v>
      </c>
      <c r="L189" s="565">
        <f>B189*K189</f>
        <v>0</v>
      </c>
    </row>
    <row r="190" spans="1:14" x14ac:dyDescent="0.2">
      <c r="A190" s="566" t="s">
        <v>606</v>
      </c>
      <c r="B190" s="577">
        <f>B189/4</f>
        <v>1.10479797979798E-5</v>
      </c>
      <c r="C190" s="565">
        <f>I134</f>
        <v>0</v>
      </c>
      <c r="D190" s="565">
        <f>B190*C190</f>
        <v>0</v>
      </c>
      <c r="E190" s="565">
        <f>C190</f>
        <v>0</v>
      </c>
      <c r="F190" s="565">
        <f>B190*E190</f>
        <v>0</v>
      </c>
      <c r="G190" s="565">
        <f>C190</f>
        <v>0</v>
      </c>
      <c r="H190" s="565">
        <f>B190*G190</f>
        <v>0</v>
      </c>
      <c r="I190" s="565">
        <f>C190</f>
        <v>0</v>
      </c>
      <c r="J190" s="565">
        <f>B190*I190</f>
        <v>0</v>
      </c>
      <c r="K190" s="565">
        <f>C190</f>
        <v>0</v>
      </c>
      <c r="L190" s="565">
        <f>B190*K190</f>
        <v>0</v>
      </c>
      <c r="M190" s="791"/>
      <c r="N190" s="791"/>
    </row>
    <row r="191" spans="1:14" x14ac:dyDescent="0.2">
      <c r="A191" s="588" t="s">
        <v>625</v>
      </c>
      <c r="B191" s="589"/>
      <c r="C191" s="590"/>
      <c r="D191" s="591">
        <f>SUM(D189:D190)</f>
        <v>0</v>
      </c>
      <c r="E191" s="590"/>
      <c r="F191" s="591">
        <f>SUM(F189:F190)</f>
        <v>0</v>
      </c>
      <c r="G191" s="590"/>
      <c r="H191" s="591">
        <f>SUM(H189:H190)</f>
        <v>0</v>
      </c>
      <c r="I191" s="590"/>
      <c r="J191" s="591">
        <f>SUM(J189:J190)</f>
        <v>0</v>
      </c>
      <c r="K191" s="590"/>
      <c r="L191" s="591">
        <f>SUM(L189:L190)</f>
        <v>0</v>
      </c>
      <c r="M191" s="571"/>
      <c r="N191" s="572"/>
    </row>
    <row r="192" spans="1:14" x14ac:dyDescent="0.2">
      <c r="A192" s="586" t="s">
        <v>626</v>
      </c>
      <c r="B192" s="577">
        <f>1/'Prod. GEXIJU'!M22*16*(1/188.76)</f>
        <v>2.2306242401936183E-4</v>
      </c>
      <c r="C192" s="565">
        <f>D134</f>
        <v>0</v>
      </c>
      <c r="D192" s="565">
        <f>B192*C192</f>
        <v>0</v>
      </c>
      <c r="E192" s="565">
        <f>D135</f>
        <v>0</v>
      </c>
      <c r="F192" s="565">
        <f>B192*E192</f>
        <v>0</v>
      </c>
      <c r="G192" s="565">
        <f>D136</f>
        <v>0</v>
      </c>
      <c r="H192" s="565">
        <f>B192*G192</f>
        <v>0</v>
      </c>
      <c r="I192" s="565">
        <f>D137</f>
        <v>0</v>
      </c>
      <c r="J192" s="565">
        <f>B192*I192</f>
        <v>0</v>
      </c>
      <c r="K192" s="565">
        <f>D138</f>
        <v>0</v>
      </c>
      <c r="L192" s="565">
        <f>B192*K192</f>
        <v>0</v>
      </c>
    </row>
    <row r="193" spans="1:14" x14ac:dyDescent="0.2">
      <c r="A193" s="566" t="s">
        <v>606</v>
      </c>
      <c r="B193" s="577">
        <f>1/('Prod. GEXIJU'!Q22*'Prod. GEXIJU'!M22)*16*(1/188.76)</f>
        <v>8.5793240007446859E-6</v>
      </c>
      <c r="C193" s="565">
        <f>I134</f>
        <v>0</v>
      </c>
      <c r="D193" s="565">
        <f>B193*C193</f>
        <v>0</v>
      </c>
      <c r="E193" s="565">
        <f>C193</f>
        <v>0</v>
      </c>
      <c r="F193" s="565">
        <f>B193*E193</f>
        <v>0</v>
      </c>
      <c r="G193" s="565">
        <f>C193</f>
        <v>0</v>
      </c>
      <c r="H193" s="565">
        <f>B193*G193</f>
        <v>0</v>
      </c>
      <c r="I193" s="565">
        <f>C193</f>
        <v>0</v>
      </c>
      <c r="J193" s="565">
        <f>B193*I193</f>
        <v>0</v>
      </c>
      <c r="K193" s="565">
        <f>C193</f>
        <v>0</v>
      </c>
      <c r="L193" s="565">
        <f>B193*K193</f>
        <v>0</v>
      </c>
      <c r="M193" s="791"/>
      <c r="N193" s="791"/>
    </row>
    <row r="194" spans="1:14" x14ac:dyDescent="0.2">
      <c r="A194" s="588" t="s">
        <v>627</v>
      </c>
      <c r="B194" s="589"/>
      <c r="C194" s="590"/>
      <c r="D194" s="591">
        <f>SUM(D192:D193)</f>
        <v>0</v>
      </c>
      <c r="E194" s="590"/>
      <c r="F194" s="591">
        <f>SUM(F192:F193)</f>
        <v>0</v>
      </c>
      <c r="G194" s="590"/>
      <c r="H194" s="591">
        <f>SUM(H192:H193)</f>
        <v>0</v>
      </c>
      <c r="I194" s="590"/>
      <c r="J194" s="591">
        <f>SUM(J192:J193)</f>
        <v>0</v>
      </c>
      <c r="K194" s="590"/>
      <c r="L194" s="591">
        <f>SUM(L192:L193)</f>
        <v>0</v>
      </c>
      <c r="M194" s="571"/>
      <c r="N194" s="572"/>
    </row>
    <row r="195" spans="1:14" x14ac:dyDescent="0.2">
      <c r="A195" s="563" t="s">
        <v>628</v>
      </c>
      <c r="B195" s="577">
        <f>1/'Prod. GEXIJU'!N22*16*(1/188.76)</f>
        <v>2.2306242401936183E-4</v>
      </c>
      <c r="C195" s="565">
        <f>D134</f>
        <v>0</v>
      </c>
      <c r="D195" s="565">
        <f>B195*C195</f>
        <v>0</v>
      </c>
      <c r="E195" s="565">
        <f>D135</f>
        <v>0</v>
      </c>
      <c r="F195" s="565">
        <f>B195*E195</f>
        <v>0</v>
      </c>
      <c r="G195" s="565">
        <f>D136</f>
        <v>0</v>
      </c>
      <c r="H195" s="565">
        <f>B195*G195</f>
        <v>0</v>
      </c>
      <c r="I195" s="565">
        <f>D137</f>
        <v>0</v>
      </c>
      <c r="J195" s="565">
        <f>B195*I195</f>
        <v>0</v>
      </c>
      <c r="K195" s="565">
        <f>D138</f>
        <v>0</v>
      </c>
      <c r="L195" s="565">
        <f>B195*K195</f>
        <v>0</v>
      </c>
    </row>
    <row r="196" spans="1:14" x14ac:dyDescent="0.2">
      <c r="A196" s="566" t="s">
        <v>606</v>
      </c>
      <c r="B196" s="577">
        <f>1/('Prod. GEXIJU'!Q22*'Prod. GEXIJU'!N22)*16*(1/188.76)</f>
        <v>8.5793240007446859E-6</v>
      </c>
      <c r="C196" s="565">
        <f>I134</f>
        <v>0</v>
      </c>
      <c r="D196" s="565">
        <f>B196*C196</f>
        <v>0</v>
      </c>
      <c r="E196" s="565">
        <f>C196</f>
        <v>0</v>
      </c>
      <c r="F196" s="565">
        <f>B196*E196</f>
        <v>0</v>
      </c>
      <c r="G196" s="565">
        <f>C196</f>
        <v>0</v>
      </c>
      <c r="H196" s="565">
        <f>B196*G196</f>
        <v>0</v>
      </c>
      <c r="I196" s="565">
        <f>C196</f>
        <v>0</v>
      </c>
      <c r="J196" s="565">
        <f>B196*I196</f>
        <v>0</v>
      </c>
      <c r="K196" s="565">
        <f>C196</f>
        <v>0</v>
      </c>
      <c r="L196" s="565">
        <f>B196*K196</f>
        <v>0</v>
      </c>
      <c r="M196" s="791"/>
      <c r="N196" s="791"/>
    </row>
    <row r="197" spans="1:14" x14ac:dyDescent="0.2">
      <c r="A197" s="588" t="s">
        <v>629</v>
      </c>
      <c r="B197" s="589"/>
      <c r="C197" s="590"/>
      <c r="D197" s="591">
        <f>SUM(D195:D196)</f>
        <v>0</v>
      </c>
      <c r="E197" s="590"/>
      <c r="F197" s="591">
        <f>SUM(F195:F196)</f>
        <v>0</v>
      </c>
      <c r="G197" s="590"/>
      <c r="H197" s="591">
        <f>SUM(H195:H196)</f>
        <v>0</v>
      </c>
      <c r="I197" s="590"/>
      <c r="J197" s="591">
        <f>SUM(J195:J196)</f>
        <v>0</v>
      </c>
      <c r="K197" s="590"/>
      <c r="L197" s="591">
        <f>SUM(L195:L196)</f>
        <v>0</v>
      </c>
      <c r="M197" s="571"/>
      <c r="N197" s="572"/>
    </row>
    <row r="198" spans="1:14" x14ac:dyDescent="0.2">
      <c r="A198" s="560"/>
    </row>
  </sheetData>
  <mergeCells count="86">
    <mergeCell ref="M190:N190"/>
    <mergeCell ref="M193:N193"/>
    <mergeCell ref="M196:N196"/>
    <mergeCell ref="K175:L175"/>
    <mergeCell ref="M178:N178"/>
    <mergeCell ref="K187:L187"/>
    <mergeCell ref="A187:B187"/>
    <mergeCell ref="C187:D187"/>
    <mergeCell ref="E187:F187"/>
    <mergeCell ref="G187:H187"/>
    <mergeCell ref="I187:J187"/>
    <mergeCell ref="A175:B175"/>
    <mergeCell ref="C175:D175"/>
    <mergeCell ref="E175:F175"/>
    <mergeCell ref="G175:H175"/>
    <mergeCell ref="I175:J175"/>
    <mergeCell ref="K163:L163"/>
    <mergeCell ref="A169:B169"/>
    <mergeCell ref="C169:D169"/>
    <mergeCell ref="E169:F169"/>
    <mergeCell ref="G169:H169"/>
    <mergeCell ref="I169:J169"/>
    <mergeCell ref="K169:L169"/>
    <mergeCell ref="A163:B163"/>
    <mergeCell ref="C163:D163"/>
    <mergeCell ref="E163:F163"/>
    <mergeCell ref="G163:H163"/>
    <mergeCell ref="I163:J163"/>
    <mergeCell ref="M154:N154"/>
    <mergeCell ref="A157:B157"/>
    <mergeCell ref="C157:D157"/>
    <mergeCell ref="E157:F157"/>
    <mergeCell ref="G157:H157"/>
    <mergeCell ref="I157:J157"/>
    <mergeCell ref="K157:L157"/>
    <mergeCell ref="G145:H145"/>
    <mergeCell ref="I145:J145"/>
    <mergeCell ref="K145:L145"/>
    <mergeCell ref="M148:N148"/>
    <mergeCell ref="A151:B151"/>
    <mergeCell ref="C151:D151"/>
    <mergeCell ref="E151:F151"/>
    <mergeCell ref="G151:H151"/>
    <mergeCell ref="I151:J151"/>
    <mergeCell ref="K151:L151"/>
    <mergeCell ref="A132:B132"/>
    <mergeCell ref="A133:B133"/>
    <mergeCell ref="A145:B145"/>
    <mergeCell ref="C145:D145"/>
    <mergeCell ref="E145:F145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92:B92"/>
    <mergeCell ref="A112:A116"/>
    <mergeCell ref="A119:I119"/>
    <mergeCell ref="A120:I120"/>
    <mergeCell ref="A121:B121"/>
    <mergeCell ref="A21:I21"/>
    <mergeCell ref="A50:I50"/>
    <mergeCell ref="A51:I51"/>
    <mergeCell ref="A61:I61"/>
    <mergeCell ref="A62:I62"/>
    <mergeCell ref="C8:D8"/>
    <mergeCell ref="E8:F8"/>
    <mergeCell ref="A9:I9"/>
    <mergeCell ref="A11:I11"/>
    <mergeCell ref="A20:B20"/>
    <mergeCell ref="C5:D5"/>
    <mergeCell ref="E5:F5"/>
    <mergeCell ref="C6:D6"/>
    <mergeCell ref="E6:F6"/>
    <mergeCell ref="C7:D7"/>
    <mergeCell ref="E7:F7"/>
    <mergeCell ref="A1:I1"/>
    <mergeCell ref="A2:I2"/>
    <mergeCell ref="A3:I3"/>
    <mergeCell ref="C4:D4"/>
    <mergeCell ref="E4:F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7</vt:i4>
      </vt:variant>
    </vt:vector>
  </HeadingPairs>
  <TitlesOfParts>
    <vt:vector size="20" baseType="lpstr">
      <vt:lpstr>Modelo de Proposta</vt:lpstr>
      <vt:lpstr>MC</vt:lpstr>
      <vt:lpstr>Insumos</vt:lpstr>
      <vt:lpstr>Resumo Proposta</vt:lpstr>
      <vt:lpstr>Prod. GEXCAX</vt:lpstr>
      <vt:lpstr>GEXCAX Limp.Ord.</vt:lpstr>
      <vt:lpstr>GEXCAX Covid</vt:lpstr>
      <vt:lpstr>Prod. GEXIJU</vt:lpstr>
      <vt:lpstr>GEXIJU Limp.Ord. </vt:lpstr>
      <vt:lpstr>GEXIJU Covid </vt:lpstr>
      <vt:lpstr>Prod. GEXPSF</vt:lpstr>
      <vt:lpstr>GEXPSF Limp. Ord.</vt:lpstr>
      <vt:lpstr>GEX PSF Covid</vt:lpstr>
      <vt:lpstr>'Prod. GEXIJU'!_FiltrarBancodeDados</vt:lpstr>
      <vt:lpstr>'Modelo de Proposta'!Area_de_impressao</vt:lpstr>
      <vt:lpstr>'GEXCAX Covid'!Print_Area</vt:lpstr>
      <vt:lpstr>'GEXCAX Limp.Ord.'!Print_Area</vt:lpstr>
      <vt:lpstr>'GEXIJU Covid '!Print_Area</vt:lpstr>
      <vt:lpstr>'GEXIJU Limp.Ord. '!Print_Area</vt:lpstr>
      <vt:lpstr>MC!Print_Area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Alves Miranda</dc:creator>
  <cp:lastModifiedBy>quelc</cp:lastModifiedBy>
  <cp:revision>92</cp:revision>
  <dcterms:created xsi:type="dcterms:W3CDTF">2020-03-17T09:48:25Z</dcterms:created>
  <dcterms:modified xsi:type="dcterms:W3CDTF">2022-06-30T13:54:36Z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ntentTypeId">
    <vt:lpwstr>0x0101002802779F605D534DA1B3FC3D1B1B4DA1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