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s\Desktop\propostas\"/>
    </mc:Choice>
  </mc:AlternateContent>
  <bookViews>
    <workbookView xWindow="0" yWindow="0" windowWidth="29010" windowHeight="11985" tabRatio="500"/>
  </bookViews>
  <sheets>
    <sheet name="Modelo de Proposta" sheetId="13" r:id="rId1"/>
    <sheet name="MC" sheetId="1" r:id="rId2"/>
    <sheet name="Insumos" sheetId="2" r:id="rId3"/>
    <sheet name="Resumo Proposta" sheetId="3" r:id="rId4"/>
    <sheet name="Prod. GEXCAN" sheetId="4" r:id="rId5"/>
    <sheet name="GEXCAN Limp.Ord." sheetId="5" r:id="rId6"/>
    <sheet name="GEXCAN Covid" sheetId="6" r:id="rId7"/>
    <sheet name="Prod. GEXNHB" sheetId="7" r:id="rId8"/>
    <sheet name="GEXNHB Limp.Ord. " sheetId="8" r:id="rId9"/>
    <sheet name="GEXNHB Covid " sheetId="9" r:id="rId10"/>
    <sheet name="Prod. GEXPOA" sheetId="10" r:id="rId11"/>
    <sheet name="GEXPOA Limp. Ord." sheetId="11" r:id="rId12"/>
    <sheet name="GEX POA Covid" sheetId="12" r:id="rId13"/>
  </sheets>
  <definedNames>
    <definedName name="_xlnm._FilterDatabase" localSheetId="7">'Prod. GEXPOA'!$A$2:$Y$2</definedName>
    <definedName name="_xlnm.Print_Area" localSheetId="0">'Modelo de Proposta'!$B$1:$H$30</definedName>
    <definedName name="Print_Area" localSheetId="6">MC!$A$1:$D$137</definedName>
    <definedName name="Print_Area" localSheetId="5">'GEXCAN Limp.Ord.'!$A$1:$E$198</definedName>
    <definedName name="Print_Area" localSheetId="9">'GEX POA Covid'!$A$1:$D$139</definedName>
    <definedName name="Print_Area" localSheetId="8">'GEXPOA Limp. Ord.'!$A$1:$D$198</definedName>
    <definedName name="Print_Area" localSheetId="1">MC!$A$3:$W$22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7" i="2" l="1"/>
  <c r="E116" i="12" l="1"/>
  <c r="D116" i="12"/>
  <c r="C116" i="12"/>
  <c r="B107" i="12"/>
  <c r="B106" i="12"/>
  <c r="B104" i="12"/>
  <c r="B103" i="12"/>
  <c r="B101" i="12"/>
  <c r="B100" i="12"/>
  <c r="B98" i="12"/>
  <c r="B97" i="12"/>
  <c r="B95" i="12"/>
  <c r="B94" i="12"/>
  <c r="E86" i="12"/>
  <c r="D86" i="12"/>
  <c r="C86" i="12"/>
  <c r="E78" i="12"/>
  <c r="D78" i="12"/>
  <c r="C78" i="12"/>
  <c r="B78" i="12"/>
  <c r="B74" i="12"/>
  <c r="B79" i="12" s="1"/>
  <c r="C72" i="12"/>
  <c r="B67" i="12"/>
  <c r="B66" i="12"/>
  <c r="B64" i="12"/>
  <c r="B59" i="12"/>
  <c r="B57" i="12"/>
  <c r="B54" i="12"/>
  <c r="B55" i="12" s="1"/>
  <c r="B47" i="12"/>
  <c r="D41" i="12"/>
  <c r="B41" i="12"/>
  <c r="C41" i="12" s="1"/>
  <c r="B40" i="12"/>
  <c r="E39" i="12"/>
  <c r="D39" i="12"/>
  <c r="C39" i="12"/>
  <c r="B36" i="12"/>
  <c r="B58" i="12" s="1"/>
  <c r="B24" i="12"/>
  <c r="B23" i="12"/>
  <c r="E8" i="12"/>
  <c r="D8" i="12"/>
  <c r="C8" i="12"/>
  <c r="E7" i="12"/>
  <c r="D7" i="12"/>
  <c r="C7" i="12"/>
  <c r="E6" i="12"/>
  <c r="D6" i="12"/>
  <c r="C6" i="12"/>
  <c r="B195" i="11"/>
  <c r="B192" i="11"/>
  <c r="B190" i="11"/>
  <c r="B189" i="11"/>
  <c r="B183" i="11"/>
  <c r="B180" i="11"/>
  <c r="B177" i="11"/>
  <c r="B171" i="11"/>
  <c r="B165" i="11"/>
  <c r="B159" i="11"/>
  <c r="B153" i="11"/>
  <c r="B147" i="11"/>
  <c r="I121" i="11"/>
  <c r="H121" i="11"/>
  <c r="G121" i="11"/>
  <c r="F121" i="11"/>
  <c r="E121" i="11"/>
  <c r="D121" i="11"/>
  <c r="C121" i="11"/>
  <c r="B110" i="11"/>
  <c r="B109" i="11"/>
  <c r="B107" i="11"/>
  <c r="B106" i="11"/>
  <c r="B104" i="11"/>
  <c r="B103" i="11"/>
  <c r="B101" i="11"/>
  <c r="B100" i="11"/>
  <c r="B98" i="11"/>
  <c r="B97" i="11"/>
  <c r="B96" i="11"/>
  <c r="B95" i="11"/>
  <c r="B79" i="11"/>
  <c r="H78" i="11"/>
  <c r="F78" i="11"/>
  <c r="D78" i="11"/>
  <c r="B78" i="11"/>
  <c r="B74" i="11"/>
  <c r="I72" i="11"/>
  <c r="I78" i="11" s="1"/>
  <c r="H72" i="11"/>
  <c r="G72" i="11"/>
  <c r="G78" i="11" s="1"/>
  <c r="F72" i="11"/>
  <c r="E72" i="11"/>
  <c r="E78" i="11" s="1"/>
  <c r="D72" i="11"/>
  <c r="C72" i="11"/>
  <c r="C78" i="11" s="1"/>
  <c r="B67" i="11"/>
  <c r="B66" i="11"/>
  <c r="B64" i="11"/>
  <c r="B59" i="11"/>
  <c r="B58" i="11"/>
  <c r="B57" i="11"/>
  <c r="B54" i="11"/>
  <c r="B55" i="11" s="1"/>
  <c r="B36" i="11"/>
  <c r="B47" i="11" s="1"/>
  <c r="B24" i="11"/>
  <c r="B23" i="11"/>
  <c r="B25" i="11" s="1"/>
  <c r="B46" i="11" s="1"/>
  <c r="I8" i="11"/>
  <c r="H8" i="11"/>
  <c r="G8" i="11"/>
  <c r="E8" i="11"/>
  <c r="C8" i="11"/>
  <c r="I7" i="11"/>
  <c r="H7" i="11"/>
  <c r="G7" i="11"/>
  <c r="E7" i="11"/>
  <c r="C7" i="11"/>
  <c r="I6" i="11"/>
  <c r="H6" i="11"/>
  <c r="G6" i="11"/>
  <c r="E6" i="11"/>
  <c r="C6" i="11"/>
  <c r="H5" i="11"/>
  <c r="H13" i="11" s="1"/>
  <c r="H19" i="11" s="1"/>
  <c r="L18" i="10"/>
  <c r="N18" i="10" s="1"/>
  <c r="G15" i="10"/>
  <c r="K14" i="10"/>
  <c r="J14" i="10"/>
  <c r="I14" i="10"/>
  <c r="I15" i="10" s="1"/>
  <c r="H14" i="10"/>
  <c r="G14" i="10"/>
  <c r="F14" i="10"/>
  <c r="D14" i="10"/>
  <c r="D15" i="10" s="1"/>
  <c r="Y10" i="10"/>
  <c r="K15" i="10" s="1"/>
  <c r="X10" i="10"/>
  <c r="W10" i="10"/>
  <c r="V10" i="10"/>
  <c r="U10" i="10"/>
  <c r="U11" i="10" s="1"/>
  <c r="T10" i="10"/>
  <c r="S10" i="10"/>
  <c r="R10" i="10"/>
  <c r="Q10" i="10"/>
  <c r="P10" i="10"/>
  <c r="Q12" i="10" s="1"/>
  <c r="N10" i="10"/>
  <c r="N12" i="10" s="1"/>
  <c r="M10" i="10"/>
  <c r="M12" i="10" s="1"/>
  <c r="L10" i="10"/>
  <c r="L12" i="10" s="1"/>
  <c r="K10" i="10"/>
  <c r="J10" i="10"/>
  <c r="J12" i="10" s="1"/>
  <c r="I10" i="10"/>
  <c r="H10" i="10"/>
  <c r="H12" i="10" s="1"/>
  <c r="G10" i="10"/>
  <c r="F10" i="10"/>
  <c r="F12" i="10" s="1"/>
  <c r="E10" i="10"/>
  <c r="E9" i="10"/>
  <c r="D9" i="10"/>
  <c r="O9" i="10" s="1"/>
  <c r="O8" i="10"/>
  <c r="E8" i="10"/>
  <c r="E7" i="10"/>
  <c r="D7" i="10" s="1"/>
  <c r="O7" i="10" s="1"/>
  <c r="E6" i="10"/>
  <c r="D6" i="10" s="1"/>
  <c r="O6" i="10" s="1"/>
  <c r="E5" i="10"/>
  <c r="D5" i="10" s="1"/>
  <c r="O5" i="10" s="1"/>
  <c r="E4" i="10"/>
  <c r="D4" i="10" s="1"/>
  <c r="E120" i="9"/>
  <c r="D120" i="9"/>
  <c r="C120" i="9"/>
  <c r="B110" i="9"/>
  <c r="B109" i="9" s="1"/>
  <c r="B107" i="9"/>
  <c r="B106" i="9"/>
  <c r="B104" i="9"/>
  <c r="B103" i="9"/>
  <c r="B101" i="9"/>
  <c r="B100" i="9"/>
  <c r="B98" i="9"/>
  <c r="B97" i="9"/>
  <c r="B95" i="9"/>
  <c r="B94" i="9"/>
  <c r="B87" i="9"/>
  <c r="B85" i="9"/>
  <c r="B84" i="9"/>
  <c r="E78" i="9"/>
  <c r="D78" i="9"/>
  <c r="B78" i="9"/>
  <c r="B74" i="9"/>
  <c r="B79" i="9" s="1"/>
  <c r="C72" i="9"/>
  <c r="C78" i="9" s="1"/>
  <c r="B67" i="9"/>
  <c r="B66" i="9"/>
  <c r="B64" i="9"/>
  <c r="B59" i="9"/>
  <c r="B58" i="9"/>
  <c r="B57" i="9"/>
  <c r="B54" i="9"/>
  <c r="B55" i="9" s="1"/>
  <c r="C41" i="9"/>
  <c r="B41" i="9"/>
  <c r="D41" i="9" s="1"/>
  <c r="B40" i="9"/>
  <c r="B36" i="9"/>
  <c r="B47" i="9" s="1"/>
  <c r="B24" i="9"/>
  <c r="B23" i="9"/>
  <c r="B25" i="9" s="1"/>
  <c r="B46" i="9" s="1"/>
  <c r="E8" i="9"/>
  <c r="D8" i="9"/>
  <c r="C8" i="9"/>
  <c r="E7" i="9"/>
  <c r="D7" i="9"/>
  <c r="C7" i="9"/>
  <c r="E6" i="9"/>
  <c r="D6" i="9"/>
  <c r="C6" i="9"/>
  <c r="B202" i="8"/>
  <c r="B199" i="8"/>
  <c r="B196" i="8"/>
  <c r="B190" i="8"/>
  <c r="B187" i="8"/>
  <c r="B184" i="8"/>
  <c r="B178" i="8"/>
  <c r="B172" i="8"/>
  <c r="B166" i="8"/>
  <c r="B160" i="8"/>
  <c r="B154" i="8"/>
  <c r="J125" i="8"/>
  <c r="I125" i="8"/>
  <c r="H125" i="8"/>
  <c r="G125" i="8"/>
  <c r="F125" i="8"/>
  <c r="E125" i="8"/>
  <c r="D125" i="8"/>
  <c r="C125" i="8"/>
  <c r="B113" i="8"/>
  <c r="B112" i="8" s="1"/>
  <c r="B110" i="8"/>
  <c r="B109" i="8" s="1"/>
  <c r="B107" i="8"/>
  <c r="B106" i="8" s="1"/>
  <c r="B104" i="8"/>
  <c r="B103" i="8" s="1"/>
  <c r="B101" i="8"/>
  <c r="B100" i="8" s="1"/>
  <c r="B98" i="8"/>
  <c r="B97" i="8" s="1"/>
  <c r="B96" i="8"/>
  <c r="B95" i="8"/>
  <c r="B79" i="8"/>
  <c r="I78" i="8"/>
  <c r="G78" i="8"/>
  <c r="E78" i="8"/>
  <c r="C78" i="8"/>
  <c r="B78" i="8"/>
  <c r="B74" i="8"/>
  <c r="J72" i="8"/>
  <c r="J78" i="8" s="1"/>
  <c r="I72" i="8"/>
  <c r="H72" i="8"/>
  <c r="H78" i="8" s="1"/>
  <c r="G72" i="8"/>
  <c r="F72" i="8"/>
  <c r="F78" i="8" s="1"/>
  <c r="E72" i="8"/>
  <c r="D72" i="8"/>
  <c r="D78" i="8" s="1"/>
  <c r="C72" i="8"/>
  <c r="B67" i="8"/>
  <c r="B66" i="8"/>
  <c r="B64" i="8"/>
  <c r="B59" i="8"/>
  <c r="B57" i="8"/>
  <c r="B54" i="8"/>
  <c r="B46" i="8"/>
  <c r="B36" i="8"/>
  <c r="B25" i="8"/>
  <c r="B24" i="8"/>
  <c r="H23" i="8"/>
  <c r="B23" i="8"/>
  <c r="G19" i="8"/>
  <c r="H14" i="8"/>
  <c r="G14" i="8"/>
  <c r="H13" i="8"/>
  <c r="H19" i="8" s="1"/>
  <c r="G13" i="8"/>
  <c r="J8" i="8"/>
  <c r="I8" i="8"/>
  <c r="G8" i="8"/>
  <c r="E8" i="8"/>
  <c r="C8" i="8"/>
  <c r="J7" i="8"/>
  <c r="I7" i="8"/>
  <c r="E7" i="8"/>
  <c r="C7" i="8"/>
  <c r="J6" i="8"/>
  <c r="I6" i="8"/>
  <c r="E6" i="8"/>
  <c r="C6" i="8"/>
  <c r="I5" i="8"/>
  <c r="I13" i="8" s="1"/>
  <c r="I19" i="8" s="1"/>
  <c r="L30" i="7"/>
  <c r="N30" i="7" s="1"/>
  <c r="K27" i="7"/>
  <c r="M26" i="7"/>
  <c r="M27" i="7" s="1"/>
  <c r="K26" i="7"/>
  <c r="J26" i="7"/>
  <c r="I26" i="7"/>
  <c r="H26" i="7"/>
  <c r="H27" i="7" s="1"/>
  <c r="G26" i="7"/>
  <c r="F26" i="7"/>
  <c r="D26" i="7"/>
  <c r="L24" i="7"/>
  <c r="I24" i="7"/>
  <c r="AA22" i="7"/>
  <c r="Z22" i="7"/>
  <c r="Y22" i="7"/>
  <c r="X22" i="7"/>
  <c r="W22" i="7"/>
  <c r="W23" i="7" s="1"/>
  <c r="V22" i="7"/>
  <c r="U22" i="7"/>
  <c r="T22" i="7"/>
  <c r="S22" i="7"/>
  <c r="R22" i="7"/>
  <c r="Q22" i="7"/>
  <c r="P22" i="7"/>
  <c r="Q23" i="7" s="1"/>
  <c r="N22" i="7"/>
  <c r="N24" i="7" s="1"/>
  <c r="L22" i="7"/>
  <c r="J22" i="7"/>
  <c r="J24" i="7" s="1"/>
  <c r="I22" i="7"/>
  <c r="G22" i="7"/>
  <c r="C22" i="7"/>
  <c r="E21" i="7"/>
  <c r="O21" i="7" s="1"/>
  <c r="O20" i="7"/>
  <c r="O19" i="7"/>
  <c r="E19" i="7"/>
  <c r="E18" i="7"/>
  <c r="O18" i="7" s="1"/>
  <c r="O17" i="7"/>
  <c r="E17" i="7"/>
  <c r="M16" i="7"/>
  <c r="E16" i="7"/>
  <c r="D16" i="7"/>
  <c r="M15" i="7"/>
  <c r="E15" i="7"/>
  <c r="D15" i="7" s="1"/>
  <c r="M14" i="7"/>
  <c r="E14" i="7"/>
  <c r="D14" i="7"/>
  <c r="M13" i="7"/>
  <c r="K13" i="7"/>
  <c r="K22" i="7" s="1"/>
  <c r="H13" i="7"/>
  <c r="G13" i="7"/>
  <c r="F13" i="7"/>
  <c r="E13" i="7"/>
  <c r="D13" i="7" s="1"/>
  <c r="O13" i="7" s="1"/>
  <c r="M12" i="7"/>
  <c r="M22" i="7" s="1"/>
  <c r="M24" i="7" s="1"/>
  <c r="E12" i="7"/>
  <c r="D12" i="7"/>
  <c r="M11" i="7"/>
  <c r="H11" i="7"/>
  <c r="E11" i="7" s="1"/>
  <c r="D11" i="7" s="1"/>
  <c r="G11" i="7"/>
  <c r="F11" i="7"/>
  <c r="F22" i="7" s="1"/>
  <c r="O10" i="7"/>
  <c r="M10" i="7"/>
  <c r="E10" i="7"/>
  <c r="D10" i="7" s="1"/>
  <c r="E9" i="7"/>
  <c r="O9" i="7" s="1"/>
  <c r="O8" i="7"/>
  <c r="M8" i="7"/>
  <c r="E8" i="7"/>
  <c r="D8" i="7" s="1"/>
  <c r="E7" i="7"/>
  <c r="O7" i="7" s="1"/>
  <c r="O6" i="7"/>
  <c r="E6" i="7"/>
  <c r="E5" i="7"/>
  <c r="O4" i="7"/>
  <c r="E4" i="7"/>
  <c r="E116" i="6"/>
  <c r="D116" i="6"/>
  <c r="C116" i="6"/>
  <c r="B107" i="6"/>
  <c r="B106" i="6" s="1"/>
  <c r="B104" i="6"/>
  <c r="B103" i="6"/>
  <c r="B101" i="6"/>
  <c r="B100" i="6" s="1"/>
  <c r="B98" i="6"/>
  <c r="B97" i="6"/>
  <c r="B95" i="6"/>
  <c r="B94" i="6"/>
  <c r="E78" i="6"/>
  <c r="D78" i="6"/>
  <c r="C78" i="6"/>
  <c r="B78" i="6"/>
  <c r="B74" i="6"/>
  <c r="B79" i="6" s="1"/>
  <c r="C72" i="6"/>
  <c r="B67" i="6"/>
  <c r="B66" i="6"/>
  <c r="B64" i="6"/>
  <c r="B59" i="6"/>
  <c r="B57" i="6"/>
  <c r="B58" i="6" s="1"/>
  <c r="B54" i="6"/>
  <c r="B55" i="6" s="1"/>
  <c r="C41" i="6"/>
  <c r="B41" i="6"/>
  <c r="D41" i="6" s="1"/>
  <c r="B40" i="6"/>
  <c r="B36" i="6"/>
  <c r="B47" i="6" s="1"/>
  <c r="B24" i="6"/>
  <c r="B23" i="6"/>
  <c r="E8" i="6"/>
  <c r="D8" i="6"/>
  <c r="C8" i="6"/>
  <c r="E7" i="6"/>
  <c r="D7" i="6"/>
  <c r="C7" i="6"/>
  <c r="E6" i="6"/>
  <c r="D6" i="6"/>
  <c r="C6" i="6"/>
  <c r="B195" i="5"/>
  <c r="B192" i="5"/>
  <c r="B190" i="5"/>
  <c r="B189" i="5"/>
  <c r="B183" i="5"/>
  <c r="B180" i="5"/>
  <c r="B177" i="5"/>
  <c r="B171" i="5"/>
  <c r="B165" i="5"/>
  <c r="B159" i="5"/>
  <c r="B153" i="5"/>
  <c r="B147" i="5"/>
  <c r="I121" i="5"/>
  <c r="H121" i="5"/>
  <c r="G121" i="5"/>
  <c r="F121" i="5"/>
  <c r="E121" i="5"/>
  <c r="D121" i="5"/>
  <c r="C121" i="5"/>
  <c r="B110" i="5"/>
  <c r="B109" i="5"/>
  <c r="B107" i="5"/>
  <c r="B106" i="5" s="1"/>
  <c r="B104" i="5"/>
  <c r="B103" i="5"/>
  <c r="B101" i="5"/>
  <c r="B100" i="5"/>
  <c r="B98" i="5"/>
  <c r="B97" i="5"/>
  <c r="B96" i="5"/>
  <c r="B95" i="5"/>
  <c r="I78" i="5"/>
  <c r="G78" i="5"/>
  <c r="E78" i="5"/>
  <c r="C78" i="5"/>
  <c r="B78" i="5"/>
  <c r="B74" i="5"/>
  <c r="B79" i="5" s="1"/>
  <c r="I72" i="5"/>
  <c r="H72" i="5"/>
  <c r="H78" i="5" s="1"/>
  <c r="G72" i="5"/>
  <c r="F72" i="5"/>
  <c r="F78" i="5" s="1"/>
  <c r="E72" i="5"/>
  <c r="D72" i="5"/>
  <c r="D78" i="5" s="1"/>
  <c r="C72" i="5"/>
  <c r="B67" i="5"/>
  <c r="B66" i="5"/>
  <c r="B64" i="5"/>
  <c r="B59" i="5"/>
  <c r="B57" i="5"/>
  <c r="B54" i="5"/>
  <c r="B47" i="5"/>
  <c r="B36" i="5"/>
  <c r="B58" i="5" s="1"/>
  <c r="B24" i="5"/>
  <c r="B23" i="5"/>
  <c r="I8" i="5"/>
  <c r="H8" i="5"/>
  <c r="G8" i="5"/>
  <c r="E8" i="5"/>
  <c r="C8" i="5"/>
  <c r="I7" i="5"/>
  <c r="H7" i="5"/>
  <c r="G7" i="5"/>
  <c r="E7" i="5"/>
  <c r="C7" i="5"/>
  <c r="I6" i="5"/>
  <c r="H6" i="5"/>
  <c r="G6" i="5"/>
  <c r="E6" i="5"/>
  <c r="C6" i="5"/>
  <c r="H5" i="5"/>
  <c r="H13" i="5" s="1"/>
  <c r="H19" i="5" s="1"/>
  <c r="N25" i="4"/>
  <c r="N21" i="4" s="1"/>
  <c r="N22" i="4" s="1"/>
  <c r="L25" i="4"/>
  <c r="H22" i="4"/>
  <c r="K21" i="4"/>
  <c r="K22" i="4" s="1"/>
  <c r="J21" i="4"/>
  <c r="J22" i="4" s="1"/>
  <c r="I21" i="4"/>
  <c r="I22" i="4" s="1"/>
  <c r="H21" i="4"/>
  <c r="G21" i="4"/>
  <c r="G22" i="4" s="1"/>
  <c r="F21" i="4"/>
  <c r="F22" i="4" s="1"/>
  <c r="D21" i="4"/>
  <c r="D22" i="4" s="1"/>
  <c r="Y17" i="4"/>
  <c r="X17" i="4"/>
  <c r="W17" i="4"/>
  <c r="V17" i="4"/>
  <c r="U17" i="4"/>
  <c r="T17" i="4"/>
  <c r="U18" i="4" s="1"/>
  <c r="S17" i="4"/>
  <c r="R17" i="4"/>
  <c r="Q18" i="4" s="1"/>
  <c r="Q17" i="4"/>
  <c r="P17" i="4"/>
  <c r="Q19" i="4" s="1"/>
  <c r="N17" i="4"/>
  <c r="N19" i="4" s="1"/>
  <c r="I17" i="4"/>
  <c r="I19" i="4" s="1"/>
  <c r="H17" i="4"/>
  <c r="F17" i="4"/>
  <c r="C17" i="4"/>
  <c r="O16" i="4"/>
  <c r="E16" i="4"/>
  <c r="E15" i="4"/>
  <c r="O15" i="4" s="1"/>
  <c r="M14" i="4"/>
  <c r="E14" i="4"/>
  <c r="D14" i="4" s="1"/>
  <c r="O14" i="4" s="1"/>
  <c r="E13" i="4"/>
  <c r="O13" i="4" s="1"/>
  <c r="M12" i="4"/>
  <c r="K12" i="4"/>
  <c r="E12" i="4"/>
  <c r="D12" i="4"/>
  <c r="O12" i="4" s="1"/>
  <c r="M11" i="4"/>
  <c r="K11" i="4"/>
  <c r="E11" i="4"/>
  <c r="D11" i="4"/>
  <c r="O11" i="4" s="1"/>
  <c r="M10" i="4"/>
  <c r="K10" i="4"/>
  <c r="E10" i="4"/>
  <c r="D10" i="4"/>
  <c r="O10" i="4" s="1"/>
  <c r="M9" i="4"/>
  <c r="K9" i="4"/>
  <c r="K17" i="4" s="1"/>
  <c r="E9" i="4"/>
  <c r="D9" i="4"/>
  <c r="O9" i="4" s="1"/>
  <c r="N8" i="4"/>
  <c r="M8" i="4"/>
  <c r="W10" i="3" s="1"/>
  <c r="H8" i="4"/>
  <c r="G8" i="4"/>
  <c r="F8" i="4"/>
  <c r="E8" i="4"/>
  <c r="D8" i="4" s="1"/>
  <c r="O8" i="4" s="1"/>
  <c r="L7" i="4"/>
  <c r="L17" i="4" s="1"/>
  <c r="L19" i="4" s="1"/>
  <c r="E7" i="4"/>
  <c r="O7" i="4" s="1"/>
  <c r="E6" i="4"/>
  <c r="O6" i="4" s="1"/>
  <c r="O5" i="4"/>
  <c r="E5" i="4"/>
  <c r="N4" i="4"/>
  <c r="M4" i="4" s="1"/>
  <c r="J4" i="4"/>
  <c r="J17" i="4" s="1"/>
  <c r="H4" i="4"/>
  <c r="G4" i="4"/>
  <c r="G17" i="4" s="1"/>
  <c r="F4" i="4"/>
  <c r="E4" i="4"/>
  <c r="Y44" i="3"/>
  <c r="W44" i="3"/>
  <c r="U44" i="3"/>
  <c r="S44" i="3"/>
  <c r="Q44" i="3"/>
  <c r="O44" i="3"/>
  <c r="M44" i="3"/>
  <c r="K44" i="3"/>
  <c r="I44" i="3"/>
  <c r="I45" i="3" s="1"/>
  <c r="G44" i="3"/>
  <c r="E44" i="3"/>
  <c r="D44" i="3"/>
  <c r="B9" i="10" s="1"/>
  <c r="Y43" i="3"/>
  <c r="W43" i="3"/>
  <c r="U43" i="3"/>
  <c r="S43" i="3"/>
  <c r="Q43" i="3"/>
  <c r="O43" i="3"/>
  <c r="M43" i="3"/>
  <c r="K43" i="3"/>
  <c r="I43" i="3"/>
  <c r="G43" i="3"/>
  <c r="E43" i="3"/>
  <c r="D43" i="3"/>
  <c r="B8" i="10" s="1"/>
  <c r="Y42" i="3"/>
  <c r="W42" i="3"/>
  <c r="W45" i="3" s="1"/>
  <c r="U42" i="3"/>
  <c r="S42" i="3"/>
  <c r="Q42" i="3"/>
  <c r="O42" i="3"/>
  <c r="M42" i="3"/>
  <c r="K42" i="3"/>
  <c r="I42" i="3"/>
  <c r="G42" i="3"/>
  <c r="E42" i="3"/>
  <c r="D42" i="3"/>
  <c r="B7" i="10" s="1"/>
  <c r="Y41" i="3"/>
  <c r="W41" i="3"/>
  <c r="U41" i="3"/>
  <c r="S41" i="3"/>
  <c r="Q41" i="3"/>
  <c r="O41" i="3"/>
  <c r="M41" i="3"/>
  <c r="K41" i="3"/>
  <c r="I41" i="3"/>
  <c r="G41" i="3"/>
  <c r="E41" i="3"/>
  <c r="D41" i="3"/>
  <c r="B6" i="10" s="1"/>
  <c r="Y40" i="3"/>
  <c r="W40" i="3"/>
  <c r="U40" i="3"/>
  <c r="S40" i="3"/>
  <c r="Q40" i="3"/>
  <c r="O40" i="3"/>
  <c r="M40" i="3"/>
  <c r="K40" i="3"/>
  <c r="I40" i="3"/>
  <c r="G40" i="3"/>
  <c r="E40" i="3"/>
  <c r="D40" i="3"/>
  <c r="B5" i="10" s="1"/>
  <c r="AE39" i="3"/>
  <c r="AE45" i="3" s="1"/>
  <c r="Y39" i="3"/>
  <c r="W39" i="3"/>
  <c r="U39" i="3"/>
  <c r="S39" i="3"/>
  <c r="S45" i="3" s="1"/>
  <c r="Q39" i="3"/>
  <c r="Q45" i="3" s="1"/>
  <c r="O39" i="3"/>
  <c r="M39" i="3"/>
  <c r="K39" i="3"/>
  <c r="K45" i="3" s="1"/>
  <c r="I39" i="3"/>
  <c r="G39" i="3"/>
  <c r="E39" i="3"/>
  <c r="D39" i="3"/>
  <c r="B4" i="10" s="1"/>
  <c r="Z37" i="3"/>
  <c r="Y37" i="3"/>
  <c r="W37" i="3"/>
  <c r="U37" i="3"/>
  <c r="S37" i="3"/>
  <c r="Q37" i="3"/>
  <c r="O37" i="3"/>
  <c r="M37" i="3"/>
  <c r="K37" i="3"/>
  <c r="I37" i="3"/>
  <c r="G37" i="3"/>
  <c r="E37" i="3"/>
  <c r="D37" i="3"/>
  <c r="B21" i="7" s="1"/>
  <c r="Y36" i="3"/>
  <c r="W36" i="3"/>
  <c r="U36" i="3"/>
  <c r="S36" i="3"/>
  <c r="Q36" i="3"/>
  <c r="O36" i="3"/>
  <c r="M36" i="3"/>
  <c r="K36" i="3"/>
  <c r="I36" i="3"/>
  <c r="G36" i="3"/>
  <c r="E36" i="3"/>
  <c r="D36" i="3"/>
  <c r="B20" i="7" s="1"/>
  <c r="Y35" i="3"/>
  <c r="W35" i="3"/>
  <c r="U35" i="3"/>
  <c r="S35" i="3"/>
  <c r="Q35" i="3"/>
  <c r="O35" i="3"/>
  <c r="M35" i="3"/>
  <c r="K35" i="3"/>
  <c r="I35" i="3"/>
  <c r="G35" i="3"/>
  <c r="E35" i="3"/>
  <c r="D35" i="3"/>
  <c r="B19" i="7" s="1"/>
  <c r="Y34" i="3"/>
  <c r="W34" i="3"/>
  <c r="U34" i="3"/>
  <c r="S34" i="3"/>
  <c r="Q34" i="3"/>
  <c r="O34" i="3"/>
  <c r="M34" i="3"/>
  <c r="K34" i="3"/>
  <c r="I34" i="3"/>
  <c r="G34" i="3"/>
  <c r="E34" i="3"/>
  <c r="D34" i="3"/>
  <c r="B18" i="7" s="1"/>
  <c r="Z33" i="3"/>
  <c r="Y33" i="3"/>
  <c r="W33" i="3"/>
  <c r="U33" i="3"/>
  <c r="S33" i="3"/>
  <c r="Q33" i="3"/>
  <c r="O33" i="3"/>
  <c r="M33" i="3"/>
  <c r="K33" i="3"/>
  <c r="I33" i="3"/>
  <c r="G33" i="3"/>
  <c r="E33" i="3"/>
  <c r="D33" i="3"/>
  <c r="B17" i="7" s="1"/>
  <c r="Y32" i="3"/>
  <c r="W32" i="3"/>
  <c r="U32" i="3"/>
  <c r="S32" i="3"/>
  <c r="Q32" i="3"/>
  <c r="O32" i="3"/>
  <c r="M32" i="3"/>
  <c r="K32" i="3"/>
  <c r="I32" i="3"/>
  <c r="G32" i="3"/>
  <c r="E32" i="3"/>
  <c r="D32" i="3"/>
  <c r="B16" i="7" s="1"/>
  <c r="Z31" i="3"/>
  <c r="Y31" i="3"/>
  <c r="W31" i="3"/>
  <c r="U31" i="3"/>
  <c r="S31" i="3"/>
  <c r="Q31" i="3"/>
  <c r="O31" i="3"/>
  <c r="M31" i="3"/>
  <c r="K31" i="3"/>
  <c r="I31" i="3"/>
  <c r="G31" i="3"/>
  <c r="D31" i="3"/>
  <c r="B15" i="7" s="1"/>
  <c r="Y30" i="3"/>
  <c r="W30" i="3"/>
  <c r="U30" i="3"/>
  <c r="S30" i="3"/>
  <c r="Q30" i="3"/>
  <c r="O30" i="3"/>
  <c r="M30" i="3"/>
  <c r="K30" i="3"/>
  <c r="I30" i="3"/>
  <c r="G30" i="3"/>
  <c r="D30" i="3"/>
  <c r="B14" i="7" s="1"/>
  <c r="Y29" i="3"/>
  <c r="W29" i="3"/>
  <c r="U29" i="3"/>
  <c r="S29" i="3"/>
  <c r="Q29" i="3"/>
  <c r="O29" i="3"/>
  <c r="M29" i="3"/>
  <c r="K29" i="3"/>
  <c r="I29" i="3"/>
  <c r="G29" i="3"/>
  <c r="E29" i="3"/>
  <c r="D29" i="3"/>
  <c r="B13" i="7" s="1"/>
  <c r="Z28" i="3"/>
  <c r="Y28" i="3"/>
  <c r="W28" i="3"/>
  <c r="U28" i="3"/>
  <c r="S28" i="3"/>
  <c r="Q28" i="3"/>
  <c r="O28" i="3"/>
  <c r="M28" i="3"/>
  <c r="K28" i="3"/>
  <c r="I28" i="3"/>
  <c r="G28" i="3"/>
  <c r="E28" i="3"/>
  <c r="D28" i="3"/>
  <c r="B12" i="7" s="1"/>
  <c r="Y27" i="3"/>
  <c r="W27" i="3"/>
  <c r="W38" i="3" s="1"/>
  <c r="U27" i="3"/>
  <c r="S27" i="3"/>
  <c r="Q27" i="3"/>
  <c r="O27" i="3"/>
  <c r="M27" i="3"/>
  <c r="K27" i="3"/>
  <c r="I27" i="3"/>
  <c r="D27" i="3"/>
  <c r="B11" i="7" s="1"/>
  <c r="Y26" i="3"/>
  <c r="W26" i="3"/>
  <c r="U26" i="3"/>
  <c r="S26" i="3"/>
  <c r="Q26" i="3"/>
  <c r="O26" i="3"/>
  <c r="M26" i="3"/>
  <c r="K26" i="3"/>
  <c r="I26" i="3"/>
  <c r="G26" i="3"/>
  <c r="E26" i="3"/>
  <c r="D26" i="3"/>
  <c r="B10" i="7" s="1"/>
  <c r="Y25" i="3"/>
  <c r="W25" i="3"/>
  <c r="U25" i="3"/>
  <c r="S25" i="3"/>
  <c r="Q25" i="3"/>
  <c r="O25" i="3"/>
  <c r="M25" i="3"/>
  <c r="K25" i="3"/>
  <c r="I25" i="3"/>
  <c r="I38" i="3" s="1"/>
  <c r="G25" i="3"/>
  <c r="E25" i="3"/>
  <c r="D25" i="3"/>
  <c r="B9" i="7" s="1"/>
  <c r="Y24" i="3"/>
  <c r="W24" i="3"/>
  <c r="U24" i="3"/>
  <c r="S24" i="3"/>
  <c r="Q24" i="3"/>
  <c r="O24" i="3"/>
  <c r="M24" i="3"/>
  <c r="K24" i="3"/>
  <c r="I24" i="3"/>
  <c r="G24" i="3"/>
  <c r="E24" i="3"/>
  <c r="D24" i="3"/>
  <c r="B8" i="7" s="1"/>
  <c r="Z23" i="3"/>
  <c r="Y23" i="3"/>
  <c r="W23" i="3"/>
  <c r="U23" i="3"/>
  <c r="S23" i="3"/>
  <c r="Q23" i="3"/>
  <c r="O23" i="3"/>
  <c r="M23" i="3"/>
  <c r="K23" i="3"/>
  <c r="I23" i="3"/>
  <c r="G23" i="3"/>
  <c r="E23" i="3"/>
  <c r="D23" i="3"/>
  <c r="B7" i="7" s="1"/>
  <c r="Z22" i="3"/>
  <c r="Y22" i="3"/>
  <c r="W22" i="3"/>
  <c r="U22" i="3"/>
  <c r="S22" i="3"/>
  <c r="Q22" i="3"/>
  <c r="O22" i="3"/>
  <c r="M22" i="3"/>
  <c r="K22" i="3"/>
  <c r="I22" i="3"/>
  <c r="G22" i="3"/>
  <c r="E22" i="3"/>
  <c r="D22" i="3"/>
  <c r="B6" i="7" s="1"/>
  <c r="Z21" i="3"/>
  <c r="Y21" i="3"/>
  <c r="W21" i="3"/>
  <c r="U21" i="3"/>
  <c r="S21" i="3"/>
  <c r="Q21" i="3"/>
  <c r="O21" i="3"/>
  <c r="M21" i="3"/>
  <c r="K21" i="3"/>
  <c r="I21" i="3"/>
  <c r="E21" i="3"/>
  <c r="D21" i="3"/>
  <c r="B5" i="7" s="1"/>
  <c r="AE20" i="3"/>
  <c r="AE38" i="3" s="1"/>
  <c r="Y20" i="3"/>
  <c r="W20" i="3"/>
  <c r="U20" i="3"/>
  <c r="S20" i="3"/>
  <c r="Q20" i="3"/>
  <c r="Q38" i="3" s="1"/>
  <c r="O20" i="3"/>
  <c r="M20" i="3"/>
  <c r="M38" i="3" s="1"/>
  <c r="K20" i="3"/>
  <c r="I20" i="3"/>
  <c r="G20" i="3"/>
  <c r="E20" i="3"/>
  <c r="D20" i="3"/>
  <c r="B4" i="7" s="1"/>
  <c r="Y18" i="3"/>
  <c r="W18" i="3"/>
  <c r="U18" i="3"/>
  <c r="S18" i="3"/>
  <c r="Q18" i="3"/>
  <c r="O18" i="3"/>
  <c r="M18" i="3"/>
  <c r="K18" i="3"/>
  <c r="I18" i="3"/>
  <c r="G18" i="3"/>
  <c r="E18" i="3"/>
  <c r="D18" i="3"/>
  <c r="B16" i="4" s="1"/>
  <c r="Y17" i="3"/>
  <c r="W17" i="3"/>
  <c r="U17" i="3"/>
  <c r="S17" i="3"/>
  <c r="Q17" i="3"/>
  <c r="O17" i="3"/>
  <c r="M17" i="3"/>
  <c r="K17" i="3"/>
  <c r="I17" i="3"/>
  <c r="G17" i="3"/>
  <c r="E17" i="3"/>
  <c r="D17" i="3"/>
  <c r="B15" i="4" s="1"/>
  <c r="Y16" i="3"/>
  <c r="W16" i="3"/>
  <c r="U16" i="3"/>
  <c r="S16" i="3"/>
  <c r="Q16" i="3"/>
  <c r="O16" i="3"/>
  <c r="M16" i="3"/>
  <c r="K16" i="3"/>
  <c r="I16" i="3"/>
  <c r="G16" i="3"/>
  <c r="E16" i="3"/>
  <c r="D16" i="3"/>
  <c r="B14" i="4" s="1"/>
  <c r="Y15" i="3"/>
  <c r="W15" i="3"/>
  <c r="U15" i="3"/>
  <c r="S15" i="3"/>
  <c r="Q15" i="3"/>
  <c r="O15" i="3"/>
  <c r="M15" i="3"/>
  <c r="K15" i="3"/>
  <c r="I15" i="3"/>
  <c r="E15" i="3"/>
  <c r="D15" i="3"/>
  <c r="B13" i="4" s="1"/>
  <c r="Y14" i="3"/>
  <c r="W14" i="3"/>
  <c r="U14" i="3"/>
  <c r="S14" i="3"/>
  <c r="Q14" i="3"/>
  <c r="O14" i="3"/>
  <c r="M14" i="3"/>
  <c r="K14" i="3"/>
  <c r="I14" i="3"/>
  <c r="G14" i="3"/>
  <c r="E14" i="3"/>
  <c r="D14" i="3"/>
  <c r="B12" i="4" s="1"/>
  <c r="Y13" i="3"/>
  <c r="W13" i="3"/>
  <c r="U13" i="3"/>
  <c r="S13" i="3"/>
  <c r="Q13" i="3"/>
  <c r="O13" i="3"/>
  <c r="M13" i="3"/>
  <c r="K13" i="3"/>
  <c r="I13" i="3"/>
  <c r="G13" i="3"/>
  <c r="E13" i="3"/>
  <c r="D13" i="3"/>
  <c r="B11" i="4" s="1"/>
  <c r="Y12" i="3"/>
  <c r="W12" i="3"/>
  <c r="U12" i="3"/>
  <c r="S12" i="3"/>
  <c r="Q12" i="3"/>
  <c r="O12" i="3"/>
  <c r="M12" i="3"/>
  <c r="K12" i="3"/>
  <c r="I12" i="3"/>
  <c r="G12" i="3"/>
  <c r="E12" i="3"/>
  <c r="D12" i="3"/>
  <c r="B10" i="4" s="1"/>
  <c r="Y11" i="3"/>
  <c r="W11" i="3"/>
  <c r="U11" i="3"/>
  <c r="S11" i="3"/>
  <c r="Q11" i="3"/>
  <c r="O11" i="3"/>
  <c r="M11" i="3"/>
  <c r="K11" i="3"/>
  <c r="I11" i="3"/>
  <c r="G11" i="3"/>
  <c r="E11" i="3"/>
  <c r="D11" i="3"/>
  <c r="B9" i="4" s="1"/>
  <c r="Y10" i="3"/>
  <c r="U10" i="3"/>
  <c r="S10" i="3"/>
  <c r="Q10" i="3"/>
  <c r="O10" i="3"/>
  <c r="M10" i="3"/>
  <c r="K10" i="3"/>
  <c r="I10" i="3"/>
  <c r="D10" i="3"/>
  <c r="B8" i="4" s="1"/>
  <c r="Y9" i="3"/>
  <c r="W9" i="3"/>
  <c r="U9" i="3"/>
  <c r="S9" i="3"/>
  <c r="Q9" i="3"/>
  <c r="O9" i="3"/>
  <c r="M9" i="3"/>
  <c r="K9" i="3"/>
  <c r="I9" i="3"/>
  <c r="G9" i="3"/>
  <c r="E9" i="3"/>
  <c r="D9" i="3"/>
  <c r="B7" i="4" s="1"/>
  <c r="Y8" i="3"/>
  <c r="W8" i="3"/>
  <c r="U8" i="3"/>
  <c r="S8" i="3"/>
  <c r="Q8" i="3"/>
  <c r="O8" i="3"/>
  <c r="M8" i="3"/>
  <c r="K8" i="3"/>
  <c r="I8" i="3"/>
  <c r="G8" i="3"/>
  <c r="E8" i="3"/>
  <c r="D8" i="3"/>
  <c r="B6" i="4" s="1"/>
  <c r="Y7" i="3"/>
  <c r="W7" i="3"/>
  <c r="U7" i="3"/>
  <c r="S7" i="3"/>
  <c r="Q7" i="3"/>
  <c r="O7" i="3"/>
  <c r="M7" i="3"/>
  <c r="K7" i="3"/>
  <c r="I7" i="3"/>
  <c r="G7" i="3"/>
  <c r="E7" i="3"/>
  <c r="D7" i="3"/>
  <c r="B5" i="4" s="1"/>
  <c r="AE6" i="3"/>
  <c r="AE19" i="3" s="1"/>
  <c r="AE47" i="3" s="1"/>
  <c r="G12" i="13" s="1"/>
  <c r="H12" i="13" s="1"/>
  <c r="Y6" i="3"/>
  <c r="Y19" i="3" s="1"/>
  <c r="W6" i="3"/>
  <c r="W19" i="3" s="1"/>
  <c r="U6" i="3"/>
  <c r="U19" i="3" s="1"/>
  <c r="S6" i="3"/>
  <c r="Q6" i="3"/>
  <c r="Q19" i="3" s="1"/>
  <c r="O6" i="3"/>
  <c r="M6" i="3"/>
  <c r="M19" i="3" s="1"/>
  <c r="K6" i="3"/>
  <c r="I6" i="3"/>
  <c r="I19" i="3" s="1"/>
  <c r="D6" i="3"/>
  <c r="B4" i="4" s="1"/>
  <c r="H147" i="2"/>
  <c r="H146" i="2" s="1"/>
  <c r="I134" i="2"/>
  <c r="G134" i="2"/>
  <c r="H134" i="2" s="1"/>
  <c r="G133" i="2"/>
  <c r="I133" i="2" s="1"/>
  <c r="D133" i="2"/>
  <c r="C133" i="2"/>
  <c r="I132" i="2"/>
  <c r="H132" i="2"/>
  <c r="G132" i="2"/>
  <c r="G131" i="2"/>
  <c r="H131" i="2" s="1"/>
  <c r="H128" i="2"/>
  <c r="G128" i="2"/>
  <c r="D128" i="2"/>
  <c r="C128" i="2"/>
  <c r="G127" i="2"/>
  <c r="I127" i="2" s="1"/>
  <c r="D127" i="2"/>
  <c r="C127" i="2"/>
  <c r="G126" i="2"/>
  <c r="H126" i="2" s="1"/>
  <c r="D126" i="2"/>
  <c r="C126" i="2"/>
  <c r="G125" i="2"/>
  <c r="I125" i="2" s="1"/>
  <c r="D125" i="2"/>
  <c r="C125" i="2"/>
  <c r="G124" i="2"/>
  <c r="H124" i="2" s="1"/>
  <c r="D124" i="2"/>
  <c r="C124" i="2"/>
  <c r="K117" i="2"/>
  <c r="H117" i="2"/>
  <c r="J117" i="2" s="1"/>
  <c r="I116" i="2"/>
  <c r="H116" i="2"/>
  <c r="J116" i="2" s="1"/>
  <c r="H115" i="2"/>
  <c r="J115" i="2" s="1"/>
  <c r="K114" i="2"/>
  <c r="I114" i="2"/>
  <c r="H114" i="2"/>
  <c r="J114" i="2" s="1"/>
  <c r="H112" i="2"/>
  <c r="K112" i="2" s="1"/>
  <c r="H111" i="2"/>
  <c r="K111" i="2" s="1"/>
  <c r="H110" i="2"/>
  <c r="K110" i="2" s="1"/>
  <c r="H109" i="2"/>
  <c r="K109" i="2" s="1"/>
  <c r="H108" i="2"/>
  <c r="K108" i="2" s="1"/>
  <c r="H107" i="2"/>
  <c r="K107" i="2" s="1"/>
  <c r="K97" i="2"/>
  <c r="J97" i="2"/>
  <c r="I97" i="2"/>
  <c r="H96" i="2"/>
  <c r="E96" i="2"/>
  <c r="K96" i="2" s="1"/>
  <c r="D96" i="2"/>
  <c r="C96" i="2"/>
  <c r="H95" i="2"/>
  <c r="K95" i="2" s="1"/>
  <c r="D95" i="2"/>
  <c r="C95" i="2"/>
  <c r="H94" i="2"/>
  <c r="K94" i="2" s="1"/>
  <c r="D94" i="2"/>
  <c r="C94" i="2"/>
  <c r="H93" i="2"/>
  <c r="E93" i="2"/>
  <c r="K93" i="2" s="1"/>
  <c r="D93" i="2"/>
  <c r="J93" i="2" s="1"/>
  <c r="C93" i="2"/>
  <c r="H92" i="2"/>
  <c r="E92" i="2"/>
  <c r="K92" i="2" s="1"/>
  <c r="D92" i="2"/>
  <c r="J92" i="2" s="1"/>
  <c r="C92" i="2"/>
  <c r="H91" i="2"/>
  <c r="E91" i="2"/>
  <c r="K91" i="2" s="1"/>
  <c r="D91" i="2"/>
  <c r="J91" i="2" s="1"/>
  <c r="C91" i="2"/>
  <c r="H90" i="2"/>
  <c r="E90" i="2"/>
  <c r="K90" i="2" s="1"/>
  <c r="D90" i="2"/>
  <c r="J90" i="2" s="1"/>
  <c r="C90" i="2"/>
  <c r="H89" i="2"/>
  <c r="E89" i="2"/>
  <c r="K89" i="2" s="1"/>
  <c r="D89" i="2"/>
  <c r="J89" i="2" s="1"/>
  <c r="C89" i="2"/>
  <c r="H88" i="2"/>
  <c r="J88" i="2" s="1"/>
  <c r="F69" i="2"/>
  <c r="C69" i="2"/>
  <c r="F67" i="2"/>
  <c r="C67" i="2"/>
  <c r="G67" i="2" s="1"/>
  <c r="F66" i="2"/>
  <c r="G66" i="2" s="1"/>
  <c r="F65" i="2"/>
  <c r="C65" i="2"/>
  <c r="G65" i="2" s="1"/>
  <c r="F64" i="2"/>
  <c r="C64" i="2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G59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D95" i="1"/>
  <c r="F94" i="1"/>
  <c r="E94" i="1"/>
  <c r="F93" i="1"/>
  <c r="E93" i="1"/>
  <c r="F92" i="1"/>
  <c r="E92" i="1"/>
  <c r="F91" i="1"/>
  <c r="E91" i="1"/>
  <c r="E90" i="1"/>
  <c r="E95" i="1" s="1"/>
  <c r="K89" i="1"/>
  <c r="F89" i="1"/>
  <c r="E89" i="1"/>
  <c r="M88" i="1"/>
  <c r="L88" i="1"/>
  <c r="L87" i="1"/>
  <c r="L86" i="1"/>
  <c r="M86" i="1" s="1"/>
  <c r="L85" i="1"/>
  <c r="M85" i="1" s="1"/>
  <c r="M84" i="1"/>
  <c r="L84" i="1"/>
  <c r="D84" i="1"/>
  <c r="L83" i="1"/>
  <c r="M83" i="1" s="1"/>
  <c r="E83" i="1"/>
  <c r="F83" i="1" s="1"/>
  <c r="L82" i="1"/>
  <c r="M82" i="1" s="1"/>
  <c r="E82" i="1"/>
  <c r="F82" i="1" s="1"/>
  <c r="L81" i="1"/>
  <c r="M81" i="1" s="1"/>
  <c r="E81" i="1"/>
  <c r="F81" i="1" s="1"/>
  <c r="L80" i="1"/>
  <c r="M80" i="1" s="1"/>
  <c r="E80" i="1"/>
  <c r="F80" i="1" s="1"/>
  <c r="L79" i="1"/>
  <c r="M79" i="1" s="1"/>
  <c r="E79" i="1"/>
  <c r="F79" i="1" s="1"/>
  <c r="L78" i="1"/>
  <c r="M78" i="1" s="1"/>
  <c r="E78" i="1"/>
  <c r="F78" i="1" s="1"/>
  <c r="L77" i="1"/>
  <c r="M77" i="1" s="1"/>
  <c r="E77" i="1"/>
  <c r="F77" i="1" s="1"/>
  <c r="L76" i="1"/>
  <c r="M76" i="1" s="1"/>
  <c r="E76" i="1"/>
  <c r="F76" i="1" s="1"/>
  <c r="L75" i="1"/>
  <c r="M75" i="1" s="1"/>
  <c r="E75" i="1"/>
  <c r="F75" i="1" s="1"/>
  <c r="L74" i="1"/>
  <c r="M74" i="1" s="1"/>
  <c r="E74" i="1"/>
  <c r="F74" i="1" s="1"/>
  <c r="L73" i="1"/>
  <c r="M73" i="1" s="1"/>
  <c r="E73" i="1"/>
  <c r="F73" i="1" s="1"/>
  <c r="L72" i="1"/>
  <c r="M72" i="1" s="1"/>
  <c r="E72" i="1"/>
  <c r="F72" i="1" s="1"/>
  <c r="L71" i="1"/>
  <c r="L89" i="1" s="1"/>
  <c r="E71" i="1"/>
  <c r="E84" i="1" s="1"/>
  <c r="E54" i="1"/>
  <c r="E27" i="1"/>
  <c r="D20" i="1"/>
  <c r="E20" i="1"/>
  <c r="E19" i="1"/>
  <c r="F13" i="1"/>
  <c r="E13" i="1"/>
  <c r="D13" i="1"/>
  <c r="F12" i="1"/>
  <c r="F11" i="1"/>
  <c r="E11" i="1"/>
  <c r="E5" i="5" s="1"/>
  <c r="D11" i="1"/>
  <c r="I131" i="2" l="1"/>
  <c r="I130" i="2" s="1"/>
  <c r="H133" i="2"/>
  <c r="H125" i="2"/>
  <c r="H123" i="2" s="1"/>
  <c r="H127" i="2"/>
  <c r="I128" i="2"/>
  <c r="I124" i="2"/>
  <c r="I123" i="2" s="1"/>
  <c r="I126" i="2"/>
  <c r="C84" i="5" s="1"/>
  <c r="I115" i="2"/>
  <c r="K116" i="2"/>
  <c r="K115" i="2"/>
  <c r="K113" i="2" s="1"/>
  <c r="K119" i="2" s="1"/>
  <c r="I117" i="2"/>
  <c r="J95" i="2"/>
  <c r="K88" i="2"/>
  <c r="I95" i="2"/>
  <c r="I96" i="2"/>
  <c r="I88" i="2"/>
  <c r="I89" i="2"/>
  <c r="I90" i="2"/>
  <c r="I91" i="2"/>
  <c r="I92" i="2"/>
  <c r="I93" i="2"/>
  <c r="I94" i="2"/>
  <c r="J96" i="2"/>
  <c r="G69" i="2"/>
  <c r="G64" i="2"/>
  <c r="G37" i="2"/>
  <c r="G60" i="2"/>
  <c r="F85" i="11" s="1"/>
  <c r="H54" i="5"/>
  <c r="H24" i="5"/>
  <c r="E85" i="11"/>
  <c r="C85" i="11"/>
  <c r="E85" i="8"/>
  <c r="H85" i="8"/>
  <c r="D85" i="8"/>
  <c r="G85" i="8"/>
  <c r="C85" i="8"/>
  <c r="G85" i="11"/>
  <c r="F85" i="8"/>
  <c r="E85" i="5"/>
  <c r="G85" i="5"/>
  <c r="C85" i="5"/>
  <c r="F85" i="5"/>
  <c r="D85" i="5"/>
  <c r="F13" i="5"/>
  <c r="F14" i="5"/>
  <c r="E13" i="5"/>
  <c r="E14" i="5"/>
  <c r="G39" i="11"/>
  <c r="E39" i="9"/>
  <c r="F39" i="11"/>
  <c r="E39" i="11"/>
  <c r="D39" i="9"/>
  <c r="G39" i="8"/>
  <c r="E39" i="8"/>
  <c r="F39" i="8"/>
  <c r="E39" i="6"/>
  <c r="H39" i="8"/>
  <c r="G39" i="5"/>
  <c r="F39" i="5"/>
  <c r="D39" i="6"/>
  <c r="E39" i="5"/>
  <c r="K106" i="2"/>
  <c r="K118" i="2" s="1"/>
  <c r="I84" i="11" s="1"/>
  <c r="J113" i="2"/>
  <c r="J119" i="2" s="1"/>
  <c r="H130" i="2"/>
  <c r="B193" i="5"/>
  <c r="B196" i="5"/>
  <c r="B181" i="5"/>
  <c r="B172" i="5"/>
  <c r="B160" i="5"/>
  <c r="B148" i="5"/>
  <c r="K98" i="2"/>
  <c r="K99" i="2" s="1"/>
  <c r="D87" i="11"/>
  <c r="C87" i="11"/>
  <c r="D87" i="8"/>
  <c r="C87" i="8"/>
  <c r="C87" i="5"/>
  <c r="D87" i="5"/>
  <c r="G70" i="2"/>
  <c r="E84" i="5"/>
  <c r="J19" i="4"/>
  <c r="B42" i="12"/>
  <c r="B42" i="11"/>
  <c r="B42" i="9"/>
  <c r="B42" i="8"/>
  <c r="B42" i="5"/>
  <c r="E17" i="4"/>
  <c r="D4" i="4"/>
  <c r="C5" i="12"/>
  <c r="C13" i="12" s="1"/>
  <c r="C5" i="11"/>
  <c r="C5" i="9"/>
  <c r="C13" i="9" s="1"/>
  <c r="C5" i="6"/>
  <c r="C13" i="6" s="1"/>
  <c r="C5" i="5"/>
  <c r="D12" i="1"/>
  <c r="B65" i="12"/>
  <c r="B65" i="11"/>
  <c r="B65" i="8"/>
  <c r="B65" i="9"/>
  <c r="B65" i="5"/>
  <c r="B65" i="6"/>
  <c r="M71" i="1"/>
  <c r="M89" i="1" s="1"/>
  <c r="K90" i="1" s="1"/>
  <c r="F90" i="1"/>
  <c r="F95" i="1" s="1"/>
  <c r="D96" i="1" s="1"/>
  <c r="I107" i="2"/>
  <c r="I108" i="2"/>
  <c r="I109" i="2"/>
  <c r="I110" i="2"/>
  <c r="I111" i="2"/>
  <c r="I112" i="2"/>
  <c r="E10" i="3"/>
  <c r="O38" i="3"/>
  <c r="E45" i="3"/>
  <c r="M45" i="3"/>
  <c r="U45" i="3"/>
  <c r="M17" i="4"/>
  <c r="M19" i="4" s="1"/>
  <c r="H23" i="5"/>
  <c r="H25" i="5" s="1"/>
  <c r="H32" i="5" s="1"/>
  <c r="H31" i="5"/>
  <c r="H58" i="5"/>
  <c r="K24" i="7"/>
  <c r="C5" i="8"/>
  <c r="I57" i="8"/>
  <c r="I127" i="8"/>
  <c r="I59" i="8"/>
  <c r="I54" i="8"/>
  <c r="I24" i="8"/>
  <c r="E84" i="12"/>
  <c r="D84" i="12"/>
  <c r="C84" i="12"/>
  <c r="E84" i="11"/>
  <c r="G84" i="11"/>
  <c r="C84" i="11"/>
  <c r="D84" i="11"/>
  <c r="H84" i="11"/>
  <c r="F84" i="11"/>
  <c r="K19" i="4"/>
  <c r="M21" i="4"/>
  <c r="M22" i="4" s="1"/>
  <c r="N26" i="4"/>
  <c r="L21" i="4" s="1"/>
  <c r="L22" i="4" s="1"/>
  <c r="D5" i="12"/>
  <c r="D13" i="12" s="1"/>
  <c r="E5" i="11"/>
  <c r="D5" i="9"/>
  <c r="D13" i="9" s="1"/>
  <c r="E5" i="8"/>
  <c r="D5" i="6"/>
  <c r="D13" i="6" s="1"/>
  <c r="E12" i="1"/>
  <c r="J94" i="2"/>
  <c r="J107" i="2"/>
  <c r="J108" i="2"/>
  <c r="J109" i="2"/>
  <c r="J110" i="2"/>
  <c r="J111" i="2"/>
  <c r="J112" i="2"/>
  <c r="G6" i="3"/>
  <c r="G19" i="3" s="1"/>
  <c r="K19" i="3"/>
  <c r="O19" i="3"/>
  <c r="S19" i="3"/>
  <c r="G15" i="3"/>
  <c r="Y38" i="3"/>
  <c r="G27" i="3"/>
  <c r="G45" i="3"/>
  <c r="O45" i="3"/>
  <c r="G19" i="4"/>
  <c r="H123" i="5"/>
  <c r="H59" i="5"/>
  <c r="H57" i="5"/>
  <c r="H33" i="5"/>
  <c r="H29" i="5"/>
  <c r="O15" i="7"/>
  <c r="E31" i="3"/>
  <c r="C39" i="11"/>
  <c r="I39" i="11"/>
  <c r="C39" i="9"/>
  <c r="D39" i="11"/>
  <c r="C39" i="8"/>
  <c r="H39" i="11"/>
  <c r="I39" i="8"/>
  <c r="D39" i="8"/>
  <c r="J39" i="8"/>
  <c r="C39" i="6"/>
  <c r="H39" i="5"/>
  <c r="D39" i="5"/>
  <c r="C39" i="5"/>
  <c r="I89" i="11"/>
  <c r="J89" i="8"/>
  <c r="I89" i="5"/>
  <c r="E38" i="3"/>
  <c r="U38" i="3"/>
  <c r="O11" i="7"/>
  <c r="O22" i="7" s="1"/>
  <c r="E27" i="3"/>
  <c r="E5" i="12"/>
  <c r="E13" i="12" s="1"/>
  <c r="G5" i="11"/>
  <c r="E5" i="9"/>
  <c r="E13" i="9" s="1"/>
  <c r="G5" i="5"/>
  <c r="F71" i="1"/>
  <c r="F84" i="1" s="1"/>
  <c r="D85" i="1" s="1"/>
  <c r="G10" i="3"/>
  <c r="K38" i="3"/>
  <c r="S38" i="3"/>
  <c r="Y45" i="3"/>
  <c r="D170" i="10"/>
  <c r="D182" i="7"/>
  <c r="D177" i="4"/>
  <c r="F19" i="4"/>
  <c r="I39" i="5"/>
  <c r="E5" i="6"/>
  <c r="E13" i="6" s="1"/>
  <c r="B42" i="6"/>
  <c r="E22" i="7"/>
  <c r="O5" i="7"/>
  <c r="G21" i="3"/>
  <c r="G38" i="3" s="1"/>
  <c r="O14" i="7"/>
  <c r="E30" i="3"/>
  <c r="B69" i="6"/>
  <c r="B77" i="6" s="1"/>
  <c r="J27" i="7"/>
  <c r="F27" i="7"/>
  <c r="D27" i="7"/>
  <c r="I27" i="7"/>
  <c r="G27" i="7"/>
  <c r="H19" i="4"/>
  <c r="B25" i="5"/>
  <c r="B46" i="5" s="1"/>
  <c r="B60" i="5"/>
  <c r="B55" i="5"/>
  <c r="D22" i="7"/>
  <c r="F24" i="7"/>
  <c r="B203" i="8"/>
  <c r="B200" i="8"/>
  <c r="H25" i="8"/>
  <c r="H46" i="8" s="1"/>
  <c r="B154" i="5"/>
  <c r="B166" i="5"/>
  <c r="B178" i="5"/>
  <c r="B184" i="5"/>
  <c r="B60" i="6"/>
  <c r="O12" i="7"/>
  <c r="O16" i="7"/>
  <c r="G24" i="7"/>
  <c r="Q24" i="7"/>
  <c r="N31" i="7"/>
  <c r="L26" i="7" s="1"/>
  <c r="L27" i="7" s="1"/>
  <c r="N26" i="7"/>
  <c r="N27" i="7" s="1"/>
  <c r="B58" i="8"/>
  <c r="B69" i="5"/>
  <c r="B77" i="5" s="1"/>
  <c r="B25" i="6"/>
  <c r="B46" i="6" s="1"/>
  <c r="H22" i="7"/>
  <c r="G23" i="8"/>
  <c r="G25" i="8" s="1"/>
  <c r="G46" i="8" s="1"/>
  <c r="I23" i="8"/>
  <c r="I25" i="8" s="1"/>
  <c r="I46" i="8" s="1"/>
  <c r="G24" i="8"/>
  <c r="H57" i="8"/>
  <c r="H24" i="8"/>
  <c r="H28" i="8"/>
  <c r="H30" i="8"/>
  <c r="H32" i="8"/>
  <c r="H34" i="8"/>
  <c r="G127" i="8"/>
  <c r="G59" i="8"/>
  <c r="G54" i="8"/>
  <c r="G57" i="8"/>
  <c r="G32" i="8"/>
  <c r="G28" i="8"/>
  <c r="H54" i="8"/>
  <c r="H59" i="8"/>
  <c r="H127" i="8"/>
  <c r="B60" i="9"/>
  <c r="B47" i="8"/>
  <c r="D10" i="10"/>
  <c r="O4" i="10"/>
  <c r="O10" i="10" s="1"/>
  <c r="I12" i="10"/>
  <c r="E12" i="10"/>
  <c r="H55" i="11"/>
  <c r="B60" i="11"/>
  <c r="B155" i="8"/>
  <c r="B161" i="8"/>
  <c r="B167" i="8"/>
  <c r="B173" i="8"/>
  <c r="B55" i="8"/>
  <c r="B60" i="8" s="1"/>
  <c r="B179" i="8"/>
  <c r="B185" i="8"/>
  <c r="B188" i="8"/>
  <c r="B191" i="8"/>
  <c r="B197" i="8"/>
  <c r="N19" i="10"/>
  <c r="L14" i="10" s="1"/>
  <c r="L15" i="10" s="1"/>
  <c r="N14" i="10"/>
  <c r="N15" i="10" s="1"/>
  <c r="M14" i="10"/>
  <c r="M15" i="10" s="1"/>
  <c r="H15" i="10"/>
  <c r="H58" i="11"/>
  <c r="B69" i="9"/>
  <c r="B77" i="9" s="1"/>
  <c r="H123" i="11"/>
  <c r="H59" i="11"/>
  <c r="H57" i="11"/>
  <c r="H54" i="11"/>
  <c r="H24" i="11"/>
  <c r="F15" i="10"/>
  <c r="J15" i="10"/>
  <c r="Q11" i="10"/>
  <c r="B148" i="11" s="1"/>
  <c r="H23" i="11"/>
  <c r="G12" i="10"/>
  <c r="K12" i="10"/>
  <c r="B69" i="12"/>
  <c r="B77" i="12" s="1"/>
  <c r="B160" i="11"/>
  <c r="B181" i="11"/>
  <c r="B60" i="12"/>
  <c r="B25" i="12"/>
  <c r="B46" i="12" s="1"/>
  <c r="F84" i="5" l="1"/>
  <c r="D84" i="5"/>
  <c r="I113" i="2"/>
  <c r="I119" i="2" s="1"/>
  <c r="I84" i="5" s="1"/>
  <c r="I91" i="5" s="1"/>
  <c r="I127" i="5" s="1"/>
  <c r="I98" i="2"/>
  <c r="I99" i="2" s="1"/>
  <c r="I100" i="2" s="1"/>
  <c r="J98" i="2"/>
  <c r="J99" i="2" s="1"/>
  <c r="J100" i="2" s="1"/>
  <c r="G86" i="8" s="1"/>
  <c r="D85" i="11"/>
  <c r="H30" i="5"/>
  <c r="H28" i="5"/>
  <c r="I28" i="8"/>
  <c r="H34" i="5"/>
  <c r="I32" i="8"/>
  <c r="B38" i="12"/>
  <c r="B38" i="11"/>
  <c r="E86" i="8"/>
  <c r="D12" i="10"/>
  <c r="O12" i="10" s="1"/>
  <c r="D13" i="10" s="1"/>
  <c r="E14" i="6"/>
  <c r="E19" i="6" s="1"/>
  <c r="B38" i="9"/>
  <c r="B38" i="8"/>
  <c r="D14" i="5"/>
  <c r="C13" i="5"/>
  <c r="C14" i="5"/>
  <c r="D13" i="5"/>
  <c r="C14" i="12"/>
  <c r="C19" i="12" s="1"/>
  <c r="G42" i="11"/>
  <c r="C42" i="11"/>
  <c r="F42" i="11"/>
  <c r="I42" i="11"/>
  <c r="E42" i="11"/>
  <c r="H42" i="11"/>
  <c r="D42" i="11"/>
  <c r="C87" i="12"/>
  <c r="C87" i="9"/>
  <c r="C87" i="6"/>
  <c r="D87" i="12"/>
  <c r="E87" i="9"/>
  <c r="D87" i="9"/>
  <c r="E87" i="12"/>
  <c r="D87" i="6"/>
  <c r="E87" i="6"/>
  <c r="B172" i="11"/>
  <c r="H25" i="11"/>
  <c r="G29" i="8"/>
  <c r="G33" i="8"/>
  <c r="H33" i="8"/>
  <c r="H29" i="8"/>
  <c r="H24" i="7"/>
  <c r="H25" i="7"/>
  <c r="I55" i="5"/>
  <c r="H55" i="5"/>
  <c r="E14" i="9"/>
  <c r="E19" i="9" s="1"/>
  <c r="D14" i="6"/>
  <c r="D19" i="6" s="1"/>
  <c r="D14" i="12"/>
  <c r="D19" i="12" s="1"/>
  <c r="I29" i="8"/>
  <c r="I33" i="8"/>
  <c r="B69" i="11"/>
  <c r="B77" i="11" s="1"/>
  <c r="C14" i="6"/>
  <c r="C19" i="6"/>
  <c r="O4" i="4"/>
  <c r="O17" i="4" s="1"/>
  <c r="D17" i="4"/>
  <c r="E6" i="3"/>
  <c r="H42" i="5"/>
  <c r="D42" i="5"/>
  <c r="G42" i="5"/>
  <c r="C42" i="5"/>
  <c r="F42" i="5"/>
  <c r="I42" i="5"/>
  <c r="E42" i="5"/>
  <c r="D42" i="12"/>
  <c r="C42" i="12"/>
  <c r="E42" i="12"/>
  <c r="K100" i="2"/>
  <c r="E84" i="9"/>
  <c r="C84" i="9"/>
  <c r="D84" i="9"/>
  <c r="I84" i="8"/>
  <c r="E84" i="8"/>
  <c r="H84" i="8"/>
  <c r="D84" i="8"/>
  <c r="G84" i="8"/>
  <c r="C84" i="8"/>
  <c r="F84" i="8"/>
  <c r="F19" i="5"/>
  <c r="H58" i="8"/>
  <c r="G58" i="8"/>
  <c r="I58" i="8"/>
  <c r="G13" i="5"/>
  <c r="G19" i="5" s="1"/>
  <c r="G14" i="5"/>
  <c r="F13" i="11"/>
  <c r="F14" i="11"/>
  <c r="E13" i="11"/>
  <c r="E19" i="11" s="1"/>
  <c r="E14" i="11"/>
  <c r="G30" i="8"/>
  <c r="G36" i="8" s="1"/>
  <c r="G34" i="8"/>
  <c r="E25" i="7"/>
  <c r="E24" i="7"/>
  <c r="G14" i="11"/>
  <c r="G13" i="11"/>
  <c r="J106" i="2"/>
  <c r="J118" i="2" s="1"/>
  <c r="J84" i="8" s="1"/>
  <c r="J91" i="8" s="1"/>
  <c r="J131" i="8" s="1"/>
  <c r="E14" i="8"/>
  <c r="E13" i="8"/>
  <c r="F14" i="8"/>
  <c r="F13" i="8"/>
  <c r="I30" i="8"/>
  <c r="I34" i="8"/>
  <c r="I106" i="2"/>
  <c r="I118" i="2" s="1"/>
  <c r="C14" i="9"/>
  <c r="C19" i="9" s="1"/>
  <c r="E19" i="4"/>
  <c r="J42" i="8"/>
  <c r="F42" i="8"/>
  <c r="H42" i="8"/>
  <c r="D42" i="8"/>
  <c r="E42" i="8"/>
  <c r="C42" i="8"/>
  <c r="I42" i="8"/>
  <c r="G42" i="8"/>
  <c r="E85" i="12"/>
  <c r="E88" i="12" s="1"/>
  <c r="E122" i="12" s="1"/>
  <c r="D85" i="12"/>
  <c r="D88" i="12" s="1"/>
  <c r="D122" i="12" s="1"/>
  <c r="E85" i="9"/>
  <c r="C85" i="9"/>
  <c r="C85" i="12"/>
  <c r="C88" i="12" s="1"/>
  <c r="C122" i="12" s="1"/>
  <c r="C85" i="6"/>
  <c r="E85" i="6"/>
  <c r="D85" i="9"/>
  <c r="D85" i="6"/>
  <c r="I91" i="11"/>
  <c r="I127" i="11" s="1"/>
  <c r="I55" i="8"/>
  <c r="H55" i="8"/>
  <c r="G55" i="8"/>
  <c r="G60" i="8" s="1"/>
  <c r="G129" i="8" s="1"/>
  <c r="B193" i="11"/>
  <c r="B196" i="11"/>
  <c r="B184" i="11"/>
  <c r="B178" i="11"/>
  <c r="B166" i="11"/>
  <c r="B154" i="11"/>
  <c r="G31" i="8"/>
  <c r="G35" i="8"/>
  <c r="G56" i="8" s="1"/>
  <c r="H35" i="8"/>
  <c r="H56" i="8" s="1"/>
  <c r="H60" i="8" s="1"/>
  <c r="H129" i="8" s="1"/>
  <c r="H31" i="8"/>
  <c r="H36" i="8" s="1"/>
  <c r="D24" i="7"/>
  <c r="O24" i="7" s="1"/>
  <c r="D25" i="7" s="1"/>
  <c r="E42" i="6"/>
  <c r="C42" i="6"/>
  <c r="D42" i="6"/>
  <c r="B38" i="6"/>
  <c r="B38" i="5"/>
  <c r="E14" i="12"/>
  <c r="E19" i="12" s="1"/>
  <c r="D19" i="9"/>
  <c r="D14" i="9"/>
  <c r="B69" i="8"/>
  <c r="B77" i="8" s="1"/>
  <c r="I31" i="8"/>
  <c r="I36" i="8" s="1"/>
  <c r="I35" i="8"/>
  <c r="I56" i="8" s="1"/>
  <c r="D14" i="8"/>
  <c r="D13" i="8"/>
  <c r="D19" i="8" s="1"/>
  <c r="C14" i="8"/>
  <c r="C13" i="8"/>
  <c r="H46" i="5"/>
  <c r="H35" i="5"/>
  <c r="H56" i="5" s="1"/>
  <c r="I5" i="11"/>
  <c r="I13" i="11" s="1"/>
  <c r="I19" i="11" s="1"/>
  <c r="J5" i="8"/>
  <c r="J13" i="8" s="1"/>
  <c r="J19" i="8" s="1"/>
  <c r="J55" i="8" s="1"/>
  <c r="I5" i="5"/>
  <c r="I13" i="5" s="1"/>
  <c r="I19" i="5" s="1"/>
  <c r="C14" i="11"/>
  <c r="D13" i="11"/>
  <c r="D19" i="11" s="1"/>
  <c r="C13" i="11"/>
  <c r="D14" i="11"/>
  <c r="E42" i="9"/>
  <c r="C42" i="9"/>
  <c r="D42" i="9"/>
  <c r="D91" i="5"/>
  <c r="D127" i="5" s="1"/>
  <c r="F87" i="11"/>
  <c r="G87" i="11"/>
  <c r="E87" i="11"/>
  <c r="E87" i="8"/>
  <c r="H87" i="8"/>
  <c r="G87" i="8"/>
  <c r="G87" i="5"/>
  <c r="F87" i="8"/>
  <c r="E87" i="5"/>
  <c r="F87" i="5"/>
  <c r="D86" i="5"/>
  <c r="F86" i="5"/>
  <c r="F91" i="5" s="1"/>
  <c r="F127" i="5" s="1"/>
  <c r="E86" i="5"/>
  <c r="E91" i="5" s="1"/>
  <c r="E127" i="5" s="1"/>
  <c r="C86" i="5"/>
  <c r="C91" i="5" s="1"/>
  <c r="C127" i="5" s="1"/>
  <c r="G86" i="5"/>
  <c r="E19" i="5"/>
  <c r="F86" i="8" l="1"/>
  <c r="D86" i="8"/>
  <c r="C86" i="8"/>
  <c r="H86" i="8"/>
  <c r="H91" i="8" s="1"/>
  <c r="H131" i="8" s="1"/>
  <c r="G91" i="8"/>
  <c r="G131" i="8" s="1"/>
  <c r="C19" i="5"/>
  <c r="C55" i="5" s="1"/>
  <c r="J58" i="8"/>
  <c r="C19" i="11"/>
  <c r="C59" i="11" s="1"/>
  <c r="C19" i="8"/>
  <c r="C58" i="8" s="1"/>
  <c r="I60" i="8"/>
  <c r="I129" i="8" s="1"/>
  <c r="D19" i="5"/>
  <c r="H47" i="8"/>
  <c r="D59" i="12"/>
  <c r="D57" i="12"/>
  <c r="D118" i="12"/>
  <c r="D54" i="12"/>
  <c r="D23" i="12"/>
  <c r="D24" i="12"/>
  <c r="D55" i="12"/>
  <c r="D58" i="12"/>
  <c r="I47" i="8"/>
  <c r="E118" i="12"/>
  <c r="E54" i="12"/>
  <c r="E24" i="12"/>
  <c r="E57" i="12"/>
  <c r="E58" i="12"/>
  <c r="E59" i="12"/>
  <c r="E23" i="12"/>
  <c r="E55" i="12"/>
  <c r="E59" i="6"/>
  <c r="E57" i="6"/>
  <c r="E118" i="6"/>
  <c r="E54" i="6"/>
  <c r="E23" i="6"/>
  <c r="E24" i="6"/>
  <c r="E58" i="6"/>
  <c r="E55" i="6"/>
  <c r="G47" i="8"/>
  <c r="E59" i="9"/>
  <c r="E57" i="9"/>
  <c r="E122" i="9"/>
  <c r="E54" i="9"/>
  <c r="E24" i="9"/>
  <c r="E55" i="9"/>
  <c r="E23" i="9"/>
  <c r="E58" i="9"/>
  <c r="C118" i="12"/>
  <c r="C54" i="12"/>
  <c r="C24" i="12"/>
  <c r="C59" i="12"/>
  <c r="C57" i="12"/>
  <c r="C58" i="12"/>
  <c r="C23" i="12"/>
  <c r="C25" i="12" s="1"/>
  <c r="C46" i="12" s="1"/>
  <c r="C55" i="12"/>
  <c r="D55" i="8"/>
  <c r="C59" i="9"/>
  <c r="C57" i="9"/>
  <c r="C24" i="9"/>
  <c r="C23" i="9"/>
  <c r="C54" i="9"/>
  <c r="C122" i="9"/>
  <c r="C58" i="9"/>
  <c r="C55" i="9"/>
  <c r="H84" i="5"/>
  <c r="D84" i="6"/>
  <c r="D88" i="6" s="1"/>
  <c r="D122" i="6" s="1"/>
  <c r="G84" i="5"/>
  <c r="G91" i="5" s="1"/>
  <c r="G127" i="5" s="1"/>
  <c r="E84" i="6"/>
  <c r="E88" i="6" s="1"/>
  <c r="E122" i="6" s="1"/>
  <c r="C84" i="6"/>
  <c r="C88" i="6" s="1"/>
  <c r="C122" i="6" s="1"/>
  <c r="C118" i="6"/>
  <c r="C59" i="6"/>
  <c r="C57" i="6"/>
  <c r="C24" i="6"/>
  <c r="C55" i="6"/>
  <c r="C54" i="6"/>
  <c r="C23" i="6"/>
  <c r="C58" i="6"/>
  <c r="G38" i="5"/>
  <c r="G44" i="5" s="1"/>
  <c r="G48" i="5" s="1"/>
  <c r="C38" i="5"/>
  <c r="C44" i="5" s="1"/>
  <c r="C48" i="5" s="1"/>
  <c r="F38" i="5"/>
  <c r="F44" i="5" s="1"/>
  <c r="F48" i="5" s="1"/>
  <c r="I38" i="5"/>
  <c r="I44" i="5" s="1"/>
  <c r="I48" i="5" s="1"/>
  <c r="E38" i="5"/>
  <c r="E44" i="5" s="1"/>
  <c r="E48" i="5" s="1"/>
  <c r="D38" i="5"/>
  <c r="D44" i="5" s="1"/>
  <c r="D48" i="5" s="1"/>
  <c r="H38" i="5"/>
  <c r="H44" i="5" s="1"/>
  <c r="H48" i="5" s="1"/>
  <c r="E19" i="8"/>
  <c r="G19" i="11"/>
  <c r="F19" i="11"/>
  <c r="F123" i="5"/>
  <c r="F59" i="5"/>
  <c r="F54" i="5"/>
  <c r="F24" i="5"/>
  <c r="F57" i="5"/>
  <c r="F58" i="5"/>
  <c r="F23" i="5"/>
  <c r="D91" i="8"/>
  <c r="D131" i="8" s="1"/>
  <c r="D88" i="9"/>
  <c r="D126" i="9" s="1"/>
  <c r="E86" i="11"/>
  <c r="E91" i="11" s="1"/>
  <c r="E127" i="11" s="1"/>
  <c r="G86" i="11"/>
  <c r="G91" i="11" s="1"/>
  <c r="G127" i="11" s="1"/>
  <c r="C86" i="11"/>
  <c r="C91" i="11" s="1"/>
  <c r="C127" i="11" s="1"/>
  <c r="F86" i="11"/>
  <c r="F91" i="11" s="1"/>
  <c r="F127" i="11" s="1"/>
  <c r="D86" i="11"/>
  <c r="D91" i="11" s="1"/>
  <c r="D127" i="11" s="1"/>
  <c r="E19" i="3"/>
  <c r="D55" i="5"/>
  <c r="F55" i="5"/>
  <c r="D38" i="9"/>
  <c r="D44" i="9" s="1"/>
  <c r="D48" i="9" s="1"/>
  <c r="C38" i="9"/>
  <c r="C44" i="9" s="1"/>
  <c r="C48" i="9" s="1"/>
  <c r="E38" i="9"/>
  <c r="E44" i="9" s="1"/>
  <c r="E48" i="9" s="1"/>
  <c r="I57" i="5"/>
  <c r="I123" i="5"/>
  <c r="I59" i="5"/>
  <c r="I54" i="5"/>
  <c r="I24" i="5"/>
  <c r="I23" i="5"/>
  <c r="I25" i="5" s="1"/>
  <c r="I46" i="5" s="1"/>
  <c r="I58" i="5"/>
  <c r="C54" i="8"/>
  <c r="D54" i="9"/>
  <c r="D122" i="9"/>
  <c r="D59" i="9"/>
  <c r="D57" i="9"/>
  <c r="D24" i="9"/>
  <c r="D23" i="9"/>
  <c r="D55" i="9"/>
  <c r="D58" i="9"/>
  <c r="D38" i="6"/>
  <c r="D44" i="6" s="1"/>
  <c r="D48" i="6" s="1"/>
  <c r="E38" i="6"/>
  <c r="E44" i="6" s="1"/>
  <c r="E48" i="6" s="1"/>
  <c r="C38" i="6"/>
  <c r="C44" i="6" s="1"/>
  <c r="C48" i="6" s="1"/>
  <c r="F91" i="8"/>
  <c r="F131" i="8" s="1"/>
  <c r="C88" i="9"/>
  <c r="C126" i="9" s="1"/>
  <c r="D20" i="4"/>
  <c r="D19" i="4"/>
  <c r="O19" i="4" s="1"/>
  <c r="H60" i="5"/>
  <c r="H125" i="5" s="1"/>
  <c r="C54" i="5"/>
  <c r="C24" i="5"/>
  <c r="C123" i="5"/>
  <c r="C59" i="5"/>
  <c r="C57" i="5"/>
  <c r="C58" i="5"/>
  <c r="C23" i="5"/>
  <c r="F38" i="11"/>
  <c r="F44" i="11" s="1"/>
  <c r="F48" i="11" s="1"/>
  <c r="I38" i="11"/>
  <c r="I44" i="11" s="1"/>
  <c r="I48" i="11" s="1"/>
  <c r="E38" i="11"/>
  <c r="E44" i="11" s="1"/>
  <c r="E48" i="11" s="1"/>
  <c r="H38" i="11"/>
  <c r="H44" i="11" s="1"/>
  <c r="H48" i="11" s="1"/>
  <c r="D38" i="11"/>
  <c r="D44" i="11" s="1"/>
  <c r="D48" i="11" s="1"/>
  <c r="G38" i="11"/>
  <c r="G44" i="11" s="1"/>
  <c r="G48" i="11" s="1"/>
  <c r="C38" i="11"/>
  <c r="C44" i="11" s="1"/>
  <c r="C48" i="11" s="1"/>
  <c r="E123" i="5"/>
  <c r="E59" i="5"/>
  <c r="E57" i="5"/>
  <c r="E54" i="5"/>
  <c r="E24" i="5"/>
  <c r="E58" i="5"/>
  <c r="E23" i="5"/>
  <c r="D123" i="11"/>
  <c r="D59" i="11"/>
  <c r="D54" i="11"/>
  <c r="D24" i="11"/>
  <c r="D57" i="11"/>
  <c r="D58" i="11"/>
  <c r="D55" i="11"/>
  <c r="D23" i="11"/>
  <c r="D25" i="11" s="1"/>
  <c r="D46" i="11" s="1"/>
  <c r="I123" i="11"/>
  <c r="I59" i="11"/>
  <c r="I57" i="11"/>
  <c r="I54" i="11"/>
  <c r="I24" i="11"/>
  <c r="I23" i="11"/>
  <c r="I25" i="11" s="1"/>
  <c r="I46" i="11" s="1"/>
  <c r="I55" i="11"/>
  <c r="I58" i="11"/>
  <c r="D57" i="8"/>
  <c r="D24" i="8"/>
  <c r="D127" i="8"/>
  <c r="D59" i="8"/>
  <c r="D54" i="8"/>
  <c r="D23" i="8"/>
  <c r="D25" i="8" s="1"/>
  <c r="D46" i="8" s="1"/>
  <c r="D33" i="8"/>
  <c r="H36" i="5"/>
  <c r="D54" i="6"/>
  <c r="D24" i="6"/>
  <c r="D33" i="6"/>
  <c r="D118" i="6"/>
  <c r="D59" i="6"/>
  <c r="D57" i="6"/>
  <c r="D58" i="6"/>
  <c r="D23" i="6"/>
  <c r="D25" i="6" s="1"/>
  <c r="D46" i="6" s="1"/>
  <c r="D55" i="6"/>
  <c r="H46" i="11"/>
  <c r="H32" i="11"/>
  <c r="H29" i="11"/>
  <c r="H28" i="11"/>
  <c r="H30" i="11"/>
  <c r="H31" i="11"/>
  <c r="H33" i="11"/>
  <c r="H34" i="11"/>
  <c r="H35" i="11"/>
  <c r="H56" i="11" s="1"/>
  <c r="H60" i="11" s="1"/>
  <c r="H125" i="11" s="1"/>
  <c r="D123" i="5"/>
  <c r="D59" i="5"/>
  <c r="D57" i="5"/>
  <c r="D24" i="5"/>
  <c r="D23" i="5"/>
  <c r="D54" i="5"/>
  <c r="D58" i="5"/>
  <c r="G38" i="8"/>
  <c r="G44" i="8" s="1"/>
  <c r="G48" i="8" s="1"/>
  <c r="C38" i="8"/>
  <c r="C44" i="8" s="1"/>
  <c r="C48" i="8" s="1"/>
  <c r="I38" i="8"/>
  <c r="I44" i="8" s="1"/>
  <c r="I48" i="8" s="1"/>
  <c r="E38" i="8"/>
  <c r="E44" i="8" s="1"/>
  <c r="E48" i="8" s="1"/>
  <c r="F38" i="8"/>
  <c r="F44" i="8" s="1"/>
  <c r="F48" i="8" s="1"/>
  <c r="D38" i="8"/>
  <c r="D44" i="8" s="1"/>
  <c r="D48" i="8" s="1"/>
  <c r="J38" i="8"/>
  <c r="J44" i="8" s="1"/>
  <c r="J48" i="8" s="1"/>
  <c r="H38" i="8"/>
  <c r="H44" i="8" s="1"/>
  <c r="H48" i="8" s="1"/>
  <c r="C123" i="11"/>
  <c r="C54" i="11"/>
  <c r="C23" i="11"/>
  <c r="C55" i="11"/>
  <c r="J24" i="8"/>
  <c r="J127" i="8"/>
  <c r="J59" i="8"/>
  <c r="J54" i="8"/>
  <c r="J57" i="8"/>
  <c r="J23" i="8"/>
  <c r="N25" i="7"/>
  <c r="J25" i="7"/>
  <c r="M25" i="7"/>
  <c r="L25" i="7"/>
  <c r="F25" i="7"/>
  <c r="O25" i="7" s="1"/>
  <c r="G25" i="7"/>
  <c r="K25" i="7"/>
  <c r="I25" i="7"/>
  <c r="F19" i="8"/>
  <c r="E123" i="11"/>
  <c r="E59" i="11"/>
  <c r="E54" i="11"/>
  <c r="E24" i="11"/>
  <c r="E23" i="11"/>
  <c r="E57" i="11"/>
  <c r="E55" i="11"/>
  <c r="E58" i="11"/>
  <c r="G54" i="5"/>
  <c r="G24" i="5"/>
  <c r="G57" i="5"/>
  <c r="G59" i="5"/>
  <c r="G123" i="5"/>
  <c r="G58" i="5"/>
  <c r="G23" i="5"/>
  <c r="D58" i="8"/>
  <c r="C91" i="8"/>
  <c r="C131" i="8" s="1"/>
  <c r="E91" i="8"/>
  <c r="E131" i="8" s="1"/>
  <c r="E88" i="9"/>
  <c r="E126" i="9" s="1"/>
  <c r="E55" i="5"/>
  <c r="G55" i="5"/>
  <c r="N13" i="10"/>
  <c r="J13" i="10"/>
  <c r="F13" i="10"/>
  <c r="M13" i="10"/>
  <c r="L13" i="10"/>
  <c r="H13" i="10"/>
  <c r="E13" i="10"/>
  <c r="I13" i="10"/>
  <c r="O13" i="10" s="1"/>
  <c r="G13" i="10"/>
  <c r="K13" i="10"/>
  <c r="C38" i="12"/>
  <c r="C44" i="12" s="1"/>
  <c r="C48" i="12" s="1"/>
  <c r="E38" i="12"/>
  <c r="E44" i="12" s="1"/>
  <c r="E48" i="12" s="1"/>
  <c r="D38" i="12"/>
  <c r="D44" i="12" s="1"/>
  <c r="D48" i="12" s="1"/>
  <c r="I49" i="8" l="1"/>
  <c r="G74" i="8"/>
  <c r="D31" i="8"/>
  <c r="J25" i="8"/>
  <c r="D29" i="8"/>
  <c r="D36" i="8" s="1"/>
  <c r="D35" i="8"/>
  <c r="D56" i="8" s="1"/>
  <c r="D60" i="8" s="1"/>
  <c r="D129" i="8" s="1"/>
  <c r="C55" i="8"/>
  <c r="C23" i="8"/>
  <c r="C59" i="8"/>
  <c r="C58" i="11"/>
  <c r="C57" i="11"/>
  <c r="D28" i="6"/>
  <c r="D30" i="8"/>
  <c r="D28" i="8"/>
  <c r="E25" i="5"/>
  <c r="C25" i="5"/>
  <c r="C30" i="5" s="1"/>
  <c r="C24" i="8"/>
  <c r="C127" i="8"/>
  <c r="I33" i="5"/>
  <c r="C33" i="12"/>
  <c r="G25" i="5"/>
  <c r="E25" i="11"/>
  <c r="E46" i="11" s="1"/>
  <c r="C24" i="11"/>
  <c r="D25" i="5"/>
  <c r="D30" i="6"/>
  <c r="D34" i="8"/>
  <c r="D32" i="8"/>
  <c r="C57" i="8"/>
  <c r="C28" i="12"/>
  <c r="C31" i="12"/>
  <c r="D34" i="11"/>
  <c r="G123" i="11"/>
  <c r="G59" i="11"/>
  <c r="G57" i="11"/>
  <c r="G54" i="11"/>
  <c r="G23" i="11"/>
  <c r="G24" i="11"/>
  <c r="G55" i="11"/>
  <c r="G58" i="11"/>
  <c r="I128" i="8"/>
  <c r="I64" i="8"/>
  <c r="I66" i="8"/>
  <c r="I67" i="8"/>
  <c r="I65" i="8"/>
  <c r="J29" i="8"/>
  <c r="J33" i="8"/>
  <c r="D28" i="5"/>
  <c r="H36" i="11"/>
  <c r="D32" i="6"/>
  <c r="I32" i="11"/>
  <c r="D32" i="11"/>
  <c r="D29" i="11"/>
  <c r="E32" i="5"/>
  <c r="E28" i="5"/>
  <c r="E33" i="5"/>
  <c r="C32" i="5"/>
  <c r="C35" i="5"/>
  <c r="C56" i="5" s="1"/>
  <c r="I30" i="5"/>
  <c r="F25" i="5"/>
  <c r="E57" i="8"/>
  <c r="E127" i="8"/>
  <c r="E59" i="8"/>
  <c r="E54" i="8"/>
  <c r="E24" i="8"/>
  <c r="E23" i="8"/>
  <c r="E58" i="8"/>
  <c r="E55" i="8"/>
  <c r="C25" i="9"/>
  <c r="C30" i="12"/>
  <c r="C32" i="12"/>
  <c r="C35" i="12"/>
  <c r="C56" i="12" s="1"/>
  <c r="C60" i="12" s="1"/>
  <c r="C120" i="12" s="1"/>
  <c r="E25" i="9"/>
  <c r="G49" i="8"/>
  <c r="H74" i="8"/>
  <c r="E29" i="11"/>
  <c r="I28" i="11"/>
  <c r="D35" i="11"/>
  <c r="D56" i="11" s="1"/>
  <c r="D60" i="11" s="1"/>
  <c r="D125" i="11" s="1"/>
  <c r="G75" i="8"/>
  <c r="G79" i="8"/>
  <c r="E33" i="11"/>
  <c r="E28" i="11"/>
  <c r="E31" i="11"/>
  <c r="E30" i="11"/>
  <c r="F24" i="8"/>
  <c r="F127" i="8"/>
  <c r="F59" i="8"/>
  <c r="F54" i="8"/>
  <c r="F23" i="8"/>
  <c r="F57" i="8"/>
  <c r="F58" i="8"/>
  <c r="F55" i="8"/>
  <c r="J30" i="8"/>
  <c r="J34" i="8"/>
  <c r="C25" i="11"/>
  <c r="D29" i="5"/>
  <c r="D31" i="6"/>
  <c r="H47" i="5"/>
  <c r="H49" i="5" s="1"/>
  <c r="H74" i="5"/>
  <c r="I33" i="11"/>
  <c r="I31" i="11"/>
  <c r="D28" i="11"/>
  <c r="D33" i="11"/>
  <c r="E30" i="5"/>
  <c r="C29" i="5"/>
  <c r="C60" i="5"/>
  <c r="C125" i="5" s="1"/>
  <c r="I32" i="5"/>
  <c r="I31" i="5"/>
  <c r="I34" i="5"/>
  <c r="C25" i="6"/>
  <c r="C34" i="12"/>
  <c r="E25" i="6"/>
  <c r="D25" i="12"/>
  <c r="H49" i="8"/>
  <c r="I34" i="11"/>
  <c r="E32" i="11"/>
  <c r="E35" i="11"/>
  <c r="E56" i="11" s="1"/>
  <c r="E60" i="11" s="1"/>
  <c r="E125" i="11" s="1"/>
  <c r="E34" i="11"/>
  <c r="J31" i="8"/>
  <c r="J35" i="8"/>
  <c r="J56" i="8" s="1"/>
  <c r="J60" i="8" s="1"/>
  <c r="J129" i="8" s="1"/>
  <c r="D33" i="5"/>
  <c r="D34" i="6"/>
  <c r="D29" i="6"/>
  <c r="D35" i="6"/>
  <c r="D56" i="6" s="1"/>
  <c r="D60" i="6" s="1"/>
  <c r="D120" i="6" s="1"/>
  <c r="I29" i="11"/>
  <c r="I35" i="11"/>
  <c r="I56" i="11" s="1"/>
  <c r="I60" i="11" s="1"/>
  <c r="I125" i="11" s="1"/>
  <c r="I30" i="11"/>
  <c r="D31" i="11"/>
  <c r="D30" i="11"/>
  <c r="E31" i="5"/>
  <c r="E34" i="5"/>
  <c r="C33" i="5"/>
  <c r="L20" i="4"/>
  <c r="N20" i="4"/>
  <c r="I20" i="4"/>
  <c r="M20" i="4"/>
  <c r="J20" i="4"/>
  <c r="H20" i="4"/>
  <c r="G20" i="4"/>
  <c r="K20" i="4"/>
  <c r="F20" i="4"/>
  <c r="E20" i="4"/>
  <c r="O20" i="4" s="1"/>
  <c r="D25" i="9"/>
  <c r="I28" i="5"/>
  <c r="I35" i="5"/>
  <c r="I56" i="5" s="1"/>
  <c r="I60" i="5" s="1"/>
  <c r="I125" i="5" s="1"/>
  <c r="I29" i="5"/>
  <c r="F54" i="11"/>
  <c r="F24" i="11"/>
  <c r="F59" i="11"/>
  <c r="F57" i="11"/>
  <c r="F123" i="11"/>
  <c r="F23" i="11"/>
  <c r="F58" i="11"/>
  <c r="F55" i="11"/>
  <c r="C29" i="12"/>
  <c r="C36" i="12" s="1"/>
  <c r="E25" i="12"/>
  <c r="I74" i="8"/>
  <c r="G46" i="5" l="1"/>
  <c r="G32" i="5"/>
  <c r="G35" i="5"/>
  <c r="G56" i="5" s="1"/>
  <c r="G60" i="5" s="1"/>
  <c r="G125" i="5" s="1"/>
  <c r="G28" i="5"/>
  <c r="G30" i="5"/>
  <c r="G31" i="5"/>
  <c r="G33" i="5"/>
  <c r="G29" i="5"/>
  <c r="D46" i="5"/>
  <c r="D30" i="5"/>
  <c r="D36" i="5" s="1"/>
  <c r="D31" i="5"/>
  <c r="D35" i="5"/>
  <c r="D56" i="5" s="1"/>
  <c r="D60" i="5" s="1"/>
  <c r="D125" i="5" s="1"/>
  <c r="C34" i="5"/>
  <c r="D34" i="5"/>
  <c r="G34" i="5"/>
  <c r="E46" i="5"/>
  <c r="E29" i="5"/>
  <c r="E35" i="5"/>
  <c r="E56" i="5" s="1"/>
  <c r="E60" i="5" s="1"/>
  <c r="E125" i="5" s="1"/>
  <c r="C25" i="8"/>
  <c r="J46" i="8"/>
  <c r="J28" i="8"/>
  <c r="J36" i="8" s="1"/>
  <c r="J32" i="8"/>
  <c r="C46" i="5"/>
  <c r="C31" i="5"/>
  <c r="C28" i="5"/>
  <c r="C36" i="5" s="1"/>
  <c r="D36" i="6"/>
  <c r="D74" i="6" s="1"/>
  <c r="D79" i="6" s="1"/>
  <c r="D32" i="5"/>
  <c r="C47" i="12"/>
  <c r="C49" i="12" s="1"/>
  <c r="C74" i="12"/>
  <c r="C79" i="12" s="1"/>
  <c r="E46" i="12"/>
  <c r="E33" i="12"/>
  <c r="E28" i="12"/>
  <c r="E29" i="12"/>
  <c r="E35" i="12"/>
  <c r="E56" i="12" s="1"/>
  <c r="E60" i="12" s="1"/>
  <c r="E120" i="12" s="1"/>
  <c r="E34" i="12"/>
  <c r="E31" i="12"/>
  <c r="E30" i="12"/>
  <c r="E32" i="12"/>
  <c r="F25" i="11"/>
  <c r="I36" i="5"/>
  <c r="D46" i="9"/>
  <c r="D28" i="9"/>
  <c r="D29" i="9"/>
  <c r="D34" i="9"/>
  <c r="D30" i="9"/>
  <c r="D33" i="9"/>
  <c r="D35" i="9"/>
  <c r="D56" i="9" s="1"/>
  <c r="D60" i="9" s="1"/>
  <c r="D124" i="9" s="1"/>
  <c r="D31" i="9"/>
  <c r="D32" i="9"/>
  <c r="F25" i="8"/>
  <c r="H75" i="8"/>
  <c r="H79" i="8"/>
  <c r="E25" i="8"/>
  <c r="H47" i="11"/>
  <c r="H49" i="11" s="1"/>
  <c r="H74" i="11"/>
  <c r="E46" i="6"/>
  <c r="E28" i="6"/>
  <c r="E34" i="6"/>
  <c r="E33" i="6"/>
  <c r="E35" i="6"/>
  <c r="E56" i="6" s="1"/>
  <c r="E60" i="6" s="1"/>
  <c r="E120" i="6" s="1"/>
  <c r="E29" i="6"/>
  <c r="E32" i="6"/>
  <c r="E30" i="6"/>
  <c r="E31" i="6"/>
  <c r="H124" i="5"/>
  <c r="H66" i="5"/>
  <c r="H64" i="5"/>
  <c r="H67" i="5"/>
  <c r="H65" i="5"/>
  <c r="I36" i="11"/>
  <c r="I79" i="8"/>
  <c r="I75" i="8"/>
  <c r="D46" i="12"/>
  <c r="D32" i="12"/>
  <c r="D30" i="12"/>
  <c r="D31" i="12"/>
  <c r="D28" i="12"/>
  <c r="D36" i="12" s="1"/>
  <c r="D33" i="12"/>
  <c r="D29" i="12"/>
  <c r="D35" i="12"/>
  <c r="D56" i="12" s="1"/>
  <c r="D60" i="12" s="1"/>
  <c r="D120" i="12" s="1"/>
  <c r="D34" i="12"/>
  <c r="C46" i="6"/>
  <c r="C30" i="6"/>
  <c r="C33" i="6"/>
  <c r="C29" i="6"/>
  <c r="C32" i="6"/>
  <c r="C31" i="6"/>
  <c r="C34" i="6"/>
  <c r="C28" i="6"/>
  <c r="C36" i="6" s="1"/>
  <c r="C35" i="6"/>
  <c r="C56" i="6" s="1"/>
  <c r="C60" i="6" s="1"/>
  <c r="C120" i="6" s="1"/>
  <c r="C46" i="11"/>
  <c r="C30" i="11"/>
  <c r="C31" i="11"/>
  <c r="C28" i="11"/>
  <c r="C33" i="11"/>
  <c r="C34" i="11"/>
  <c r="C32" i="11"/>
  <c r="C29" i="11"/>
  <c r="C35" i="11"/>
  <c r="C56" i="11" s="1"/>
  <c r="C60" i="11" s="1"/>
  <c r="C125" i="11" s="1"/>
  <c r="E36" i="11"/>
  <c r="G128" i="8"/>
  <c r="G67" i="8"/>
  <c r="G64" i="8"/>
  <c r="G66" i="8"/>
  <c r="G65" i="8"/>
  <c r="F46" i="5"/>
  <c r="F28" i="5"/>
  <c r="F35" i="5"/>
  <c r="F56" i="5" s="1"/>
  <c r="F60" i="5" s="1"/>
  <c r="F125" i="5" s="1"/>
  <c r="F30" i="5"/>
  <c r="F32" i="5"/>
  <c r="F34" i="5"/>
  <c r="F31" i="5"/>
  <c r="F33" i="5"/>
  <c r="F29" i="5"/>
  <c r="I69" i="8"/>
  <c r="I77" i="8" s="1"/>
  <c r="G25" i="11"/>
  <c r="I88" i="8"/>
  <c r="I91" i="8" s="1"/>
  <c r="I131" i="8" s="1"/>
  <c r="H128" i="8"/>
  <c r="H67" i="8"/>
  <c r="H66" i="8"/>
  <c r="H64" i="8"/>
  <c r="H65" i="8"/>
  <c r="D36" i="11"/>
  <c r="H79" i="5"/>
  <c r="H75" i="5"/>
  <c r="E46" i="9"/>
  <c r="E28" i="9"/>
  <c r="E33" i="9"/>
  <c r="E34" i="9"/>
  <c r="E32" i="9"/>
  <c r="E29" i="9"/>
  <c r="E30" i="9"/>
  <c r="E35" i="9"/>
  <c r="E56" i="9" s="1"/>
  <c r="E60" i="9" s="1"/>
  <c r="E124" i="9" s="1"/>
  <c r="E31" i="9"/>
  <c r="C46" i="9"/>
  <c r="C31" i="9"/>
  <c r="C33" i="9"/>
  <c r="C28" i="9"/>
  <c r="C34" i="9"/>
  <c r="C30" i="9"/>
  <c r="C32" i="9"/>
  <c r="C35" i="9"/>
  <c r="C56" i="9" s="1"/>
  <c r="C60" i="9" s="1"/>
  <c r="C124" i="9" s="1"/>
  <c r="C29" i="9"/>
  <c r="E36" i="5"/>
  <c r="D47" i="8"/>
  <c r="D49" i="8" s="1"/>
  <c r="D74" i="8"/>
  <c r="H69" i="8" l="1"/>
  <c r="H77" i="8" s="1"/>
  <c r="H80" i="8" s="1"/>
  <c r="H130" i="8" s="1"/>
  <c r="C74" i="5"/>
  <c r="C47" i="5"/>
  <c r="C49" i="5" s="1"/>
  <c r="J47" i="8"/>
  <c r="J49" i="8" s="1"/>
  <c r="J66" i="8" s="1"/>
  <c r="J74" i="8"/>
  <c r="J75" i="8" s="1"/>
  <c r="F36" i="5"/>
  <c r="E36" i="6"/>
  <c r="D47" i="6"/>
  <c r="D49" i="6" s="1"/>
  <c r="D119" i="6" s="1"/>
  <c r="E36" i="9"/>
  <c r="E47" i="9" s="1"/>
  <c r="E49" i="9" s="1"/>
  <c r="C46" i="8"/>
  <c r="C31" i="8"/>
  <c r="C28" i="8"/>
  <c r="C34" i="8"/>
  <c r="C33" i="8"/>
  <c r="C35" i="8"/>
  <c r="C56" i="8" s="1"/>
  <c r="C60" i="8" s="1"/>
  <c r="C129" i="8" s="1"/>
  <c r="C32" i="8"/>
  <c r="C29" i="8"/>
  <c r="C30" i="8"/>
  <c r="G36" i="5"/>
  <c r="E74" i="9"/>
  <c r="E79" i="9" s="1"/>
  <c r="F47" i="5"/>
  <c r="F74" i="5"/>
  <c r="D47" i="12"/>
  <c r="D49" i="12" s="1"/>
  <c r="D74" i="12"/>
  <c r="D79" i="12" s="1"/>
  <c r="H88" i="5"/>
  <c r="H91" i="5" s="1"/>
  <c r="H127" i="5" s="1"/>
  <c r="D75" i="8"/>
  <c r="D79" i="8"/>
  <c r="C36" i="9"/>
  <c r="D47" i="11"/>
  <c r="D49" i="11" s="1"/>
  <c r="D74" i="11"/>
  <c r="F49" i="5"/>
  <c r="F46" i="8"/>
  <c r="F34" i="8"/>
  <c r="F30" i="8"/>
  <c r="F33" i="8"/>
  <c r="F29" i="8"/>
  <c r="F35" i="8"/>
  <c r="F56" i="8" s="1"/>
  <c r="F60" i="8" s="1"/>
  <c r="F129" i="8" s="1"/>
  <c r="F32" i="8"/>
  <c r="F28" i="8"/>
  <c r="F31" i="8"/>
  <c r="E36" i="12"/>
  <c r="C124" i="5"/>
  <c r="C65" i="5"/>
  <c r="C64" i="5"/>
  <c r="C67" i="5"/>
  <c r="C66" i="5"/>
  <c r="C119" i="12"/>
  <c r="C67" i="12"/>
  <c r="C64" i="12"/>
  <c r="C66" i="12"/>
  <c r="C65" i="12"/>
  <c r="E47" i="11"/>
  <c r="E49" i="11" s="1"/>
  <c r="E74" i="11"/>
  <c r="C47" i="6"/>
  <c r="C74" i="6"/>
  <c r="C79" i="6" s="1"/>
  <c r="E47" i="6"/>
  <c r="E49" i="6" s="1"/>
  <c r="E74" i="6"/>
  <c r="E79" i="6" s="1"/>
  <c r="H124" i="11"/>
  <c r="H66" i="11"/>
  <c r="H67" i="11"/>
  <c r="H64" i="11"/>
  <c r="H65" i="11"/>
  <c r="I47" i="5"/>
  <c r="I49" i="5" s="1"/>
  <c r="I74" i="5"/>
  <c r="C79" i="5"/>
  <c r="C75" i="5"/>
  <c r="D128" i="8"/>
  <c r="D65" i="8"/>
  <c r="D66" i="8"/>
  <c r="D67" i="8"/>
  <c r="D64" i="8"/>
  <c r="H132" i="8"/>
  <c r="G46" i="11"/>
  <c r="G32" i="11"/>
  <c r="G33" i="11"/>
  <c r="G30" i="11"/>
  <c r="G31" i="11"/>
  <c r="G34" i="11"/>
  <c r="G28" i="11"/>
  <c r="G29" i="11"/>
  <c r="G35" i="11"/>
  <c r="G56" i="11" s="1"/>
  <c r="G60" i="11" s="1"/>
  <c r="G125" i="11" s="1"/>
  <c r="I47" i="11"/>
  <c r="I49" i="11" s="1"/>
  <c r="I74" i="11"/>
  <c r="H69" i="5"/>
  <c r="H77" i="5" s="1"/>
  <c r="H80" i="5" s="1"/>
  <c r="E46" i="8"/>
  <c r="E32" i="8"/>
  <c r="E28" i="8"/>
  <c r="E29" i="8"/>
  <c r="E35" i="8"/>
  <c r="E56" i="8" s="1"/>
  <c r="E60" i="8" s="1"/>
  <c r="E129" i="8" s="1"/>
  <c r="E31" i="8"/>
  <c r="E34" i="8"/>
  <c r="E30" i="8"/>
  <c r="E33" i="8"/>
  <c r="D36" i="9"/>
  <c r="F46" i="11"/>
  <c r="F32" i="11"/>
  <c r="F35" i="11"/>
  <c r="F56" i="11" s="1"/>
  <c r="F60" i="11" s="1"/>
  <c r="F125" i="11" s="1"/>
  <c r="F28" i="11"/>
  <c r="F33" i="11"/>
  <c r="F30" i="11"/>
  <c r="F31" i="11"/>
  <c r="F29" i="11"/>
  <c r="F34" i="11"/>
  <c r="D47" i="5"/>
  <c r="D49" i="5" s="1"/>
  <c r="D74" i="5"/>
  <c r="E47" i="5"/>
  <c r="E49" i="5" s="1"/>
  <c r="E74" i="5"/>
  <c r="H95" i="8"/>
  <c r="I80" i="8"/>
  <c r="G69" i="8"/>
  <c r="G77" i="8" s="1"/>
  <c r="G80" i="8" s="1"/>
  <c r="C36" i="11"/>
  <c r="C49" i="6"/>
  <c r="H79" i="11"/>
  <c r="H75" i="11"/>
  <c r="J65" i="8"/>
  <c r="J67" i="8" l="1"/>
  <c r="D67" i="6"/>
  <c r="J128" i="8"/>
  <c r="D65" i="6"/>
  <c r="J79" i="8"/>
  <c r="G74" i="5"/>
  <c r="G47" i="5"/>
  <c r="G49" i="5" s="1"/>
  <c r="C36" i="8"/>
  <c r="D64" i="6"/>
  <c r="J64" i="8"/>
  <c r="D66" i="6"/>
  <c r="E119" i="6"/>
  <c r="E67" i="6"/>
  <c r="E65" i="6"/>
  <c r="E64" i="6"/>
  <c r="E66" i="6"/>
  <c r="G130" i="8"/>
  <c r="G132" i="8" s="1"/>
  <c r="G95" i="8"/>
  <c r="I75" i="5"/>
  <c r="I79" i="5"/>
  <c r="E79" i="11"/>
  <c r="E75" i="11"/>
  <c r="C69" i="12"/>
  <c r="C77" i="12" s="1"/>
  <c r="C80" i="12" s="1"/>
  <c r="E47" i="12"/>
  <c r="E49" i="12" s="1"/>
  <c r="E74" i="12"/>
  <c r="E79" i="12" s="1"/>
  <c r="D75" i="11"/>
  <c r="D79" i="11"/>
  <c r="C119" i="6"/>
  <c r="C67" i="6"/>
  <c r="C65" i="6"/>
  <c r="C64" i="6"/>
  <c r="C66" i="6"/>
  <c r="I130" i="8"/>
  <c r="I132" i="8" s="1"/>
  <c r="I95" i="8"/>
  <c r="D119" i="12"/>
  <c r="D66" i="12"/>
  <c r="D65" i="12"/>
  <c r="D67" i="12"/>
  <c r="D64" i="12"/>
  <c r="F36" i="11"/>
  <c r="D47" i="9"/>
  <c r="D49" i="9" s="1"/>
  <c r="D74" i="9"/>
  <c r="D79" i="9" s="1"/>
  <c r="H126" i="5"/>
  <c r="H128" i="5" s="1"/>
  <c r="H95" i="5"/>
  <c r="G36" i="11"/>
  <c r="D69" i="8"/>
  <c r="D77" i="8" s="1"/>
  <c r="D80" i="8" s="1"/>
  <c r="I124" i="5"/>
  <c r="I67" i="5"/>
  <c r="I65" i="5"/>
  <c r="I64" i="5"/>
  <c r="I66" i="5"/>
  <c r="E124" i="11"/>
  <c r="E65" i="11"/>
  <c r="E67" i="11"/>
  <c r="E64" i="11"/>
  <c r="E66" i="11"/>
  <c r="F124" i="5"/>
  <c r="F65" i="5"/>
  <c r="F67" i="5"/>
  <c r="F64" i="5"/>
  <c r="F66" i="5"/>
  <c r="D124" i="11"/>
  <c r="D64" i="11"/>
  <c r="D66" i="11"/>
  <c r="D65" i="11"/>
  <c r="D67" i="11"/>
  <c r="E124" i="5"/>
  <c r="E65" i="5"/>
  <c r="E66" i="5"/>
  <c r="E64" i="5"/>
  <c r="E67" i="5"/>
  <c r="C47" i="11"/>
  <c r="C49" i="11" s="1"/>
  <c r="C74" i="11"/>
  <c r="D79" i="5"/>
  <c r="D75" i="5"/>
  <c r="I79" i="11"/>
  <c r="I75" i="11"/>
  <c r="F36" i="8"/>
  <c r="E123" i="9"/>
  <c r="E65" i="9"/>
  <c r="E67" i="9"/>
  <c r="E66" i="9"/>
  <c r="E64" i="9"/>
  <c r="F79" i="5"/>
  <c r="F75" i="5"/>
  <c r="E36" i="8"/>
  <c r="J69" i="8"/>
  <c r="E79" i="5"/>
  <c r="E75" i="5"/>
  <c r="D124" i="5"/>
  <c r="D66" i="5"/>
  <c r="D65" i="5"/>
  <c r="D67" i="5"/>
  <c r="D64" i="5"/>
  <c r="I124" i="11"/>
  <c r="I64" i="11"/>
  <c r="I65" i="11"/>
  <c r="I66" i="11"/>
  <c r="I67" i="11"/>
  <c r="H69" i="11"/>
  <c r="H77" i="11" s="1"/>
  <c r="H80" i="11" s="1"/>
  <c r="H88" i="11"/>
  <c r="H91" i="11" s="1"/>
  <c r="H127" i="11" s="1"/>
  <c r="C69" i="5"/>
  <c r="C77" i="5" s="1"/>
  <c r="C80" i="5" s="1"/>
  <c r="H96" i="8"/>
  <c r="H111" i="8" s="1"/>
  <c r="C47" i="9"/>
  <c r="C49" i="9" s="1"/>
  <c r="C74" i="9"/>
  <c r="C79" i="9" s="1"/>
  <c r="H114" i="8" l="1"/>
  <c r="H101" i="8"/>
  <c r="H100" i="8"/>
  <c r="H116" i="8" s="1"/>
  <c r="H134" i="8" s="1"/>
  <c r="H140" i="8" s="1"/>
  <c r="D69" i="6"/>
  <c r="D77" i="6" s="1"/>
  <c r="D80" i="6" s="1"/>
  <c r="D121" i="6" s="1"/>
  <c r="D123" i="6" s="1"/>
  <c r="H110" i="8"/>
  <c r="C47" i="8"/>
  <c r="C49" i="8" s="1"/>
  <c r="C74" i="8"/>
  <c r="D69" i="12"/>
  <c r="D77" i="12" s="1"/>
  <c r="D80" i="12" s="1"/>
  <c r="D121" i="12" s="1"/>
  <c r="D123" i="12" s="1"/>
  <c r="E69" i="6"/>
  <c r="E77" i="6" s="1"/>
  <c r="E80" i="6" s="1"/>
  <c r="E121" i="6" s="1"/>
  <c r="E123" i="6" s="1"/>
  <c r="G79" i="5"/>
  <c r="G75" i="5"/>
  <c r="C69" i="6"/>
  <c r="C77" i="6" s="1"/>
  <c r="C80" i="6" s="1"/>
  <c r="C121" i="6" s="1"/>
  <c r="C123" i="6" s="1"/>
  <c r="G124" i="5"/>
  <c r="G64" i="5"/>
  <c r="G67" i="5"/>
  <c r="G65" i="5"/>
  <c r="G66" i="5"/>
  <c r="E69" i="9"/>
  <c r="E77" i="9" s="1"/>
  <c r="E80" i="9" s="1"/>
  <c r="E125" i="9" s="1"/>
  <c r="C126" i="5"/>
  <c r="C128" i="5" s="1"/>
  <c r="C95" i="5"/>
  <c r="E119" i="12"/>
  <c r="E64" i="12"/>
  <c r="E67" i="12"/>
  <c r="E66" i="12"/>
  <c r="E65" i="12"/>
  <c r="H97" i="8"/>
  <c r="H115" i="8" s="1"/>
  <c r="H133" i="8" s="1"/>
  <c r="H139" i="8" s="1"/>
  <c r="H109" i="8"/>
  <c r="H119" i="8" s="1"/>
  <c r="H137" i="8" s="1"/>
  <c r="H143" i="8" s="1"/>
  <c r="H107" i="8"/>
  <c r="F47" i="8"/>
  <c r="F49" i="8" s="1"/>
  <c r="F74" i="8"/>
  <c r="C79" i="11"/>
  <c r="C75" i="11"/>
  <c r="E69" i="11"/>
  <c r="E77" i="11" s="1"/>
  <c r="E80" i="11" s="1"/>
  <c r="I69" i="5"/>
  <c r="I96" i="8"/>
  <c r="I112" i="8" s="1"/>
  <c r="I120" i="8" s="1"/>
  <c r="I138" i="8" s="1"/>
  <c r="I144" i="8" s="1"/>
  <c r="M196" i="8" s="1"/>
  <c r="N196" i="8" s="1"/>
  <c r="C121" i="12"/>
  <c r="C123" i="12" s="1"/>
  <c r="C92" i="12"/>
  <c r="C93" i="12" s="1"/>
  <c r="C99" i="12" s="1"/>
  <c r="G96" i="8"/>
  <c r="G104" i="8" s="1"/>
  <c r="F69" i="5"/>
  <c r="F77" i="5" s="1"/>
  <c r="F80" i="5" s="1"/>
  <c r="G47" i="11"/>
  <c r="G49" i="11" s="1"/>
  <c r="G74" i="11"/>
  <c r="H98" i="8"/>
  <c r="H103" i="8"/>
  <c r="H117" i="8" s="1"/>
  <c r="H135" i="8" s="1"/>
  <c r="H141" i="8" s="1"/>
  <c r="H102" i="8"/>
  <c r="I69" i="11"/>
  <c r="D69" i="5"/>
  <c r="D77" i="5" s="1"/>
  <c r="D80" i="5" s="1"/>
  <c r="J130" i="8"/>
  <c r="J132" i="8" s="1"/>
  <c r="J77" i="8"/>
  <c r="J80" i="8" s="1"/>
  <c r="E47" i="8"/>
  <c r="E49" i="8" s="1"/>
  <c r="E74" i="8"/>
  <c r="E92" i="9"/>
  <c r="H104" i="8"/>
  <c r="C124" i="11"/>
  <c r="C65" i="11"/>
  <c r="C66" i="11"/>
  <c r="C67" i="11"/>
  <c r="C64" i="11"/>
  <c r="D130" i="8"/>
  <c r="D132" i="8" s="1"/>
  <c r="D95" i="8"/>
  <c r="D123" i="9"/>
  <c r="D64" i="9"/>
  <c r="D67" i="9"/>
  <c r="D65" i="9"/>
  <c r="D66" i="9"/>
  <c r="I99" i="8"/>
  <c r="H112" i="8"/>
  <c r="H120" i="8" s="1"/>
  <c r="H138" i="8" s="1"/>
  <c r="H144" i="8" s="1"/>
  <c r="G106" i="8"/>
  <c r="C123" i="9"/>
  <c r="C66" i="9"/>
  <c r="C64" i="9"/>
  <c r="C67" i="9"/>
  <c r="C65" i="9"/>
  <c r="H126" i="11"/>
  <c r="H128" i="11" s="1"/>
  <c r="H95" i="11"/>
  <c r="H96" i="11" s="1"/>
  <c r="H111" i="11" s="1"/>
  <c r="H108" i="8"/>
  <c r="E127" i="9"/>
  <c r="E69" i="5"/>
  <c r="E77" i="5" s="1"/>
  <c r="E80" i="5" s="1"/>
  <c r="D69" i="11"/>
  <c r="D77" i="11" s="1"/>
  <c r="D80" i="11" s="1"/>
  <c r="H105" i="8"/>
  <c r="H96" i="5"/>
  <c r="H98" i="5" s="1"/>
  <c r="F47" i="11"/>
  <c r="F49" i="11" s="1"/>
  <c r="F74" i="11"/>
  <c r="H99" i="8"/>
  <c r="I101" i="8"/>
  <c r="H113" i="8"/>
  <c r="G99" i="8"/>
  <c r="H106" i="8"/>
  <c r="H118" i="8" s="1"/>
  <c r="H136" i="8" s="1"/>
  <c r="H142" i="8" s="1"/>
  <c r="D92" i="6" l="1"/>
  <c r="C92" i="6"/>
  <c r="G113" i="8"/>
  <c r="G100" i="8"/>
  <c r="G116" i="8" s="1"/>
  <c r="G134" i="8" s="1"/>
  <c r="G140" i="8" s="1"/>
  <c r="G112" i="8"/>
  <c r="G120" i="8" s="1"/>
  <c r="G138" i="8" s="1"/>
  <c r="G144" i="8" s="1"/>
  <c r="G110" i="8"/>
  <c r="G102" i="8"/>
  <c r="G101" i="8"/>
  <c r="G111" i="8"/>
  <c r="G118" i="8"/>
  <c r="G136" i="8" s="1"/>
  <c r="G142" i="8" s="1"/>
  <c r="G114" i="8"/>
  <c r="I103" i="8"/>
  <c r="I117" i="8" s="1"/>
  <c r="I135" i="8" s="1"/>
  <c r="I141" i="8" s="1"/>
  <c r="G196" i="8" s="1"/>
  <c r="H196" i="8" s="1"/>
  <c r="I105" i="8"/>
  <c r="I113" i="8"/>
  <c r="H99" i="11"/>
  <c r="I98" i="8"/>
  <c r="G105" i="8"/>
  <c r="I106" i="8"/>
  <c r="I118" i="8" s="1"/>
  <c r="I136" i="8" s="1"/>
  <c r="I142" i="8" s="1"/>
  <c r="I196" i="8" s="1"/>
  <c r="J196" i="8" s="1"/>
  <c r="I104" i="8"/>
  <c r="I97" i="8"/>
  <c r="I115" i="8" s="1"/>
  <c r="I133" i="8" s="1"/>
  <c r="I139" i="8" s="1"/>
  <c r="C196" i="8" s="1"/>
  <c r="D196" i="8" s="1"/>
  <c r="I107" i="8"/>
  <c r="I114" i="8"/>
  <c r="C96" i="5"/>
  <c r="C108" i="5" s="1"/>
  <c r="H101" i="11"/>
  <c r="H98" i="11"/>
  <c r="D69" i="9"/>
  <c r="D77" i="9" s="1"/>
  <c r="D80" i="9" s="1"/>
  <c r="D125" i="9" s="1"/>
  <c r="D127" i="9" s="1"/>
  <c r="C100" i="12"/>
  <c r="H108" i="11"/>
  <c r="H107" i="11"/>
  <c r="D92" i="12"/>
  <c r="C102" i="5"/>
  <c r="C79" i="8"/>
  <c r="C75" i="8"/>
  <c r="H110" i="11"/>
  <c r="H103" i="11"/>
  <c r="H97" i="11"/>
  <c r="H112" i="11" s="1"/>
  <c r="H129" i="11" s="1"/>
  <c r="H134" i="11" s="1"/>
  <c r="C189" i="11" s="1"/>
  <c r="D189" i="11" s="1"/>
  <c r="H105" i="11"/>
  <c r="E92" i="6"/>
  <c r="G69" i="5"/>
  <c r="G77" i="5" s="1"/>
  <c r="G80" i="5" s="1"/>
  <c r="C66" i="8"/>
  <c r="C128" i="8"/>
  <c r="C67" i="8"/>
  <c r="C64" i="8"/>
  <c r="C65" i="8"/>
  <c r="H105" i="5"/>
  <c r="E79" i="8"/>
  <c r="E75" i="8"/>
  <c r="C108" i="12"/>
  <c r="H106" i="5"/>
  <c r="F128" i="8"/>
  <c r="F67" i="8"/>
  <c r="F66" i="8"/>
  <c r="F64" i="8"/>
  <c r="F65" i="8"/>
  <c r="F79" i="11"/>
  <c r="F75" i="11"/>
  <c r="H111" i="5"/>
  <c r="E93" i="9"/>
  <c r="E94" i="9" s="1"/>
  <c r="H100" i="11"/>
  <c r="H113" i="11" s="1"/>
  <c r="H130" i="11" s="1"/>
  <c r="H135" i="11" s="1"/>
  <c r="E189" i="11" s="1"/>
  <c r="F189" i="11" s="1"/>
  <c r="H109" i="11"/>
  <c r="H116" i="11" s="1"/>
  <c r="H133" i="11" s="1"/>
  <c r="H138" i="11" s="1"/>
  <c r="K189" i="11" s="1"/>
  <c r="L189" i="11" s="1"/>
  <c r="H106" i="11"/>
  <c r="H102" i="5"/>
  <c r="E128" i="8"/>
  <c r="E67" i="8"/>
  <c r="E64" i="8"/>
  <c r="E66" i="8"/>
  <c r="E65" i="8"/>
  <c r="D126" i="5"/>
  <c r="D128" i="5" s="1"/>
  <c r="D95" i="5"/>
  <c r="D96" i="5" s="1"/>
  <c r="D106" i="5" s="1"/>
  <c r="F126" i="5"/>
  <c r="F128" i="5" s="1"/>
  <c r="F95" i="5"/>
  <c r="F96" i="5" s="1"/>
  <c r="F107" i="5" s="1"/>
  <c r="G103" i="8"/>
  <c r="G117" i="8" s="1"/>
  <c r="G135" i="8" s="1"/>
  <c r="G141" i="8" s="1"/>
  <c r="G108" i="8"/>
  <c r="G109" i="8"/>
  <c r="G119" i="8" s="1"/>
  <c r="G137" i="8" s="1"/>
  <c r="G143" i="8" s="1"/>
  <c r="G97" i="8"/>
  <c r="G115" i="8" s="1"/>
  <c r="G133" i="8" s="1"/>
  <c r="G139" i="8" s="1"/>
  <c r="G98" i="8"/>
  <c r="C105" i="12"/>
  <c r="C102" i="12"/>
  <c r="C101" i="12"/>
  <c r="I111" i="8"/>
  <c r="I108" i="8"/>
  <c r="I110" i="8"/>
  <c r="I109" i="8"/>
  <c r="I119" i="8" s="1"/>
  <c r="I137" i="8" s="1"/>
  <c r="I143" i="8" s="1"/>
  <c r="K196" i="8" s="1"/>
  <c r="L196" i="8" s="1"/>
  <c r="I102" i="8"/>
  <c r="H107" i="5"/>
  <c r="E69" i="12"/>
  <c r="E77" i="12" s="1"/>
  <c r="E80" i="12" s="1"/>
  <c r="C93" i="6"/>
  <c r="C97" i="6" s="1"/>
  <c r="C110" i="6" s="1"/>
  <c r="C125" i="6" s="1"/>
  <c r="C130" i="6" s="1"/>
  <c r="C111" i="5"/>
  <c r="H108" i="5"/>
  <c r="C95" i="12"/>
  <c r="C107" i="12"/>
  <c r="E126" i="11"/>
  <c r="E128" i="11" s="1"/>
  <c r="E95" i="11"/>
  <c r="F124" i="11"/>
  <c r="F65" i="11"/>
  <c r="F64" i="11"/>
  <c r="F66" i="11"/>
  <c r="F67" i="11"/>
  <c r="H103" i="5"/>
  <c r="H114" i="5" s="1"/>
  <c r="H131" i="5" s="1"/>
  <c r="H136" i="5" s="1"/>
  <c r="G189" i="5" s="1"/>
  <c r="H189" i="5" s="1"/>
  <c r="D126" i="11"/>
  <c r="D128" i="11" s="1"/>
  <c r="D95" i="11"/>
  <c r="D96" i="11" s="1"/>
  <c r="H114" i="11"/>
  <c r="H131" i="11" s="1"/>
  <c r="H136" i="11" s="1"/>
  <c r="G189" i="11" s="1"/>
  <c r="H189" i="11" s="1"/>
  <c r="H115" i="11"/>
  <c r="H132" i="11" s="1"/>
  <c r="H137" i="11" s="1"/>
  <c r="I189" i="11" s="1"/>
  <c r="J189" i="11" s="1"/>
  <c r="H104" i="11"/>
  <c r="H102" i="11"/>
  <c r="C69" i="9"/>
  <c r="C77" i="9" s="1"/>
  <c r="C80" i="9" s="1"/>
  <c r="H104" i="5"/>
  <c r="E105" i="9"/>
  <c r="J95" i="8"/>
  <c r="J96" i="8" s="1"/>
  <c r="H115" i="5"/>
  <c r="H132" i="5" s="1"/>
  <c r="H137" i="5" s="1"/>
  <c r="I189" i="5" s="1"/>
  <c r="J189" i="5" s="1"/>
  <c r="C98" i="12"/>
  <c r="C103" i="12"/>
  <c r="C112" i="12" s="1"/>
  <c r="C127" i="12" s="1"/>
  <c r="C132" i="12" s="1"/>
  <c r="C137" i="12" s="1"/>
  <c r="C111" i="12"/>
  <c r="C126" i="12" s="1"/>
  <c r="C131" i="12" s="1"/>
  <c r="C97" i="12"/>
  <c r="C110" i="12" s="1"/>
  <c r="C125" i="12" s="1"/>
  <c r="C130" i="12" s="1"/>
  <c r="H99" i="5"/>
  <c r="H101" i="5"/>
  <c r="D93" i="6"/>
  <c r="D98" i="6" s="1"/>
  <c r="G107" i="8"/>
  <c r="E99" i="9"/>
  <c r="E107" i="9"/>
  <c r="G124" i="11"/>
  <c r="G67" i="11"/>
  <c r="G64" i="11"/>
  <c r="G65" i="11"/>
  <c r="G66" i="11"/>
  <c r="H110" i="5"/>
  <c r="H100" i="5"/>
  <c r="H113" i="5" s="1"/>
  <c r="H130" i="5" s="1"/>
  <c r="H135" i="5" s="1"/>
  <c r="E189" i="5" s="1"/>
  <c r="F189" i="5" s="1"/>
  <c r="E126" i="5"/>
  <c r="E128" i="5" s="1"/>
  <c r="E95" i="5"/>
  <c r="H97" i="5"/>
  <c r="H112" i="5" s="1"/>
  <c r="H129" i="5" s="1"/>
  <c r="H134" i="5" s="1"/>
  <c r="C189" i="5" s="1"/>
  <c r="D189" i="5" s="1"/>
  <c r="D96" i="8"/>
  <c r="D103" i="8" s="1"/>
  <c r="C69" i="11"/>
  <c r="C77" i="11" s="1"/>
  <c r="C80" i="11" s="1"/>
  <c r="I77" i="11"/>
  <c r="I80" i="11" s="1"/>
  <c r="I126" i="11"/>
  <c r="I128" i="11" s="1"/>
  <c r="D93" i="12"/>
  <c r="D105" i="12" s="1"/>
  <c r="G79" i="11"/>
  <c r="G75" i="11"/>
  <c r="C104" i="12"/>
  <c r="C106" i="12"/>
  <c r="C113" i="12" s="1"/>
  <c r="C128" i="12" s="1"/>
  <c r="C133" i="12" s="1"/>
  <c r="C138" i="12" s="1"/>
  <c r="C94" i="12"/>
  <c r="C109" i="12" s="1"/>
  <c r="C124" i="12" s="1"/>
  <c r="C129" i="12" s="1"/>
  <c r="C134" i="12" s="1"/>
  <c r="C96" i="12"/>
  <c r="I126" i="5"/>
  <c r="I128" i="5" s="1"/>
  <c r="I77" i="5"/>
  <c r="I80" i="5" s="1"/>
  <c r="F75" i="8"/>
  <c r="F79" i="8"/>
  <c r="H109" i="5"/>
  <c r="H116" i="5" s="1"/>
  <c r="H133" i="5" s="1"/>
  <c r="H138" i="5" s="1"/>
  <c r="K189" i="5" s="1"/>
  <c r="L189" i="5" s="1"/>
  <c r="D103" i="6"/>
  <c r="I100" i="8"/>
  <c r="I116" i="8" s="1"/>
  <c r="I134" i="8" s="1"/>
  <c r="I140" i="8" s="1"/>
  <c r="E196" i="8" s="1"/>
  <c r="F196" i="8" s="1"/>
  <c r="C99" i="5" l="1"/>
  <c r="C98" i="5"/>
  <c r="C110" i="5"/>
  <c r="D95" i="12"/>
  <c r="D106" i="12"/>
  <c r="C104" i="5"/>
  <c r="C107" i="5"/>
  <c r="C101" i="5"/>
  <c r="C105" i="5"/>
  <c r="C106" i="5"/>
  <c r="C115" i="5" s="1"/>
  <c r="C132" i="5" s="1"/>
  <c r="C137" i="5" s="1"/>
  <c r="C100" i="5"/>
  <c r="C113" i="5" s="1"/>
  <c r="C130" i="5" s="1"/>
  <c r="C135" i="5" s="1"/>
  <c r="C140" i="5" s="1"/>
  <c r="AC9" i="3" s="1"/>
  <c r="D108" i="12"/>
  <c r="C108" i="6"/>
  <c r="C107" i="6"/>
  <c r="E93" i="6"/>
  <c r="E107" i="6" s="1"/>
  <c r="E106" i="9"/>
  <c r="E116" i="9" s="1"/>
  <c r="E132" i="9" s="1"/>
  <c r="E138" i="9" s="1"/>
  <c r="E96" i="9"/>
  <c r="E103" i="9"/>
  <c r="E115" i="9" s="1"/>
  <c r="E131" i="9" s="1"/>
  <c r="E137" i="9" s="1"/>
  <c r="E110" i="9"/>
  <c r="E104" i="9"/>
  <c r="E108" i="9"/>
  <c r="E98" i="9"/>
  <c r="D100" i="6"/>
  <c r="D111" i="6" s="1"/>
  <c r="D126" i="6" s="1"/>
  <c r="D131" i="6" s="1"/>
  <c r="D104" i="6"/>
  <c r="E111" i="9"/>
  <c r="E102" i="9"/>
  <c r="E112" i="9"/>
  <c r="E128" i="9" s="1"/>
  <c r="E134" i="9" s="1"/>
  <c r="E95" i="9"/>
  <c r="E97" i="9"/>
  <c r="E113" i="9" s="1"/>
  <c r="E129" i="9" s="1"/>
  <c r="E135" i="9" s="1"/>
  <c r="E109" i="9"/>
  <c r="E117" i="9" s="1"/>
  <c r="E133" i="9" s="1"/>
  <c r="E139" i="9" s="1"/>
  <c r="D107" i="6"/>
  <c r="E100" i="9"/>
  <c r="E114" i="9" s="1"/>
  <c r="E130" i="9" s="1"/>
  <c r="E136" i="9" s="1"/>
  <c r="D101" i="6"/>
  <c r="D98" i="12"/>
  <c r="E101" i="9"/>
  <c r="D103" i="12"/>
  <c r="C103" i="5"/>
  <c r="C114" i="5" s="1"/>
  <c r="C131" i="5" s="1"/>
  <c r="C136" i="5" s="1"/>
  <c r="C97" i="5"/>
  <c r="C112" i="5" s="1"/>
  <c r="C129" i="5" s="1"/>
  <c r="C134" i="5" s="1"/>
  <c r="C109" i="5"/>
  <c r="C116" i="5" s="1"/>
  <c r="C133" i="5" s="1"/>
  <c r="C138" i="5" s="1"/>
  <c r="K153" i="5" s="1"/>
  <c r="L153" i="5" s="1"/>
  <c r="J97" i="8"/>
  <c r="J115" i="8" s="1"/>
  <c r="J133" i="8" s="1"/>
  <c r="J139" i="8" s="1"/>
  <c r="J113" i="8"/>
  <c r="C94" i="6"/>
  <c r="C109" i="6" s="1"/>
  <c r="C124" i="6" s="1"/>
  <c r="C129" i="6" s="1"/>
  <c r="C134" i="6" s="1"/>
  <c r="D109" i="8"/>
  <c r="D119" i="8" s="1"/>
  <c r="D137" i="8" s="1"/>
  <c r="D143" i="8" s="1"/>
  <c r="K190" i="8" s="1"/>
  <c r="L190" i="8" s="1"/>
  <c r="J101" i="8"/>
  <c r="D113" i="8"/>
  <c r="D92" i="9"/>
  <c r="D93" i="9" s="1"/>
  <c r="D109" i="5"/>
  <c r="D116" i="5" s="1"/>
  <c r="D133" i="5" s="1"/>
  <c r="D138" i="5" s="1"/>
  <c r="D104" i="8"/>
  <c r="D94" i="12"/>
  <c r="D109" i="12" s="1"/>
  <c r="D124" i="12" s="1"/>
  <c r="D129" i="12" s="1"/>
  <c r="C69" i="8"/>
  <c r="C77" i="8" s="1"/>
  <c r="C80" i="8" s="1"/>
  <c r="G95" i="5"/>
  <c r="G126" i="5"/>
  <c r="G128" i="5" s="1"/>
  <c r="D99" i="8"/>
  <c r="D107" i="8"/>
  <c r="F108" i="5"/>
  <c r="D106" i="8"/>
  <c r="D118" i="8" s="1"/>
  <c r="D136" i="8" s="1"/>
  <c r="D142" i="8" s="1"/>
  <c r="I199" i="8" s="1"/>
  <c r="J199" i="8" s="1"/>
  <c r="G69" i="11"/>
  <c r="G77" i="11" s="1"/>
  <c r="G80" i="11" s="1"/>
  <c r="D97" i="8"/>
  <c r="D96" i="12"/>
  <c r="F69" i="11"/>
  <c r="F77" i="11" s="1"/>
  <c r="F80" i="11" s="1"/>
  <c r="F126" i="11" s="1"/>
  <c r="D96" i="6"/>
  <c r="C95" i="6"/>
  <c r="D108" i="6"/>
  <c r="C136" i="12"/>
  <c r="AD43" i="3" s="1"/>
  <c r="G153" i="5"/>
  <c r="H153" i="5" s="1"/>
  <c r="C141" i="5"/>
  <c r="G171" i="5"/>
  <c r="H171" i="5" s="1"/>
  <c r="D100" i="11"/>
  <c r="D113" i="11" s="1"/>
  <c r="D130" i="11" s="1"/>
  <c r="D135" i="11" s="1"/>
  <c r="D107" i="11"/>
  <c r="D104" i="11"/>
  <c r="D108" i="11"/>
  <c r="D105" i="11"/>
  <c r="D103" i="11"/>
  <c r="D114" i="11" s="1"/>
  <c r="D131" i="11" s="1"/>
  <c r="D136" i="11" s="1"/>
  <c r="D102" i="11"/>
  <c r="D111" i="11"/>
  <c r="D97" i="11"/>
  <c r="D112" i="11" s="1"/>
  <c r="D129" i="11" s="1"/>
  <c r="D134" i="11" s="1"/>
  <c r="D109" i="11"/>
  <c r="D101" i="11"/>
  <c r="D98" i="11"/>
  <c r="D99" i="11"/>
  <c r="C153" i="5"/>
  <c r="D153" i="5" s="1"/>
  <c r="C171" i="5"/>
  <c r="D171" i="5" s="1"/>
  <c r="C139" i="5"/>
  <c r="I202" i="8"/>
  <c r="J202" i="8" s="1"/>
  <c r="I153" i="5"/>
  <c r="J153" i="5" s="1"/>
  <c r="C142" i="5"/>
  <c r="I171" i="5"/>
  <c r="J171" i="5" s="1"/>
  <c r="C135" i="6"/>
  <c r="AD9" i="3" s="1"/>
  <c r="J102" i="8"/>
  <c r="F109" i="5"/>
  <c r="F116" i="5" s="1"/>
  <c r="F133" i="5" s="1"/>
  <c r="F138" i="5" s="1"/>
  <c r="F111" i="5"/>
  <c r="D102" i="5"/>
  <c r="D107" i="12"/>
  <c r="D97" i="6"/>
  <c r="D110" i="6" s="1"/>
  <c r="D125" i="6" s="1"/>
  <c r="D130" i="6" s="1"/>
  <c r="AB9" i="3" s="1"/>
  <c r="J106" i="8"/>
  <c r="J118" i="8" s="1"/>
  <c r="J136" i="8" s="1"/>
  <c r="J142" i="8" s="1"/>
  <c r="J103" i="8"/>
  <c r="J117" i="8" s="1"/>
  <c r="J135" i="8" s="1"/>
  <c r="J141" i="8" s="1"/>
  <c r="J114" i="8"/>
  <c r="J108" i="8"/>
  <c r="D105" i="8"/>
  <c r="D102" i="12"/>
  <c r="E96" i="11"/>
  <c r="E110" i="11" s="1"/>
  <c r="D102" i="6"/>
  <c r="D101" i="12"/>
  <c r="F100" i="5"/>
  <c r="F113" i="5" s="1"/>
  <c r="F130" i="5" s="1"/>
  <c r="F135" i="5" s="1"/>
  <c r="F106" i="5"/>
  <c r="F115" i="5" s="1"/>
  <c r="F132" i="5" s="1"/>
  <c r="F137" i="5" s="1"/>
  <c r="F97" i="5"/>
  <c r="F112" i="5" s="1"/>
  <c r="F129" i="5" s="1"/>
  <c r="F134" i="5" s="1"/>
  <c r="D103" i="5"/>
  <c r="D114" i="5" s="1"/>
  <c r="D131" i="5" s="1"/>
  <c r="D136" i="5" s="1"/>
  <c r="D98" i="5"/>
  <c r="D97" i="5"/>
  <c r="D112" i="5" s="1"/>
  <c r="D129" i="5" s="1"/>
  <c r="D134" i="5" s="1"/>
  <c r="D99" i="5"/>
  <c r="D105" i="5"/>
  <c r="D111" i="8"/>
  <c r="C104" i="6"/>
  <c r="D99" i="12"/>
  <c r="D105" i="6"/>
  <c r="D113" i="12"/>
  <c r="D128" i="12" s="1"/>
  <c r="D133" i="12" s="1"/>
  <c r="D100" i="8"/>
  <c r="D116" i="8" s="1"/>
  <c r="D134" i="8" s="1"/>
  <c r="D140" i="8" s="1"/>
  <c r="J105" i="8"/>
  <c r="F128" i="11"/>
  <c r="E121" i="12"/>
  <c r="E123" i="12" s="1"/>
  <c r="E92" i="12"/>
  <c r="F105" i="5"/>
  <c r="J99" i="8"/>
  <c r="J110" i="8"/>
  <c r="J98" i="8"/>
  <c r="J112" i="8"/>
  <c r="J120" i="8" s="1"/>
  <c r="J138" i="8" s="1"/>
  <c r="J144" i="8" s="1"/>
  <c r="D114" i="8"/>
  <c r="F95" i="11"/>
  <c r="D110" i="8"/>
  <c r="D115" i="8"/>
  <c r="D133" i="8" s="1"/>
  <c r="D139" i="8" s="1"/>
  <c r="D94" i="6"/>
  <c r="D109" i="6" s="1"/>
  <c r="D124" i="6" s="1"/>
  <c r="D129" i="6" s="1"/>
  <c r="F98" i="5"/>
  <c r="F110" i="5"/>
  <c r="F104" i="5"/>
  <c r="F99" i="5"/>
  <c r="D104" i="5"/>
  <c r="D107" i="5"/>
  <c r="D111" i="5"/>
  <c r="D101" i="8"/>
  <c r="C103" i="6"/>
  <c r="C112" i="6" s="1"/>
  <c r="C127" i="6" s="1"/>
  <c r="C132" i="6" s="1"/>
  <c r="C137" i="6" s="1"/>
  <c r="F69" i="8"/>
  <c r="F77" i="8" s="1"/>
  <c r="F80" i="8" s="1"/>
  <c r="D108" i="8"/>
  <c r="D112" i="12"/>
  <c r="D127" i="12" s="1"/>
  <c r="D132" i="12" s="1"/>
  <c r="I95" i="5"/>
  <c r="I96" i="5" s="1"/>
  <c r="E96" i="5"/>
  <c r="E108" i="5" s="1"/>
  <c r="C135" i="12"/>
  <c r="D115" i="5"/>
  <c r="D132" i="5" s="1"/>
  <c r="D137" i="5" s="1"/>
  <c r="I95" i="11"/>
  <c r="C126" i="11"/>
  <c r="C128" i="11" s="1"/>
  <c r="C95" i="11"/>
  <c r="D98" i="8"/>
  <c r="D97" i="12"/>
  <c r="D110" i="12" s="1"/>
  <c r="D125" i="12" s="1"/>
  <c r="D130" i="12" s="1"/>
  <c r="AB40" i="3" s="1"/>
  <c r="D104" i="12"/>
  <c r="D106" i="6"/>
  <c r="D113" i="6" s="1"/>
  <c r="D128" i="6" s="1"/>
  <c r="D133" i="6" s="1"/>
  <c r="D100" i="12"/>
  <c r="D111" i="12" s="1"/>
  <c r="D126" i="12" s="1"/>
  <c r="D131" i="12" s="1"/>
  <c r="AB43" i="3" s="1"/>
  <c r="J109" i="8"/>
  <c r="J119" i="8" s="1"/>
  <c r="J137" i="8" s="1"/>
  <c r="J143" i="8" s="1"/>
  <c r="J104" i="8"/>
  <c r="J111" i="8"/>
  <c r="J100" i="8"/>
  <c r="J116" i="8" s="1"/>
  <c r="J134" i="8" s="1"/>
  <c r="J140" i="8" s="1"/>
  <c r="J107" i="8"/>
  <c r="D112" i="8"/>
  <c r="D120" i="8" s="1"/>
  <c r="D138" i="8" s="1"/>
  <c r="D144" i="8" s="1"/>
  <c r="C125" i="9"/>
  <c r="C127" i="9" s="1"/>
  <c r="C92" i="9"/>
  <c r="D116" i="11"/>
  <c r="D133" i="11" s="1"/>
  <c r="D138" i="11" s="1"/>
  <c r="D110" i="11"/>
  <c r="D106" i="11"/>
  <c r="D115" i="11" s="1"/>
  <c r="D132" i="11" s="1"/>
  <c r="D137" i="11" s="1"/>
  <c r="D112" i="6"/>
  <c r="D127" i="6" s="1"/>
  <c r="D132" i="6" s="1"/>
  <c r="D117" i="8"/>
  <c r="D135" i="8" s="1"/>
  <c r="D141" i="8" s="1"/>
  <c r="D95" i="6"/>
  <c r="C102" i="6"/>
  <c r="C99" i="6"/>
  <c r="C100" i="6"/>
  <c r="C111" i="6" s="1"/>
  <c r="C126" i="6" s="1"/>
  <c r="C131" i="6" s="1"/>
  <c r="C101" i="6"/>
  <c r="C96" i="6"/>
  <c r="C105" i="6"/>
  <c r="C98" i="6"/>
  <c r="C106" i="6"/>
  <c r="C113" i="6" s="1"/>
  <c r="C128" i="6" s="1"/>
  <c r="C133" i="6" s="1"/>
  <c r="C138" i="6" s="1"/>
  <c r="F102" i="5"/>
  <c r="F101" i="5"/>
  <c r="F103" i="5"/>
  <c r="F114" i="5" s="1"/>
  <c r="F131" i="5" s="1"/>
  <c r="F136" i="5" s="1"/>
  <c r="D101" i="5"/>
  <c r="D108" i="5"/>
  <c r="D100" i="5"/>
  <c r="D113" i="5" s="1"/>
  <c r="D130" i="5" s="1"/>
  <c r="D135" i="5" s="1"/>
  <c r="D110" i="5"/>
  <c r="E69" i="8"/>
  <c r="E77" i="8" s="1"/>
  <c r="E80" i="8" s="1"/>
  <c r="D102" i="8"/>
  <c r="D99" i="6"/>
  <c r="D98" i="9" l="1"/>
  <c r="E171" i="5"/>
  <c r="F171" i="5" s="1"/>
  <c r="E153" i="5"/>
  <c r="F153" i="5" s="1"/>
  <c r="D106" i="9"/>
  <c r="D116" i="9" s="1"/>
  <c r="D132" i="9" s="1"/>
  <c r="D138" i="9" s="1"/>
  <c r="D108" i="9"/>
  <c r="D99" i="9"/>
  <c r="D111" i="9"/>
  <c r="D109" i="9"/>
  <c r="D117" i="9" s="1"/>
  <c r="D133" i="9" s="1"/>
  <c r="D139" i="9" s="1"/>
  <c r="E94" i="6"/>
  <c r="E109" i="6" s="1"/>
  <c r="E124" i="6" s="1"/>
  <c r="E129" i="6" s="1"/>
  <c r="AB15" i="3"/>
  <c r="D94" i="9"/>
  <c r="D112" i="9" s="1"/>
  <c r="D128" i="9" s="1"/>
  <c r="D134" i="9" s="1"/>
  <c r="I184" i="8"/>
  <c r="J184" i="8" s="1"/>
  <c r="K172" i="8"/>
  <c r="L172" i="8" s="1"/>
  <c r="E96" i="6"/>
  <c r="E95" i="6"/>
  <c r="E97" i="6"/>
  <c r="E110" i="6" s="1"/>
  <c r="E125" i="6" s="1"/>
  <c r="E130" i="6" s="1"/>
  <c r="E101" i="6"/>
  <c r="E105" i="6"/>
  <c r="E104" i="6"/>
  <c r="E104" i="5"/>
  <c r="E108" i="6"/>
  <c r="E106" i="6"/>
  <c r="E113" i="6" s="1"/>
  <c r="E128" i="6" s="1"/>
  <c r="E133" i="6" s="1"/>
  <c r="E102" i="6"/>
  <c r="C143" i="5"/>
  <c r="E100" i="6"/>
  <c r="E111" i="6" s="1"/>
  <c r="E126" i="6" s="1"/>
  <c r="E131" i="6" s="1"/>
  <c r="E99" i="6"/>
  <c r="E98" i="6"/>
  <c r="E103" i="6"/>
  <c r="E112" i="6" s="1"/>
  <c r="E127" i="6" s="1"/>
  <c r="E132" i="6" s="1"/>
  <c r="K199" i="8"/>
  <c r="L199" i="8" s="1"/>
  <c r="E109" i="5"/>
  <c r="E116" i="5" s="1"/>
  <c r="E133" i="5" s="1"/>
  <c r="E138" i="5" s="1"/>
  <c r="K171" i="5"/>
  <c r="L171" i="5" s="1"/>
  <c r="I108" i="5"/>
  <c r="I102" i="5"/>
  <c r="D95" i="9"/>
  <c r="I96" i="11"/>
  <c r="I103" i="11" s="1"/>
  <c r="E98" i="5"/>
  <c r="D107" i="9"/>
  <c r="D105" i="9"/>
  <c r="D110" i="9"/>
  <c r="K184" i="8"/>
  <c r="L184" i="8" s="1"/>
  <c r="K202" i="8"/>
  <c r="L202" i="8" s="1"/>
  <c r="D102" i="9"/>
  <c r="E103" i="5"/>
  <c r="E114" i="5" s="1"/>
  <c r="E131" i="5" s="1"/>
  <c r="E136" i="5" s="1"/>
  <c r="D101" i="9"/>
  <c r="D103" i="9"/>
  <c r="D115" i="9" s="1"/>
  <c r="D131" i="9" s="1"/>
  <c r="D137" i="9" s="1"/>
  <c r="K154" i="8"/>
  <c r="L154" i="8" s="1"/>
  <c r="K187" i="8"/>
  <c r="L187" i="8" s="1"/>
  <c r="D104" i="9"/>
  <c r="D100" i="9"/>
  <c r="D114" i="9" s="1"/>
  <c r="D130" i="9" s="1"/>
  <c r="D136" i="9" s="1"/>
  <c r="D96" i="9"/>
  <c r="D97" i="9"/>
  <c r="D113" i="9" s="1"/>
  <c r="D129" i="9" s="1"/>
  <c r="D135" i="9" s="1"/>
  <c r="K166" i="8"/>
  <c r="L166" i="8" s="1"/>
  <c r="I106" i="5"/>
  <c r="I115" i="5" s="1"/>
  <c r="I132" i="5" s="1"/>
  <c r="I137" i="5" s="1"/>
  <c r="I98" i="5"/>
  <c r="I101" i="5"/>
  <c r="I187" i="8"/>
  <c r="J187" i="8" s="1"/>
  <c r="I103" i="5"/>
  <c r="I114" i="5" s="1"/>
  <c r="I131" i="5" s="1"/>
  <c r="I136" i="5" s="1"/>
  <c r="I105" i="5"/>
  <c r="I166" i="8"/>
  <c r="J166" i="8" s="1"/>
  <c r="I190" i="8"/>
  <c r="J190" i="8" s="1"/>
  <c r="G96" i="5"/>
  <c r="G102" i="5" s="1"/>
  <c r="G109" i="5"/>
  <c r="G101" i="5"/>
  <c r="I104" i="5"/>
  <c r="I154" i="8"/>
  <c r="J154" i="8" s="1"/>
  <c r="I110" i="5"/>
  <c r="I109" i="5"/>
  <c r="I116" i="5" s="1"/>
  <c r="I133" i="5" s="1"/>
  <c r="I138" i="5" s="1"/>
  <c r="I172" i="8"/>
  <c r="J172" i="8" s="1"/>
  <c r="G126" i="11"/>
  <c r="G128" i="11" s="1"/>
  <c r="G95" i="11"/>
  <c r="C130" i="8"/>
  <c r="C132" i="8" s="1"/>
  <c r="C95" i="8"/>
  <c r="C96" i="8" s="1"/>
  <c r="K195" i="11"/>
  <c r="L195" i="11" s="1"/>
  <c r="K192" i="11"/>
  <c r="L192" i="11" s="1"/>
  <c r="K180" i="11"/>
  <c r="L180" i="11" s="1"/>
  <c r="K159" i="11"/>
  <c r="L159" i="11" s="1"/>
  <c r="K147" i="11"/>
  <c r="L147" i="11" s="1"/>
  <c r="K183" i="11"/>
  <c r="L183" i="11" s="1"/>
  <c r="K177" i="11"/>
  <c r="L177" i="11" s="1"/>
  <c r="K165" i="11"/>
  <c r="L165" i="11" s="1"/>
  <c r="I183" i="5"/>
  <c r="J183" i="5" s="1"/>
  <c r="I165" i="5"/>
  <c r="J165" i="5" s="1"/>
  <c r="I192" i="5"/>
  <c r="J192" i="5" s="1"/>
  <c r="I177" i="5"/>
  <c r="J177" i="5" s="1"/>
  <c r="I195" i="5"/>
  <c r="J195" i="5" s="1"/>
  <c r="I180" i="5"/>
  <c r="J180" i="5" s="1"/>
  <c r="I159" i="5"/>
  <c r="J159" i="5" s="1"/>
  <c r="I147" i="5"/>
  <c r="J147" i="5" s="1"/>
  <c r="G195" i="11"/>
  <c r="H195" i="11" s="1"/>
  <c r="G180" i="11"/>
  <c r="H180" i="11" s="1"/>
  <c r="G159" i="11"/>
  <c r="H159" i="11" s="1"/>
  <c r="G147" i="11"/>
  <c r="H147" i="11" s="1"/>
  <c r="G192" i="11"/>
  <c r="H192" i="11" s="1"/>
  <c r="G177" i="11"/>
  <c r="H177" i="11" s="1"/>
  <c r="G165" i="11"/>
  <c r="H165" i="11" s="1"/>
  <c r="G183" i="11"/>
  <c r="H183" i="11" s="1"/>
  <c r="E183" i="5"/>
  <c r="F183" i="5" s="1"/>
  <c r="E165" i="5"/>
  <c r="F165" i="5" s="1"/>
  <c r="E192" i="5"/>
  <c r="F192" i="5" s="1"/>
  <c r="E177" i="5"/>
  <c r="F177" i="5" s="1"/>
  <c r="E195" i="5"/>
  <c r="F195" i="5" s="1"/>
  <c r="E180" i="5"/>
  <c r="F180" i="5" s="1"/>
  <c r="E159" i="5"/>
  <c r="F159" i="5" s="1"/>
  <c r="E147" i="5"/>
  <c r="F147" i="5" s="1"/>
  <c r="I192" i="11"/>
  <c r="J192" i="11" s="1"/>
  <c r="I195" i="11"/>
  <c r="J195" i="11" s="1"/>
  <c r="I147" i="11"/>
  <c r="J147" i="11" s="1"/>
  <c r="I180" i="11"/>
  <c r="J180" i="11" s="1"/>
  <c r="I159" i="11"/>
  <c r="J159" i="11" s="1"/>
  <c r="I183" i="11"/>
  <c r="J183" i="11" s="1"/>
  <c r="I177" i="11"/>
  <c r="J177" i="11" s="1"/>
  <c r="I165" i="11"/>
  <c r="J165" i="11" s="1"/>
  <c r="E192" i="11"/>
  <c r="F192" i="11" s="1"/>
  <c r="E195" i="11"/>
  <c r="F195" i="11" s="1"/>
  <c r="E147" i="11"/>
  <c r="F147" i="11" s="1"/>
  <c r="E180" i="11"/>
  <c r="F180" i="11" s="1"/>
  <c r="E159" i="11"/>
  <c r="F159" i="11" s="1"/>
  <c r="E183" i="11"/>
  <c r="F183" i="11" s="1"/>
  <c r="E177" i="11"/>
  <c r="F177" i="11" s="1"/>
  <c r="E165" i="11"/>
  <c r="F165" i="11" s="1"/>
  <c r="C192" i="5"/>
  <c r="D192" i="5" s="1"/>
  <c r="C177" i="5"/>
  <c r="D177" i="5" s="1"/>
  <c r="C183" i="5"/>
  <c r="D183" i="5" s="1"/>
  <c r="C165" i="5"/>
  <c r="D165" i="5" s="1"/>
  <c r="C195" i="5"/>
  <c r="D195" i="5" s="1"/>
  <c r="C180" i="5"/>
  <c r="D180" i="5" s="1"/>
  <c r="C159" i="5"/>
  <c r="D159" i="5" s="1"/>
  <c r="C147" i="5"/>
  <c r="D147" i="5" s="1"/>
  <c r="M202" i="8"/>
  <c r="N202" i="8" s="1"/>
  <c r="M199" i="8"/>
  <c r="N199" i="8" s="1"/>
  <c r="M190" i="8"/>
  <c r="N190" i="8" s="1"/>
  <c r="M187" i="8"/>
  <c r="N187" i="8" s="1"/>
  <c r="M184" i="8"/>
  <c r="N184" i="8" s="1"/>
  <c r="M172" i="8"/>
  <c r="N172" i="8" s="1"/>
  <c r="M166" i="8"/>
  <c r="N166" i="8" s="1"/>
  <c r="M154" i="8"/>
  <c r="N154" i="8" s="1"/>
  <c r="K192" i="5"/>
  <c r="L192" i="5" s="1"/>
  <c r="K177" i="5"/>
  <c r="L177" i="5" s="1"/>
  <c r="K183" i="5"/>
  <c r="L183" i="5" s="1"/>
  <c r="K165" i="5"/>
  <c r="L165" i="5" s="1"/>
  <c r="K195" i="5"/>
  <c r="L195" i="5" s="1"/>
  <c r="K180" i="5"/>
  <c r="L180" i="5" s="1"/>
  <c r="K159" i="5"/>
  <c r="L159" i="5" s="1"/>
  <c r="K147" i="5"/>
  <c r="L147" i="5" s="1"/>
  <c r="E202" i="8"/>
  <c r="F202" i="8" s="1"/>
  <c r="E199" i="8"/>
  <c r="F199" i="8" s="1"/>
  <c r="E190" i="8"/>
  <c r="F190" i="8" s="1"/>
  <c r="E187" i="8"/>
  <c r="F187" i="8" s="1"/>
  <c r="E184" i="8"/>
  <c r="F184" i="8" s="1"/>
  <c r="E172" i="8"/>
  <c r="F172" i="8" s="1"/>
  <c r="E166" i="8"/>
  <c r="F166" i="8" s="1"/>
  <c r="E154" i="8"/>
  <c r="F154" i="8" s="1"/>
  <c r="AB42" i="3"/>
  <c r="F96" i="11"/>
  <c r="F98" i="11" s="1"/>
  <c r="E100" i="11"/>
  <c r="E113" i="11" s="1"/>
  <c r="E130" i="11" s="1"/>
  <c r="E135" i="11" s="1"/>
  <c r="E105" i="11"/>
  <c r="E97" i="11"/>
  <c r="E112" i="11" s="1"/>
  <c r="E129" i="11" s="1"/>
  <c r="E134" i="11" s="1"/>
  <c r="E101" i="11"/>
  <c r="E107" i="11"/>
  <c r="E109" i="11"/>
  <c r="E116" i="11" s="1"/>
  <c r="E133" i="11" s="1"/>
  <c r="E138" i="11" s="1"/>
  <c r="E104" i="11"/>
  <c r="E108" i="11"/>
  <c r="E102" i="11"/>
  <c r="E106" i="11"/>
  <c r="E115" i="11" s="1"/>
  <c r="E132" i="11" s="1"/>
  <c r="E137" i="11" s="1"/>
  <c r="E111" i="11"/>
  <c r="E103" i="11"/>
  <c r="E114" i="11" s="1"/>
  <c r="E131" i="11" s="1"/>
  <c r="E136" i="11" s="1"/>
  <c r="E99" i="11"/>
  <c r="AC13" i="3"/>
  <c r="AC14" i="3"/>
  <c r="AC15" i="3"/>
  <c r="AC16" i="3"/>
  <c r="AC12" i="3"/>
  <c r="AC8" i="3"/>
  <c r="AC11" i="3"/>
  <c r="AC6" i="3"/>
  <c r="AC17" i="3"/>
  <c r="AC18" i="3"/>
  <c r="AC10" i="3"/>
  <c r="AC7" i="3"/>
  <c r="AB14" i="3"/>
  <c r="E130" i="8"/>
  <c r="E132" i="8" s="1"/>
  <c r="E95" i="8"/>
  <c r="C136" i="6"/>
  <c r="AB18" i="3"/>
  <c r="AB11" i="3"/>
  <c r="AB7" i="3"/>
  <c r="AB6" i="3"/>
  <c r="AB10" i="3"/>
  <c r="AB16" i="3"/>
  <c r="AB12" i="3"/>
  <c r="AB8" i="3"/>
  <c r="AB17" i="3"/>
  <c r="G202" i="8"/>
  <c r="H202" i="8" s="1"/>
  <c r="G199" i="8"/>
  <c r="H199" i="8" s="1"/>
  <c r="G190" i="8"/>
  <c r="H190" i="8" s="1"/>
  <c r="G187" i="8"/>
  <c r="H187" i="8" s="1"/>
  <c r="G184" i="8"/>
  <c r="H184" i="8" s="1"/>
  <c r="G172" i="8"/>
  <c r="H172" i="8" s="1"/>
  <c r="G166" i="8"/>
  <c r="H166" i="8" s="1"/>
  <c r="G154" i="8"/>
  <c r="H154" i="8" s="1"/>
  <c r="E100" i="5"/>
  <c r="E113" i="5" s="1"/>
  <c r="E130" i="5" s="1"/>
  <c r="E135" i="5" s="1"/>
  <c r="AB41" i="3"/>
  <c r="AD42" i="3"/>
  <c r="AD44" i="3"/>
  <c r="AD40" i="3"/>
  <c r="AD39" i="3"/>
  <c r="AD41" i="3"/>
  <c r="I97" i="5"/>
  <c r="I112" i="5" s="1"/>
  <c r="I129" i="5" s="1"/>
  <c r="I134" i="5" s="1"/>
  <c r="I99" i="5"/>
  <c r="I107" i="5"/>
  <c r="C202" i="8"/>
  <c r="D202" i="8" s="1"/>
  <c r="C199" i="8"/>
  <c r="D199" i="8" s="1"/>
  <c r="C190" i="8"/>
  <c r="D190" i="8" s="1"/>
  <c r="C187" i="8"/>
  <c r="D187" i="8" s="1"/>
  <c r="C184" i="8"/>
  <c r="D184" i="8" s="1"/>
  <c r="C172" i="8"/>
  <c r="D172" i="8" s="1"/>
  <c r="C166" i="8"/>
  <c r="D166" i="8" s="1"/>
  <c r="C154" i="8"/>
  <c r="D154" i="8" s="1"/>
  <c r="E106" i="5"/>
  <c r="E115" i="5" s="1"/>
  <c r="E132" i="5" s="1"/>
  <c r="E137" i="5" s="1"/>
  <c r="E93" i="12"/>
  <c r="E107" i="12" s="1"/>
  <c r="E97" i="5"/>
  <c r="E112" i="5" s="1"/>
  <c r="E129" i="5" s="1"/>
  <c r="E134" i="5" s="1"/>
  <c r="AB13" i="3"/>
  <c r="AB44" i="3"/>
  <c r="I102" i="11"/>
  <c r="AB39" i="3"/>
  <c r="F130" i="8"/>
  <c r="F132" i="8" s="1"/>
  <c r="F95" i="8"/>
  <c r="E99" i="5"/>
  <c r="C195" i="11"/>
  <c r="D195" i="11" s="1"/>
  <c r="C180" i="11"/>
  <c r="D180" i="11" s="1"/>
  <c r="C159" i="11"/>
  <c r="D159" i="11" s="1"/>
  <c r="C192" i="11"/>
  <c r="D192" i="11" s="1"/>
  <c r="C147" i="11"/>
  <c r="D147" i="11" s="1"/>
  <c r="C183" i="11"/>
  <c r="D183" i="11" s="1"/>
  <c r="C177" i="11"/>
  <c r="D177" i="11" s="1"/>
  <c r="C165" i="11"/>
  <c r="D165" i="11" s="1"/>
  <c r="E101" i="5"/>
  <c r="C96" i="11"/>
  <c r="C104" i="11" s="1"/>
  <c r="G192" i="5"/>
  <c r="H192" i="5" s="1"/>
  <c r="G177" i="5"/>
  <c r="H177" i="5" s="1"/>
  <c r="G183" i="5"/>
  <c r="H183" i="5" s="1"/>
  <c r="G165" i="5"/>
  <c r="H165" i="5" s="1"/>
  <c r="G159" i="5"/>
  <c r="H159" i="5" s="1"/>
  <c r="G147" i="5"/>
  <c r="H147" i="5" s="1"/>
  <c r="G195" i="5"/>
  <c r="H195" i="5" s="1"/>
  <c r="G180" i="5"/>
  <c r="H180" i="5" s="1"/>
  <c r="E98" i="11"/>
  <c r="C93" i="9"/>
  <c r="C95" i="9" s="1"/>
  <c r="E107" i="5"/>
  <c r="E105" i="5"/>
  <c r="I111" i="5"/>
  <c r="I100" i="5"/>
  <c r="I113" i="5" s="1"/>
  <c r="I130" i="5" s="1"/>
  <c r="I135" i="5" s="1"/>
  <c r="E110" i="5"/>
  <c r="E111" i="5"/>
  <c r="K203" i="8"/>
  <c r="L203" i="8" s="1"/>
  <c r="G203" i="8"/>
  <c r="H203" i="8" s="1"/>
  <c r="C203" i="8"/>
  <c r="D203" i="8" s="1"/>
  <c r="K200" i="8"/>
  <c r="L200" i="8" s="1"/>
  <c r="G200" i="8"/>
  <c r="H200" i="8" s="1"/>
  <c r="C200" i="8"/>
  <c r="D200" i="8" s="1"/>
  <c r="K197" i="8"/>
  <c r="L197" i="8" s="1"/>
  <c r="L198" i="8" s="1"/>
  <c r="G197" i="8"/>
  <c r="H197" i="8" s="1"/>
  <c r="H198" i="8" s="1"/>
  <c r="C197" i="8"/>
  <c r="D197" i="8" s="1"/>
  <c r="D198" i="8" s="1"/>
  <c r="K191" i="8"/>
  <c r="L191" i="8" s="1"/>
  <c r="L192" i="8" s="1"/>
  <c r="G191" i="8"/>
  <c r="H191" i="8" s="1"/>
  <c r="C191" i="8"/>
  <c r="D191" i="8" s="1"/>
  <c r="K188" i="8"/>
  <c r="L188" i="8" s="1"/>
  <c r="G188" i="8"/>
  <c r="H188" i="8" s="1"/>
  <c r="C188" i="8"/>
  <c r="D188" i="8" s="1"/>
  <c r="K185" i="8"/>
  <c r="L185" i="8" s="1"/>
  <c r="G185" i="8"/>
  <c r="H185" i="8" s="1"/>
  <c r="C185" i="8"/>
  <c r="D185" i="8" s="1"/>
  <c r="K179" i="8"/>
  <c r="L179" i="8" s="1"/>
  <c r="G179" i="8"/>
  <c r="H179" i="8" s="1"/>
  <c r="C179" i="8"/>
  <c r="D179" i="8" s="1"/>
  <c r="K173" i="8"/>
  <c r="L173" i="8" s="1"/>
  <c r="G173" i="8"/>
  <c r="H173" i="8" s="1"/>
  <c r="C173" i="8"/>
  <c r="D173" i="8" s="1"/>
  <c r="E203" i="8"/>
  <c r="F203" i="8" s="1"/>
  <c r="E200" i="8"/>
  <c r="F200" i="8" s="1"/>
  <c r="E197" i="8"/>
  <c r="F197" i="8" s="1"/>
  <c r="F198" i="8" s="1"/>
  <c r="E191" i="8"/>
  <c r="F191" i="8" s="1"/>
  <c r="E188" i="8"/>
  <c r="F188" i="8" s="1"/>
  <c r="E185" i="8"/>
  <c r="F185" i="8" s="1"/>
  <c r="E179" i="8"/>
  <c r="F179" i="8" s="1"/>
  <c r="E173" i="8"/>
  <c r="F173" i="8" s="1"/>
  <c r="G167" i="8"/>
  <c r="H167" i="8" s="1"/>
  <c r="G161" i="8"/>
  <c r="H161" i="8" s="1"/>
  <c r="G155" i="8"/>
  <c r="H155" i="8" s="1"/>
  <c r="M167" i="8"/>
  <c r="N167" i="8" s="1"/>
  <c r="E167" i="8"/>
  <c r="F167" i="8" s="1"/>
  <c r="M161" i="8"/>
  <c r="N161" i="8" s="1"/>
  <c r="E161" i="8"/>
  <c r="F161" i="8" s="1"/>
  <c r="M155" i="8"/>
  <c r="N155" i="8" s="1"/>
  <c r="E155" i="8"/>
  <c r="F155" i="8" s="1"/>
  <c r="M203" i="8"/>
  <c r="N203" i="8" s="1"/>
  <c r="M200" i="8"/>
  <c r="N200" i="8" s="1"/>
  <c r="M197" i="8"/>
  <c r="N197" i="8" s="1"/>
  <c r="N198" i="8" s="1"/>
  <c r="M191" i="8"/>
  <c r="N191" i="8" s="1"/>
  <c r="M188" i="8"/>
  <c r="N188" i="8" s="1"/>
  <c r="M185" i="8"/>
  <c r="N185" i="8" s="1"/>
  <c r="M179" i="8"/>
  <c r="N179" i="8" s="1"/>
  <c r="M173" i="8"/>
  <c r="N173" i="8" s="1"/>
  <c r="K167" i="8"/>
  <c r="L167" i="8" s="1"/>
  <c r="C167" i="8"/>
  <c r="D167" i="8" s="1"/>
  <c r="K161" i="8"/>
  <c r="L161" i="8" s="1"/>
  <c r="C161" i="8"/>
  <c r="D161" i="8" s="1"/>
  <c r="K155" i="8"/>
  <c r="L155" i="8" s="1"/>
  <c r="C155" i="8"/>
  <c r="D155" i="8" s="1"/>
  <c r="I200" i="8"/>
  <c r="J200" i="8" s="1"/>
  <c r="J201" i="8" s="1"/>
  <c r="X27" i="3" s="1"/>
  <c r="I185" i="8"/>
  <c r="J185" i="8" s="1"/>
  <c r="J186" i="8" s="1"/>
  <c r="P27" i="3" s="1"/>
  <c r="I155" i="8"/>
  <c r="J155" i="8" s="1"/>
  <c r="I203" i="8"/>
  <c r="J203" i="8" s="1"/>
  <c r="J204" i="8" s="1"/>
  <c r="Z27" i="3" s="1"/>
  <c r="I188" i="8"/>
  <c r="J188" i="8" s="1"/>
  <c r="I191" i="8"/>
  <c r="J191" i="8" s="1"/>
  <c r="I173" i="8"/>
  <c r="J173" i="8" s="1"/>
  <c r="I167" i="8"/>
  <c r="J167" i="8" s="1"/>
  <c r="I179" i="8"/>
  <c r="J179" i="8" s="1"/>
  <c r="I197" i="8"/>
  <c r="J197" i="8" s="1"/>
  <c r="J198" i="8" s="1"/>
  <c r="V27" i="3" s="1"/>
  <c r="I161" i="8"/>
  <c r="J161" i="8" s="1"/>
  <c r="E102" i="5"/>
  <c r="AD13" i="3"/>
  <c r="AD14" i="3"/>
  <c r="AD15" i="3"/>
  <c r="E103" i="12" l="1"/>
  <c r="L186" i="8"/>
  <c r="F101" i="11"/>
  <c r="F105" i="11"/>
  <c r="L174" i="8"/>
  <c r="L189" i="8"/>
  <c r="J189" i="8"/>
  <c r="R27" i="3" s="1"/>
  <c r="L201" i="8"/>
  <c r="F111" i="11"/>
  <c r="F107" i="11"/>
  <c r="F99" i="11"/>
  <c r="F100" i="11"/>
  <c r="F113" i="11" s="1"/>
  <c r="F130" i="11" s="1"/>
  <c r="F135" i="11" s="1"/>
  <c r="J168" i="8"/>
  <c r="J27" i="3" s="1"/>
  <c r="I108" i="11"/>
  <c r="I111" i="11"/>
  <c r="J174" i="8"/>
  <c r="L27" i="3" s="1"/>
  <c r="G105" i="5"/>
  <c r="G107" i="5"/>
  <c r="F108" i="11"/>
  <c r="F106" i="11"/>
  <c r="F115" i="11" s="1"/>
  <c r="F132" i="11" s="1"/>
  <c r="F137" i="11" s="1"/>
  <c r="I104" i="11"/>
  <c r="I101" i="11"/>
  <c r="I109" i="11"/>
  <c r="I116" i="11" s="1"/>
  <c r="I133" i="11" s="1"/>
  <c r="I138" i="11" s="1"/>
  <c r="F103" i="11"/>
  <c r="F114" i="11" s="1"/>
  <c r="F131" i="11" s="1"/>
  <c r="F136" i="11" s="1"/>
  <c r="F102" i="11"/>
  <c r="I97" i="11"/>
  <c r="I112" i="11" s="1"/>
  <c r="I129" i="11" s="1"/>
  <c r="I134" i="11" s="1"/>
  <c r="H168" i="8"/>
  <c r="J36" i="3" s="1"/>
  <c r="F110" i="11"/>
  <c r="F156" i="8"/>
  <c r="F35" i="3" s="1"/>
  <c r="F189" i="8"/>
  <c r="R35" i="3" s="1"/>
  <c r="I100" i="11"/>
  <c r="I113" i="11" s="1"/>
  <c r="I130" i="11" s="1"/>
  <c r="I135" i="11" s="1"/>
  <c r="G106" i="5"/>
  <c r="G115" i="5" s="1"/>
  <c r="G132" i="5" s="1"/>
  <c r="G137" i="5" s="1"/>
  <c r="G100" i="5"/>
  <c r="G113" i="5" s="1"/>
  <c r="G130" i="5" s="1"/>
  <c r="G135" i="5" s="1"/>
  <c r="J192" i="8"/>
  <c r="T27" i="3" s="1"/>
  <c r="I98" i="11"/>
  <c r="L156" i="8"/>
  <c r="I110" i="11"/>
  <c r="L204" i="8"/>
  <c r="I99" i="11"/>
  <c r="I107" i="11"/>
  <c r="I106" i="11"/>
  <c r="I115" i="11" s="1"/>
  <c r="I132" i="11" s="1"/>
  <c r="I137" i="11" s="1"/>
  <c r="F109" i="11"/>
  <c r="F116" i="11" s="1"/>
  <c r="F133" i="11" s="1"/>
  <c r="F138" i="11" s="1"/>
  <c r="F97" i="11"/>
  <c r="F112" i="11" s="1"/>
  <c r="F129" i="11" s="1"/>
  <c r="F134" i="11" s="1"/>
  <c r="I105" i="11"/>
  <c r="F104" i="11"/>
  <c r="I114" i="11"/>
  <c r="I131" i="11" s="1"/>
  <c r="I136" i="11" s="1"/>
  <c r="G108" i="5"/>
  <c r="G98" i="5"/>
  <c r="C112" i="8"/>
  <c r="C120" i="8" s="1"/>
  <c r="C138" i="8" s="1"/>
  <c r="C144" i="8" s="1"/>
  <c r="C101" i="8"/>
  <c r="N192" i="8"/>
  <c r="J156" i="8"/>
  <c r="F27" i="3" s="1"/>
  <c r="L168" i="8"/>
  <c r="C101" i="9"/>
  <c r="C98" i="8"/>
  <c r="C98" i="9"/>
  <c r="C99" i="11"/>
  <c r="C105" i="11"/>
  <c r="C106" i="11"/>
  <c r="C115" i="11" s="1"/>
  <c r="C132" i="11" s="1"/>
  <c r="C137" i="11" s="1"/>
  <c r="C110" i="11"/>
  <c r="C106" i="9"/>
  <c r="C102" i="9"/>
  <c r="D174" i="8"/>
  <c r="L37" i="3" s="1"/>
  <c r="D201" i="8"/>
  <c r="X37" i="3" s="1"/>
  <c r="C99" i="8"/>
  <c r="C111" i="8"/>
  <c r="G104" i="5"/>
  <c r="G99" i="5"/>
  <c r="G111" i="5"/>
  <c r="N168" i="8"/>
  <c r="G96" i="11"/>
  <c r="C103" i="11"/>
  <c r="C114" i="11" s="1"/>
  <c r="C131" i="11" s="1"/>
  <c r="C136" i="11" s="1"/>
  <c r="C101" i="11"/>
  <c r="C108" i="9"/>
  <c r="E96" i="8"/>
  <c r="E108" i="8" s="1"/>
  <c r="C108" i="11"/>
  <c r="C103" i="9"/>
  <c r="C110" i="9"/>
  <c r="G110" i="11"/>
  <c r="AB45" i="3"/>
  <c r="C98" i="11"/>
  <c r="C113" i="8"/>
  <c r="C106" i="8"/>
  <c r="C118" i="8" s="1"/>
  <c r="C136" i="8" s="1"/>
  <c r="C142" i="8" s="1"/>
  <c r="C109" i="8"/>
  <c r="C119" i="8" s="1"/>
  <c r="C137" i="8" s="1"/>
  <c r="C143" i="8" s="1"/>
  <c r="C100" i="8"/>
  <c r="C116" i="8" s="1"/>
  <c r="C134" i="8" s="1"/>
  <c r="C140" i="8" s="1"/>
  <c r="C103" i="8"/>
  <c r="C117" i="8" s="1"/>
  <c r="C135" i="8" s="1"/>
  <c r="C141" i="8" s="1"/>
  <c r="C108" i="8"/>
  <c r="C105" i="8"/>
  <c r="C97" i="8"/>
  <c r="C115" i="8" s="1"/>
  <c r="C133" i="8" s="1"/>
  <c r="C139" i="8" s="1"/>
  <c r="C102" i="8"/>
  <c r="C110" i="8"/>
  <c r="C107" i="8"/>
  <c r="C104" i="8"/>
  <c r="C114" i="8"/>
  <c r="G110" i="5"/>
  <c r="G103" i="5"/>
  <c r="G114" i="5" s="1"/>
  <c r="G131" i="5" s="1"/>
  <c r="G136" i="5" s="1"/>
  <c r="G97" i="5"/>
  <c r="G112" i="5" s="1"/>
  <c r="G129" i="5" s="1"/>
  <c r="G134" i="5" s="1"/>
  <c r="G116" i="5"/>
  <c r="G133" i="5" s="1"/>
  <c r="G138" i="5" s="1"/>
  <c r="E97" i="12"/>
  <c r="E110" i="12" s="1"/>
  <c r="E125" i="12" s="1"/>
  <c r="E130" i="12" s="1"/>
  <c r="E104" i="12"/>
  <c r="E100" i="12"/>
  <c r="H192" i="8"/>
  <c r="E112" i="12"/>
  <c r="E127" i="12" s="1"/>
  <c r="E132" i="12" s="1"/>
  <c r="R26" i="3"/>
  <c r="E102" i="12"/>
  <c r="I196" i="5"/>
  <c r="J196" i="5" s="1"/>
  <c r="E196" i="5"/>
  <c r="F196" i="5" s="1"/>
  <c r="K190" i="5"/>
  <c r="L190" i="5" s="1"/>
  <c r="L191" i="5" s="1"/>
  <c r="G190" i="5"/>
  <c r="H190" i="5" s="1"/>
  <c r="H191" i="5" s="1"/>
  <c r="C190" i="5"/>
  <c r="D190" i="5" s="1"/>
  <c r="D191" i="5" s="1"/>
  <c r="I181" i="5"/>
  <c r="J181" i="5" s="1"/>
  <c r="J182" i="5" s="1"/>
  <c r="E181" i="5"/>
  <c r="F181" i="5" s="1"/>
  <c r="F182" i="5" s="1"/>
  <c r="R9" i="3" s="1"/>
  <c r="K172" i="5"/>
  <c r="L172" i="5" s="1"/>
  <c r="L173" i="5" s="1"/>
  <c r="G172" i="5"/>
  <c r="H172" i="5" s="1"/>
  <c r="H173" i="5" s="1"/>
  <c r="C172" i="5"/>
  <c r="D172" i="5" s="1"/>
  <c r="D173" i="5" s="1"/>
  <c r="I160" i="5"/>
  <c r="J160" i="5" s="1"/>
  <c r="J161" i="5" s="1"/>
  <c r="E160" i="5"/>
  <c r="F160" i="5" s="1"/>
  <c r="K148" i="5"/>
  <c r="L148" i="5" s="1"/>
  <c r="G148" i="5"/>
  <c r="H148" i="5" s="1"/>
  <c r="H149" i="5" s="1"/>
  <c r="C148" i="5"/>
  <c r="D148" i="5" s="1"/>
  <c r="D149" i="5" s="1"/>
  <c r="K196" i="5"/>
  <c r="L196" i="5" s="1"/>
  <c r="G196" i="5"/>
  <c r="H196" i="5" s="1"/>
  <c r="C196" i="5"/>
  <c r="D196" i="5" s="1"/>
  <c r="D197" i="5" s="1"/>
  <c r="I190" i="5"/>
  <c r="J190" i="5" s="1"/>
  <c r="J191" i="5" s="1"/>
  <c r="E190" i="5"/>
  <c r="F190" i="5" s="1"/>
  <c r="F191" i="5" s="1"/>
  <c r="V9" i="3" s="1"/>
  <c r="K181" i="5"/>
  <c r="L181" i="5" s="1"/>
  <c r="G181" i="5"/>
  <c r="H181" i="5" s="1"/>
  <c r="H182" i="5" s="1"/>
  <c r="C181" i="5"/>
  <c r="D181" i="5" s="1"/>
  <c r="D182" i="5" s="1"/>
  <c r="I172" i="5"/>
  <c r="J172" i="5" s="1"/>
  <c r="J173" i="5" s="1"/>
  <c r="E172" i="5"/>
  <c r="F172" i="5" s="1"/>
  <c r="F173" i="5" s="1"/>
  <c r="N9" i="3" s="1"/>
  <c r="K160" i="5"/>
  <c r="L160" i="5" s="1"/>
  <c r="L161" i="5" s="1"/>
  <c r="G160" i="5"/>
  <c r="H160" i="5" s="1"/>
  <c r="H161" i="5" s="1"/>
  <c r="C160" i="5"/>
  <c r="D160" i="5" s="1"/>
  <c r="D161" i="5" s="1"/>
  <c r="I148" i="5"/>
  <c r="J148" i="5" s="1"/>
  <c r="J149" i="5" s="1"/>
  <c r="E148" i="5"/>
  <c r="F148" i="5" s="1"/>
  <c r="F149" i="5" s="1"/>
  <c r="F9" i="3" s="1"/>
  <c r="G193" i="5"/>
  <c r="H193" i="5" s="1"/>
  <c r="H194" i="5" s="1"/>
  <c r="G184" i="5"/>
  <c r="H184" i="5" s="1"/>
  <c r="G178" i="5"/>
  <c r="H178" i="5" s="1"/>
  <c r="G166" i="5"/>
  <c r="H166" i="5" s="1"/>
  <c r="H167" i="5" s="1"/>
  <c r="G154" i="5"/>
  <c r="H154" i="5" s="1"/>
  <c r="H155" i="5" s="1"/>
  <c r="E193" i="5"/>
  <c r="F193" i="5" s="1"/>
  <c r="E184" i="5"/>
  <c r="F184" i="5" s="1"/>
  <c r="F185" i="5" s="1"/>
  <c r="T9" i="3" s="1"/>
  <c r="E178" i="5"/>
  <c r="F178" i="5" s="1"/>
  <c r="F179" i="5" s="1"/>
  <c r="P9" i="3" s="1"/>
  <c r="E166" i="5"/>
  <c r="F166" i="5" s="1"/>
  <c r="F167" i="5" s="1"/>
  <c r="L9" i="3" s="1"/>
  <c r="E154" i="5"/>
  <c r="F154" i="5" s="1"/>
  <c r="F155" i="5" s="1"/>
  <c r="H9" i="3" s="1"/>
  <c r="K193" i="5"/>
  <c r="L193" i="5" s="1"/>
  <c r="C193" i="5"/>
  <c r="D193" i="5" s="1"/>
  <c r="D194" i="5" s="1"/>
  <c r="K184" i="5"/>
  <c r="L184" i="5" s="1"/>
  <c r="L185" i="5" s="1"/>
  <c r="C184" i="5"/>
  <c r="D184" i="5" s="1"/>
  <c r="D185" i="5" s="1"/>
  <c r="K178" i="5"/>
  <c r="L178" i="5" s="1"/>
  <c r="C178" i="5"/>
  <c r="D178" i="5" s="1"/>
  <c r="D179" i="5" s="1"/>
  <c r="K166" i="5"/>
  <c r="L166" i="5" s="1"/>
  <c r="L167" i="5" s="1"/>
  <c r="C166" i="5"/>
  <c r="D166" i="5" s="1"/>
  <c r="K154" i="5"/>
  <c r="L154" i="5" s="1"/>
  <c r="L155" i="5" s="1"/>
  <c r="C154" i="5"/>
  <c r="D154" i="5" s="1"/>
  <c r="D155" i="5" s="1"/>
  <c r="I184" i="5"/>
  <c r="J184" i="5" s="1"/>
  <c r="J185" i="5" s="1"/>
  <c r="I178" i="5"/>
  <c r="J178" i="5" s="1"/>
  <c r="J179" i="5" s="1"/>
  <c r="I193" i="5"/>
  <c r="J193" i="5" s="1"/>
  <c r="I166" i="5"/>
  <c r="J166" i="5" s="1"/>
  <c r="J167" i="5" s="1"/>
  <c r="I154" i="5"/>
  <c r="J154" i="5" s="1"/>
  <c r="J155" i="5" s="1"/>
  <c r="C111" i="11"/>
  <c r="C111" i="9"/>
  <c r="C96" i="9"/>
  <c r="H179" i="5"/>
  <c r="E99" i="12"/>
  <c r="F96" i="8"/>
  <c r="F108" i="8" s="1"/>
  <c r="C107" i="11"/>
  <c r="E94" i="12"/>
  <c r="E109" i="12" s="1"/>
  <c r="E124" i="12" s="1"/>
  <c r="E129" i="12" s="1"/>
  <c r="D186" i="8"/>
  <c r="D204" i="8"/>
  <c r="C102" i="11"/>
  <c r="C107" i="9"/>
  <c r="C104" i="9"/>
  <c r="H174" i="8"/>
  <c r="H201" i="8"/>
  <c r="E111" i="12"/>
  <c r="E126" i="12" s="1"/>
  <c r="E131" i="12" s="1"/>
  <c r="C97" i="9"/>
  <c r="C113" i="9" s="1"/>
  <c r="C129" i="9" s="1"/>
  <c r="C135" i="9" s="1"/>
  <c r="F168" i="8"/>
  <c r="F192" i="8"/>
  <c r="L182" i="5"/>
  <c r="L179" i="5"/>
  <c r="N174" i="8"/>
  <c r="N201" i="8"/>
  <c r="J194" i="5"/>
  <c r="V35" i="3"/>
  <c r="V24" i="3"/>
  <c r="V25" i="3"/>
  <c r="V26" i="3"/>
  <c r="H185" i="5"/>
  <c r="V31" i="3"/>
  <c r="V23" i="3"/>
  <c r="V28" i="3"/>
  <c r="V37" i="3"/>
  <c r="V33" i="3"/>
  <c r="V21" i="3"/>
  <c r="V20" i="3"/>
  <c r="V22" i="3"/>
  <c r="E105" i="12"/>
  <c r="E95" i="12"/>
  <c r="C100" i="9"/>
  <c r="C114" i="9" s="1"/>
  <c r="C130" i="9" s="1"/>
  <c r="C136" i="9" s="1"/>
  <c r="E98" i="12"/>
  <c r="E96" i="12"/>
  <c r="D156" i="8"/>
  <c r="D189" i="8"/>
  <c r="AD45" i="3"/>
  <c r="C97" i="11"/>
  <c r="C112" i="11" s="1"/>
  <c r="C129" i="11" s="1"/>
  <c r="C134" i="11" s="1"/>
  <c r="C109" i="9"/>
  <c r="C117" i="9" s="1"/>
  <c r="C133" i="9" s="1"/>
  <c r="C139" i="9" s="1"/>
  <c r="C145" i="9" s="1"/>
  <c r="H186" i="8"/>
  <c r="H204" i="8"/>
  <c r="C115" i="9"/>
  <c r="C131" i="9" s="1"/>
  <c r="C137" i="9" s="1"/>
  <c r="F174" i="8"/>
  <c r="F201" i="8"/>
  <c r="L197" i="5"/>
  <c r="L194" i="5"/>
  <c r="N186" i="8"/>
  <c r="N204" i="8"/>
  <c r="F161" i="5"/>
  <c r="J9" i="3" s="1"/>
  <c r="F194" i="5"/>
  <c r="X9" i="3" s="1"/>
  <c r="H197" i="5"/>
  <c r="X28" i="3"/>
  <c r="AB19" i="3"/>
  <c r="AD18" i="3"/>
  <c r="AD17" i="3"/>
  <c r="AD16" i="3"/>
  <c r="AD8" i="3"/>
  <c r="AD10" i="3"/>
  <c r="AD11" i="3"/>
  <c r="AD7" i="3"/>
  <c r="AD6" i="3"/>
  <c r="AD12" i="3"/>
  <c r="F197" i="5"/>
  <c r="Z9" i="3" s="1"/>
  <c r="V36" i="3"/>
  <c r="V32" i="3"/>
  <c r="V29" i="3"/>
  <c r="V34" i="3"/>
  <c r="V30" i="3"/>
  <c r="E108" i="12"/>
  <c r="C105" i="9"/>
  <c r="E106" i="12"/>
  <c r="E113" i="12" s="1"/>
  <c r="E128" i="12" s="1"/>
  <c r="E133" i="12" s="1"/>
  <c r="C99" i="9"/>
  <c r="E101" i="12"/>
  <c r="D168" i="8"/>
  <c r="D192" i="8"/>
  <c r="C100" i="11"/>
  <c r="C113" i="11" s="1"/>
  <c r="C130" i="11" s="1"/>
  <c r="C135" i="11" s="1"/>
  <c r="C94" i="9"/>
  <c r="C112" i="9" s="1"/>
  <c r="C128" i="9" s="1"/>
  <c r="C134" i="9" s="1"/>
  <c r="H156" i="8"/>
  <c r="H189" i="8"/>
  <c r="AC19" i="3"/>
  <c r="C109" i="11"/>
  <c r="C116" i="11" s="1"/>
  <c r="C133" i="11" s="1"/>
  <c r="C138" i="11" s="1"/>
  <c r="C116" i="9"/>
  <c r="C132" i="9" s="1"/>
  <c r="C138" i="9" s="1"/>
  <c r="C144" i="9" s="1"/>
  <c r="F186" i="8"/>
  <c r="F204" i="8"/>
  <c r="L149" i="5"/>
  <c r="N156" i="8"/>
  <c r="N189" i="8"/>
  <c r="D167" i="5"/>
  <c r="J197" i="5"/>
  <c r="J34" i="3" l="1"/>
  <c r="X20" i="3"/>
  <c r="L28" i="3"/>
  <c r="J29" i="3"/>
  <c r="L20" i="3"/>
  <c r="J32" i="3"/>
  <c r="J30" i="3"/>
  <c r="F26" i="3"/>
  <c r="K193" i="11"/>
  <c r="L193" i="11" s="1"/>
  <c r="L194" i="11" s="1"/>
  <c r="C190" i="11"/>
  <c r="D190" i="11" s="1"/>
  <c r="D191" i="11" s="1"/>
  <c r="E178" i="11"/>
  <c r="F178" i="11" s="1"/>
  <c r="F179" i="11" s="1"/>
  <c r="P39" i="3" s="1"/>
  <c r="K181" i="11"/>
  <c r="L181" i="11" s="1"/>
  <c r="L182" i="11" s="1"/>
  <c r="G190" i="11"/>
  <c r="H190" i="11" s="1"/>
  <c r="H191" i="11" s="1"/>
  <c r="V43" i="3" s="1"/>
  <c r="G178" i="11"/>
  <c r="H178" i="11" s="1"/>
  <c r="H179" i="11" s="1"/>
  <c r="P43" i="3" s="1"/>
  <c r="I154" i="11"/>
  <c r="J154" i="11" s="1"/>
  <c r="K160" i="11"/>
  <c r="L160" i="11" s="1"/>
  <c r="L161" i="11" s="1"/>
  <c r="K196" i="11"/>
  <c r="L196" i="11" s="1"/>
  <c r="L197" i="11" s="1"/>
  <c r="K154" i="11"/>
  <c r="L154" i="11" s="1"/>
  <c r="G172" i="11"/>
  <c r="H172" i="11" s="1"/>
  <c r="I160" i="11"/>
  <c r="J160" i="11" s="1"/>
  <c r="J161" i="11" s="1"/>
  <c r="E190" i="11"/>
  <c r="F190" i="11" s="1"/>
  <c r="F191" i="11" s="1"/>
  <c r="V39" i="3" s="1"/>
  <c r="E181" i="11"/>
  <c r="F181" i="11" s="1"/>
  <c r="F182" i="11" s="1"/>
  <c r="R42" i="3" s="1"/>
  <c r="R25" i="3"/>
  <c r="R24" i="3"/>
  <c r="F102" i="8"/>
  <c r="F97" i="8"/>
  <c r="F115" i="8" s="1"/>
  <c r="F133" i="8" s="1"/>
  <c r="F139" i="8" s="1"/>
  <c r="F106" i="8"/>
  <c r="F118" i="8" s="1"/>
  <c r="F136" i="8" s="1"/>
  <c r="F142" i="8" s="1"/>
  <c r="F25" i="3"/>
  <c r="F109" i="8"/>
  <c r="F119" i="8" s="1"/>
  <c r="F137" i="8" s="1"/>
  <c r="F143" i="8" s="1"/>
  <c r="I172" i="11"/>
  <c r="J172" i="11" s="1"/>
  <c r="C172" i="11"/>
  <c r="D172" i="11" s="1"/>
  <c r="E148" i="11"/>
  <c r="F148" i="11" s="1"/>
  <c r="F149" i="11" s="1"/>
  <c r="F42" i="3" s="1"/>
  <c r="E196" i="11"/>
  <c r="F196" i="11" s="1"/>
  <c r="F197" i="11" s="1"/>
  <c r="Z42" i="3" s="1"/>
  <c r="C166" i="11"/>
  <c r="D166" i="11" s="1"/>
  <c r="D167" i="11" s="1"/>
  <c r="I178" i="11"/>
  <c r="J178" i="11" s="1"/>
  <c r="J179" i="11" s="1"/>
  <c r="I196" i="11"/>
  <c r="J196" i="11" s="1"/>
  <c r="J197" i="11" s="1"/>
  <c r="E166" i="11"/>
  <c r="F166" i="11" s="1"/>
  <c r="F167" i="11" s="1"/>
  <c r="L41" i="3" s="1"/>
  <c r="K178" i="11"/>
  <c r="L178" i="11" s="1"/>
  <c r="L179" i="11" s="1"/>
  <c r="K184" i="11"/>
  <c r="L184" i="11" s="1"/>
  <c r="L185" i="11" s="1"/>
  <c r="I190" i="11"/>
  <c r="J190" i="11" s="1"/>
  <c r="J191" i="11" s="1"/>
  <c r="C193" i="11"/>
  <c r="D193" i="11" s="1"/>
  <c r="D194" i="11" s="1"/>
  <c r="F107" i="8"/>
  <c r="F99" i="8"/>
  <c r="F103" i="8"/>
  <c r="F117" i="8" s="1"/>
  <c r="F135" i="8" s="1"/>
  <c r="F141" i="8" s="1"/>
  <c r="F24" i="3"/>
  <c r="F113" i="8"/>
  <c r="F111" i="8"/>
  <c r="I181" i="11"/>
  <c r="J181" i="11" s="1"/>
  <c r="J182" i="11" s="1"/>
  <c r="K148" i="11"/>
  <c r="L148" i="11" s="1"/>
  <c r="L149" i="11" s="1"/>
  <c r="K172" i="11"/>
  <c r="L172" i="11" s="1"/>
  <c r="E160" i="11"/>
  <c r="F160" i="11" s="1"/>
  <c r="F161" i="11" s="1"/>
  <c r="J39" i="3" s="1"/>
  <c r="G148" i="11"/>
  <c r="H148" i="11" s="1"/>
  <c r="H149" i="11" s="1"/>
  <c r="F43" i="3" s="1"/>
  <c r="K190" i="11"/>
  <c r="L190" i="11" s="1"/>
  <c r="L191" i="11" s="1"/>
  <c r="G166" i="11"/>
  <c r="H166" i="11" s="1"/>
  <c r="H167" i="11" s="1"/>
  <c r="L43" i="3" s="1"/>
  <c r="C184" i="11"/>
  <c r="D184" i="11" s="1"/>
  <c r="D185" i="11" s="1"/>
  <c r="C154" i="11"/>
  <c r="D154" i="11" s="1"/>
  <c r="I166" i="11"/>
  <c r="J166" i="11" s="1"/>
  <c r="J167" i="11" s="1"/>
  <c r="E184" i="11"/>
  <c r="F184" i="11" s="1"/>
  <c r="F185" i="11" s="1"/>
  <c r="T41" i="3" s="1"/>
  <c r="E193" i="11"/>
  <c r="F193" i="11" s="1"/>
  <c r="F194" i="11" s="1"/>
  <c r="X44" i="3" s="1"/>
  <c r="C196" i="11"/>
  <c r="D196" i="11" s="1"/>
  <c r="D197" i="11" s="1"/>
  <c r="G193" i="11"/>
  <c r="H193" i="11" s="1"/>
  <c r="H194" i="11" s="1"/>
  <c r="X43" i="3" s="1"/>
  <c r="C148" i="11"/>
  <c r="D148" i="11" s="1"/>
  <c r="D149" i="11" s="1"/>
  <c r="G181" i="11"/>
  <c r="H181" i="11" s="1"/>
  <c r="H182" i="11" s="1"/>
  <c r="R43" i="3" s="1"/>
  <c r="F112" i="8"/>
  <c r="F120" i="8" s="1"/>
  <c r="F138" i="8" s="1"/>
  <c r="F144" i="8" s="1"/>
  <c r="I148" i="11"/>
  <c r="J148" i="11" s="1"/>
  <c r="J149" i="11" s="1"/>
  <c r="C160" i="11"/>
  <c r="D160" i="11" s="1"/>
  <c r="D161" i="11" s="1"/>
  <c r="C181" i="11"/>
  <c r="D181" i="11" s="1"/>
  <c r="D182" i="11" s="1"/>
  <c r="E172" i="11"/>
  <c r="F172" i="11" s="1"/>
  <c r="G160" i="11"/>
  <c r="H160" i="11" s="1"/>
  <c r="H161" i="11" s="1"/>
  <c r="J43" i="3" s="1"/>
  <c r="E154" i="11"/>
  <c r="F154" i="11" s="1"/>
  <c r="K166" i="11"/>
  <c r="L166" i="11" s="1"/>
  <c r="L167" i="11" s="1"/>
  <c r="G184" i="11"/>
  <c r="H184" i="11" s="1"/>
  <c r="H185" i="11" s="1"/>
  <c r="T43" i="3" s="1"/>
  <c r="G154" i="11"/>
  <c r="H154" i="11" s="1"/>
  <c r="C178" i="11"/>
  <c r="D178" i="11" s="1"/>
  <c r="D179" i="11" s="1"/>
  <c r="I184" i="11"/>
  <c r="J184" i="11" s="1"/>
  <c r="J185" i="11" s="1"/>
  <c r="I193" i="11"/>
  <c r="J193" i="11" s="1"/>
  <c r="J194" i="11" s="1"/>
  <c r="G196" i="11"/>
  <c r="H196" i="11" s="1"/>
  <c r="H197" i="11" s="1"/>
  <c r="Z43" i="3" s="1"/>
  <c r="X23" i="3"/>
  <c r="X21" i="3"/>
  <c r="E107" i="8"/>
  <c r="E103" i="8"/>
  <c r="E117" i="8" s="1"/>
  <c r="E135" i="8" s="1"/>
  <c r="E141" i="8" s="1"/>
  <c r="E105" i="8"/>
  <c r="X31" i="3"/>
  <c r="X33" i="3"/>
  <c r="X22" i="3"/>
  <c r="I160" i="8"/>
  <c r="J160" i="8" s="1"/>
  <c r="J162" i="8" s="1"/>
  <c r="H27" i="3" s="1"/>
  <c r="I178" i="8"/>
  <c r="J178" i="8" s="1"/>
  <c r="J180" i="8" s="1"/>
  <c r="N27" i="3" s="1"/>
  <c r="C148" i="8"/>
  <c r="AC27" i="3" s="1"/>
  <c r="G153" i="11"/>
  <c r="H153" i="11" s="1"/>
  <c r="H155" i="11" s="1"/>
  <c r="H43" i="3" s="1"/>
  <c r="G171" i="11"/>
  <c r="H171" i="11" s="1"/>
  <c r="C141" i="11"/>
  <c r="AC43" i="3" s="1"/>
  <c r="K178" i="8"/>
  <c r="L178" i="8" s="1"/>
  <c r="L180" i="8" s="1"/>
  <c r="C149" i="8"/>
  <c r="K160" i="8"/>
  <c r="L160" i="8" s="1"/>
  <c r="L162" i="8" s="1"/>
  <c r="G107" i="11"/>
  <c r="G109" i="11"/>
  <c r="G116" i="11" s="1"/>
  <c r="G133" i="11" s="1"/>
  <c r="G138" i="11" s="1"/>
  <c r="G102" i="11"/>
  <c r="E100" i="8"/>
  <c r="E116" i="8" s="1"/>
  <c r="E134" i="8" s="1"/>
  <c r="E140" i="8" s="1"/>
  <c r="AA9" i="3"/>
  <c r="L23" i="3"/>
  <c r="L21" i="3"/>
  <c r="G160" i="8"/>
  <c r="H160" i="8" s="1"/>
  <c r="H162" i="8" s="1"/>
  <c r="H36" i="3" s="1"/>
  <c r="G178" i="8"/>
  <c r="H178" i="8" s="1"/>
  <c r="H180" i="8" s="1"/>
  <c r="C147" i="8"/>
  <c r="G100" i="11"/>
  <c r="G113" i="11" s="1"/>
  <c r="G130" i="11" s="1"/>
  <c r="G135" i="11" s="1"/>
  <c r="G104" i="11"/>
  <c r="G98" i="11"/>
  <c r="E106" i="8"/>
  <c r="E118" i="8" s="1"/>
  <c r="E136" i="8" s="1"/>
  <c r="E142" i="8" s="1"/>
  <c r="E98" i="8"/>
  <c r="E109" i="8"/>
  <c r="E119" i="8" s="1"/>
  <c r="E137" i="8" s="1"/>
  <c r="E143" i="8" s="1"/>
  <c r="E102" i="8"/>
  <c r="E113" i="8"/>
  <c r="L31" i="3"/>
  <c r="L33" i="3"/>
  <c r="E178" i="8"/>
  <c r="F178" i="8" s="1"/>
  <c r="F180" i="8" s="1"/>
  <c r="N24" i="3" s="1"/>
  <c r="E160" i="8"/>
  <c r="F160" i="8" s="1"/>
  <c r="F162" i="8" s="1"/>
  <c r="H35" i="3" s="1"/>
  <c r="C146" i="8"/>
  <c r="C150" i="8"/>
  <c r="M160" i="8"/>
  <c r="N160" i="8" s="1"/>
  <c r="N162" i="8" s="1"/>
  <c r="M178" i="8"/>
  <c r="N178" i="8" s="1"/>
  <c r="N180" i="8" s="1"/>
  <c r="G106" i="11"/>
  <c r="G115" i="11" s="1"/>
  <c r="G132" i="11" s="1"/>
  <c r="G137" i="11" s="1"/>
  <c r="G103" i="11"/>
  <c r="G114" i="11" s="1"/>
  <c r="G131" i="11" s="1"/>
  <c r="G136" i="11" s="1"/>
  <c r="E111" i="8"/>
  <c r="E114" i="8"/>
  <c r="G101" i="11"/>
  <c r="G99" i="11"/>
  <c r="E104" i="8"/>
  <c r="E112" i="8"/>
  <c r="E120" i="8" s="1"/>
  <c r="E138" i="8" s="1"/>
  <c r="E144" i="8" s="1"/>
  <c r="C160" i="8"/>
  <c r="D160" i="8" s="1"/>
  <c r="D162" i="8" s="1"/>
  <c r="H20" i="3" s="1"/>
  <c r="C178" i="8"/>
  <c r="D178" i="8" s="1"/>
  <c r="D180" i="8" s="1"/>
  <c r="N23" i="3" s="1"/>
  <c r="C145" i="8"/>
  <c r="G108" i="11"/>
  <c r="E110" i="8"/>
  <c r="E99" i="8"/>
  <c r="E101" i="8"/>
  <c r="E97" i="8"/>
  <c r="E115" i="8" s="1"/>
  <c r="E133" i="8" s="1"/>
  <c r="E139" i="8" s="1"/>
  <c r="L22" i="3"/>
  <c r="G111" i="11"/>
  <c r="G97" i="11"/>
  <c r="G112" i="11" s="1"/>
  <c r="G129" i="11" s="1"/>
  <c r="G134" i="11" s="1"/>
  <c r="G105" i="11"/>
  <c r="E171" i="11"/>
  <c r="F171" i="11" s="1"/>
  <c r="E153" i="11"/>
  <c r="F153" i="11" s="1"/>
  <c r="C140" i="11"/>
  <c r="T15" i="3"/>
  <c r="T13" i="3"/>
  <c r="T14" i="3"/>
  <c r="X18" i="3"/>
  <c r="X11" i="3"/>
  <c r="X7" i="3"/>
  <c r="X6" i="3"/>
  <c r="X16" i="3"/>
  <c r="X12" i="3"/>
  <c r="X8" i="3"/>
  <c r="X10" i="3"/>
  <c r="X17" i="3"/>
  <c r="J18" i="3"/>
  <c r="J17" i="3"/>
  <c r="J12" i="3"/>
  <c r="J8" i="3"/>
  <c r="J10" i="3"/>
  <c r="J11" i="3"/>
  <c r="J7" i="3"/>
  <c r="J6" i="3"/>
  <c r="J16" i="3"/>
  <c r="R13" i="3"/>
  <c r="R14" i="3"/>
  <c r="R15" i="3"/>
  <c r="F13" i="3"/>
  <c r="F14" i="3"/>
  <c r="F15" i="3"/>
  <c r="C143" i="11"/>
  <c r="K171" i="11"/>
  <c r="L171" i="11" s="1"/>
  <c r="K153" i="11"/>
  <c r="L153" i="11" s="1"/>
  <c r="L15" i="3"/>
  <c r="L13" i="3"/>
  <c r="L14" i="3"/>
  <c r="R36" i="3"/>
  <c r="R32" i="3"/>
  <c r="R29" i="3"/>
  <c r="R34" i="3"/>
  <c r="R30" i="3"/>
  <c r="T37" i="3"/>
  <c r="T33" i="3"/>
  <c r="T21" i="3"/>
  <c r="T20" i="3"/>
  <c r="T22" i="3"/>
  <c r="T31" i="3"/>
  <c r="T23" i="3"/>
  <c r="T28" i="3"/>
  <c r="L18" i="3"/>
  <c r="L11" i="3"/>
  <c r="L7" i="3"/>
  <c r="L6" i="3"/>
  <c r="L16" i="3"/>
  <c r="L12" i="3"/>
  <c r="L8" i="3"/>
  <c r="L17" i="3"/>
  <c r="L10" i="3"/>
  <c r="H21" i="3"/>
  <c r="H18" i="3"/>
  <c r="H11" i="3"/>
  <c r="H7" i="3"/>
  <c r="H6" i="3"/>
  <c r="H10" i="3"/>
  <c r="H16" i="3"/>
  <c r="H12" i="3"/>
  <c r="H8" i="3"/>
  <c r="H17" i="3"/>
  <c r="J13" i="3"/>
  <c r="J14" i="3"/>
  <c r="J15" i="3"/>
  <c r="C142" i="9"/>
  <c r="AB29" i="3"/>
  <c r="AB34" i="3"/>
  <c r="AB30" i="3"/>
  <c r="AB36" i="3"/>
  <c r="AB32" i="3"/>
  <c r="F36" i="3"/>
  <c r="F32" i="3"/>
  <c r="F29" i="3"/>
  <c r="F34" i="3"/>
  <c r="F30" i="3"/>
  <c r="J31" i="3"/>
  <c r="J23" i="3"/>
  <c r="J28" i="3"/>
  <c r="J37" i="3"/>
  <c r="J33" i="3"/>
  <c r="J21" i="3"/>
  <c r="J20" i="3"/>
  <c r="J22" i="3"/>
  <c r="R18" i="3"/>
  <c r="R17" i="3"/>
  <c r="R8" i="3"/>
  <c r="R10" i="3"/>
  <c r="R12" i="3"/>
  <c r="R11" i="3"/>
  <c r="R7" i="3"/>
  <c r="R6" i="3"/>
  <c r="R16" i="3"/>
  <c r="X15" i="3"/>
  <c r="X14" i="3"/>
  <c r="X13" i="3"/>
  <c r="X25" i="3"/>
  <c r="X26" i="3"/>
  <c r="X35" i="3"/>
  <c r="X24" i="3"/>
  <c r="P29" i="3"/>
  <c r="P34" i="3"/>
  <c r="P30" i="3"/>
  <c r="P36" i="3"/>
  <c r="P32" i="3"/>
  <c r="R31" i="3"/>
  <c r="R23" i="3"/>
  <c r="R28" i="3"/>
  <c r="R37" i="3"/>
  <c r="R33" i="3"/>
  <c r="R21" i="3"/>
  <c r="R20" i="3"/>
  <c r="R22" i="3"/>
  <c r="J35" i="3"/>
  <c r="J24" i="3"/>
  <c r="J25" i="3"/>
  <c r="J26" i="3"/>
  <c r="X29" i="3"/>
  <c r="X34" i="3"/>
  <c r="X30" i="3"/>
  <c r="X36" i="3"/>
  <c r="X32" i="3"/>
  <c r="V40" i="3"/>
  <c r="F100" i="8"/>
  <c r="F116" i="8" s="1"/>
  <c r="F134" i="8" s="1"/>
  <c r="F140" i="8" s="1"/>
  <c r="H15" i="3"/>
  <c r="H14" i="3"/>
  <c r="H13" i="3"/>
  <c r="N13" i="3"/>
  <c r="N14" i="3"/>
  <c r="N15" i="3"/>
  <c r="T29" i="3"/>
  <c r="T34" i="3"/>
  <c r="T30" i="3"/>
  <c r="T32" i="3"/>
  <c r="T36" i="3"/>
  <c r="F98" i="8"/>
  <c r="Z36" i="3"/>
  <c r="Z32" i="3"/>
  <c r="Z29" i="3"/>
  <c r="Z20" i="3"/>
  <c r="Z34" i="3"/>
  <c r="Z30" i="3"/>
  <c r="P15" i="3"/>
  <c r="P14" i="3"/>
  <c r="P13" i="3"/>
  <c r="T25" i="3"/>
  <c r="T26" i="3"/>
  <c r="T35" i="3"/>
  <c r="T24" i="3"/>
  <c r="Z35" i="3"/>
  <c r="Z24" i="3"/>
  <c r="Z25" i="3"/>
  <c r="Z26" i="3"/>
  <c r="Z18" i="3"/>
  <c r="Z17" i="3"/>
  <c r="Z10" i="3"/>
  <c r="Z11" i="3"/>
  <c r="Z7" i="3"/>
  <c r="Z6" i="3"/>
  <c r="Z16" i="3"/>
  <c r="Z12" i="3"/>
  <c r="Z8" i="3"/>
  <c r="Z13" i="3"/>
  <c r="Z14" i="3"/>
  <c r="Z15" i="3"/>
  <c r="L25" i="3"/>
  <c r="L26" i="3"/>
  <c r="L35" i="3"/>
  <c r="L24" i="3"/>
  <c r="F31" i="3"/>
  <c r="F23" i="3"/>
  <c r="F28" i="3"/>
  <c r="F37" i="3"/>
  <c r="F33" i="3"/>
  <c r="F21" i="3"/>
  <c r="F20" i="3"/>
  <c r="F22" i="3"/>
  <c r="F105" i="8"/>
  <c r="F101" i="8"/>
  <c r="F114" i="8"/>
  <c r="T18" i="3"/>
  <c r="T11" i="3"/>
  <c r="T7" i="3"/>
  <c r="T6" i="3"/>
  <c r="T16" i="3"/>
  <c r="T12" i="3"/>
  <c r="T8" i="3"/>
  <c r="T17" i="3"/>
  <c r="T10" i="3"/>
  <c r="Z39" i="3"/>
  <c r="L29" i="3"/>
  <c r="L34" i="3"/>
  <c r="L30" i="3"/>
  <c r="L36" i="3"/>
  <c r="L32" i="3"/>
  <c r="P37" i="3"/>
  <c r="P33" i="3"/>
  <c r="P21" i="3"/>
  <c r="P20" i="3"/>
  <c r="P22" i="3"/>
  <c r="P31" i="3"/>
  <c r="P23" i="3"/>
  <c r="P28" i="3"/>
  <c r="F110" i="8"/>
  <c r="I171" i="11"/>
  <c r="J171" i="11" s="1"/>
  <c r="C142" i="11"/>
  <c r="I153" i="11"/>
  <c r="J153" i="11" s="1"/>
  <c r="N18" i="3"/>
  <c r="N17" i="3"/>
  <c r="N16" i="3"/>
  <c r="N10" i="3"/>
  <c r="N11" i="3"/>
  <c r="N7" i="3"/>
  <c r="N6" i="3"/>
  <c r="N12" i="3"/>
  <c r="N8" i="3"/>
  <c r="V13" i="3"/>
  <c r="V14" i="3"/>
  <c r="V15" i="3"/>
  <c r="C143" i="9"/>
  <c r="AD27" i="3" s="1"/>
  <c r="AB27" i="3"/>
  <c r="F18" i="3"/>
  <c r="F17" i="3"/>
  <c r="F16" i="3"/>
  <c r="F8" i="3"/>
  <c r="F10" i="3"/>
  <c r="F11" i="3"/>
  <c r="F7" i="3"/>
  <c r="F6" i="3"/>
  <c r="F12" i="3"/>
  <c r="H30" i="3"/>
  <c r="L40" i="3"/>
  <c r="P25" i="3"/>
  <c r="P26" i="3"/>
  <c r="P35" i="3"/>
  <c r="P24" i="3"/>
  <c r="AD19" i="3"/>
  <c r="C140" i="9"/>
  <c r="AB37" i="3"/>
  <c r="AB33" i="3"/>
  <c r="AB21" i="3"/>
  <c r="AB20" i="3"/>
  <c r="AB22" i="3"/>
  <c r="AB31" i="3"/>
  <c r="AB23" i="3"/>
  <c r="AB28" i="3"/>
  <c r="C139" i="11"/>
  <c r="C171" i="11"/>
  <c r="D171" i="11" s="1"/>
  <c r="C153" i="11"/>
  <c r="D153" i="11" s="1"/>
  <c r="H26" i="3"/>
  <c r="C141" i="9"/>
  <c r="AB25" i="3"/>
  <c r="AB26" i="3"/>
  <c r="AB35" i="3"/>
  <c r="AB24" i="3"/>
  <c r="F104" i="8"/>
  <c r="P18" i="3"/>
  <c r="P11" i="3"/>
  <c r="P7" i="3"/>
  <c r="P6" i="3"/>
  <c r="P10" i="3"/>
  <c r="P16" i="3"/>
  <c r="P12" i="3"/>
  <c r="P8" i="3"/>
  <c r="P17" i="3"/>
  <c r="V18" i="3"/>
  <c r="V17" i="3"/>
  <c r="V16" i="3"/>
  <c r="V12" i="3"/>
  <c r="V10" i="3"/>
  <c r="V8" i="3"/>
  <c r="V11" i="3"/>
  <c r="V7" i="3"/>
  <c r="V6" i="3"/>
  <c r="D155" i="11" l="1"/>
  <c r="D173" i="11"/>
  <c r="H173" i="11"/>
  <c r="N43" i="3" s="1"/>
  <c r="J155" i="11"/>
  <c r="H25" i="3"/>
  <c r="H24" i="3"/>
  <c r="F39" i="3"/>
  <c r="L44" i="3"/>
  <c r="Z40" i="3"/>
  <c r="V44" i="3"/>
  <c r="Z44" i="3"/>
  <c r="V41" i="3"/>
  <c r="V42" i="3"/>
  <c r="L42" i="3"/>
  <c r="L39" i="3"/>
  <c r="R39" i="3"/>
  <c r="N31" i="3"/>
  <c r="R40" i="3"/>
  <c r="L155" i="11"/>
  <c r="X41" i="3"/>
  <c r="P40" i="3"/>
  <c r="J40" i="3"/>
  <c r="N35" i="3"/>
  <c r="AA35" i="3" s="1"/>
  <c r="J44" i="3"/>
  <c r="P42" i="3"/>
  <c r="P44" i="3"/>
  <c r="T39" i="3"/>
  <c r="X40" i="3"/>
  <c r="R44" i="3"/>
  <c r="J41" i="3"/>
  <c r="J42" i="3"/>
  <c r="P41" i="3"/>
  <c r="X39" i="3"/>
  <c r="X42" i="3"/>
  <c r="R41" i="3"/>
  <c r="F40" i="3"/>
  <c r="F173" i="11"/>
  <c r="N42" i="3" s="1"/>
  <c r="F44" i="3"/>
  <c r="F41" i="3"/>
  <c r="N33" i="3"/>
  <c r="T40" i="3"/>
  <c r="N22" i="3"/>
  <c r="N37" i="3"/>
  <c r="AA43" i="3"/>
  <c r="T42" i="3"/>
  <c r="T44" i="3"/>
  <c r="H32" i="3"/>
  <c r="AA32" i="3" s="1"/>
  <c r="H29" i="3"/>
  <c r="Z41" i="3"/>
  <c r="N20" i="3"/>
  <c r="AA20" i="3" s="1"/>
  <c r="N28" i="3"/>
  <c r="F155" i="11"/>
  <c r="H40" i="3" s="1"/>
  <c r="H34" i="3"/>
  <c r="J173" i="11"/>
  <c r="N21" i="3"/>
  <c r="AA21" i="3" s="1"/>
  <c r="L173" i="11"/>
  <c r="AA24" i="3"/>
  <c r="H23" i="3"/>
  <c r="AA23" i="3" s="1"/>
  <c r="H33" i="3"/>
  <c r="AC34" i="3"/>
  <c r="AC29" i="3"/>
  <c r="AC32" i="3"/>
  <c r="AC30" i="3"/>
  <c r="AC36" i="3"/>
  <c r="AA6" i="3"/>
  <c r="AA8" i="3"/>
  <c r="N25" i="3"/>
  <c r="AA25" i="3" s="1"/>
  <c r="H22" i="3"/>
  <c r="H37" i="3"/>
  <c r="AC31" i="3"/>
  <c r="AC33" i="3"/>
  <c r="AC21" i="3"/>
  <c r="AC37" i="3"/>
  <c r="AC23" i="3"/>
  <c r="AC20" i="3"/>
  <c r="AC28" i="3"/>
  <c r="AC22" i="3"/>
  <c r="AC35" i="3"/>
  <c r="AC25" i="3"/>
  <c r="AC26" i="3"/>
  <c r="AC24" i="3"/>
  <c r="N30" i="3"/>
  <c r="AA30" i="3" s="1"/>
  <c r="N29" i="3"/>
  <c r="N36" i="3"/>
  <c r="AA36" i="3" s="1"/>
  <c r="N34" i="3"/>
  <c r="N32" i="3"/>
  <c r="N26" i="3"/>
  <c r="AA26" i="3" s="1"/>
  <c r="H31" i="3"/>
  <c r="AA31" i="3" s="1"/>
  <c r="H28" i="3"/>
  <c r="AA27" i="3"/>
  <c r="AD36" i="3"/>
  <c r="AD32" i="3"/>
  <c r="AD29" i="3"/>
  <c r="AD34" i="3"/>
  <c r="AD30" i="3"/>
  <c r="AA7" i="3"/>
  <c r="AA16" i="3"/>
  <c r="AA15" i="3"/>
  <c r="AC41" i="3"/>
  <c r="AC42" i="3"/>
  <c r="AC39" i="3"/>
  <c r="AC40" i="3"/>
  <c r="AC44" i="3"/>
  <c r="AD35" i="3"/>
  <c r="AD24" i="3"/>
  <c r="AD25" i="3"/>
  <c r="AD26" i="3"/>
  <c r="AA17" i="3"/>
  <c r="AA14" i="3"/>
  <c r="AB38" i="3"/>
  <c r="AB47" i="3" s="1"/>
  <c r="G9" i="13" s="1"/>
  <c r="H9" i="13" s="1"/>
  <c r="AD31" i="3"/>
  <c r="AD23" i="3"/>
  <c r="AD28" i="3"/>
  <c r="AD37" i="3"/>
  <c r="AD33" i="3"/>
  <c r="AD21" i="3"/>
  <c r="AD20" i="3"/>
  <c r="AD22" i="3"/>
  <c r="AA11" i="3"/>
  <c r="AA12" i="3"/>
  <c r="AA10" i="3"/>
  <c r="AA18" i="3"/>
  <c r="AA34" i="3"/>
  <c r="AA13" i="3"/>
  <c r="N40" i="3"/>
  <c r="N39" i="3"/>
  <c r="H42" i="3" l="1"/>
  <c r="H44" i="3"/>
  <c r="N44" i="3"/>
  <c r="AA22" i="3"/>
  <c r="N41" i="3"/>
  <c r="AA33" i="3"/>
  <c r="AA37" i="3"/>
  <c r="AA42" i="3"/>
  <c r="AA29" i="3"/>
  <c r="H39" i="3"/>
  <c r="AA39" i="3" s="1"/>
  <c r="H41" i="3"/>
  <c r="AA28" i="3"/>
  <c r="AC38" i="3"/>
  <c r="AD38" i="3"/>
  <c r="AD47" i="3" s="1"/>
  <c r="G11" i="13" s="1"/>
  <c r="H11" i="13" s="1"/>
  <c r="AA44" i="3"/>
  <c r="AA19" i="3"/>
  <c r="AA40" i="3"/>
  <c r="AC45" i="3"/>
  <c r="AA38" i="3" l="1"/>
  <c r="AA41" i="3"/>
  <c r="AC47" i="3"/>
  <c r="G10" i="13" s="1"/>
  <c r="H10" i="13" s="1"/>
  <c r="AA45" i="3"/>
  <c r="AA47" i="3" s="1"/>
  <c r="G8" i="13" l="1"/>
  <c r="AE49" i="3"/>
  <c r="AE50" i="3" s="1"/>
  <c r="G13" i="13" l="1"/>
  <c r="H8" i="13"/>
  <c r="H13" i="13" s="1"/>
</calcChain>
</file>

<file path=xl/sharedStrings.xml><?xml version="1.0" encoding="utf-8"?>
<sst xmlns="http://schemas.openxmlformats.org/spreadsheetml/2006/main" count="2971" uniqueCount="664">
  <si>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</si>
  <si>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</si>
  <si>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</si>
  <si>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</si>
  <si>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</si>
  <si>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</si>
  <si>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</si>
  <si>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</si>
  <si>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</si>
  <si>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>CAN / NHB / POA</t>
  </si>
  <si>
    <t>RS005021/2021</t>
  </si>
  <si>
    <t>5143-20</t>
  </si>
  <si>
    <t>Carga horária semanal</t>
  </si>
  <si>
    <t>Salário Base (Cl. 3ª)</t>
  </si>
  <si>
    <t>Encarregado acima de 20 empregados (Caderno Técnico)</t>
  </si>
  <si>
    <t>Limpador Alpinista (vidros e fachadas de risco) (Cl. 4ª)</t>
  </si>
  <si>
    <t>Valor da diária do carregador</t>
  </si>
  <si>
    <t>Valor baseado em Pesquisa de Preços anexa ao Processo</t>
  </si>
  <si>
    <t>módulo 2</t>
  </si>
  <si>
    <t>Módulo 2.3</t>
  </si>
  <si>
    <t>Valor CCT</t>
  </si>
  <si>
    <t>custo empregado</t>
  </si>
  <si>
    <t>custo da empresa</t>
  </si>
  <si>
    <t>Auxílio alimentação 44h  ( Cl.18ª)</t>
  </si>
  <si>
    <t>Auxílio alimentação 30h/20h  ( Cl.18ª)</t>
  </si>
  <si>
    <t>Auxílio transporte  ( Cl.20ª)</t>
  </si>
  <si>
    <t>Prêmio Assiduidade  ( Cl.)</t>
  </si>
  <si>
    <t>Assistência ao Trabalhador  ( Cl.)</t>
  </si>
  <si>
    <t>Ajuda de Custo  limpeza de vidros e fachadas de risco</t>
  </si>
  <si>
    <t>Benefício assistência médica</t>
  </si>
  <si>
    <t>Benefício social familiar  ( Cl.29ª)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</si>
  <si>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</si>
  <si>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</si>
  <si>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</si>
  <si>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</si>
  <si>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</si>
  <si>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</si>
  <si>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</si>
  <si>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</si>
  <si>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</si>
  <si>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</si>
  <si>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</si>
  <si>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</si>
  <si>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</si>
  <si>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</si>
  <si>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</si>
  <si>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</si>
  <si>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</si>
  <si>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</si>
  <si>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</si>
  <si>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– Rio Grande do Sul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</si>
  <si>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</si>
  <si>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</si>
  <si>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</si>
  <si>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</si>
  <si>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</si>
  <si>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</si>
  <si>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</si>
  <si>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</si>
  <si>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</si>
  <si>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>*Expectativa anual de nascimento de filhos dos trabalhadores (IBGE – Manual de Preenchimento da Planilha de Custos):</t>
  </si>
  <si>
    <t>**Percentual de Homens: Limpeza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</si>
  <si>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</si>
  <si>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</si>
  <si>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</si>
  <si>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</si>
  <si>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</si>
  <si>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</si>
  <si>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>*Percentual de Mulheres Limpeza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</si>
  <si>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</si>
  <si>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</si>
  <si>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</si>
  <si>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</si>
  <si>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</si>
  <si>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Canoas</t>
  </si>
  <si>
    <t>ISS</t>
  </si>
  <si>
    <t>VT</t>
  </si>
  <si>
    <t>Serventes</t>
  </si>
  <si>
    <t>VT*Servente</t>
  </si>
  <si>
    <t>Unidade Orgânica GEX Novo Hamburgo</t>
  </si>
  <si>
    <t>GEX CANOAS</t>
  </si>
  <si>
    <t>GEX NOVO HAMBURGO</t>
  </si>
  <si>
    <t>CEDOCPREV Canoas</t>
  </si>
  <si>
    <t>Almoxarifado</t>
  </si>
  <si>
    <t>Depósito Gerência em Esteio</t>
  </si>
  <si>
    <t>APS CAMPO BOM</t>
  </si>
  <si>
    <t>APS CACHOEIRINHA</t>
  </si>
  <si>
    <t>APS DOIS IRMÃOS</t>
  </si>
  <si>
    <t>APS CANOAS</t>
  </si>
  <si>
    <t>APS ENCANTADO</t>
  </si>
  <si>
    <t>APS ESTEIO</t>
  </si>
  <si>
    <t>APS ESTRELA</t>
  </si>
  <si>
    <t>APS GRAVATAÍ</t>
  </si>
  <si>
    <t>APS LAJEADO/RS</t>
  </si>
  <si>
    <t>APS GUAÍBA</t>
  </si>
  <si>
    <t>APS MONTENEGRO</t>
  </si>
  <si>
    <t>APS OSÓRIO</t>
  </si>
  <si>
    <t>APS NOVO HAMBURGO</t>
  </si>
  <si>
    <t>APS SÃO JERÔNIMO</t>
  </si>
  <si>
    <t>APS SÃO LEOPOLDO</t>
  </si>
  <si>
    <t>APS TORRES</t>
  </si>
  <si>
    <t>APS SÃO SEBASTIÃO DO CAÍ</t>
  </si>
  <si>
    <t>APS BUTIÁ</t>
  </si>
  <si>
    <t>APS SAPIRANGA</t>
  </si>
  <si>
    <t>APS SANTO ANTÔNIO DA PATRULHA</t>
  </si>
  <si>
    <t>APS TAQUARA</t>
  </si>
  <si>
    <t>Média Simples VT</t>
  </si>
  <si>
    <t>APS TAQUARI</t>
  </si>
  <si>
    <t>Média Ponderada VT</t>
  </si>
  <si>
    <t>APS TEUTÔNIA</t>
  </si>
  <si>
    <t>APS PORTÃO</t>
  </si>
  <si>
    <t>APS IGREJINHA</t>
  </si>
  <si>
    <t>-</t>
  </si>
  <si>
    <t>Unidade Orgânica GEX Porto Alegre</t>
  </si>
  <si>
    <t>APS TRÊS COROAS</t>
  </si>
  <si>
    <t>GERÊNCIA EXECUTIVA PORTO ALEGRE</t>
  </si>
  <si>
    <t>Ed. Brasiliano - APS CENTRO</t>
  </si>
  <si>
    <t>APS PORTO ALEGRE - PARTENON – Perícias</t>
  </si>
  <si>
    <t>APS PORTO ALEGRE - SUL</t>
  </si>
  <si>
    <t>APS ALVORADA/RS</t>
  </si>
  <si>
    <t>CEDOC PREV PORTO ALEGRE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</si>
  <si>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</si>
  <si>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</si>
  <si>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</si>
  <si>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</si>
  <si>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</si>
  <si>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</si>
  <si>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</si>
  <si>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</si>
  <si>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</si>
  <si>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</si>
  <si>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</si>
  <si>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</si>
  <si>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</si>
  <si>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</si>
  <si>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</si>
  <si>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</si>
  <si>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</si>
  <si>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</si>
  <si>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</si>
  <si>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</si>
  <si>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</si>
  <si>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</si>
  <si>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</si>
  <si>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</si>
  <si>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</si>
  <si>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</si>
  <si>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</si>
  <si>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</si>
  <si>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</si>
  <si>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</si>
  <si>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</si>
  <si>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</si>
  <si>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</si>
  <si>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</si>
  <si>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</si>
  <si>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</si>
  <si>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</si>
  <si>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</si>
  <si>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</si>
  <si>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</si>
  <si>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</si>
  <si>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</si>
  <si>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</si>
  <si>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</si>
  <si>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</si>
  <si>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</si>
  <si>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</si>
  <si>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</si>
  <si>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</si>
  <si>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</si>
  <si>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</si>
  <si>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</si>
  <si>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</si>
  <si>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</si>
  <si>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</si>
  <si>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</si>
  <si>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</si>
  <si>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</si>
  <si>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</si>
  <si>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</si>
  <si>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</si>
  <si>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</si>
  <si>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</si>
  <si>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</si>
  <si>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</si>
  <si>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</si>
  <si>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</si>
  <si>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</si>
  <si>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</si>
  <si>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</si>
  <si>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</si>
  <si>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</si>
  <si>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</si>
  <si>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</si>
  <si>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</si>
  <si>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</si>
  <si>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</si>
  <si>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</si>
  <si>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</si>
  <si>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CUSTO MATERIAIS MENSAL POR SERVENTE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</si>
  <si>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</si>
  <si>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</si>
  <si>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</si>
  <si>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</si>
  <si>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</si>
  <si>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</si>
  <si>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</si>
  <si>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</si>
  <si>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</si>
  <si>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</si>
  <si>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</si>
  <si>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</si>
  <si>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</si>
  <si>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</si>
  <si>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</si>
  <si>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</si>
  <si>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</si>
  <si>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</si>
  <si>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</si>
  <si>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</si>
  <si>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</si>
  <si>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</si>
  <si>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</si>
  <si>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</si>
  <si>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</si>
  <si>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</si>
  <si>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</si>
  <si>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</si>
  <si>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</si>
  <si>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</si>
  <si>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</si>
  <si>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</si>
  <si>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</si>
  <si>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</si>
  <si>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</si>
  <si>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</si>
  <si>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</si>
  <si>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</si>
  <si>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</si>
  <si>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</si>
  <si>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</si>
  <si>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</si>
  <si>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</si>
  <si>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</si>
  <si>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</si>
  <si>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</si>
  <si>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</si>
  <si>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</si>
  <si>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</si>
  <si>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</t>
  </si>
  <si>
    <t>X. Diversos</t>
  </si>
  <si>
    <t>EQUIPAMENTOS</t>
  </si>
  <si>
    <t>QUANTIDADE DEFINIDA (1 por Unidade) GEXCAN</t>
  </si>
  <si>
    <t>QUANTIDADE DEFINIDA (1 por Unidade) GEXNHB</t>
  </si>
  <si>
    <r>
      <rPr>
        <b/>
        <sz val="9"/>
        <color rgb="FF333333"/>
        <rFont val="Arial"/>
        <family val="2"/>
        <charset val="1"/>
      </rPr>
      <t>QUANTIDADE DEFINIDA (1 por Unidade) GEXPOA</t>
    </r>
    <r>
      <rPr>
        <b/>
        <sz val="9"/>
        <color rgb="FFFF3333"/>
        <rFont val="Arial"/>
        <family val="2"/>
        <charset val="1"/>
      </rPr>
      <t>*</t>
    </r>
  </si>
  <si>
    <t>CUSTO MENSAL EQUIPAMENTOS (R$) - GEXCAN</t>
  </si>
  <si>
    <t>CUSTO MENSAL EQUIPAMENTOS (R$) - GEXNHB</t>
  </si>
  <si>
    <t>CUSTO MENSAL EQUIPAMENTOS (R$) - GEXPOA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</si>
  <si>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</si>
  <si>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</si>
  <si>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</si>
  <si>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</si>
  <si>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</si>
  <si>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</si>
  <si>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>Lavadora de alta pressão mínimo 1.500 LB</t>
  </si>
  <si>
    <t>Mangueira de jardim 20m, c/ esguicho/engate</t>
  </si>
  <si>
    <t>Placa sinalizadora (Piso Molhado - 2 por APS)</t>
  </si>
  <si>
    <t>Rastelo de Jardim (somente APS com áreas verdes)</t>
  </si>
  <si>
    <t>TOTAL GERAL (60 MESES)</t>
  </si>
  <si>
    <t>TOTAL ANUAL DE EQUIPAMENTOS  - Depreciação Anual conforme tabela da RFB - 10%</t>
  </si>
  <si>
    <t>VALOR POR SERVENTE</t>
  </si>
  <si>
    <t>* APS Partenon – 2 por Unidade (exceto lavadora e mangueira)</t>
  </si>
  <si>
    <t>** GEXPOA – 3 por Unidade (exceto lavadora e mangueira)</t>
  </si>
  <si>
    <t>*** Demais APS – 1 por Unidade</t>
  </si>
  <si>
    <t>UNIFORMES</t>
  </si>
  <si>
    <t>QUANTIDADE DEFINIDA (anual) – GEXCAN</t>
  </si>
  <si>
    <t>QUANTIDADE DEFINIDA (anual) – GEXNHB</t>
  </si>
  <si>
    <t>QUANTIDADE DEFINIDA (anual) – GEXPOA</t>
  </si>
  <si>
    <t>PREÇO MÉDIO – PAINEL DE PREÇOS</t>
  </si>
  <si>
    <t>PEÇO MÉDIO - INTERNET</t>
  </si>
  <si>
    <t>CUSTO MÉDIO</t>
  </si>
  <si>
    <t>CUSTO MENSAL UNIFORMES – GEXCAN</t>
  </si>
  <si>
    <t>CUSTO MENSAL UNIFORMES – GEXNHB</t>
  </si>
  <si>
    <t>CUSTO MENSAL UNIFORMES – GEXPOA</t>
  </si>
  <si>
    <t>SERVENTES</t>
  </si>
  <si>
    <t>Bata (avental)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</si>
  <si>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</si>
  <si>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</si>
  <si>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</si>
  <si>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</si>
  <si>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</si>
  <si>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</si>
  <si>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>Calça Social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</si>
  <si>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</si>
  <si>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</si>
  <si>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</si>
  <si>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</si>
  <si>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</si>
  <si>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</si>
  <si>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</si>
  <si>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</si>
  <si>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</si>
  <si>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</si>
  <si>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</si>
  <si>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</si>
  <si>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</si>
  <si>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</si>
  <si>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</si>
  <si>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</si>
  <si>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</si>
  <si>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</si>
  <si>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</si>
  <si>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</si>
  <si>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</si>
  <si>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</si>
  <si>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</si>
  <si>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</si>
  <si>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</si>
  <si>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</si>
  <si>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</si>
  <si>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</si>
  <si>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</si>
  <si>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</si>
  <si>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</si>
  <si>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</si>
  <si>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</si>
  <si>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</si>
  <si>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</si>
  <si>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</si>
  <si>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</si>
  <si>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ÁREA INTERNA</t>
  </si>
  <si>
    <t>ÁREA EXTERNA</t>
  </si>
  <si>
    <t>ESQUADRIAS</t>
  </si>
  <si>
    <t>ITEM 21</t>
  </si>
  <si>
    <t>ITEM 22</t>
  </si>
  <si>
    <t>ITEM 23</t>
  </si>
  <si>
    <t>ITEM 24</t>
  </si>
  <si>
    <t>ITEM 25</t>
  </si>
  <si>
    <t>Unidade Orgânica</t>
  </si>
  <si>
    <t>ISS %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</si>
  <si>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</si>
  <si>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AI-1b:</t>
    </r>
    <r>
      <rPr>
        <sz val="9"/>
        <color rgb="FF000000"/>
        <rFont val="Calibri"/>
        <family val="2"/>
        <charset val="1"/>
      </rPr>
      <t xml:space="preserve"> 
Pisos frios
(incluindo banheiros)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</si>
  <si>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</si>
  <si>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</si>
  <si>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</si>
  <si>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</si>
  <si>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</si>
  <si>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</si>
  <si>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</si>
  <si>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</si>
  <si>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</si>
  <si>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</si>
  <si>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</si>
  <si>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</si>
  <si>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</si>
  <si>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
Diárias carregadores</t>
  </si>
  <si>
    <t>Área</t>
  </si>
  <si>
    <t>Preço m²</t>
  </si>
  <si>
    <t>R$</t>
  </si>
  <si>
    <t>GERÊNCIA EXECUTIVA CANOAS</t>
  </si>
  <si>
    <t>Av. Inconfidência, 778</t>
  </si>
  <si>
    <t>CANOAS/RS</t>
  </si>
  <si>
    <t>Rua Paes Lemes, 300</t>
  </si>
  <si>
    <t>Rua Frederico Dahne, 68</t>
  </si>
  <si>
    <t>ESTEIO/RS</t>
  </si>
  <si>
    <t>Rua Doutor Campos Sales, 80</t>
  </si>
  <si>
    <t>CACHOEIRINHA/RS</t>
  </si>
  <si>
    <t>Rua General José Machado Lopes, 256</t>
  </si>
  <si>
    <t>Rua Coronel Sarmento, 1321</t>
  </si>
  <si>
    <t>GRAVATAÍ/RS</t>
  </si>
  <si>
    <t>Rua Sete de Setembro, 36</t>
  </si>
  <si>
    <t>GUAÍBA/RA</t>
  </si>
  <si>
    <t>Rua Firmiano Osório, 949</t>
  </si>
  <si>
    <t>OSÓRIO/RS</t>
  </si>
  <si>
    <t>Rua Rio Branco, 384</t>
  </si>
  <si>
    <t>SÃO JERÔNIMO/RS</t>
  </si>
  <si>
    <t>Av. do Riacho, 235</t>
  </si>
  <si>
    <t>TORRES/RS</t>
  </si>
  <si>
    <t>Av. Leandro de Almeida, 356</t>
  </si>
  <si>
    <t>BUTIÁ/RS</t>
  </si>
  <si>
    <t>Av. Major João Villa Verde, 115</t>
  </si>
  <si>
    <t>SANTO ANTÔNIO DA PATRULHA/RS</t>
  </si>
  <si>
    <t>Av. Pedro Adams Filho, 5757 - 14º andar</t>
  </si>
  <si>
    <t>NOVO HAMBURGO/RS</t>
  </si>
  <si>
    <t>Av. Bento Gonçalves, 1891</t>
  </si>
  <si>
    <t>Rua Rudolfo Dick,   141</t>
  </si>
  <si>
    <t>CAMPO BOM/RS</t>
  </si>
  <si>
    <t>Av. Sapiranga, 665</t>
  </si>
  <si>
    <t>DOIS IRMÃOS/RS</t>
  </si>
  <si>
    <t>Rua João Luca, 1687</t>
  </si>
  <si>
    <t>ENCANTADO/RS</t>
  </si>
  <si>
    <t>Av. Rio Branco, 553</t>
  </si>
  <si>
    <t>ESTRELA/RS</t>
  </si>
  <si>
    <t>Av. Benjamin Constant, 973</t>
  </si>
  <si>
    <t>LAJEADO/RS</t>
  </si>
  <si>
    <t>Olavo Bilac, 1284</t>
  </si>
  <si>
    <t>MONTENEGRO/RS</t>
  </si>
  <si>
    <t>Av. Pedro Adams Filho, 5757 Térreo</t>
  </si>
  <si>
    <t>Rua Conceição, 364</t>
  </si>
  <si>
    <t>SÃO LEOPOLDO/RS</t>
  </si>
  <si>
    <t>Rua Benjamim Constant, 182</t>
  </si>
  <si>
    <t>SÃO SEBASTIÃO DO CAÍ/RS</t>
  </si>
  <si>
    <t>Av. João Correa, 1622</t>
  </si>
  <si>
    <t>SAPIRANGA/RS</t>
  </si>
  <si>
    <t>Rua Guilherme Lahn, 1508</t>
  </si>
  <si>
    <t>TAQUARA/RS</t>
  </si>
  <si>
    <t>Av. Osvaldo Aranha, 2536</t>
  </si>
  <si>
    <t>TAQUARI/RS</t>
  </si>
  <si>
    <t>Av. 1 Norte, 315</t>
  </si>
  <si>
    <t>TEUTÔNIA/RS</t>
  </si>
  <si>
    <t>Rua Rondônia, 233</t>
  </si>
  <si>
    <t>PORTÃO/RS</t>
  </si>
  <si>
    <t>Rua Arthur Fetter, 13</t>
  </si>
  <si>
    <t>IGREJINHA/RS</t>
  </si>
  <si>
    <t>Rua Felipe Bender, 273</t>
  </si>
  <si>
    <t>TRÊS COROAS/RS</t>
  </si>
  <si>
    <t>GEX PORTO ALEGRE</t>
  </si>
  <si>
    <t>Rua Jerônimo Coelho, 127</t>
  </si>
  <si>
    <t>PORTO ALEGRE/RS</t>
  </si>
  <si>
    <t>Avenida Borges de Medeiros, 530</t>
  </si>
  <si>
    <t>Avenida Bento Gonçalves, 867</t>
  </si>
  <si>
    <t>Estrada da Vila Maria, 250</t>
  </si>
  <si>
    <t>Avenida Maringá, 1201</t>
  </si>
  <si>
    <t>ALVORADA/RS</t>
  </si>
  <si>
    <t>Rua Marechal Andréa, 351</t>
  </si>
  <si>
    <t>TOTAL GERAL</t>
  </si>
  <si>
    <t>Total A23:Q59Mensais GEX Curitiba</t>
  </si>
  <si>
    <t>Área útil total</t>
  </si>
  <si>
    <t>AI-4: 
Banheiros</t>
  </si>
  <si>
    <r>
      <rPr>
        <b/>
        <sz val="9"/>
        <color rgb="FF000000"/>
        <rFont val="Calibri"/>
        <family val="2"/>
        <charset val="1"/>
      </rPr>
      <t xml:space="preserve">AE-2:
</t>
    </r>
    <r>
      <rPr>
        <sz val="9"/>
        <color rgb="FF000000"/>
        <rFont val="Calibri"/>
        <family val="2"/>
        <charset val="1"/>
      </rPr>
      <t>coleta de detritos em pátios e áreas verdes com frequência diária</t>
    </r>
  </si>
  <si>
    <t>Serventes por Unidade (Calculada)</t>
  </si>
  <si>
    <t>Qtde de serventes ajustada LIMPEZA ORDINÁRIA e carga horária</t>
  </si>
  <si>
    <t>Qtde Ajustada Qtde postos COVID e Carga horária servente</t>
  </si>
  <si>
    <t>Qtde horas eventuais Limpeza Ordinária/Mês</t>
  </si>
  <si>
    <t>Qtde horas eventuais COVID/Mês</t>
  </si>
  <si>
    <t>Qtde Diárias carregadores/Mês</t>
  </si>
  <si>
    <t>Qtde postos e Carga horária ENCARREGADA</t>
  </si>
  <si>
    <t>40h (40%)</t>
  </si>
  <si>
    <t>40h (20%)</t>
  </si>
  <si>
    <t>30h (40%)</t>
  </si>
  <si>
    <t>30h (20%)</t>
  </si>
  <si>
    <t>40h</t>
  </si>
  <si>
    <t>30h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</si>
  <si>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</si>
  <si>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</si>
  <si>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</si>
  <si>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</si>
  <si>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</si>
  <si>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</si>
  <si>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</si>
  <si>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</si>
  <si>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</si>
  <si>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</si>
  <si>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</si>
  <si>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</si>
  <si>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</si>
  <si>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</si>
  <si>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</si>
  <si>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</si>
  <si>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</si>
  <si>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</si>
  <si>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</si>
  <si>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</si>
  <si>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</si>
  <si>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</si>
  <si>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</si>
  <si>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</si>
  <si>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</si>
  <si>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20h</t>
  </si>
  <si>
    <t>Limpador alpinista 44h</t>
  </si>
  <si>
    <t>Encarregado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</si>
  <si>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</si>
  <si>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</si>
  <si>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</si>
  <si>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</si>
  <si>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</si>
  <si>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</si>
  <si>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>Servente 40h (banheirista)
(insalubridade 40%)</t>
  </si>
  <si>
    <t>Servente 40h
(insalubridade 20%)</t>
  </si>
  <si>
    <t>Servente 30h (banheirista)
(insalubridade 40%)</t>
  </si>
  <si>
    <t>Servente 30h
(insalubridade 20%)</t>
  </si>
  <si>
    <t>Servente 20h
(insalubridade 20%)</t>
  </si>
  <si>
    <t>Limpador alpinista 44h (limpeza de esquadrias com risco)</t>
  </si>
  <si>
    <t>Encarregada 40h</t>
  </si>
  <si>
    <t>MÓDULO 1: COMPOSIÇÃO DA REMUNERAÇÃO</t>
  </si>
  <si>
    <t>1 - Composição da Remuneração</t>
  </si>
  <si>
    <t>Percentuais</t>
  </si>
  <si>
    <t>Valor (R$)</t>
  </si>
  <si>
    <t>A - Salário Base</t>
  </si>
  <si>
    <t>B - Adicional de Insalubridade</t>
  </si>
  <si>
    <t>40% / 20%</t>
  </si>
  <si>
    <t>D - Adicional Noturno</t>
  </si>
  <si>
    <t>E - Adicional de Hora Noturna Reduzida</t>
  </si>
  <si>
    <t>F - Adicional de Hora Extra no Feriado Trabalhado</t>
  </si>
  <si>
    <t>E - Outros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</si>
  <si>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</si>
  <si>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</si>
  <si>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</si>
  <si>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</si>
  <si>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</si>
  <si>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</si>
  <si>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</si>
  <si>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</si>
  <si>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</si>
  <si>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</si>
  <si>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</si>
  <si>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</si>
  <si>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</si>
  <si>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</si>
  <si>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</si>
  <si>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</si>
  <si>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</si>
  <si>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</si>
  <si>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(COM DESCONTO DE 19%)</t>
  </si>
  <si>
    <t>C - Ajuda de custo (equipes limpeza vidros)</t>
  </si>
  <si>
    <t>D - Assistência Médica</t>
  </si>
  <si>
    <t>E - Benefício Social Familiar (Cláusula 29ª)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</si>
  <si>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</si>
  <si>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</si>
  <si>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</si>
  <si>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</si>
  <si>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</si>
  <si>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</si>
  <si>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</si>
  <si>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</si>
  <si>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</si>
  <si>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</si>
  <si>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</si>
  <si>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</si>
  <si>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</si>
  <si>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</si>
  <si>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</si>
  <si>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</si>
  <si>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</si>
  <si>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</si>
  <si>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</si>
  <si>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</si>
  <si>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</si>
  <si>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</si>
  <si>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Valores/Percentuais</t>
  </si>
  <si>
    <t>A - Uniformes</t>
  </si>
  <si>
    <t>B - Materiais e utensílios</t>
  </si>
  <si>
    <t>C - Equipamentos</t>
  </si>
  <si>
    <t>D - EPIs</t>
  </si>
  <si>
    <t>E - Esquadrias de risco - Materiais/ Equipamentos/EPIs (conforme MPOG)</t>
  </si>
  <si>
    <t>F -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</si>
  <si>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</si>
  <si>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</si>
  <si>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</si>
  <si>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</si>
  <si>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</si>
  <si>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</si>
  <si>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</si>
  <si>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</si>
  <si>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</si>
  <si>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</si>
  <si>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</si>
  <si>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</si>
  <si>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</si>
  <si>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</si>
  <si>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</si>
  <si>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</si>
  <si>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</si>
  <si>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</si>
  <si>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</si>
  <si>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</si>
  <si>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</si>
  <si>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</si>
  <si>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</si>
  <si>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</si>
  <si>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</si>
  <si>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</si>
  <si>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</si>
  <si>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</si>
  <si>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</si>
  <si>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</si>
  <si>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</si>
  <si>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</si>
  <si>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</si>
  <si>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</si>
  <si>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</si>
  <si>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</si>
  <si>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</si>
  <si>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</si>
  <si>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</si>
  <si>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</si>
  <si>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</si>
  <si>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</si>
  <si>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</si>
  <si>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</si>
  <si>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</si>
  <si>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</si>
  <si>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</si>
  <si>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</si>
  <si>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AI-1b Área Interna pisos frios (incluindo limpeza de banheiros públicos e/ou de grande circulação)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</si>
  <si>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</si>
  <si>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</si>
  <si>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</si>
  <si>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</si>
  <si>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</si>
  <si>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</si>
  <si>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</si>
  <si>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</si>
  <si>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</si>
  <si>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</si>
  <si>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</si>
  <si>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</si>
  <si>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</si>
  <si>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</si>
  <si>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</si>
  <si>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</si>
  <si>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</si>
  <si>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</si>
  <si>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</si>
  <si>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40h
COVID</t>
  </si>
  <si>
    <t>Servente 30h
COVID</t>
  </si>
  <si>
    <t>Servente 20h
COVID</t>
  </si>
  <si>
    <t>D - Assistência Médica (Cláusula 15ª)</t>
  </si>
  <si>
    <t>E - Benefício Social Familiar (Cláusula 16ª)</t>
  </si>
  <si>
    <t>20h (40%)</t>
  </si>
  <si>
    <t>20h (20%)</t>
  </si>
  <si>
    <t>GERÊNCIA EXECUTIVA NOVO HAMBURGO</t>
  </si>
  <si>
    <t>Servente 20h
(insalubridade 40%)</t>
  </si>
  <si>
    <t>C - Tributos  (ISS 3,50%)</t>
  </si>
  <si>
    <t>F - Módulo 6 - Custos Indiretos, Tributos e Lucro (ISS 3,50%)</t>
  </si>
  <si>
    <t>TOTAL POR EMPREGADO/MÊS com ISS de 3,5%</t>
  </si>
  <si>
    <t>VALOR DA HORA com ISS de 3,5%</t>
  </si>
  <si>
    <t>ISS de 3,5%</t>
  </si>
  <si>
    <t>MODELO DE PROPOSTA DE PREÇOS</t>
  </si>
  <si>
    <t>PREGÃO Nº 12/2022</t>
  </si>
  <si>
    <t>PROCESSO ADMINISTRATIVO N.° 35014.018642/2022-12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</si>
  <si>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</si>
  <si>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 xml:space="preserve">GRUPO 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</si>
  <si>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</si>
  <si>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</si>
  <si>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</si>
  <si>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</si>
  <si>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</si>
  <si>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</si>
  <si>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</si>
  <si>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r>
      <rPr>
        <b/>
        <sz val="12"/>
        <color rgb="FF000000"/>
        <rFont val="Calibri"/>
        <family val="2"/>
      </rPr>
      <t>Serviços de limpeza</t>
    </r>
    <r>
      <rPr>
        <sz val="12"/>
        <color rgb="FF000000"/>
        <rFont val="Calibri"/>
        <family val="2"/>
      </rPr>
      <t>, conservação e higienização, com fornecimento de materiais, insumos, equipamentos, EPIs e uniformes, a serem executados nas dependências do POLO V de limpeza da SRIII (GEX Canoas, Porto Alegre e Novo Hamburgo )</t>
    </r>
  </si>
  <si>
    <t>M²</t>
  </si>
  <si>
    <t>12 (meses)</t>
  </si>
  <si>
    <r>
      <rPr>
        <b/>
        <sz val="12"/>
        <color rgb="FF000000"/>
        <rFont val="Calibri"/>
        <family val="2"/>
      </rPr>
      <t>Serviço de desinfecção</t>
    </r>
    <r>
      <rPr>
        <sz val="12"/>
        <color rgb="FF000000"/>
        <rFont val="Calibri"/>
        <family val="2"/>
      </rPr>
      <t>, com fornecimento de materiais, insumos, EPIs e uniformes,a serem executados nas dependências do POLO V de limpeza da SRIII (GEX Canoas, Porto Alegre e Novo Hamburgo)</t>
    </r>
  </si>
  <si>
    <r>
      <rPr>
        <b/>
        <sz val="11"/>
        <color rgb="FF333333"/>
        <rFont val="Arial"/>
        <family val="2"/>
      </rPr>
      <t>Serviços de limpeza</t>
    </r>
    <r>
      <rPr>
        <sz val="11"/>
        <color rgb="FF333333"/>
        <rFont val="Arial"/>
        <family val="2"/>
      </rPr>
      <t>, conservação e higienização, com fornecimento de materiais, insumos, equipamentos, EPIs e uniformes, a serem executados nas dependências do POLO V de limpeza da SRIII (GEX Canoas, Porto Alegre e Novo Hamburgo)</t>
    </r>
    <r>
      <rPr>
        <b/>
        <sz val="11"/>
        <color rgb="FF333333"/>
        <rFont val="Arial"/>
        <family val="2"/>
      </rPr>
      <t xml:space="preserve"> – POR DEMANDA</t>
    </r>
  </si>
  <si>
    <r>
      <rPr>
        <b/>
        <sz val="11"/>
        <color rgb="FF333333"/>
        <rFont val="Arial"/>
        <family val="2"/>
      </rPr>
      <t>Serviço de desinfecção</t>
    </r>
    <r>
      <rPr>
        <sz val="11"/>
        <color rgb="FF333333"/>
        <rFont val="Arial"/>
        <family val="2"/>
      </rPr>
      <t xml:space="preserve">, com fornecimento de materiais, insumos, EPIs e uniformes, a serem executados nas dependências do POLO V de limpeza da SRIII (GEX Canoas, Porto Alegre e Novo Hamburgo) – </t>
    </r>
    <r>
      <rPr>
        <b/>
        <sz val="11"/>
        <color rgb="FF333333"/>
        <rFont val="Arial"/>
        <family val="2"/>
      </rPr>
      <t>POR DEMANDA</t>
    </r>
  </si>
  <si>
    <r>
      <rPr>
        <b/>
        <sz val="11"/>
        <color rgb="FF333333"/>
        <rFont val="Arial"/>
        <family val="2"/>
      </rPr>
      <t xml:space="preserve">Serviço de carregadores, </t>
    </r>
    <r>
      <rPr>
        <sz val="11"/>
        <color rgb="FF333333"/>
        <rFont val="Arial"/>
        <family val="2"/>
      </rPr>
      <t xml:space="preserve">a serem executados nas dependências do POLO V de limpeza da SRIII (GEX Canoas, Porto Alegre e Novo Hamburgo)  – </t>
    </r>
    <r>
      <rPr>
        <b/>
        <sz val="11"/>
        <color rgb="FF333333"/>
        <rFont val="Arial"/>
        <family val="2"/>
      </rPr>
      <t>POR DEMANDA</t>
    </r>
  </si>
  <si>
    <t>Valor total da Proposta Polo V</t>
  </si>
  <si>
    <t xml:space="preserve">– Indicação dos acordos, convenções ou dissídios coletivos de trabalaho: </t>
  </si>
  <si>
    <t>– Indicação do regime tributário da licitante:</t>
  </si>
  <si>
    <t>– Validade da Proposta de Preços: 120 (cento e vinte)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</si>
  <si>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</si>
  <si>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</si>
  <si>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</si>
  <si>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</si>
  <si>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</si>
  <si>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</si>
  <si>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</si>
  <si>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</si>
  <si>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</si>
  <si>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</si>
  <si>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</si>
  <si>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ANEXO X - POLO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</si>
</sst>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* #,##0.00\ ;\-* #,##0.00\ ;* \-#\ ;@\ "/>
    <numFmt numFmtId="165" formatCode="d/m/yyyy"/>
    <numFmt numFmtId="166" formatCode="&quot;R$ &quot;#,##0.00"/>
    <numFmt numFmtId="167" formatCode="0.0000"/>
    <numFmt numFmtId="168" formatCode="#,##0.00\ ;\(#,##0.00\);\-#\ ;@\ "/>
    <numFmt numFmtId="169" formatCode="#,##0.000000;\(#,##0.000000\)"/>
    <numFmt numFmtId="170" formatCode="&quot;R$ &quot;#,##0.00;[Red]&quot;-R$ &quot;#,##0.00"/>
    <numFmt numFmtId="171" formatCode="&quot; R$ &quot;* #,##0.00\ ;&quot;-R$ &quot;* #,##0.00\ ;&quot; R$ &quot;* \-#\ ;@\ "/>
    <numFmt numFmtId="172" formatCode="[$R$-416]\ * #,##0.00\ ;\-[$R$-416]\ * #,##0.00\ ;[$R$-416]\ * \-#\ ;@\ "/>
    <numFmt numFmtId="173" formatCode="[$R$-416]\ #,##0.00;[Red]\-[$R$-416]\ #,##0.00"/>
    <numFmt numFmtId="174" formatCode="#,##0.0"/>
    <numFmt numFmtId="175" formatCode="0.0000000"/>
    <numFmt numFmtId="176" formatCode="0.00000000"/>
    <numFmt numFmtId="177" formatCode="#,##0.00\ ;\(#,##0.00\)"/>
    <numFmt numFmtId="178" formatCode="&quot;R$ &quot;#,##0.00\ ;[Red]&quot;(R$ &quot;#,##0.00\)"/>
    <numFmt numFmtId="179" formatCode="0.000000000"/>
    <numFmt numFmtId="180" formatCode="#,##0.00\ ;#,##0.00\ ;\-#\ ;@\ "/>
    <numFmt numFmtId="181" formatCode="0.000000000;[Red]\(0.000000000\)"/>
    <numFmt numFmtId="182" formatCode="0.0000000000"/>
  </numFmts>
  <fonts count="63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333333"/>
      <name val="Arial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8"/>
      <color rgb="FF333333"/>
      <name val="Arial"/>
      <family val="2"/>
      <charset val="1"/>
    </font>
    <font>
      <sz val="11"/>
      <color rgb="FF444444"/>
      <name val="Calibri"/>
      <family val="2"/>
      <charset val="1"/>
    </font>
    <font>
      <b/>
      <sz val="9"/>
      <color rgb="FFFF3333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333333"/>
      <name val="Arial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z val="1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FF3333"/>
      <name val="Calibri"/>
      <family val="2"/>
      <charset val="1"/>
    </font>
    <font>
      <b/>
      <sz val="9"/>
      <color rgb="FFFF3333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0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u/>
      <sz val="11"/>
      <color rgb="FF0563C1"/>
      <name val="Arial"/>
      <family val="2"/>
      <charset val="1"/>
    </font>
    <font>
      <b/>
      <i/>
      <sz val="10"/>
      <color rgb="FF333333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FF3333"/>
      <name val="Calibri"/>
      <family val="2"/>
      <charset val="1"/>
    </font>
    <font>
      <b/>
      <strike/>
      <sz val="10"/>
      <color rgb="FF333333"/>
      <name val="Calibri"/>
      <family val="2"/>
      <charset val="1"/>
    </font>
    <font>
      <strike/>
      <sz val="10"/>
      <color rgb="FF000000"/>
      <name val="Calibri"/>
      <family val="2"/>
      <charset val="1"/>
    </font>
    <font>
      <strike/>
      <sz val="9"/>
      <color rgb="FF000000"/>
      <name val="Calibri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0B50A0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D6DCE4"/>
        <bgColor rgb="FFDBDBDB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CC90F3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CCCCCC"/>
        <bgColor rgb="FFC1C1C1"/>
      </patternFill>
    </fill>
    <fill>
      <patternFill patternType="solid">
        <fgColor rgb="FFFFFFFF"/>
        <bgColor rgb="FFFFFFCC"/>
      </patternFill>
    </fill>
    <fill>
      <patternFill patternType="solid">
        <fgColor rgb="FFF4B183"/>
        <bgColor rgb="FFFF9999"/>
      </patternFill>
    </fill>
    <fill>
      <patternFill patternType="solid">
        <fgColor rgb="FFFCE4D6"/>
        <bgColor rgb="FFFFF2CC"/>
      </patternFill>
    </fill>
    <fill>
      <patternFill patternType="solid">
        <fgColor rgb="FFFF9999"/>
        <bgColor rgb="FFF4B183"/>
      </patternFill>
    </fill>
    <fill>
      <patternFill patternType="solid">
        <fgColor rgb="FF349865"/>
        <bgColor rgb="FF58AA38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FFCC00"/>
        <bgColor rgb="FFFFFF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58AA38"/>
      </patternFill>
    </fill>
    <fill>
      <patternFill patternType="solid">
        <fgColor rgb="FF5282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B4C7DE"/>
        <bgColor rgb="FFC1C1C1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solid">
        <fgColor rgb="FFFC745D"/>
        <bgColor rgb="FFFF9999"/>
      </patternFill>
    </fill>
    <fill>
      <patternFill patternType="solid">
        <fgColor rgb="FF9BC2E6"/>
        <bgColor rgb="FFB4C7DE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darkGray">
        <fgColor rgb="FFCC90F3"/>
        <bgColor rgb="FFBF819E"/>
      </patternFill>
    </fill>
    <fill>
      <patternFill patternType="solid">
        <fgColor rgb="FFDDDDDD"/>
        <bgColor rgb="FFDBDBDB"/>
      </patternFill>
    </fill>
    <fill>
      <patternFill patternType="solid">
        <fgColor rgb="FF58AA38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FFFFCC"/>
        <bgColor rgb="FFFFF2CC"/>
      </patternFill>
    </fill>
    <fill>
      <patternFill patternType="solid">
        <fgColor rgb="FFCC90F3"/>
        <bgColor rgb="FFBF819E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DD7EE"/>
      </patternFill>
    </fill>
    <fill>
      <patternFill patternType="solid">
        <fgColor rgb="FFC0C0C0"/>
        <bgColor rgb="FFC1C1C1"/>
      </patternFill>
    </fill>
    <fill>
      <patternFill patternType="solid">
        <fgColor rgb="FFFFFF00"/>
        <bgColor rgb="FFFFCC00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E6570B"/>
        <bgColor rgb="FFFF3333"/>
      </patternFill>
    </fill>
    <fill>
      <patternFill patternType="solid">
        <fgColor rgb="FFFFFF99"/>
        <bgColor rgb="FFFFFFCC"/>
      </patternFill>
    </fill>
  </fills>
  <borders count="1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rgb="FFB4C7DE"/>
      </top>
      <bottom/>
      <diagonal/>
    </border>
    <border>
      <left/>
      <right/>
      <top style="thin">
        <color rgb="FFB4C7DE"/>
      </top>
      <bottom style="thin">
        <color rgb="FF9BC2E6"/>
      </bottom>
      <diagonal/>
    </border>
    <border>
      <left/>
      <right/>
      <top style="thin">
        <color rgb="FFB4C7DE"/>
      </top>
      <bottom style="thin">
        <color rgb="FFB4C7DE"/>
      </bottom>
      <diagonal/>
    </border>
    <border>
      <left/>
      <right/>
      <top style="thin">
        <color rgb="FF9BC2E6"/>
      </top>
      <bottom style="thin">
        <color rgb="FFB4C7DE"/>
      </bottom>
      <diagonal/>
    </border>
    <border>
      <left/>
      <right/>
      <top/>
      <bottom style="thin">
        <color rgb="FFB4C7DE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</borders>
  <cellStyleXfs count="5">
    <xf numFmtId="0" fontId="0" fillId="0" borderId="0"/>
    <xf numFmtId="164" fontId="12" fillId="0" borderId="0"/>
    <xf numFmtId="9" fontId="16" fillId="0" borderId="0" applyBorder="0" applyProtection="0"/>
    <xf numFmtId="0" fontId="51" fillId="0" borderId="0" applyBorder="0" applyProtection="0"/>
    <xf numFmtId="164" fontId="1" fillId="0" borderId="0" applyBorder="0" applyProtection="0"/>
  </cellStyleXfs>
  <cellXfs count="8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6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5" fillId="4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/>
    <xf numFmtId="167" fontId="2" fillId="0" borderId="11" xfId="0" applyNumberFormat="1" applyFont="1" applyBorder="1"/>
    <xf numFmtId="0" fontId="5" fillId="0" borderId="13" xfId="0" applyFont="1" applyBorder="1"/>
    <xf numFmtId="0" fontId="5" fillId="3" borderId="14" xfId="0" applyFont="1" applyFill="1" applyBorder="1" applyAlignment="1">
      <alignment horizontal="left" vertical="center"/>
    </xf>
    <xf numFmtId="10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0" fontId="7" fillId="0" borderId="9" xfId="0" applyNumberFormat="1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0" fontId="7" fillId="0" borderId="14" xfId="0" applyNumberFormat="1" applyFont="1" applyBorder="1" applyAlignment="1">
      <alignment horizontal="left" vertical="center"/>
    </xf>
    <xf numFmtId="10" fontId="7" fillId="0" borderId="4" xfId="0" applyNumberFormat="1" applyFont="1" applyBorder="1" applyAlignment="1">
      <alignment vertical="center"/>
    </xf>
    <xf numFmtId="10" fontId="7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10" fontId="7" fillId="0" borderId="7" xfId="0" applyNumberFormat="1" applyFont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0" xfId="0" applyFont="1" applyBorder="1" applyAlignment="1" applyProtection="1">
      <alignment horizontal="left" vertical="center"/>
      <protection locked="0"/>
    </xf>
    <xf numFmtId="10" fontId="2" fillId="0" borderId="10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169" fontId="2" fillId="0" borderId="3" xfId="1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0" fillId="7" borderId="5" xfId="0" applyFill="1" applyBorder="1"/>
    <xf numFmtId="169" fontId="2" fillId="7" borderId="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14" fillId="0" borderId="0" xfId="1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168" fontId="15" fillId="0" borderId="0" xfId="1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9" borderId="20" xfId="0" applyFont="1" applyFill="1" applyBorder="1" applyAlignment="1">
      <alignment vertical="center"/>
    </xf>
    <xf numFmtId="0" fontId="16" fillId="9" borderId="21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vertical="center"/>
    </xf>
    <xf numFmtId="0" fontId="16" fillId="9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vertical="center"/>
    </xf>
    <xf numFmtId="0" fontId="0" fillId="9" borderId="28" xfId="0" applyFill="1" applyBorder="1"/>
    <xf numFmtId="0" fontId="0" fillId="9" borderId="29" xfId="0" applyFill="1" applyBorder="1"/>
    <xf numFmtId="0" fontId="19" fillId="0" borderId="30" xfId="0" applyFont="1" applyBorder="1"/>
    <xf numFmtId="0" fontId="19" fillId="0" borderId="7" xfId="0" applyFont="1" applyBorder="1"/>
    <xf numFmtId="0" fontId="16" fillId="10" borderId="3" xfId="0" applyFont="1" applyFill="1" applyBorder="1"/>
    <xf numFmtId="170" fontId="19" fillId="0" borderId="7" xfId="0" applyNumberFormat="1" applyFont="1" applyBorder="1" applyAlignment="1">
      <alignment wrapText="1"/>
    </xf>
    <xf numFmtId="166" fontId="16" fillId="0" borderId="9" xfId="0" applyNumberFormat="1" applyFont="1" applyBorder="1" applyAlignment="1">
      <alignment vertical="center"/>
    </xf>
    <xf numFmtId="166" fontId="16" fillId="0" borderId="31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6" fillId="9" borderId="33" xfId="0" applyFont="1" applyFill="1" applyBorder="1" applyAlignment="1">
      <alignment vertical="center"/>
    </xf>
    <xf numFmtId="0" fontId="0" fillId="9" borderId="0" xfId="0" applyFill="1"/>
    <xf numFmtId="0" fontId="0" fillId="9" borderId="34" xfId="0" applyFill="1" applyBorder="1"/>
    <xf numFmtId="0" fontId="16" fillId="0" borderId="35" xfId="0" applyFont="1" applyBorder="1" applyAlignment="1">
      <alignment vertical="center"/>
    </xf>
    <xf numFmtId="0" fontId="20" fillId="9" borderId="36" xfId="0" applyFont="1" applyFill="1" applyBorder="1" applyAlignment="1">
      <alignment vertical="center"/>
    </xf>
    <xf numFmtId="0" fontId="0" fillId="9" borderId="1" xfId="0" applyFill="1" applyBorder="1"/>
    <xf numFmtId="0" fontId="0" fillId="9" borderId="26" xfId="0" applyFill="1" applyBorder="1"/>
    <xf numFmtId="0" fontId="19" fillId="0" borderId="37" xfId="0" applyFont="1" applyBorder="1"/>
    <xf numFmtId="0" fontId="19" fillId="0" borderId="8" xfId="0" applyFont="1" applyBorder="1"/>
    <xf numFmtId="0" fontId="16" fillId="10" borderId="12" xfId="0" applyFont="1" applyFill="1" applyBorder="1"/>
    <xf numFmtId="170" fontId="19" fillId="0" borderId="8" xfId="0" applyNumberFormat="1" applyFont="1" applyBorder="1" applyAlignment="1">
      <alignment wrapText="1"/>
    </xf>
    <xf numFmtId="166" fontId="16" fillId="0" borderId="18" xfId="0" applyNumberFormat="1" applyFont="1" applyBorder="1" applyAlignment="1">
      <alignment vertical="center"/>
    </xf>
    <xf numFmtId="166" fontId="16" fillId="0" borderId="38" xfId="0" applyNumberFormat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0" fontId="17" fillId="3" borderId="40" xfId="0" applyNumberFormat="1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70" fontId="16" fillId="0" borderId="7" xfId="0" applyNumberFormat="1" applyFont="1" applyBorder="1" applyAlignment="1">
      <alignment wrapText="1"/>
    </xf>
    <xf numFmtId="171" fontId="16" fillId="0" borderId="42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44" xfId="0" applyFont="1" applyBorder="1"/>
    <xf numFmtId="0" fontId="16" fillId="0" borderId="5" xfId="0" applyFont="1" applyBorder="1"/>
    <xf numFmtId="0" fontId="21" fillId="0" borderId="38" xfId="0" applyFont="1" applyBorder="1"/>
    <xf numFmtId="0" fontId="16" fillId="0" borderId="46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70" fontId="16" fillId="0" borderId="8" xfId="0" applyNumberFormat="1" applyFont="1" applyBorder="1" applyAlignment="1">
      <alignment wrapText="1"/>
    </xf>
    <xf numFmtId="171" fontId="16" fillId="0" borderId="33" xfId="0" applyNumberFormat="1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170" fontId="17" fillId="3" borderId="19" xfId="0" applyNumberFormat="1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vertical="center"/>
    </xf>
    <xf numFmtId="0" fontId="16" fillId="10" borderId="0" xfId="0" applyFont="1" applyFill="1" applyAlignment="1">
      <alignment vertical="center"/>
    </xf>
    <xf numFmtId="170" fontId="16" fillId="10" borderId="0" xfId="0" applyNumberFormat="1" applyFont="1" applyFill="1" applyAlignment="1">
      <alignment vertical="center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2" fontId="16" fillId="10" borderId="3" xfId="0" applyNumberFormat="1" applyFont="1" applyFill="1" applyBorder="1" applyAlignment="1">
      <alignment vertical="center"/>
    </xf>
    <xf numFmtId="0" fontId="16" fillId="0" borderId="30" xfId="0" applyFont="1" applyBorder="1"/>
    <xf numFmtId="0" fontId="16" fillId="0" borderId="37" xfId="0" applyFont="1" applyBorder="1"/>
    <xf numFmtId="0" fontId="16" fillId="0" borderId="50" xfId="0" applyFont="1" applyBorder="1" applyAlignment="1">
      <alignment vertical="center"/>
    </xf>
    <xf numFmtId="0" fontId="16" fillId="0" borderId="46" xfId="0" applyFont="1" applyBorder="1"/>
    <xf numFmtId="0" fontId="18" fillId="3" borderId="51" xfId="0" applyFont="1" applyFill="1" applyBorder="1" applyAlignment="1">
      <alignment horizontal="center" vertical="center" wrapText="1"/>
    </xf>
    <xf numFmtId="170" fontId="17" fillId="3" borderId="19" xfId="0" applyNumberFormat="1" applyFont="1" applyFill="1" applyBorder="1" applyAlignment="1">
      <alignment horizontal="right" vertical="center"/>
    </xf>
    <xf numFmtId="166" fontId="16" fillId="10" borderId="0" xfId="0" applyNumberFormat="1" applyFont="1" applyFill="1" applyAlignment="1">
      <alignment vertical="center"/>
    </xf>
    <xf numFmtId="171" fontId="16" fillId="10" borderId="0" xfId="0" applyNumberFormat="1" applyFont="1" applyFill="1" applyAlignment="1">
      <alignment vertical="center"/>
    </xf>
    <xf numFmtId="0" fontId="18" fillId="12" borderId="23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0" fontId="16" fillId="0" borderId="2" xfId="0" applyNumberFormat="1" applyFont="1" applyBorder="1" applyAlignment="1">
      <alignment wrapText="1"/>
    </xf>
    <xf numFmtId="0" fontId="16" fillId="0" borderId="52" xfId="0" applyFont="1" applyBorder="1"/>
    <xf numFmtId="170" fontId="16" fillId="0" borderId="7" xfId="0" applyNumberFormat="1" applyFont="1" applyBorder="1"/>
    <xf numFmtId="170" fontId="16" fillId="0" borderId="9" xfId="0" applyNumberFormat="1" applyFont="1" applyBorder="1"/>
    <xf numFmtId="170" fontId="17" fillId="12" borderId="19" xfId="0" applyNumberFormat="1" applyFont="1" applyFill="1" applyBorder="1" applyAlignment="1">
      <alignment vertical="center"/>
    </xf>
    <xf numFmtId="170" fontId="17" fillId="12" borderId="38" xfId="0" applyNumberFormat="1" applyFont="1" applyFill="1" applyBorder="1" applyAlignment="1">
      <alignment vertical="center"/>
    </xf>
    <xf numFmtId="0" fontId="16" fillId="13" borderId="0" xfId="0" applyFont="1" applyFill="1" applyAlignment="1">
      <alignment vertical="center"/>
    </xf>
    <xf numFmtId="0" fontId="18" fillId="15" borderId="37" xfId="0" applyFont="1" applyFill="1" applyBorder="1" applyAlignment="1">
      <alignment horizontal="center" vertical="center" wrapText="1"/>
    </xf>
    <xf numFmtId="0" fontId="18" fillId="15" borderId="8" xfId="0" applyFont="1" applyFill="1" applyBorder="1" applyAlignment="1">
      <alignment horizontal="center" vertical="center" wrapText="1"/>
    </xf>
    <xf numFmtId="0" fontId="18" fillId="15" borderId="18" xfId="0" applyFont="1" applyFill="1" applyBorder="1" applyAlignment="1">
      <alignment horizontal="center" vertical="center" wrapText="1"/>
    </xf>
    <xf numFmtId="0" fontId="18" fillId="15" borderId="38" xfId="0" applyFont="1" applyFill="1" applyBorder="1" applyAlignment="1">
      <alignment horizontal="center" vertical="center" wrapText="1"/>
    </xf>
    <xf numFmtId="166" fontId="17" fillId="16" borderId="19" xfId="0" applyNumberFormat="1" applyFont="1" applyFill="1" applyBorder="1" applyAlignment="1">
      <alignment vertical="center"/>
    </xf>
    <xf numFmtId="170" fontId="16" fillId="0" borderId="9" xfId="0" applyNumberFormat="1" applyFont="1" applyBorder="1" applyAlignment="1">
      <alignment wrapText="1"/>
    </xf>
    <xf numFmtId="170" fontId="16" fillId="0" borderId="8" xfId="0" applyNumberFormat="1" applyFont="1" applyBorder="1"/>
    <xf numFmtId="170" fontId="16" fillId="0" borderId="18" xfId="0" applyNumberFormat="1" applyFont="1" applyBorder="1" applyAlignment="1">
      <alignment wrapText="1"/>
    </xf>
    <xf numFmtId="0" fontId="16" fillId="0" borderId="53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170" fontId="16" fillId="0" borderId="54" xfId="0" applyNumberFormat="1" applyFont="1" applyBorder="1"/>
    <xf numFmtId="170" fontId="16" fillId="0" borderId="54" xfId="0" applyNumberFormat="1" applyFont="1" applyBorder="1" applyAlignment="1">
      <alignment wrapText="1"/>
    </xf>
    <xf numFmtId="166" fontId="16" fillId="0" borderId="55" xfId="0" applyNumberFormat="1" applyFont="1" applyBorder="1" applyAlignment="1">
      <alignment vertical="center"/>
    </xf>
    <xf numFmtId="166" fontId="17" fillId="15" borderId="19" xfId="0" applyNumberFormat="1" applyFont="1" applyFill="1" applyBorder="1" applyAlignment="1">
      <alignment vertical="center"/>
    </xf>
    <xf numFmtId="0" fontId="18" fillId="4" borderId="3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170" fontId="17" fillId="17" borderId="1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170" fontId="16" fillId="0" borderId="31" xfId="0" applyNumberFormat="1" applyFont="1" applyBorder="1" applyAlignment="1">
      <alignment vertical="center"/>
    </xf>
    <xf numFmtId="170" fontId="16" fillId="0" borderId="56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166" fontId="16" fillId="0" borderId="6" xfId="0" applyNumberFormat="1" applyFont="1" applyBorder="1" applyAlignment="1">
      <alignment vertical="center"/>
    </xf>
    <xf numFmtId="170" fontId="16" fillId="0" borderId="45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70" fontId="16" fillId="0" borderId="12" xfId="0" applyNumberFormat="1" applyFont="1" applyBorder="1"/>
    <xf numFmtId="166" fontId="16" fillId="0" borderId="14" xfId="0" applyNumberFormat="1" applyFont="1" applyBorder="1" applyAlignment="1">
      <alignment vertical="center"/>
    </xf>
    <xf numFmtId="170" fontId="16" fillId="0" borderId="57" xfId="0" applyNumberFormat="1" applyFont="1" applyBorder="1" applyAlignment="1">
      <alignment vertical="center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170" fontId="17" fillId="17" borderId="41" xfId="0" applyNumberFormat="1" applyFont="1" applyFill="1" applyBorder="1" applyAlignment="1">
      <alignment vertical="center"/>
    </xf>
    <xf numFmtId="0" fontId="23" fillId="10" borderId="44" xfId="0" applyFont="1" applyFill="1" applyBorder="1" applyAlignment="1">
      <alignment wrapText="1"/>
    </xf>
    <xf numFmtId="166" fontId="17" fillId="18" borderId="40" xfId="0" applyNumberFormat="1" applyFont="1" applyFill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166" fontId="16" fillId="0" borderId="19" xfId="0" applyNumberFormat="1" applyFont="1" applyBorder="1" applyAlignment="1">
      <alignment vertical="center"/>
    </xf>
    <xf numFmtId="0" fontId="24" fillId="0" borderId="0" xfId="0" applyFont="1"/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19" borderId="0" xfId="4" applyNumberFormat="1" applyFont="1" applyFill="1" applyBorder="1" applyAlignment="1" applyProtection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24" borderId="40" xfId="0" applyFont="1" applyFill="1" applyBorder="1" applyAlignment="1">
      <alignment horizontal="center" vertical="center" wrapText="1"/>
    </xf>
    <xf numFmtId="0" fontId="8" fillId="25" borderId="40" xfId="0" applyFont="1" applyFill="1" applyBorder="1" applyAlignment="1">
      <alignment horizontal="center" vertical="center" wrapText="1"/>
    </xf>
    <xf numFmtId="0" fontId="8" fillId="25" borderId="27" xfId="0" applyFont="1" applyFill="1" applyBorder="1" applyAlignment="1">
      <alignment horizontal="center" vertical="center" wrapText="1"/>
    </xf>
    <xf numFmtId="0" fontId="30" fillId="23" borderId="27" xfId="0" applyFont="1" applyFill="1" applyBorder="1" applyAlignment="1">
      <alignment horizontal="center" vertical="center" wrapText="1"/>
    </xf>
    <xf numFmtId="0" fontId="30" fillId="29" borderId="59" xfId="0" applyFont="1" applyFill="1" applyBorder="1" applyAlignment="1">
      <alignment horizontal="center" vertical="center" wrapText="1"/>
    </xf>
    <xf numFmtId="0" fontId="30" fillId="30" borderId="29" xfId="0" applyFont="1" applyFill="1" applyBorder="1" applyAlignment="1">
      <alignment horizontal="center" vertical="center" wrapText="1"/>
    </xf>
    <xf numFmtId="0" fontId="30" fillId="31" borderId="27" xfId="0" applyFont="1" applyFill="1" applyBorder="1" applyAlignment="1">
      <alignment horizontal="center" vertical="center" wrapText="1"/>
    </xf>
    <xf numFmtId="0" fontId="31" fillId="11" borderId="40" xfId="0" applyFont="1" applyFill="1" applyBorder="1" applyAlignment="1">
      <alignment horizontal="center" vertical="center" wrapText="1"/>
    </xf>
    <xf numFmtId="0" fontId="32" fillId="13" borderId="60" xfId="0" applyFont="1" applyFill="1" applyBorder="1" applyAlignment="1" applyProtection="1">
      <alignment horizontal="left" vertical="center" wrapText="1"/>
      <protection locked="0"/>
    </xf>
    <xf numFmtId="0" fontId="23" fillId="13" borderId="61" xfId="0" applyFont="1" applyFill="1" applyBorder="1" applyAlignment="1" applyProtection="1">
      <alignment horizontal="left" vertical="center"/>
      <protection locked="0"/>
    </xf>
    <xf numFmtId="0" fontId="32" fillId="13" borderId="61" xfId="0" applyFont="1" applyFill="1" applyBorder="1" applyAlignment="1">
      <alignment vertical="center"/>
    </xf>
    <xf numFmtId="10" fontId="32" fillId="13" borderId="6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1" xfId="1" applyFont="1" applyBorder="1" applyAlignment="1">
      <alignment horizontal="center" vertical="center"/>
    </xf>
    <xf numFmtId="166" fontId="33" fillId="0" borderId="61" xfId="1" applyNumberFormat="1" applyFont="1" applyBorder="1" applyAlignment="1">
      <alignment horizontal="center" vertical="center"/>
    </xf>
    <xf numFmtId="172" fontId="34" fillId="23" borderId="61" xfId="0" applyNumberFormat="1" applyFont="1" applyFill="1" applyBorder="1" applyAlignment="1">
      <alignment horizontal="center" vertical="center" wrapText="1"/>
    </xf>
    <xf numFmtId="172" fontId="14" fillId="29" borderId="61" xfId="1" applyNumberFormat="1" applyFont="1" applyFill="1" applyBorder="1" applyAlignment="1">
      <alignment horizontal="center" vertical="center"/>
    </xf>
    <xf numFmtId="164" fontId="14" fillId="30" borderId="61" xfId="1" applyFont="1" applyFill="1" applyBorder="1" applyAlignment="1">
      <alignment horizontal="center" vertical="center"/>
    </xf>
    <xf numFmtId="172" fontId="14" fillId="31" borderId="61" xfId="1" applyNumberFormat="1" applyFont="1" applyFill="1" applyBorder="1" applyAlignment="1">
      <alignment horizontal="center" vertical="center"/>
    </xf>
    <xf numFmtId="172" fontId="14" fillId="11" borderId="61" xfId="1" applyNumberFormat="1" applyFont="1" applyFill="1" applyBorder="1" applyAlignment="1">
      <alignment horizontal="center" vertical="center"/>
    </xf>
    <xf numFmtId="0" fontId="23" fillId="32" borderId="44" xfId="0" applyFont="1" applyFill="1" applyBorder="1" applyAlignment="1" applyProtection="1">
      <alignment horizontal="left" vertical="center"/>
      <protection locked="0"/>
    </xf>
    <xf numFmtId="0" fontId="23" fillId="32" borderId="3" xfId="0" applyFont="1" applyFill="1" applyBorder="1" applyAlignment="1" applyProtection="1">
      <alignment horizontal="left" vertical="center"/>
      <protection locked="0"/>
    </xf>
    <xf numFmtId="0" fontId="32" fillId="32" borderId="3" xfId="0" applyFont="1" applyFill="1" applyBorder="1"/>
    <xf numFmtId="10" fontId="32" fillId="32" borderId="3" xfId="0" applyNumberFormat="1" applyFont="1" applyFill="1" applyBorder="1" applyAlignment="1" applyProtection="1">
      <alignment horizontal="center" vertical="center"/>
      <protection locked="0"/>
    </xf>
    <xf numFmtId="164" fontId="8" fillId="0" borderId="3" xfId="1" applyFont="1" applyBorder="1" applyAlignment="1">
      <alignment horizontal="center" vertical="center"/>
    </xf>
    <xf numFmtId="166" fontId="33" fillId="0" borderId="3" xfId="1" applyNumberFormat="1" applyFont="1" applyBorder="1" applyAlignment="1">
      <alignment horizontal="center" vertical="center"/>
    </xf>
    <xf numFmtId="172" fontId="34" fillId="23" borderId="3" xfId="0" applyNumberFormat="1" applyFont="1" applyFill="1" applyBorder="1" applyAlignment="1">
      <alignment horizontal="center" vertical="center" wrapText="1"/>
    </xf>
    <xf numFmtId="172" fontId="14" fillId="29" borderId="3" xfId="1" applyNumberFormat="1" applyFont="1" applyFill="1" applyBorder="1" applyAlignment="1">
      <alignment horizontal="center" vertical="center"/>
    </xf>
    <xf numFmtId="164" fontId="14" fillId="30" borderId="3" xfId="1" applyFont="1" applyFill="1" applyBorder="1" applyAlignment="1">
      <alignment horizontal="center" vertical="center"/>
    </xf>
    <xf numFmtId="172" fontId="14" fillId="31" borderId="3" xfId="1" applyNumberFormat="1" applyFont="1" applyFill="1" applyBorder="1" applyAlignment="1">
      <alignment horizontal="center" vertical="center"/>
    </xf>
    <xf numFmtId="172" fontId="14" fillId="11" borderId="3" xfId="1" applyNumberFormat="1" applyFont="1" applyFill="1" applyBorder="1" applyAlignment="1">
      <alignment horizontal="center" vertical="center"/>
    </xf>
    <xf numFmtId="172" fontId="8" fillId="29" borderId="3" xfId="1" applyNumberFormat="1" applyFont="1" applyFill="1" applyBorder="1" applyAlignment="1">
      <alignment horizontal="center" vertical="center"/>
    </xf>
    <xf numFmtId="164" fontId="8" fillId="30" borderId="3" xfId="1" applyFont="1" applyFill="1" applyBorder="1" applyAlignment="1">
      <alignment horizontal="center" vertical="center"/>
    </xf>
    <xf numFmtId="172" fontId="8" fillId="31" borderId="3" xfId="1" applyNumberFormat="1" applyFont="1" applyFill="1" applyBorder="1" applyAlignment="1">
      <alignment horizontal="center" vertical="center"/>
    </xf>
    <xf numFmtId="172" fontId="8" fillId="11" borderId="3" xfId="1" applyNumberFormat="1" applyFont="1" applyFill="1" applyBorder="1" applyAlignment="1">
      <alignment horizontal="center" vertical="center"/>
    </xf>
    <xf numFmtId="0" fontId="23" fillId="32" borderId="53" xfId="0" applyFont="1" applyFill="1" applyBorder="1" applyAlignment="1" applyProtection="1">
      <alignment horizontal="left" vertical="center"/>
      <protection locked="0"/>
    </xf>
    <xf numFmtId="0" fontId="23" fillId="32" borderId="54" xfId="0" applyFont="1" applyFill="1" applyBorder="1" applyAlignment="1" applyProtection="1">
      <alignment horizontal="left" vertical="center"/>
      <protection locked="0"/>
    </xf>
    <xf numFmtId="0" fontId="32" fillId="32" borderId="54" xfId="0" applyFont="1" applyFill="1" applyBorder="1"/>
    <xf numFmtId="10" fontId="32" fillId="32" borderId="54" xfId="0" applyNumberFormat="1" applyFont="1" applyFill="1" applyBorder="1" applyAlignment="1" applyProtection="1">
      <alignment horizontal="center" vertical="center"/>
      <protection locked="0"/>
    </xf>
    <xf numFmtId="164" fontId="8" fillId="0" borderId="54" xfId="1" applyFont="1" applyBorder="1" applyAlignment="1">
      <alignment horizontal="center" vertical="center"/>
    </xf>
    <xf numFmtId="166" fontId="33" fillId="0" borderId="54" xfId="1" applyNumberFormat="1" applyFont="1" applyBorder="1" applyAlignment="1">
      <alignment horizontal="center" vertical="center"/>
    </xf>
    <xf numFmtId="172" fontId="34" fillId="23" borderId="54" xfId="0" applyNumberFormat="1" applyFont="1" applyFill="1" applyBorder="1" applyAlignment="1">
      <alignment horizontal="center" vertical="center" wrapText="1"/>
    </xf>
    <xf numFmtId="172" fontId="14" fillId="29" borderId="54" xfId="1" applyNumberFormat="1" applyFont="1" applyFill="1" applyBorder="1" applyAlignment="1">
      <alignment horizontal="center" vertical="center"/>
    </xf>
    <xf numFmtId="164" fontId="14" fillId="30" borderId="54" xfId="1" applyFont="1" applyFill="1" applyBorder="1" applyAlignment="1">
      <alignment horizontal="center" vertical="center"/>
    </xf>
    <xf numFmtId="172" fontId="14" fillId="31" borderId="54" xfId="1" applyNumberFormat="1" applyFont="1" applyFill="1" applyBorder="1" applyAlignment="1">
      <alignment horizontal="center" vertical="center"/>
    </xf>
    <xf numFmtId="172" fontId="14" fillId="11" borderId="54" xfId="1" applyNumberFormat="1" applyFont="1" applyFill="1" applyBorder="1" applyAlignment="1">
      <alignment horizontal="center" vertical="center"/>
    </xf>
    <xf numFmtId="164" fontId="36" fillId="22" borderId="13" xfId="1" applyFont="1" applyFill="1" applyBorder="1" applyAlignment="1">
      <alignment horizontal="center" vertical="center"/>
    </xf>
    <xf numFmtId="166" fontId="36" fillId="22" borderId="13" xfId="1" applyNumberFormat="1" applyFont="1" applyFill="1" applyBorder="1" applyAlignment="1">
      <alignment horizontal="center" vertical="center"/>
    </xf>
    <xf numFmtId="164" fontId="36" fillId="22" borderId="8" xfId="1" applyFont="1" applyFill="1" applyBorder="1" applyAlignment="1">
      <alignment horizontal="center" vertical="center"/>
    </xf>
    <xf numFmtId="172" fontId="36" fillId="22" borderId="18" xfId="1" applyNumberFormat="1" applyFont="1" applyFill="1" applyBorder="1" applyAlignment="1">
      <alignment horizontal="center" vertical="center"/>
    </xf>
    <xf numFmtId="4" fontId="36" fillId="22" borderId="8" xfId="1" applyNumberFormat="1" applyFont="1" applyFill="1" applyBorder="1" applyAlignment="1">
      <alignment horizontal="center" vertical="center"/>
    </xf>
    <xf numFmtId="172" fontId="37" fillId="22" borderId="18" xfId="1" applyNumberFormat="1" applyFont="1" applyFill="1" applyBorder="1" applyAlignment="1">
      <alignment horizontal="center" vertical="center"/>
    </xf>
    <xf numFmtId="164" fontId="36" fillId="22" borderId="62" xfId="1" applyFont="1" applyFill="1" applyBorder="1" applyAlignment="1">
      <alignment horizontal="center" vertical="center"/>
    </xf>
    <xf numFmtId="172" fontId="36" fillId="22" borderId="62" xfId="1" applyNumberFormat="1" applyFont="1" applyFill="1" applyBorder="1" applyAlignment="1">
      <alignment horizontal="center" vertical="center"/>
    </xf>
    <xf numFmtId="0" fontId="14" fillId="0" borderId="0" xfId="0" applyFont="1"/>
    <xf numFmtId="0" fontId="9" fillId="13" borderId="61" xfId="0" applyFont="1" applyFill="1" applyBorder="1"/>
    <xf numFmtId="0" fontId="32" fillId="13" borderId="61" xfId="0" applyFont="1" applyFill="1" applyBorder="1"/>
    <xf numFmtId="10" fontId="23" fillId="13" borderId="6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61" xfId="1" applyNumberFormat="1" applyFont="1" applyBorder="1" applyAlignment="1">
      <alignment horizontal="right" vertical="center"/>
    </xf>
    <xf numFmtId="173" fontId="33" fillId="0" borderId="61" xfId="0" applyNumberFormat="1" applyFont="1" applyBorder="1" applyAlignment="1">
      <alignment horizontal="center" vertical="center"/>
    </xf>
    <xf numFmtId="4" fontId="8" fillId="0" borderId="61" xfId="0" applyNumberFormat="1" applyFont="1" applyBorder="1" applyAlignment="1">
      <alignment horizontal="right" vertical="center"/>
    </xf>
    <xf numFmtId="0" fontId="9" fillId="32" borderId="3" xfId="0" applyFont="1" applyFill="1" applyBorder="1"/>
    <xf numFmtId="10" fontId="23" fillId="32" borderId="3" xfId="0" applyNumberFormat="1" applyFont="1" applyFill="1" applyBorder="1" applyAlignment="1" applyProtection="1">
      <alignment horizontal="center" vertical="center"/>
      <protection locked="0"/>
    </xf>
    <xf numFmtId="4" fontId="8" fillId="0" borderId="3" xfId="1" applyNumberFormat="1" applyFont="1" applyBorder="1" applyAlignment="1">
      <alignment horizontal="right" vertical="center"/>
    </xf>
    <xf numFmtId="173" fontId="33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164" fontId="14" fillId="0" borderId="3" xfId="1" applyFont="1" applyBorder="1" applyAlignment="1">
      <alignment horizontal="center" vertical="center"/>
    </xf>
    <xf numFmtId="172" fontId="15" fillId="23" borderId="3" xfId="0" applyNumberFormat="1" applyFont="1" applyFill="1" applyBorder="1" applyAlignment="1">
      <alignment horizontal="center" vertical="center" wrapText="1"/>
    </xf>
    <xf numFmtId="0" fontId="9" fillId="32" borderId="54" xfId="0" applyFont="1" applyFill="1" applyBorder="1"/>
    <xf numFmtId="10" fontId="23" fillId="32" borderId="54" xfId="0" applyNumberFormat="1" applyFont="1" applyFill="1" applyBorder="1" applyAlignment="1" applyProtection="1">
      <alignment horizontal="center" vertical="center"/>
      <protection locked="0"/>
    </xf>
    <xf numFmtId="4" fontId="8" fillId="0" borderId="54" xfId="1" applyNumberFormat="1" applyFont="1" applyBorder="1" applyAlignment="1">
      <alignment horizontal="right" vertical="center"/>
    </xf>
    <xf numFmtId="173" fontId="33" fillId="0" borderId="54" xfId="0" applyNumberFormat="1" applyFont="1" applyBorder="1" applyAlignment="1">
      <alignment horizontal="center" vertical="center"/>
    </xf>
    <xf numFmtId="4" fontId="8" fillId="0" borderId="54" xfId="0" applyNumberFormat="1" applyFont="1" applyBorder="1" applyAlignment="1">
      <alignment horizontal="right" vertical="center"/>
    </xf>
    <xf numFmtId="174" fontId="36" fillId="22" borderId="13" xfId="1" applyNumberFormat="1" applyFont="1" applyFill="1" applyBorder="1" applyAlignment="1">
      <alignment horizontal="center" vertical="center"/>
    </xf>
    <xf numFmtId="4" fontId="36" fillId="22" borderId="8" xfId="1" applyNumberFormat="1" applyFont="1" applyFill="1" applyBorder="1" applyAlignment="1">
      <alignment horizontal="right" vertical="center"/>
    </xf>
    <xf numFmtId="4" fontId="36" fillId="22" borderId="18" xfId="1" applyNumberFormat="1" applyFont="1" applyFill="1" applyBorder="1" applyAlignment="1">
      <alignment horizontal="center" vertical="center"/>
    </xf>
    <xf numFmtId="4" fontId="36" fillId="22" borderId="62" xfId="1" applyNumberFormat="1" applyFont="1" applyFill="1" applyBorder="1" applyAlignment="1">
      <alignment horizontal="right" vertical="center"/>
    </xf>
    <xf numFmtId="173" fontId="33" fillId="0" borderId="61" xfId="1" applyNumberFormat="1" applyFont="1" applyBorder="1" applyAlignment="1">
      <alignment horizontal="center" vertical="center"/>
    </xf>
    <xf numFmtId="0" fontId="14" fillId="32" borderId="44" xfId="0" applyFont="1" applyFill="1" applyBorder="1" applyAlignment="1" applyProtection="1">
      <alignment horizontal="left" vertical="center"/>
      <protection locked="0"/>
    </xf>
    <xf numFmtId="0" fontId="14" fillId="32" borderId="3" xfId="0" applyFont="1" applyFill="1" applyBorder="1" applyAlignment="1" applyProtection="1">
      <alignment horizontal="center" vertical="center"/>
      <protection locked="0"/>
    </xf>
    <xf numFmtId="173" fontId="33" fillId="0" borderId="3" xfId="1" applyNumberFormat="1" applyFont="1" applyBorder="1" applyAlignment="1">
      <alignment horizontal="center" vertical="center"/>
    </xf>
    <xf numFmtId="0" fontId="14" fillId="32" borderId="44" xfId="0" applyFont="1" applyFill="1" applyBorder="1" applyAlignment="1" applyProtection="1">
      <alignment horizontal="left" vertical="center" wrapText="1"/>
      <protection locked="0"/>
    </xf>
    <xf numFmtId="0" fontId="14" fillId="32" borderId="3" xfId="0" applyFont="1" applyFill="1" applyBorder="1" applyAlignment="1" applyProtection="1">
      <alignment horizontal="center" vertical="center" wrapText="1"/>
      <protection locked="0"/>
    </xf>
    <xf numFmtId="0" fontId="14" fillId="32" borderId="53" xfId="0" applyFont="1" applyFill="1" applyBorder="1" applyAlignment="1" applyProtection="1">
      <alignment horizontal="left" vertical="center"/>
      <protection locked="0"/>
    </xf>
    <xf numFmtId="0" fontId="14" fillId="32" borderId="54" xfId="0" applyFont="1" applyFill="1" applyBorder="1" applyAlignment="1" applyProtection="1">
      <alignment horizontal="center" vertical="center"/>
      <protection locked="0"/>
    </xf>
    <xf numFmtId="173" fontId="33" fillId="0" borderId="54" xfId="1" applyNumberFormat="1" applyFont="1" applyBorder="1" applyAlignment="1">
      <alignment horizontal="center" vertical="center"/>
    </xf>
    <xf numFmtId="164" fontId="36" fillId="22" borderId="63" xfId="1" applyFont="1" applyFill="1" applyBorder="1" applyAlignment="1">
      <alignment horizontal="center" vertical="center"/>
    </xf>
    <xf numFmtId="166" fontId="36" fillId="22" borderId="63" xfId="1" applyNumberFormat="1" applyFont="1" applyFill="1" applyBorder="1" applyAlignment="1">
      <alignment horizontal="center" vertical="center"/>
    </xf>
    <xf numFmtId="4" fontId="36" fillId="22" borderId="24" xfId="1" applyNumberFormat="1" applyFont="1" applyFill="1" applyBorder="1" applyAlignment="1">
      <alignment horizontal="right" vertical="center"/>
    </xf>
    <xf numFmtId="172" fontId="36" fillId="22" borderId="25" xfId="1" applyNumberFormat="1" applyFont="1" applyFill="1" applyBorder="1" applyAlignment="1">
      <alignment horizontal="center" vertical="center"/>
    </xf>
    <xf numFmtId="4" fontId="36" fillId="22" borderId="25" xfId="1" applyNumberFormat="1" applyFont="1" applyFill="1" applyBorder="1" applyAlignment="1">
      <alignment horizontal="center" vertical="center"/>
    </xf>
    <xf numFmtId="172" fontId="38" fillId="22" borderId="25" xfId="1" applyNumberFormat="1" applyFont="1" applyFill="1" applyBorder="1" applyAlignment="1">
      <alignment horizontal="center" vertical="center"/>
    </xf>
    <xf numFmtId="4" fontId="36" fillId="22" borderId="64" xfId="1" applyNumberFormat="1" applyFont="1" applyFill="1" applyBorder="1" applyAlignment="1">
      <alignment horizontal="right" vertical="center"/>
    </xf>
    <xf numFmtId="172" fontId="36" fillId="22" borderId="64" xfId="1" applyNumberFormat="1" applyFont="1" applyFill="1" applyBorder="1" applyAlignment="1">
      <alignment horizontal="center" vertical="center"/>
    </xf>
    <xf numFmtId="164" fontId="36" fillId="22" borderId="64" xfId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2" fontId="29" fillId="0" borderId="0" xfId="0" applyNumberFormat="1" applyFont="1" applyAlignment="1">
      <alignment horizontal="center"/>
    </xf>
    <xf numFmtId="0" fontId="39" fillId="0" borderId="0" xfId="0" applyFont="1"/>
    <xf numFmtId="4" fontId="41" fillId="2" borderId="66" xfId="0" applyNumberFormat="1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vertical="center"/>
    </xf>
    <xf numFmtId="0" fontId="41" fillId="2" borderId="66" xfId="0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horizontal="left" vertical="center"/>
    </xf>
    <xf numFmtId="0" fontId="36" fillId="2" borderId="66" xfId="0" applyFont="1" applyFill="1" applyBorder="1" applyAlignment="1">
      <alignment horizontal="center" vertical="center"/>
    </xf>
    <xf numFmtId="4" fontId="36" fillId="2" borderId="66" xfId="0" applyNumberFormat="1" applyFont="1" applyFill="1" applyBorder="1" applyAlignment="1">
      <alignment horizontal="center" vertical="center"/>
    </xf>
    <xf numFmtId="4" fontId="42" fillId="2" borderId="67" xfId="0" applyNumberFormat="1" applyFont="1" applyFill="1" applyBorder="1" applyAlignment="1">
      <alignment horizontal="center" vertical="center"/>
    </xf>
    <xf numFmtId="4" fontId="43" fillId="2" borderId="6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4" fontId="36" fillId="2" borderId="0" xfId="0" applyNumberFormat="1" applyFont="1" applyFill="1" applyAlignment="1">
      <alignment horizontal="center" vertical="center"/>
    </xf>
    <xf numFmtId="4" fontId="41" fillId="2" borderId="0" xfId="0" applyNumberFormat="1" applyFont="1" applyFill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41" fillId="2" borderId="69" xfId="0" applyFont="1" applyFill="1" applyBorder="1" applyAlignment="1">
      <alignment horizontal="center" vertical="center"/>
    </xf>
    <xf numFmtId="0" fontId="36" fillId="2" borderId="69" xfId="0" applyFont="1" applyFill="1" applyBorder="1" applyAlignment="1">
      <alignment horizontal="center" vertical="center"/>
    </xf>
    <xf numFmtId="4" fontId="36" fillId="2" borderId="69" xfId="0" applyNumberFormat="1" applyFont="1" applyFill="1" applyBorder="1" applyAlignment="1">
      <alignment horizontal="center" vertical="center"/>
    </xf>
    <xf numFmtId="4" fontId="41" fillId="2" borderId="69" xfId="0" applyNumberFormat="1" applyFont="1" applyFill="1" applyBorder="1" applyAlignment="1">
      <alignment horizontal="center" vertical="center"/>
    </xf>
    <xf numFmtId="0" fontId="35" fillId="0" borderId="0" xfId="0" applyFont="1"/>
    <xf numFmtId="0" fontId="30" fillId="17" borderId="20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31" fillId="36" borderId="22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30" fillId="35" borderId="41" xfId="0" applyFont="1" applyFill="1" applyBorder="1" applyAlignment="1">
      <alignment horizontal="center" vertical="center" wrapText="1"/>
    </xf>
    <xf numFmtId="0" fontId="30" fillId="35" borderId="36" xfId="0" applyFont="1" applyFill="1" applyBorder="1" applyAlignment="1">
      <alignment horizontal="center" vertical="center" wrapText="1"/>
    </xf>
    <xf numFmtId="0" fontId="30" fillId="29" borderId="19" xfId="0" applyFont="1" applyFill="1" applyBorder="1" applyAlignment="1">
      <alignment horizontal="center" vertical="center" wrapText="1"/>
    </xf>
    <xf numFmtId="0" fontId="29" fillId="17" borderId="33" xfId="0" applyFont="1" applyFill="1" applyBorder="1" applyAlignment="1">
      <alignment horizontal="center" vertical="center" wrapText="1"/>
    </xf>
    <xf numFmtId="0" fontId="29" fillId="9" borderId="41" xfId="0" applyFont="1" applyFill="1" applyBorder="1" applyAlignment="1">
      <alignment horizontal="center" vertical="center" wrapText="1"/>
    </xf>
    <xf numFmtId="0" fontId="44" fillId="28" borderId="34" xfId="0" applyFont="1" applyFill="1" applyBorder="1" applyAlignment="1">
      <alignment horizontal="center" vertical="center" wrapText="1"/>
    </xf>
    <xf numFmtId="0" fontId="26" fillId="0" borderId="42" xfId="0" applyFont="1" applyBorder="1" applyAlignment="1" applyProtection="1">
      <alignment horizontal="left" vertical="center"/>
      <protection locked="0"/>
    </xf>
    <xf numFmtId="10" fontId="26" fillId="0" borderId="72" xfId="0" applyNumberFormat="1" applyFont="1" applyBorder="1" applyAlignment="1" applyProtection="1">
      <alignment horizontal="center" vertical="center"/>
      <protection locked="0"/>
    </xf>
    <xf numFmtId="4" fontId="14" fillId="0" borderId="30" xfId="0" applyNumberFormat="1" applyFont="1" applyBorder="1" applyAlignment="1" applyProtection="1">
      <alignment horizontal="right" vertical="center"/>
      <protection locked="0"/>
    </xf>
    <xf numFmtId="164" fontId="14" fillId="0" borderId="73" xfId="1" applyFont="1" applyBorder="1" applyAlignment="1">
      <alignment horizontal="center" vertical="center"/>
    </xf>
    <xf numFmtId="164" fontId="14" fillId="0" borderId="74" xfId="1" applyFont="1" applyBorder="1" applyAlignment="1">
      <alignment horizontal="center" vertical="center"/>
    </xf>
    <xf numFmtId="164" fontId="14" fillId="0" borderId="7" xfId="1" applyFont="1" applyBorder="1" applyAlignment="1">
      <alignment horizontal="center" vertical="center"/>
    </xf>
    <xf numFmtId="164" fontId="14" fillId="0" borderId="75" xfId="1" applyFont="1" applyBorder="1" applyAlignment="1">
      <alignment horizontal="center" vertical="center"/>
    </xf>
    <xf numFmtId="164" fontId="23" fillId="35" borderId="42" xfId="1" applyFont="1" applyFill="1" applyBorder="1" applyAlignment="1">
      <alignment horizontal="center" vertical="center"/>
    </xf>
    <xf numFmtId="164" fontId="23" fillId="29" borderId="42" xfId="1" applyFont="1" applyFill="1" applyBorder="1" applyAlignment="1">
      <alignment horizontal="center" vertical="center"/>
    </xf>
    <xf numFmtId="164" fontId="23" fillId="30" borderId="43" xfId="1" applyFont="1" applyFill="1" applyBorder="1" applyAlignment="1">
      <alignment horizontal="center" vertical="center"/>
    </xf>
    <xf numFmtId="2" fontId="23" fillId="31" borderId="76" xfId="1" applyNumberFormat="1" applyFont="1" applyFill="1" applyBorder="1" applyAlignment="1">
      <alignment horizontal="center" vertical="center"/>
    </xf>
    <xf numFmtId="2" fontId="23" fillId="11" borderId="43" xfId="1" applyNumberFormat="1" applyFont="1" applyFill="1" applyBorder="1" applyAlignment="1">
      <alignment horizontal="center" vertical="center"/>
    </xf>
    <xf numFmtId="164" fontId="23" fillId="37" borderId="2" xfId="1" applyFont="1" applyFill="1" applyBorder="1" applyAlignment="1">
      <alignment horizontal="center" vertical="center"/>
    </xf>
    <xf numFmtId="0" fontId="23" fillId="0" borderId="77" xfId="0" applyFont="1" applyBorder="1" applyAlignment="1" applyProtection="1">
      <alignment horizontal="left" vertical="center"/>
      <protection locked="0"/>
    </xf>
    <xf numFmtId="10" fontId="26" fillId="0" borderId="78" xfId="0" applyNumberFormat="1" applyFont="1" applyBorder="1" applyAlignment="1" applyProtection="1">
      <alignment horizontal="center" vertical="center"/>
      <protection locked="0"/>
    </xf>
    <xf numFmtId="4" fontId="14" fillId="0" borderId="44" xfId="0" applyNumberFormat="1" applyFont="1" applyBorder="1" applyAlignment="1" applyProtection="1">
      <alignment horizontal="right" vertical="center"/>
      <protection locked="0"/>
    </xf>
    <xf numFmtId="164" fontId="14" fillId="0" borderId="79" xfId="1" applyFont="1" applyBorder="1" applyAlignment="1">
      <alignment horizontal="center" vertical="center"/>
    </xf>
    <xf numFmtId="164" fontId="14" fillId="0" borderId="80" xfId="1" applyFont="1" applyBorder="1" applyAlignment="1">
      <alignment horizontal="center" vertical="center"/>
    </xf>
    <xf numFmtId="164" fontId="23" fillId="35" borderId="77" xfId="1" applyFont="1" applyFill="1" applyBorder="1" applyAlignment="1">
      <alignment vertical="center"/>
    </xf>
    <xf numFmtId="164" fontId="23" fillId="35" borderId="77" xfId="1" applyFont="1" applyFill="1" applyBorder="1" applyAlignment="1">
      <alignment horizontal="center" vertical="center"/>
    </xf>
    <xf numFmtId="164" fontId="23" fillId="29" borderId="77" xfId="1" applyFont="1" applyFill="1" applyBorder="1" applyAlignment="1">
      <alignment horizontal="center" vertical="center"/>
    </xf>
    <xf numFmtId="164" fontId="23" fillId="30" borderId="45" xfId="1" applyFont="1" applyFill="1" applyBorder="1" applyAlignment="1">
      <alignment horizontal="center" vertical="center"/>
    </xf>
    <xf numFmtId="2" fontId="23" fillId="31" borderId="15" xfId="1" applyNumberFormat="1" applyFont="1" applyFill="1" applyBorder="1" applyAlignment="1">
      <alignment horizontal="center" vertical="center"/>
    </xf>
    <xf numFmtId="172" fontId="23" fillId="11" borderId="31" xfId="1" applyNumberFormat="1" applyFont="1" applyFill="1" applyBorder="1" applyAlignment="1">
      <alignment horizontal="center" vertical="center"/>
    </xf>
    <xf numFmtId="164" fontId="23" fillId="37" borderId="15" xfId="1" applyFont="1" applyFill="1" applyBorder="1" applyAlignment="1">
      <alignment horizontal="center" vertical="center"/>
    </xf>
    <xf numFmtId="172" fontId="23" fillId="11" borderId="45" xfId="1" applyNumberFormat="1" applyFont="1" applyFill="1" applyBorder="1" applyAlignment="1">
      <alignment horizontal="center" vertical="center"/>
    </xf>
    <xf numFmtId="164" fontId="12" fillId="0" borderId="0" xfId="1"/>
    <xf numFmtId="0" fontId="23" fillId="0" borderId="81" xfId="0" applyFont="1" applyBorder="1" applyAlignment="1" applyProtection="1">
      <alignment horizontal="left" vertical="center"/>
      <protection locked="0"/>
    </xf>
    <xf numFmtId="10" fontId="26" fillId="0" borderId="82" xfId="0" applyNumberFormat="1" applyFont="1" applyBorder="1" applyAlignment="1" applyProtection="1">
      <alignment horizontal="center" vertical="center"/>
      <protection locked="0"/>
    </xf>
    <xf numFmtId="4" fontId="14" fillId="0" borderId="46" xfId="0" applyNumberFormat="1" applyFont="1" applyBorder="1" applyAlignment="1" applyProtection="1">
      <alignment horizontal="right" vertical="center"/>
      <protection locked="0"/>
    </xf>
    <xf numFmtId="164" fontId="14" fillId="0" borderId="83" xfId="1" applyFont="1" applyBorder="1" applyAlignment="1">
      <alignment horizontal="center" vertical="center"/>
    </xf>
    <xf numFmtId="164" fontId="14" fillId="0" borderId="84" xfId="1" applyFont="1" applyBorder="1" applyAlignment="1">
      <alignment horizontal="center" vertical="center"/>
    </xf>
    <xf numFmtId="164" fontId="14" fillId="0" borderId="12" xfId="1" applyFont="1" applyBorder="1" applyAlignment="1">
      <alignment horizontal="center" vertical="center"/>
    </xf>
    <xf numFmtId="164" fontId="14" fillId="0" borderId="85" xfId="1" applyFont="1" applyBorder="1" applyAlignment="1">
      <alignment horizontal="center" vertical="center"/>
    </xf>
    <xf numFmtId="0" fontId="45" fillId="22" borderId="20" xfId="0" applyFont="1" applyFill="1" applyBorder="1" applyAlignment="1">
      <alignment horizontal="center" vertical="center"/>
    </xf>
    <xf numFmtId="164" fontId="26" fillId="22" borderId="48" xfId="1" applyFont="1" applyFill="1" applyBorder="1" applyAlignment="1">
      <alignment horizontal="center" vertical="center"/>
    </xf>
    <xf numFmtId="164" fontId="26" fillId="35" borderId="21" xfId="1" applyFont="1" applyFill="1" applyBorder="1" applyAlignment="1">
      <alignment horizontal="center" vertical="center"/>
    </xf>
    <xf numFmtId="164" fontId="26" fillId="35" borderId="27" xfId="1" applyFont="1" applyFill="1" applyBorder="1" applyAlignment="1">
      <alignment horizontal="center" vertical="center"/>
    </xf>
    <xf numFmtId="164" fontId="26" fillId="35" borderId="40" xfId="1" applyFont="1" applyFill="1" applyBorder="1" applyAlignment="1">
      <alignment horizontal="center" vertical="center"/>
    </xf>
    <xf numFmtId="164" fontId="26" fillId="27" borderId="28" xfId="1" applyFont="1" applyFill="1" applyBorder="1" applyAlignment="1">
      <alignment horizontal="center" vertical="center"/>
    </xf>
    <xf numFmtId="164" fontId="26" fillId="27" borderId="27" xfId="1" applyFont="1" applyFill="1" applyBorder="1" applyAlignment="1">
      <alignment horizontal="center" vertical="center"/>
    </xf>
    <xf numFmtId="164" fontId="29" fillId="17" borderId="20" xfId="0" applyNumberFormat="1" applyFont="1" applyFill="1" applyBorder="1" applyAlignment="1">
      <alignment horizontal="center" vertical="center" wrapText="1"/>
    </xf>
    <xf numFmtId="164" fontId="29" fillId="9" borderId="19" xfId="0" applyNumberFormat="1" applyFont="1" applyFill="1" applyBorder="1" applyAlignment="1">
      <alignment horizontal="center" vertical="center" wrapText="1"/>
    </xf>
    <xf numFmtId="164" fontId="44" fillId="28" borderId="22" xfId="0" applyNumberFormat="1" applyFont="1" applyFill="1" applyBorder="1" applyAlignment="1">
      <alignment horizontal="center" vertical="center" wrapText="1"/>
    </xf>
    <xf numFmtId="164" fontId="26" fillId="36" borderId="21" xfId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2" fontId="29" fillId="9" borderId="2" xfId="0" applyNumberFormat="1" applyFont="1" applyFill="1" applyBorder="1" applyAlignment="1">
      <alignment horizontal="center"/>
    </xf>
    <xf numFmtId="2" fontId="32" fillId="0" borderId="20" xfId="0" applyNumberFormat="1" applyFont="1" applyBorder="1" applyAlignment="1">
      <alignment horizontal="right"/>
    </xf>
    <xf numFmtId="2" fontId="29" fillId="0" borderId="29" xfId="0" applyNumberFormat="1" applyFont="1" applyBorder="1" applyAlignment="1">
      <alignment horizontal="left"/>
    </xf>
    <xf numFmtId="2" fontId="29" fillId="0" borderId="28" xfId="0" applyNumberFormat="1" applyFont="1" applyBorder="1" applyAlignment="1">
      <alignment horizontal="left"/>
    </xf>
    <xf numFmtId="2" fontId="29" fillId="0" borderId="22" xfId="0" applyNumberFormat="1" applyFont="1" applyBorder="1" applyAlignment="1">
      <alignment horizontal="left"/>
    </xf>
    <xf numFmtId="2" fontId="29" fillId="0" borderId="0" xfId="0" applyNumberFormat="1" applyFont="1" applyAlignment="1">
      <alignment horizontal="left"/>
    </xf>
    <xf numFmtId="2" fontId="29" fillId="9" borderId="77" xfId="0" applyNumberFormat="1" applyFont="1" applyFill="1" applyBorder="1" applyAlignment="1">
      <alignment horizontal="center"/>
    </xf>
    <xf numFmtId="2" fontId="29" fillId="9" borderId="44" xfId="0" applyNumberFormat="1" applyFont="1" applyFill="1" applyBorder="1" applyAlignment="1">
      <alignment horizontal="center"/>
    </xf>
    <xf numFmtId="2" fontId="29" fillId="9" borderId="3" xfId="0" applyNumberFormat="1" applyFont="1" applyFill="1" applyBorder="1" applyAlignment="1">
      <alignment horizontal="center"/>
    </xf>
    <xf numFmtId="2" fontId="29" fillId="9" borderId="80" xfId="0" applyNumberFormat="1" applyFont="1" applyFill="1" applyBorder="1" applyAlignment="1">
      <alignment horizontal="center"/>
    </xf>
    <xf numFmtId="2" fontId="29" fillId="9" borderId="15" xfId="0" applyNumberFormat="1" applyFont="1" applyFill="1" applyBorder="1" applyAlignment="1">
      <alignment horizontal="center"/>
    </xf>
    <xf numFmtId="0" fontId="21" fillId="0" borderId="0" xfId="0" applyFont="1"/>
    <xf numFmtId="2" fontId="29" fillId="9" borderId="86" xfId="0" applyNumberFormat="1" applyFont="1" applyFill="1" applyBorder="1" applyAlignment="1">
      <alignment horizontal="center"/>
    </xf>
    <xf numFmtId="2" fontId="29" fillId="9" borderId="87" xfId="0" applyNumberFormat="1" applyFont="1" applyFill="1" applyBorder="1" applyAlignment="1">
      <alignment horizontal="center"/>
    </xf>
    <xf numFmtId="2" fontId="29" fillId="9" borderId="88" xfId="0" applyNumberFormat="1" applyFont="1" applyFill="1" applyBorder="1" applyAlignment="1">
      <alignment horizontal="center"/>
    </xf>
    <xf numFmtId="2" fontId="29" fillId="9" borderId="89" xfId="0" applyNumberFormat="1" applyFont="1" applyFill="1" applyBorder="1" applyAlignment="1">
      <alignment horizontal="center"/>
    </xf>
    <xf numFmtId="2" fontId="29" fillId="15" borderId="30" xfId="0" applyNumberFormat="1" applyFont="1" applyFill="1" applyBorder="1" applyAlignment="1">
      <alignment horizontal="center"/>
    </xf>
    <xf numFmtId="175" fontId="29" fillId="15" borderId="30" xfId="0" applyNumberFormat="1" applyFont="1" applyFill="1" applyBorder="1" applyAlignment="1">
      <alignment horizontal="center"/>
    </xf>
    <xf numFmtId="175" fontId="29" fillId="15" borderId="7" xfId="0" applyNumberFormat="1" applyFont="1" applyFill="1" applyBorder="1" applyAlignment="1">
      <alignment horizontal="center"/>
    </xf>
    <xf numFmtId="176" fontId="29" fillId="15" borderId="7" xfId="0" applyNumberFormat="1" applyFont="1" applyFill="1" applyBorder="1" applyAlignment="1">
      <alignment horizontal="center"/>
    </xf>
    <xf numFmtId="176" fontId="29" fillId="15" borderId="75" xfId="0" applyNumberFormat="1" applyFont="1" applyFill="1" applyBorder="1" applyAlignment="1">
      <alignment horizontal="center"/>
    </xf>
    <xf numFmtId="2" fontId="29" fillId="15" borderId="44" xfId="0" applyNumberFormat="1" applyFont="1" applyFill="1" applyBorder="1" applyAlignment="1">
      <alignment horizontal="center"/>
    </xf>
    <xf numFmtId="175" fontId="29" fillId="15" borderId="44" xfId="0" applyNumberFormat="1" applyFont="1" applyFill="1" applyBorder="1" applyAlignment="1">
      <alignment horizontal="center"/>
    </xf>
    <xf numFmtId="175" fontId="29" fillId="15" borderId="3" xfId="0" applyNumberFormat="1" applyFont="1" applyFill="1" applyBorder="1" applyAlignment="1">
      <alignment horizontal="center"/>
    </xf>
    <xf numFmtId="176" fontId="29" fillId="15" borderId="3" xfId="0" applyNumberFormat="1" applyFont="1" applyFill="1" applyBorder="1" applyAlignment="1">
      <alignment horizontal="center"/>
    </xf>
    <xf numFmtId="176" fontId="29" fillId="15" borderId="80" xfId="0" applyNumberFormat="1" applyFont="1" applyFill="1" applyBorder="1" applyAlignment="1">
      <alignment horizontal="center"/>
    </xf>
    <xf numFmtId="0" fontId="8" fillId="33" borderId="53" xfId="0" applyFont="1" applyFill="1" applyBorder="1" applyAlignment="1" applyProtection="1">
      <alignment horizontal="center" vertical="center"/>
      <protection locked="0"/>
    </xf>
    <xf numFmtId="0" fontId="14" fillId="6" borderId="53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center" vertical="center" wrapText="1"/>
    </xf>
    <xf numFmtId="0" fontId="14" fillId="24" borderId="54" xfId="0" applyFont="1" applyFill="1" applyBorder="1" applyAlignment="1">
      <alignment horizontal="center" vertical="center" wrapText="1"/>
    </xf>
    <xf numFmtId="0" fontId="23" fillId="25" borderId="54" xfId="0" applyFont="1" applyFill="1" applyBorder="1" applyAlignment="1">
      <alignment horizontal="center" vertical="center" wrapText="1"/>
    </xf>
    <xf numFmtId="0" fontId="14" fillId="25" borderId="90" xfId="0" applyFont="1" applyFill="1" applyBorder="1" applyAlignment="1">
      <alignment horizontal="center" vertical="center" wrapText="1"/>
    </xf>
    <xf numFmtId="0" fontId="9" fillId="0" borderId="0" xfId="0" applyFont="1"/>
    <xf numFmtId="0" fontId="46" fillId="10" borderId="33" xfId="0" applyFont="1" applyFill="1" applyBorder="1" applyAlignment="1">
      <alignment vertical="center"/>
    </xf>
    <xf numFmtId="0" fontId="46" fillId="10" borderId="0" xfId="0" applyFont="1" applyFill="1" applyAlignment="1">
      <alignment vertical="center"/>
    </xf>
    <xf numFmtId="165" fontId="5" fillId="38" borderId="60" xfId="0" applyNumberFormat="1" applyFont="1" applyFill="1" applyBorder="1" applyAlignment="1">
      <alignment horizontal="center" vertical="center"/>
    </xf>
    <xf numFmtId="165" fontId="5" fillId="38" borderId="91" xfId="0" applyNumberFormat="1" applyFont="1" applyFill="1" applyBorder="1" applyAlignment="1">
      <alignment horizontal="center" vertical="center"/>
    </xf>
    <xf numFmtId="165" fontId="5" fillId="38" borderId="43" xfId="0" applyNumberFormat="1" applyFont="1" applyFill="1" applyBorder="1" applyAlignment="1">
      <alignment horizontal="center" vertical="center" wrapText="1"/>
    </xf>
    <xf numFmtId="165" fontId="5" fillId="38" borderId="43" xfId="0" applyNumberFormat="1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vertical="center"/>
    </xf>
    <xf numFmtId="0" fontId="5" fillId="10" borderId="0" xfId="0" applyFont="1" applyFill="1" applyAlignment="1">
      <alignment horizontal="right" vertical="center"/>
    </xf>
    <xf numFmtId="177" fontId="2" fillId="38" borderId="44" xfId="1" applyNumberFormat="1" applyFont="1" applyFill="1" applyBorder="1" applyAlignment="1">
      <alignment horizontal="center" vertical="center"/>
    </xf>
    <xf numFmtId="177" fontId="2" fillId="38" borderId="77" xfId="1" applyNumberFormat="1" applyFont="1" applyFill="1" applyBorder="1" applyAlignment="1">
      <alignment horizontal="center" vertical="center"/>
    </xf>
    <xf numFmtId="177" fontId="2" fillId="38" borderId="45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77" xfId="0" applyNumberFormat="1" applyFont="1" applyFill="1" applyBorder="1" applyAlignment="1">
      <alignment horizontal="center" vertical="center"/>
    </xf>
    <xf numFmtId="165" fontId="2" fillId="38" borderId="45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6" xfId="0" applyNumberFormat="1" applyFont="1" applyFill="1" applyBorder="1" applyAlignment="1">
      <alignment horizontal="center" vertical="center"/>
    </xf>
    <xf numFmtId="165" fontId="2" fillId="38" borderId="47" xfId="0" applyNumberFormat="1" applyFont="1" applyFill="1" applyBorder="1" applyAlignment="1">
      <alignment horizontal="center" vertical="center"/>
    </xf>
    <xf numFmtId="0" fontId="47" fillId="10" borderId="60" xfId="0" applyFont="1" applyFill="1" applyBorder="1" applyAlignment="1">
      <alignment horizontal="center" vertical="center"/>
    </xf>
    <xf numFmtId="0" fontId="47" fillId="39" borderId="61" xfId="0" applyFont="1" applyFill="1" applyBorder="1" applyAlignment="1">
      <alignment horizontal="center" vertical="center" wrapText="1"/>
    </xf>
    <xf numFmtId="0" fontId="47" fillId="39" borderId="92" xfId="0" applyFont="1" applyFill="1" applyBorder="1" applyAlignment="1">
      <alignment horizontal="center" vertical="center" wrapText="1"/>
    </xf>
    <xf numFmtId="0" fontId="47" fillId="39" borderId="93" xfId="0" applyFont="1" applyFill="1" applyBorder="1" applyAlignment="1">
      <alignment horizontal="center" vertical="center" wrapText="1"/>
    </xf>
    <xf numFmtId="0" fontId="47" fillId="39" borderId="94" xfId="0" applyFont="1" applyFill="1" applyBorder="1" applyAlignment="1">
      <alignment horizontal="center" vertical="center" wrapText="1"/>
    </xf>
    <xf numFmtId="0" fontId="47" fillId="41" borderId="44" xfId="0" applyFont="1" applyFill="1" applyBorder="1" applyAlignment="1">
      <alignment vertical="center" wrapText="1"/>
    </xf>
    <xf numFmtId="168" fontId="47" fillId="41" borderId="3" xfId="1" applyNumberFormat="1" applyFont="1" applyFill="1" applyBorder="1" applyAlignment="1">
      <alignment horizontal="center" vertical="center"/>
    </xf>
    <xf numFmtId="168" fontId="47" fillId="41" borderId="80" xfId="1" applyNumberFormat="1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vertical="center" wrapText="1"/>
    </xf>
    <xf numFmtId="166" fontId="48" fillId="10" borderId="3" xfId="2" applyNumberFormat="1" applyFont="1" applyFill="1" applyBorder="1" applyAlignment="1" applyProtection="1">
      <alignment vertical="center"/>
    </xf>
    <xf numFmtId="168" fontId="47" fillId="10" borderId="3" xfId="1" applyNumberFormat="1" applyFont="1" applyFill="1" applyBorder="1"/>
    <xf numFmtId="168" fontId="47" fillId="10" borderId="6" xfId="1" applyNumberFormat="1" applyFont="1" applyFill="1" applyBorder="1"/>
    <xf numFmtId="168" fontId="47" fillId="10" borderId="80" xfId="1" applyNumberFormat="1" applyFont="1" applyFill="1" applyBorder="1"/>
    <xf numFmtId="10" fontId="48" fillId="10" borderId="3" xfId="2" applyNumberFormat="1" applyFont="1" applyFill="1" applyBorder="1" applyAlignment="1" applyProtection="1">
      <alignment horizontal="right" vertical="center"/>
    </xf>
    <xf numFmtId="168" fontId="47" fillId="10" borderId="3" xfId="1" applyNumberFormat="1" applyFont="1" applyFill="1" applyBorder="1" applyAlignment="1">
      <alignment horizontal="center"/>
    </xf>
    <xf numFmtId="168" fontId="47" fillId="10" borderId="80" xfId="1" applyNumberFormat="1" applyFont="1" applyFill="1" applyBorder="1" applyAlignment="1">
      <alignment horizontal="center"/>
    </xf>
    <xf numFmtId="168" fontId="49" fillId="10" borderId="3" xfId="2" applyNumberFormat="1" applyFont="1" applyFill="1" applyBorder="1" applyAlignment="1" applyProtection="1">
      <alignment vertical="center"/>
    </xf>
    <xf numFmtId="168" fontId="47" fillId="10" borderId="6" xfId="1" applyNumberFormat="1" applyFont="1" applyFill="1" applyBorder="1" applyAlignment="1">
      <alignment horizontal="center"/>
    </xf>
    <xf numFmtId="10" fontId="49" fillId="10" borderId="3" xfId="0" applyNumberFormat="1" applyFont="1" applyFill="1" applyBorder="1" applyAlignment="1">
      <alignment vertical="center"/>
    </xf>
    <xf numFmtId="0" fontId="26" fillId="8" borderId="44" xfId="0" applyFont="1" applyFill="1" applyBorder="1" applyAlignment="1">
      <alignment horizontal="right" vertical="center"/>
    </xf>
    <xf numFmtId="9" fontId="26" fillId="8" borderId="3" xfId="0" applyNumberFormat="1" applyFont="1" applyFill="1" applyBorder="1" applyAlignment="1">
      <alignment horizontal="center" vertical="center"/>
    </xf>
    <xf numFmtId="4" fontId="26" fillId="8" borderId="3" xfId="0" applyNumberFormat="1" applyFont="1" applyFill="1" applyBorder="1" applyAlignment="1">
      <alignment horizontal="right" vertical="center"/>
    </xf>
    <xf numFmtId="4" fontId="26" fillId="8" borderId="6" xfId="0" applyNumberFormat="1" applyFont="1" applyFill="1" applyBorder="1" applyAlignment="1">
      <alignment horizontal="right" vertical="center"/>
    </xf>
    <xf numFmtId="4" fontId="26" fillId="8" borderId="80" xfId="0" applyNumberFormat="1" applyFont="1" applyFill="1" applyBorder="1" applyAlignment="1">
      <alignment horizontal="right" vertical="center"/>
    </xf>
    <xf numFmtId="0" fontId="9" fillId="10" borderId="4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80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vertical="center"/>
    </xf>
    <xf numFmtId="168" fontId="47" fillId="42" borderId="3" xfId="1" applyNumberFormat="1" applyFont="1" applyFill="1" applyBorder="1" applyAlignment="1">
      <alignment horizontal="center" vertical="center"/>
    </xf>
    <xf numFmtId="168" fontId="47" fillId="42" borderId="80" xfId="1" applyNumberFormat="1" applyFont="1" applyFill="1" applyBorder="1" applyAlignment="1">
      <alignment horizontal="center" vertical="center"/>
    </xf>
    <xf numFmtId="0" fontId="23" fillId="0" borderId="44" xfId="0" applyFont="1" applyBorder="1" applyAlignment="1">
      <alignment vertical="center"/>
    </xf>
    <xf numFmtId="10" fontId="48" fillId="10" borderId="3" xfId="2" applyNumberFormat="1" applyFont="1" applyFill="1" applyBorder="1" applyAlignment="1" applyProtection="1">
      <alignment vertical="center"/>
    </xf>
    <xf numFmtId="10" fontId="26" fillId="8" borderId="3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right" vertical="center"/>
    </xf>
    <xf numFmtId="2" fontId="26" fillId="8" borderId="80" xfId="0" applyNumberFormat="1" applyFont="1" applyFill="1" applyBorder="1" applyAlignment="1">
      <alignment horizontal="right" vertical="center"/>
    </xf>
    <xf numFmtId="0" fontId="26" fillId="3" borderId="3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3" borderId="80" xfId="0" applyFont="1" applyFill="1" applyBorder="1" applyAlignment="1">
      <alignment vertical="center"/>
    </xf>
    <xf numFmtId="168" fontId="47" fillId="10" borderId="3" xfId="1" applyNumberFormat="1" applyFont="1" applyFill="1" applyBorder="1" applyAlignment="1">
      <alignment vertical="center"/>
    </xf>
    <xf numFmtId="168" fontId="47" fillId="10" borderId="80" xfId="1" applyNumberFormat="1" applyFont="1" applyFill="1" applyBorder="1" applyAlignment="1">
      <alignment vertical="center"/>
    </xf>
    <xf numFmtId="178" fontId="48" fillId="10" borderId="3" xfId="2" applyNumberFormat="1" applyFont="1" applyFill="1" applyBorder="1" applyAlignment="1" applyProtection="1">
      <alignment horizontal="right" vertical="center"/>
    </xf>
    <xf numFmtId="178" fontId="48" fillId="10" borderId="3" xfId="2" applyNumberFormat="1" applyFont="1" applyFill="1" applyBorder="1" applyAlignment="1" applyProtection="1">
      <alignment vertical="center"/>
    </xf>
    <xf numFmtId="168" fontId="47" fillId="10" borderId="3" xfId="1" applyNumberFormat="1" applyFont="1" applyFill="1" applyBorder="1" applyAlignment="1">
      <alignment horizontal="center" vertical="center"/>
    </xf>
    <xf numFmtId="168" fontId="47" fillId="10" borderId="80" xfId="1" applyNumberFormat="1" applyFont="1" applyFill="1" applyBorder="1" applyAlignment="1">
      <alignment horizontal="center" vertical="center"/>
    </xf>
    <xf numFmtId="164" fontId="48" fillId="10" borderId="3" xfId="2" applyNumberFormat="1" applyFont="1" applyFill="1" applyBorder="1" applyAlignment="1" applyProtection="1">
      <alignment vertical="center"/>
    </xf>
    <xf numFmtId="168" fontId="47" fillId="10" borderId="6" xfId="1" applyNumberFormat="1" applyFont="1" applyFill="1" applyBorder="1" applyAlignment="1">
      <alignment horizontal="center" vertical="center"/>
    </xf>
    <xf numFmtId="173" fontId="48" fillId="10" borderId="3" xfId="2" applyNumberFormat="1" applyFont="1" applyFill="1" applyBorder="1" applyAlignment="1" applyProtection="1">
      <alignment vertical="center"/>
    </xf>
    <xf numFmtId="10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4" fontId="23" fillId="0" borderId="80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6" fillId="3" borderId="3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80" xfId="0" applyFont="1" applyFill="1" applyBorder="1" applyAlignment="1">
      <alignment horizontal="center" vertical="center"/>
    </xf>
    <xf numFmtId="2" fontId="23" fillId="0" borderId="3" xfId="0" applyNumberFormat="1" applyFont="1" applyBorder="1" applyAlignment="1">
      <alignment horizontal="right" vertical="center"/>
    </xf>
    <xf numFmtId="2" fontId="23" fillId="0" borderId="80" xfId="0" applyNumberFormat="1" applyFont="1" applyBorder="1" applyAlignment="1">
      <alignment horizontal="right" vertical="center"/>
    </xf>
    <xf numFmtId="10" fontId="48" fillId="10" borderId="3" xfId="2" applyNumberFormat="1" applyFont="1" applyFill="1" applyBorder="1" applyAlignment="1" applyProtection="1">
      <alignment vertical="center"/>
      <protection locked="0"/>
    </xf>
    <xf numFmtId="0" fontId="47" fillId="43" borderId="44" xfId="0" applyFont="1" applyFill="1" applyBorder="1" applyAlignment="1">
      <alignment horizontal="right" vertical="center" wrapText="1"/>
    </xf>
    <xf numFmtId="10" fontId="47" fillId="43" borderId="3" xfId="0" applyNumberFormat="1" applyFont="1" applyFill="1" applyBorder="1" applyAlignment="1">
      <alignment horizontal="right" vertical="center" wrapText="1"/>
    </xf>
    <xf numFmtId="168" fontId="47" fillId="43" borderId="3" xfId="0" applyNumberFormat="1" applyFont="1" applyFill="1" applyBorder="1" applyAlignment="1">
      <alignment vertical="center"/>
    </xf>
    <xf numFmtId="168" fontId="47" fillId="43" borderId="80" xfId="0" applyNumberFormat="1" applyFont="1" applyFill="1" applyBorder="1" applyAlignment="1">
      <alignment vertical="center"/>
    </xf>
    <xf numFmtId="168" fontId="47" fillId="43" borderId="3" xfId="0" applyNumberFormat="1" applyFont="1" applyFill="1" applyBorder="1" applyAlignment="1">
      <alignment horizontal="right" vertical="center"/>
    </xf>
    <xf numFmtId="168" fontId="47" fillId="43" borderId="80" xfId="0" applyNumberFormat="1" applyFont="1" applyFill="1" applyBorder="1" applyAlignment="1">
      <alignment horizontal="right" vertical="center"/>
    </xf>
    <xf numFmtId="0" fontId="47" fillId="40" borderId="81" xfId="0" applyFont="1" applyFill="1" applyBorder="1" applyAlignment="1">
      <alignment vertical="center" wrapText="1"/>
    </xf>
    <xf numFmtId="0" fontId="47" fillId="40" borderId="4" xfId="0" applyFont="1" applyFill="1" applyBorder="1" applyAlignment="1">
      <alignment vertical="center" wrapText="1"/>
    </xf>
    <xf numFmtId="0" fontId="47" fillId="40" borderId="50" xfId="0" applyFont="1" applyFill="1" applyBorder="1" applyAlignment="1">
      <alignment vertical="center" wrapText="1"/>
    </xf>
    <xf numFmtId="170" fontId="48" fillId="10" borderId="3" xfId="2" applyNumberFormat="1" applyFont="1" applyFill="1" applyBorder="1" applyProtection="1"/>
    <xf numFmtId="0" fontId="23" fillId="0" borderId="44" xfId="0" applyFont="1" applyBorder="1" applyAlignment="1">
      <alignment wrapText="1"/>
    </xf>
    <xf numFmtId="170" fontId="48" fillId="10" borderId="3" xfId="2" applyNumberFormat="1" applyFont="1" applyFill="1" applyBorder="1" applyAlignment="1" applyProtection="1">
      <alignment vertical="center"/>
    </xf>
    <xf numFmtId="0" fontId="23" fillId="44" borderId="44" xfId="0" applyFont="1" applyFill="1" applyBorder="1" applyAlignment="1">
      <alignment wrapText="1"/>
    </xf>
    <xf numFmtId="10" fontId="48" fillId="44" borderId="3" xfId="2" applyNumberFormat="1" applyFont="1" applyFill="1" applyBorder="1" applyAlignment="1" applyProtection="1">
      <alignment vertical="center"/>
    </xf>
    <xf numFmtId="168" fontId="47" fillId="44" borderId="3" xfId="1" applyNumberFormat="1" applyFont="1" applyFill="1" applyBorder="1" applyAlignment="1">
      <alignment horizontal="center"/>
    </xf>
    <xf numFmtId="168" fontId="47" fillId="44" borderId="6" xfId="1" applyNumberFormat="1" applyFont="1" applyFill="1" applyBorder="1"/>
    <xf numFmtId="168" fontId="47" fillId="44" borderId="80" xfId="1" applyNumberFormat="1" applyFont="1" applyFill="1" applyBorder="1" applyAlignment="1">
      <alignment horizontal="right"/>
    </xf>
    <xf numFmtId="0" fontId="49" fillId="43" borderId="3" xfId="0" applyFont="1" applyFill="1" applyBorder="1" applyAlignment="1">
      <alignment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85" xfId="0" applyFont="1" applyFill="1" applyBorder="1" applyAlignment="1">
      <alignment horizontal="center" vertical="center"/>
    </xf>
    <xf numFmtId="0" fontId="47" fillId="45" borderId="44" xfId="0" applyFont="1" applyFill="1" applyBorder="1" applyAlignment="1">
      <alignment vertical="center" wrapText="1"/>
    </xf>
    <xf numFmtId="10" fontId="48" fillId="45" borderId="3" xfId="2" applyNumberFormat="1" applyFont="1" applyFill="1" applyBorder="1" applyAlignment="1" applyProtection="1">
      <alignment vertical="center"/>
    </xf>
    <xf numFmtId="168" fontId="47" fillId="45" borderId="3" xfId="1" applyNumberFormat="1" applyFont="1" applyFill="1" applyBorder="1" applyAlignment="1">
      <alignment horizontal="right" vertical="center"/>
    </xf>
    <xf numFmtId="168" fontId="47" fillId="45" borderId="80" xfId="1" applyNumberFormat="1" applyFont="1" applyFill="1" applyBorder="1" applyAlignment="1">
      <alignment horizontal="right" vertical="center"/>
    </xf>
    <xf numFmtId="168" fontId="9" fillId="0" borderId="3" xfId="1" applyNumberFormat="1" applyFont="1" applyBorder="1" applyAlignment="1">
      <alignment horizontal="right" vertical="center"/>
    </xf>
    <xf numFmtId="168" fontId="9" fillId="0" borderId="80" xfId="1" applyNumberFormat="1" applyFont="1" applyBorder="1" applyAlignment="1">
      <alignment horizontal="right" vertical="center"/>
    </xf>
    <xf numFmtId="168" fontId="9" fillId="0" borderId="12" xfId="1" applyNumberFormat="1" applyFont="1" applyBorder="1" applyAlignment="1">
      <alignment horizontal="right" vertical="center"/>
    </xf>
    <xf numFmtId="168" fontId="9" fillId="0" borderId="85" xfId="1" applyNumberFormat="1" applyFont="1" applyBorder="1" applyAlignment="1">
      <alignment horizontal="right" vertical="center"/>
    </xf>
    <xf numFmtId="4" fontId="9" fillId="0" borderId="0" xfId="0" applyNumberFormat="1" applyFont="1"/>
    <xf numFmtId="168" fontId="9" fillId="0" borderId="3" xfId="1" applyNumberFormat="1" applyFont="1" applyBorder="1" applyAlignment="1">
      <alignment vertical="center"/>
    </xf>
    <xf numFmtId="168" fontId="9" fillId="0" borderId="80" xfId="1" applyNumberFormat="1" applyFont="1" applyBorder="1" applyAlignment="1">
      <alignment vertical="center"/>
    </xf>
    <xf numFmtId="10" fontId="48" fillId="10" borderId="12" xfId="2" applyNumberFormat="1" applyFont="1" applyFill="1" applyBorder="1" applyAlignment="1" applyProtection="1">
      <alignment vertical="center"/>
    </xf>
    <xf numFmtId="168" fontId="9" fillId="0" borderId="12" xfId="1" applyNumberFormat="1" applyFont="1" applyBorder="1" applyAlignment="1">
      <alignment vertical="center"/>
    </xf>
    <xf numFmtId="168" fontId="9" fillId="0" borderId="85" xfId="1" applyNumberFormat="1" applyFont="1" applyBorder="1" applyAlignment="1">
      <alignment vertical="center"/>
    </xf>
    <xf numFmtId="10" fontId="48" fillId="46" borderId="91" xfId="2" applyNumberFormat="1" applyFont="1" applyFill="1" applyBorder="1" applyAlignment="1" applyProtection="1">
      <alignment vertical="center"/>
    </xf>
    <xf numFmtId="168" fontId="47" fillId="46" borderId="61" xfId="1" applyNumberFormat="1" applyFont="1" applyFill="1" applyBorder="1" applyAlignment="1">
      <alignment vertical="center"/>
    </xf>
    <xf numFmtId="168" fontId="47" fillId="46" borderId="95" xfId="1" applyNumberFormat="1" applyFont="1" applyFill="1" applyBorder="1" applyAlignment="1">
      <alignment vertical="center"/>
    </xf>
    <xf numFmtId="10" fontId="48" fillId="46" borderId="77" xfId="2" applyNumberFormat="1" applyFont="1" applyFill="1" applyBorder="1" applyAlignment="1" applyProtection="1">
      <alignment vertical="center"/>
    </xf>
    <xf numFmtId="168" fontId="47" fillId="46" borderId="3" xfId="1" applyNumberFormat="1" applyFont="1" applyFill="1" applyBorder="1" applyAlignment="1">
      <alignment vertical="center"/>
    </xf>
    <xf numFmtId="168" fontId="47" fillId="46" borderId="80" xfId="1" applyNumberFormat="1" applyFont="1" applyFill="1" applyBorder="1" applyAlignment="1">
      <alignment vertical="center"/>
    </xf>
    <xf numFmtId="10" fontId="48" fillId="46" borderId="86" xfId="2" applyNumberFormat="1" applyFont="1" applyFill="1" applyBorder="1" applyAlignment="1" applyProtection="1">
      <alignment vertical="center"/>
    </xf>
    <xf numFmtId="168" fontId="47" fillId="46" borderId="54" xfId="1" applyNumberFormat="1" applyFont="1" applyFill="1" applyBorder="1" applyAlignment="1">
      <alignment vertical="center"/>
    </xf>
    <xf numFmtId="168" fontId="47" fillId="46" borderId="90" xfId="1" applyNumberFormat="1" applyFont="1" applyFill="1" applyBorder="1" applyAlignment="1">
      <alignment vertical="center"/>
    </xf>
    <xf numFmtId="0" fontId="48" fillId="10" borderId="7" xfId="2" applyNumberFormat="1" applyFont="1" applyFill="1" applyBorder="1" applyAlignment="1" applyProtection="1">
      <alignment vertical="center"/>
    </xf>
    <xf numFmtId="168" fontId="9" fillId="10" borderId="7" xfId="1" applyNumberFormat="1" applyFont="1" applyFill="1" applyBorder="1" applyAlignment="1">
      <alignment vertical="center"/>
    </xf>
    <xf numFmtId="168" fontId="9" fillId="10" borderId="9" xfId="1" applyNumberFormat="1" applyFont="1" applyFill="1" applyBorder="1" applyAlignment="1">
      <alignment vertical="center"/>
    </xf>
    <xf numFmtId="168" fontId="9" fillId="10" borderId="75" xfId="1" applyNumberFormat="1" applyFont="1" applyFill="1" applyBorder="1" applyAlignment="1">
      <alignment vertical="center"/>
    </xf>
    <xf numFmtId="0" fontId="47" fillId="43" borderId="53" xfId="0" applyFont="1" applyFill="1" applyBorder="1" applyAlignment="1">
      <alignment horizontal="right" vertical="center" wrapText="1"/>
    </xf>
    <xf numFmtId="10" fontId="47" fillId="43" borderId="54" xfId="0" applyNumberFormat="1" applyFont="1" applyFill="1" applyBorder="1" applyAlignment="1">
      <alignment horizontal="right" vertical="center" wrapText="1"/>
    </xf>
    <xf numFmtId="168" fontId="47" fillId="43" borderId="54" xfId="0" applyNumberFormat="1" applyFont="1" applyFill="1" applyBorder="1" applyAlignment="1">
      <alignment vertical="center"/>
    </xf>
    <xf numFmtId="168" fontId="47" fillId="43" borderId="55" xfId="0" applyNumberFormat="1" applyFont="1" applyFill="1" applyBorder="1" applyAlignment="1">
      <alignment vertical="center"/>
    </xf>
    <xf numFmtId="168" fontId="47" fillId="43" borderId="90" xfId="0" applyNumberFormat="1" applyFont="1" applyFill="1" applyBorder="1" applyAlignment="1">
      <alignment vertical="center"/>
    </xf>
    <xf numFmtId="0" fontId="47" fillId="47" borderId="61" xfId="0" applyFont="1" applyFill="1" applyBorder="1" applyAlignment="1">
      <alignment horizontal="center" vertical="center" wrapText="1"/>
    </xf>
    <xf numFmtId="0" fontId="47" fillId="47" borderId="96" xfId="0" applyFont="1" applyFill="1" applyBorder="1" applyAlignment="1">
      <alignment horizontal="center" vertical="center" wrapText="1"/>
    </xf>
    <xf numFmtId="0" fontId="47" fillId="47" borderId="95" xfId="0" applyFont="1" applyFill="1" applyBorder="1" applyAlignment="1">
      <alignment horizontal="center" vertical="center" wrapText="1"/>
    </xf>
    <xf numFmtId="168" fontId="47" fillId="18" borderId="12" xfId="1" applyNumberFormat="1" applyFont="1" applyFill="1" applyBorder="1" applyAlignment="1">
      <alignment horizontal="center" vertical="center"/>
    </xf>
    <xf numFmtId="168" fontId="47" fillId="18" borderId="85" xfId="1" applyNumberFormat="1" applyFont="1" applyFill="1" applyBorder="1" applyAlignment="1">
      <alignment horizontal="center" vertical="center"/>
    </xf>
    <xf numFmtId="168" fontId="47" fillId="10" borderId="61" xfId="0" applyNumberFormat="1" applyFont="1" applyFill="1" applyBorder="1" applyAlignment="1">
      <alignment vertical="center"/>
    </xf>
    <xf numFmtId="168" fontId="47" fillId="10" borderId="95" xfId="0" applyNumberFormat="1" applyFont="1" applyFill="1" applyBorder="1" applyAlignment="1">
      <alignment vertical="center"/>
    </xf>
    <xf numFmtId="168" fontId="47" fillId="10" borderId="3" xfId="0" applyNumberFormat="1" applyFont="1" applyFill="1" applyBorder="1" applyAlignment="1">
      <alignment vertical="center"/>
    </xf>
    <xf numFmtId="168" fontId="47" fillId="10" borderId="80" xfId="0" applyNumberFormat="1" applyFont="1" applyFill="1" applyBorder="1" applyAlignment="1">
      <alignment vertical="center"/>
    </xf>
    <xf numFmtId="168" fontId="50" fillId="10" borderId="3" xfId="0" applyNumberFormat="1" applyFont="1" applyFill="1" applyBorder="1" applyAlignment="1">
      <alignment vertical="center"/>
    </xf>
    <xf numFmtId="168" fontId="50" fillId="10" borderId="6" xfId="0" applyNumberFormat="1" applyFont="1" applyFill="1" applyBorder="1" applyAlignment="1">
      <alignment vertical="center"/>
    </xf>
    <xf numFmtId="168" fontId="50" fillId="10" borderId="80" xfId="0" applyNumberFormat="1" applyFont="1" applyFill="1" applyBorder="1" applyAlignment="1">
      <alignment vertical="center"/>
    </xf>
    <xf numFmtId="168" fontId="50" fillId="10" borderId="12" xfId="0" applyNumberFormat="1" applyFont="1" applyFill="1" applyBorder="1" applyAlignment="1">
      <alignment vertical="center"/>
    </xf>
    <xf numFmtId="168" fontId="50" fillId="10" borderId="85" xfId="0" applyNumberFormat="1" applyFont="1" applyFill="1" applyBorder="1" applyAlignment="1">
      <alignment vertical="center"/>
    </xf>
    <xf numFmtId="168" fontId="50" fillId="10" borderId="16" xfId="0" applyNumberFormat="1" applyFont="1" applyFill="1" applyBorder="1" applyAlignment="1">
      <alignment vertical="center"/>
    </xf>
    <xf numFmtId="168" fontId="50" fillId="10" borderId="50" xfId="0" applyNumberFormat="1" applyFont="1" applyFill="1" applyBorder="1" applyAlignment="1">
      <alignment vertical="center"/>
    </xf>
    <xf numFmtId="0" fontId="47" fillId="19" borderId="27" xfId="0" applyFont="1" applyFill="1" applyBorder="1" applyAlignment="1">
      <alignment vertical="center" wrapText="1"/>
    </xf>
    <xf numFmtId="0" fontId="47" fillId="19" borderId="28" xfId="0" applyFont="1" applyFill="1" applyBorder="1" applyAlignment="1">
      <alignment vertical="center" wrapText="1"/>
    </xf>
    <xf numFmtId="173" fontId="47" fillId="19" borderId="28" xfId="0" applyNumberFormat="1" applyFont="1" applyFill="1" applyBorder="1" applyAlignment="1">
      <alignment horizontal="right" vertical="center" wrapText="1"/>
    </xf>
    <xf numFmtId="173" fontId="47" fillId="19" borderId="29" xfId="0" applyNumberFormat="1" applyFont="1" applyFill="1" applyBorder="1" applyAlignment="1">
      <alignment horizontal="right" vertical="center" wrapText="1"/>
    </xf>
    <xf numFmtId="0" fontId="47" fillId="19" borderId="33" xfId="0" applyFont="1" applyFill="1" applyBorder="1" applyAlignment="1">
      <alignment vertical="center" wrapText="1"/>
    </xf>
    <xf numFmtId="0" fontId="47" fillId="19" borderId="0" xfId="0" applyFont="1" applyFill="1" applyAlignment="1">
      <alignment vertical="center" wrapText="1"/>
    </xf>
    <xf numFmtId="173" fontId="47" fillId="19" borderId="0" xfId="0" applyNumberFormat="1" applyFont="1" applyFill="1" applyAlignment="1">
      <alignment horizontal="right" vertical="center" wrapText="1"/>
    </xf>
    <xf numFmtId="173" fontId="47" fillId="19" borderId="34" xfId="0" applyNumberFormat="1" applyFont="1" applyFill="1" applyBorder="1" applyAlignment="1">
      <alignment horizontal="right" vertical="center" wrapText="1"/>
    </xf>
    <xf numFmtId="0" fontId="47" fillId="23" borderId="27" xfId="0" applyFont="1" applyFill="1" applyBorder="1" applyAlignment="1">
      <alignment vertical="center" wrapText="1"/>
    </xf>
    <xf numFmtId="0" fontId="47" fillId="23" borderId="28" xfId="0" applyFont="1" applyFill="1" applyBorder="1" applyAlignment="1">
      <alignment vertical="center" wrapText="1"/>
    </xf>
    <xf numFmtId="173" fontId="29" fillId="23" borderId="28" xfId="0" applyNumberFormat="1" applyFont="1" applyFill="1" applyBorder="1" applyAlignment="1">
      <alignment horizontal="right" vertical="center" wrapText="1"/>
    </xf>
    <xf numFmtId="173" fontId="47" fillId="23" borderId="28" xfId="0" applyNumberFormat="1" applyFont="1" applyFill="1" applyBorder="1" applyAlignment="1">
      <alignment horizontal="right" vertical="center" wrapText="1"/>
    </xf>
    <xf numFmtId="173" fontId="47" fillId="23" borderId="29" xfId="0" applyNumberFormat="1" applyFont="1" applyFill="1" applyBorder="1" applyAlignment="1">
      <alignment horizontal="right" vertical="center" wrapText="1"/>
    </xf>
    <xf numFmtId="0" fontId="47" fillId="23" borderId="33" xfId="0" applyFont="1" applyFill="1" applyBorder="1" applyAlignment="1">
      <alignment vertical="center" wrapText="1"/>
    </xf>
    <xf numFmtId="0" fontId="47" fillId="23" borderId="0" xfId="0" applyFont="1" applyFill="1" applyAlignment="1">
      <alignment vertical="center" wrapText="1"/>
    </xf>
    <xf numFmtId="173" fontId="29" fillId="23" borderId="0" xfId="0" applyNumberFormat="1" applyFont="1" applyFill="1" applyAlignment="1">
      <alignment horizontal="right" vertical="center" wrapText="1"/>
    </xf>
    <xf numFmtId="173" fontId="47" fillId="23" borderId="0" xfId="0" applyNumberFormat="1" applyFont="1" applyFill="1" applyAlignment="1">
      <alignment horizontal="right" vertical="center" wrapText="1"/>
    </xf>
    <xf numFmtId="173" fontId="47" fillId="23" borderId="34" xfId="0" applyNumberFormat="1" applyFont="1" applyFill="1" applyBorder="1" applyAlignment="1">
      <alignment horizontal="right" vertical="center" wrapText="1"/>
    </xf>
    <xf numFmtId="0" fontId="47" fillId="23" borderId="36" xfId="0" applyFont="1" applyFill="1" applyBorder="1" applyAlignment="1">
      <alignment vertical="center" wrapText="1"/>
    </xf>
    <xf numFmtId="0" fontId="47" fillId="23" borderId="1" xfId="0" applyFont="1" applyFill="1" applyBorder="1" applyAlignment="1">
      <alignment vertical="center" wrapText="1"/>
    </xf>
    <xf numFmtId="173" fontId="29" fillId="23" borderId="1" xfId="0" applyNumberFormat="1" applyFont="1" applyFill="1" applyBorder="1" applyAlignment="1">
      <alignment horizontal="right" vertical="center" wrapText="1"/>
    </xf>
    <xf numFmtId="173" fontId="47" fillId="23" borderId="1" xfId="0" applyNumberFormat="1" applyFont="1" applyFill="1" applyBorder="1" applyAlignment="1">
      <alignment horizontal="right" vertical="center" wrapText="1"/>
    </xf>
    <xf numFmtId="173" fontId="47" fillId="23" borderId="26" xfId="0" applyNumberFormat="1" applyFont="1" applyFill="1" applyBorder="1" applyAlignment="1">
      <alignment horizontal="right" vertical="center" wrapText="1"/>
    </xf>
    <xf numFmtId="0" fontId="9" fillId="0" borderId="33" xfId="0" applyFont="1" applyBorder="1"/>
    <xf numFmtId="0" fontId="47" fillId="48" borderId="3" xfId="0" applyFont="1" applyFill="1" applyBorder="1" applyAlignment="1">
      <alignment horizontal="center" vertical="center"/>
    </xf>
    <xf numFmtId="0" fontId="47" fillId="48" borderId="3" xfId="0" applyFont="1" applyFill="1" applyBorder="1" applyAlignment="1">
      <alignment horizontal="center" vertical="center" wrapText="1"/>
    </xf>
    <xf numFmtId="0" fontId="9" fillId="48" borderId="3" xfId="0" applyFont="1" applyFill="1" applyBorder="1"/>
    <xf numFmtId="179" fontId="9" fillId="48" borderId="3" xfId="0" applyNumberFormat="1" applyFont="1" applyFill="1" applyBorder="1"/>
    <xf numFmtId="168" fontId="9" fillId="48" borderId="3" xfId="0" applyNumberFormat="1" applyFont="1" applyFill="1" applyBorder="1"/>
    <xf numFmtId="0" fontId="47" fillId="48" borderId="3" xfId="0" applyFont="1" applyFill="1" applyBorder="1"/>
    <xf numFmtId="0" fontId="51" fillId="0" borderId="0" xfId="3" applyBorder="1" applyProtection="1"/>
    <xf numFmtId="0" fontId="52" fillId="6" borderId="3" xfId="0" applyFont="1" applyFill="1" applyBorder="1" applyAlignment="1">
      <alignment horizontal="right"/>
    </xf>
    <xf numFmtId="179" fontId="52" fillId="6" borderId="3" xfId="0" applyNumberFormat="1" applyFont="1" applyFill="1" applyBorder="1"/>
    <xf numFmtId="168" fontId="52" fillId="6" borderId="3" xfId="0" applyNumberFormat="1" applyFont="1" applyFill="1" applyBorder="1"/>
    <xf numFmtId="170" fontId="9" fillId="0" borderId="33" xfId="0" applyNumberFormat="1" applyFont="1" applyBorder="1"/>
    <xf numFmtId="170" fontId="9" fillId="0" borderId="0" xfId="0" applyNumberFormat="1" applyFont="1"/>
    <xf numFmtId="168" fontId="53" fillId="48" borderId="3" xfId="0" applyNumberFormat="1" applyFont="1" applyFill="1" applyBorder="1"/>
    <xf numFmtId="0" fontId="9" fillId="10" borderId="33" xfId="0" applyFont="1" applyFill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180" fontId="9" fillId="10" borderId="0" xfId="0" applyNumberFormat="1" applyFont="1" applyFill="1" applyAlignment="1">
      <alignment vertical="center"/>
    </xf>
    <xf numFmtId="181" fontId="9" fillId="48" borderId="3" xfId="0" applyNumberFormat="1" applyFont="1" applyFill="1" applyBorder="1"/>
    <xf numFmtId="4" fontId="9" fillId="48" borderId="3" xfId="0" applyNumberFormat="1" applyFont="1" applyFill="1" applyBorder="1"/>
    <xf numFmtId="0" fontId="9" fillId="10" borderId="0" xfId="0" applyFont="1" applyFill="1"/>
    <xf numFmtId="0" fontId="0" fillId="10" borderId="0" xfId="0" applyFill="1"/>
    <xf numFmtId="0" fontId="52" fillId="24" borderId="3" xfId="0" applyFont="1" applyFill="1" applyBorder="1" applyAlignment="1">
      <alignment horizontal="right"/>
    </xf>
    <xf numFmtId="179" fontId="9" fillId="24" borderId="3" xfId="0" applyNumberFormat="1" applyFont="1" applyFill="1" applyBorder="1"/>
    <xf numFmtId="4" fontId="9" fillId="24" borderId="3" xfId="0" applyNumberFormat="1" applyFont="1" applyFill="1" applyBorder="1"/>
    <xf numFmtId="168" fontId="52" fillId="24" borderId="3" xfId="0" applyNumberFormat="1" applyFont="1" applyFill="1" applyBorder="1"/>
    <xf numFmtId="181" fontId="9" fillId="24" borderId="3" xfId="0" applyNumberFormat="1" applyFont="1" applyFill="1" applyBorder="1"/>
    <xf numFmtId="0" fontId="23" fillId="48" borderId="3" xfId="0" applyFont="1" applyFill="1" applyBorder="1"/>
    <xf numFmtId="168" fontId="54" fillId="48" borderId="3" xfId="0" applyNumberFormat="1" applyFont="1" applyFill="1" applyBorder="1"/>
    <xf numFmtId="0" fontId="45" fillId="25" borderId="3" xfId="0" applyFont="1" applyFill="1" applyBorder="1" applyAlignment="1">
      <alignment horizontal="right" vertical="center" wrapText="1"/>
    </xf>
    <xf numFmtId="182" fontId="9" fillId="25" borderId="3" xfId="0" applyNumberFormat="1" applyFont="1" applyFill="1" applyBorder="1"/>
    <xf numFmtId="4" fontId="9" fillId="25" borderId="3" xfId="0" applyNumberFormat="1" applyFont="1" applyFill="1" applyBorder="1"/>
    <xf numFmtId="168" fontId="52" fillId="25" borderId="3" xfId="0" applyNumberFormat="1" applyFont="1" applyFill="1" applyBorder="1"/>
    <xf numFmtId="0" fontId="47" fillId="39" borderId="97" xfId="0" applyFont="1" applyFill="1" applyBorder="1" applyAlignment="1">
      <alignment horizontal="center" vertical="center" wrapText="1"/>
    </xf>
    <xf numFmtId="0" fontId="47" fillId="39" borderId="98" xfId="0" applyFont="1" applyFill="1" applyBorder="1" applyAlignment="1">
      <alignment horizontal="center" vertical="center" wrapText="1"/>
    </xf>
    <xf numFmtId="168" fontId="47" fillId="41" borderId="83" xfId="1" applyNumberFormat="1" applyFont="1" applyFill="1" applyBorder="1" applyAlignment="1">
      <alignment horizontal="center" vertical="center"/>
    </xf>
    <xf numFmtId="168" fontId="47" fillId="41" borderId="99" xfId="1" applyNumberFormat="1" applyFont="1" applyFill="1" applyBorder="1" applyAlignment="1">
      <alignment horizontal="center" vertical="center"/>
    </xf>
    <xf numFmtId="168" fontId="47" fillId="10" borderId="100" xfId="1" applyNumberFormat="1" applyFont="1" applyFill="1" applyBorder="1"/>
    <xf numFmtId="168" fontId="47" fillId="10" borderId="101" xfId="1" applyNumberFormat="1" applyFont="1" applyFill="1" applyBorder="1"/>
    <xf numFmtId="168" fontId="47" fillId="10" borderId="102" xfId="1" applyNumberFormat="1" applyFont="1" applyFill="1" applyBorder="1"/>
    <xf numFmtId="2" fontId="26" fillId="8" borderId="103" xfId="0" applyNumberFormat="1" applyFont="1" applyFill="1" applyBorder="1" applyAlignment="1">
      <alignment horizontal="right" vertical="center"/>
    </xf>
    <xf numFmtId="2" fontId="26" fillId="8" borderId="99" xfId="0" applyNumberFormat="1" applyFont="1" applyFill="1" applyBorder="1" applyAlignment="1">
      <alignment horizontal="right" vertical="center"/>
    </xf>
    <xf numFmtId="2" fontId="26" fillId="8" borderId="102" xfId="0" applyNumberFormat="1" applyFont="1" applyFill="1" applyBorder="1" applyAlignment="1">
      <alignment horizontal="right" vertical="center"/>
    </xf>
    <xf numFmtId="168" fontId="47" fillId="42" borderId="102" xfId="1" applyNumberFormat="1" applyFont="1" applyFill="1" applyBorder="1" applyAlignment="1">
      <alignment horizontal="center" vertical="center"/>
    </xf>
    <xf numFmtId="0" fontId="26" fillId="3" borderId="102" xfId="0" applyFont="1" applyFill="1" applyBorder="1" applyAlignment="1">
      <alignment vertical="center"/>
    </xf>
    <xf numFmtId="168" fontId="47" fillId="10" borderId="100" xfId="1" applyNumberFormat="1" applyFont="1" applyFill="1" applyBorder="1" applyAlignment="1">
      <alignment vertical="center"/>
    </xf>
    <xf numFmtId="168" fontId="47" fillId="10" borderId="102" xfId="1" applyNumberFormat="1" applyFont="1" applyFill="1" applyBorder="1" applyAlignment="1">
      <alignment vertical="center"/>
    </xf>
    <xf numFmtId="168" fontId="47" fillId="41" borderId="102" xfId="1" applyNumberFormat="1" applyFont="1" applyFill="1" applyBorder="1" applyAlignment="1">
      <alignment horizontal="center" vertical="center"/>
    </xf>
    <xf numFmtId="4" fontId="23" fillId="0" borderId="102" xfId="0" applyNumberFormat="1" applyFont="1" applyBorder="1" applyAlignment="1">
      <alignment vertical="center"/>
    </xf>
    <xf numFmtId="168" fontId="47" fillId="41" borderId="6" xfId="1" applyNumberFormat="1" applyFont="1" applyFill="1" applyBorder="1" applyAlignment="1">
      <alignment horizontal="center" vertical="center"/>
    </xf>
    <xf numFmtId="0" fontId="26" fillId="3" borderId="106" xfId="0" applyFont="1" applyFill="1" applyBorder="1" applyAlignment="1">
      <alignment horizontal="center" vertical="center"/>
    </xf>
    <xf numFmtId="0" fontId="26" fillId="3" borderId="75" xfId="0" applyFont="1" applyFill="1" applyBorder="1" applyAlignment="1">
      <alignment horizontal="center" vertical="center"/>
    </xf>
    <xf numFmtId="2" fontId="23" fillId="0" borderId="102" xfId="0" applyNumberFormat="1" applyFont="1" applyBorder="1" applyAlignment="1">
      <alignment horizontal="right" vertical="center"/>
    </xf>
    <xf numFmtId="4" fontId="26" fillId="8" borderId="103" xfId="0" applyNumberFormat="1" applyFont="1" applyFill="1" applyBorder="1" applyAlignment="1">
      <alignment horizontal="right" vertical="center"/>
    </xf>
    <xf numFmtId="4" fontId="26" fillId="8" borderId="99" xfId="0" applyNumberFormat="1" applyFont="1" applyFill="1" applyBorder="1" applyAlignment="1">
      <alignment horizontal="right" vertical="center"/>
    </xf>
    <xf numFmtId="168" fontId="47" fillId="10" borderId="73" xfId="1" applyNumberFormat="1" applyFont="1" applyFill="1" applyBorder="1" applyAlignment="1">
      <alignment vertical="center"/>
    </xf>
    <xf numFmtId="168" fontId="47" fillId="10" borderId="101" xfId="1" applyNumberFormat="1" applyFont="1" applyFill="1" applyBorder="1" applyAlignment="1">
      <alignment vertical="center"/>
    </xf>
    <xf numFmtId="168" fontId="47" fillId="43" borderId="83" xfId="0" applyNumberFormat="1" applyFont="1" applyFill="1" applyBorder="1" applyAlignment="1">
      <alignment vertical="center"/>
    </xf>
    <xf numFmtId="168" fontId="47" fillId="43" borderId="99" xfId="0" applyNumberFormat="1" applyFont="1" applyFill="1" applyBorder="1" applyAlignment="1">
      <alignment vertical="center"/>
    </xf>
    <xf numFmtId="168" fontId="47" fillId="43" borderId="102" xfId="0" applyNumberFormat="1" applyFont="1" applyFill="1" applyBorder="1" applyAlignment="1">
      <alignment vertical="center"/>
    </xf>
    <xf numFmtId="170" fontId="48" fillId="10" borderId="3" xfId="2" applyNumberFormat="1" applyFont="1" applyFill="1" applyBorder="1" applyAlignment="1" applyProtection="1">
      <alignment wrapText="1"/>
    </xf>
    <xf numFmtId="170" fontId="48" fillId="10" borderId="3" xfId="2" applyNumberFormat="1" applyFont="1" applyFill="1" applyBorder="1" applyAlignment="1" applyProtection="1">
      <alignment vertical="center" wrapText="1"/>
    </xf>
    <xf numFmtId="173" fontId="48" fillId="10" borderId="3" xfId="2" applyNumberFormat="1" applyFont="1" applyFill="1" applyBorder="1" applyAlignment="1" applyProtection="1">
      <alignment vertical="center" wrapText="1"/>
    </xf>
    <xf numFmtId="168" fontId="47" fillId="45" borderId="102" xfId="1" applyNumberFormat="1" applyFont="1" applyFill="1" applyBorder="1" applyAlignment="1">
      <alignment horizontal="right" vertical="center"/>
    </xf>
    <xf numFmtId="168" fontId="9" fillId="0" borderId="102" xfId="1" applyNumberFormat="1" applyFont="1" applyBorder="1" applyAlignment="1">
      <alignment vertical="center"/>
    </xf>
    <xf numFmtId="168" fontId="9" fillId="0" borderId="102" xfId="1" applyNumberFormat="1" applyFont="1" applyBorder="1" applyAlignment="1">
      <alignment horizontal="right" vertical="center"/>
    </xf>
    <xf numFmtId="168" fontId="9" fillId="0" borderId="107" xfId="1" applyNumberFormat="1" applyFont="1" applyBorder="1" applyAlignment="1">
      <alignment vertical="center"/>
    </xf>
    <xf numFmtId="168" fontId="9" fillId="0" borderId="90" xfId="1" applyNumberFormat="1" applyFont="1" applyBorder="1" applyAlignment="1">
      <alignment vertical="center"/>
    </xf>
    <xf numFmtId="168" fontId="47" fillId="46" borderId="108" xfId="1" applyNumberFormat="1" applyFont="1" applyFill="1" applyBorder="1" applyAlignment="1">
      <alignment vertical="center"/>
    </xf>
    <xf numFmtId="168" fontId="47" fillId="46" borderId="102" xfId="1" applyNumberFormat="1" applyFont="1" applyFill="1" applyBorder="1" applyAlignment="1">
      <alignment vertical="center"/>
    </xf>
    <xf numFmtId="168" fontId="47" fillId="46" borderId="107" xfId="1" applyNumberFormat="1" applyFont="1" applyFill="1" applyBorder="1" applyAlignment="1">
      <alignment vertical="center"/>
    </xf>
    <xf numFmtId="0" fontId="47" fillId="47" borderId="108" xfId="0" applyFont="1" applyFill="1" applyBorder="1" applyAlignment="1">
      <alignment horizontal="center" vertical="center" wrapText="1"/>
    </xf>
    <xf numFmtId="168" fontId="47" fillId="18" borderId="107" xfId="1" applyNumberFormat="1" applyFont="1" applyFill="1" applyBorder="1" applyAlignment="1">
      <alignment horizontal="center" vertical="center"/>
    </xf>
    <xf numFmtId="168" fontId="47" fillId="18" borderId="90" xfId="1" applyNumberFormat="1" applyFont="1" applyFill="1" applyBorder="1" applyAlignment="1">
      <alignment horizontal="center" vertical="center"/>
    </xf>
    <xf numFmtId="168" fontId="47" fillId="10" borderId="108" xfId="0" applyNumberFormat="1" applyFont="1" applyFill="1" applyBorder="1" applyAlignment="1">
      <alignment vertical="center"/>
    </xf>
    <xf numFmtId="168" fontId="47" fillId="10" borderId="102" xfId="0" applyNumberFormat="1" applyFont="1" applyFill="1" applyBorder="1" applyAlignment="1">
      <alignment vertical="center"/>
    </xf>
    <xf numFmtId="168" fontId="50" fillId="10" borderId="102" xfId="0" applyNumberFormat="1" applyFont="1" applyFill="1" applyBorder="1" applyAlignment="1">
      <alignment vertical="center"/>
    </xf>
    <xf numFmtId="168" fontId="50" fillId="10" borderId="107" xfId="0" applyNumberFormat="1" applyFont="1" applyFill="1" applyBorder="1" applyAlignment="1">
      <alignment vertical="center"/>
    </xf>
    <xf numFmtId="168" fontId="50" fillId="10" borderId="90" xfId="0" applyNumberFormat="1" applyFont="1" applyFill="1" applyBorder="1" applyAlignment="1">
      <alignment vertical="center"/>
    </xf>
    <xf numFmtId="173" fontId="47" fillId="19" borderId="1" xfId="0" applyNumberFormat="1" applyFont="1" applyFill="1" applyBorder="1" applyAlignment="1">
      <alignment horizontal="right" vertical="center" wrapText="1"/>
    </xf>
    <xf numFmtId="173" fontId="47" fillId="19" borderId="26" xfId="0" applyNumberFormat="1" applyFont="1" applyFill="1" applyBorder="1" applyAlignment="1">
      <alignment horizontal="right" vertical="center" wrapText="1"/>
    </xf>
    <xf numFmtId="173" fontId="29" fillId="23" borderId="29" xfId="0" applyNumberFormat="1" applyFont="1" applyFill="1" applyBorder="1" applyAlignment="1">
      <alignment horizontal="right" vertical="center" wrapText="1"/>
    </xf>
    <xf numFmtId="173" fontId="29" fillId="23" borderId="34" xfId="0" applyNumberFormat="1" applyFont="1" applyFill="1" applyBorder="1" applyAlignment="1">
      <alignment horizontal="right" vertical="center" wrapText="1"/>
    </xf>
    <xf numFmtId="173" fontId="29" fillId="23" borderId="26" xfId="0" applyNumberFormat="1" applyFont="1" applyFill="1" applyBorder="1" applyAlignment="1">
      <alignment horizontal="right" vertical="center" wrapText="1"/>
    </xf>
    <xf numFmtId="10" fontId="8" fillId="0" borderId="72" xfId="0" applyNumberFormat="1" applyFont="1" applyBorder="1" applyAlignment="1" applyProtection="1">
      <alignment horizontal="center" vertical="center"/>
      <protection locked="0"/>
    </xf>
    <xf numFmtId="4" fontId="14" fillId="0" borderId="100" xfId="0" applyNumberFormat="1" applyFont="1" applyBorder="1" applyAlignment="1" applyProtection="1">
      <alignment horizontal="right" vertical="center"/>
      <protection locked="0"/>
    </xf>
    <xf numFmtId="164" fontId="12" fillId="0" borderId="73" xfId="1" applyBorder="1"/>
    <xf numFmtId="10" fontId="8" fillId="0" borderId="78" xfId="0" applyNumberFormat="1" applyFont="1" applyBorder="1" applyAlignment="1" applyProtection="1">
      <alignment horizontal="center" vertical="center"/>
      <protection locked="0"/>
    </xf>
    <xf numFmtId="4" fontId="14" fillId="0" borderId="102" xfId="0" applyNumberFormat="1" applyFont="1" applyBorder="1" applyAlignment="1" applyProtection="1">
      <alignment horizontal="right" vertical="center"/>
      <protection locked="0"/>
    </xf>
    <xf numFmtId="164" fontId="12" fillId="0" borderId="3" xfId="1" applyBorder="1"/>
    <xf numFmtId="0" fontId="56" fillId="0" borderId="77" xfId="0" applyFont="1" applyBorder="1" applyAlignment="1" applyProtection="1">
      <alignment horizontal="left" vertical="center"/>
      <protection locked="0"/>
    </xf>
    <xf numFmtId="164" fontId="57" fillId="0" borderId="3" xfId="1" applyFont="1" applyBorder="1" applyAlignment="1">
      <alignment horizontal="center" vertical="center"/>
    </xf>
    <xf numFmtId="164" fontId="57" fillId="0" borderId="80" xfId="1" applyFont="1" applyBorder="1" applyAlignment="1">
      <alignment horizontal="center" vertical="center"/>
    </xf>
    <xf numFmtId="10" fontId="8" fillId="0" borderId="82" xfId="0" applyNumberFormat="1" applyFont="1" applyBorder="1" applyAlignment="1" applyProtection="1">
      <alignment horizontal="center" vertical="center"/>
      <protection locked="0"/>
    </xf>
    <xf numFmtId="4" fontId="14" fillId="0" borderId="103" xfId="0" applyNumberFormat="1" applyFont="1" applyBorder="1" applyAlignment="1" applyProtection="1">
      <alignment horizontal="right" vertical="center"/>
      <protection locked="0"/>
    </xf>
    <xf numFmtId="164" fontId="26" fillId="22" borderId="49" xfId="1" applyFont="1" applyFill="1" applyBorder="1" applyAlignment="1">
      <alignment horizontal="center" vertical="center"/>
    </xf>
    <xf numFmtId="164" fontId="26" fillId="35" borderId="19" xfId="1" applyFont="1" applyFill="1" applyBorder="1" applyAlignment="1">
      <alignment horizontal="center" vertical="center"/>
    </xf>
    <xf numFmtId="164" fontId="26" fillId="27" borderId="20" xfId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left"/>
    </xf>
    <xf numFmtId="2" fontId="29" fillId="9" borderId="53" xfId="0" applyNumberFormat="1" applyFont="1" applyFill="1" applyBorder="1" applyAlignment="1">
      <alignment horizontal="center"/>
    </xf>
    <xf numFmtId="2" fontId="29" fillId="9" borderId="54" xfId="0" applyNumberFormat="1" applyFont="1" applyFill="1" applyBorder="1" applyAlignment="1">
      <alignment horizontal="center"/>
    </xf>
    <xf numFmtId="2" fontId="29" fillId="9" borderId="109" xfId="0" applyNumberFormat="1" applyFont="1" applyFill="1" applyBorder="1" applyAlignment="1">
      <alignment horizontal="center"/>
    </xf>
    <xf numFmtId="177" fontId="2" fillId="38" borderId="3" xfId="1" applyNumberFormat="1" applyFont="1" applyFill="1" applyBorder="1" applyAlignment="1">
      <alignment horizontal="center" vertical="center"/>
    </xf>
    <xf numFmtId="177" fontId="2" fillId="38" borderId="80" xfId="1" applyNumberFormat="1" applyFont="1" applyFill="1" applyBorder="1" applyAlignment="1">
      <alignment horizontal="center" vertical="center"/>
    </xf>
    <xf numFmtId="165" fontId="2" fillId="38" borderId="3" xfId="0" applyNumberFormat="1" applyFont="1" applyFill="1" applyBorder="1" applyAlignment="1">
      <alignment horizontal="center" vertical="center"/>
    </xf>
    <xf numFmtId="165" fontId="2" fillId="38" borderId="80" xfId="0" applyNumberFormat="1" applyFont="1" applyFill="1" applyBorder="1" applyAlignment="1">
      <alignment horizontal="center" vertical="center"/>
    </xf>
    <xf numFmtId="165" fontId="2" fillId="38" borderId="54" xfId="0" applyNumberFormat="1" applyFont="1" applyFill="1" applyBorder="1" applyAlignment="1">
      <alignment horizontal="center" vertical="center"/>
    </xf>
    <xf numFmtId="165" fontId="2" fillId="38" borderId="90" xfId="0" applyNumberFormat="1" applyFont="1" applyFill="1" applyBorder="1" applyAlignment="1">
      <alignment horizontal="center" vertical="center"/>
    </xf>
    <xf numFmtId="168" fontId="47" fillId="0" borderId="3" xfId="1" applyNumberFormat="1" applyFont="1" applyBorder="1" applyAlignment="1">
      <alignment horizontal="right" vertical="center"/>
    </xf>
    <xf numFmtId="168" fontId="47" fillId="0" borderId="80" xfId="1" applyNumberFormat="1" applyFont="1" applyBorder="1" applyAlignment="1">
      <alignment horizontal="right" vertical="center"/>
    </xf>
    <xf numFmtId="168" fontId="47" fillId="0" borderId="12" xfId="1" applyNumberFormat="1" applyFont="1" applyBorder="1" applyAlignment="1">
      <alignment horizontal="right" vertical="center"/>
    </xf>
    <xf numFmtId="168" fontId="47" fillId="0" borderId="85" xfId="1" applyNumberFormat="1" applyFont="1" applyBorder="1" applyAlignment="1">
      <alignment horizontal="right" vertical="center"/>
    </xf>
    <xf numFmtId="168" fontId="47" fillId="41" borderId="100" xfId="1" applyNumberFormat="1" applyFont="1" applyFill="1" applyBorder="1" applyAlignment="1">
      <alignment horizontal="center" vertical="center"/>
    </xf>
    <xf numFmtId="168" fontId="47" fillId="41" borderId="101" xfId="1" applyNumberFormat="1" applyFont="1" applyFill="1" applyBorder="1" applyAlignment="1">
      <alignment horizontal="center" vertical="center"/>
    </xf>
    <xf numFmtId="2" fontId="26" fillId="8" borderId="83" xfId="0" applyNumberFormat="1" applyFont="1" applyFill="1" applyBorder="1" applyAlignment="1">
      <alignment horizontal="right" vertical="center"/>
    </xf>
    <xf numFmtId="4" fontId="23" fillId="0" borderId="100" xfId="0" applyNumberFormat="1" applyFont="1" applyBorder="1" applyAlignment="1">
      <alignment vertical="center"/>
    </xf>
    <xf numFmtId="4" fontId="23" fillId="0" borderId="101" xfId="0" applyNumberFormat="1" applyFont="1" applyBorder="1" applyAlignment="1">
      <alignment vertical="center"/>
    </xf>
    <xf numFmtId="4" fontId="26" fillId="8" borderId="83" xfId="0" applyNumberFormat="1" applyFont="1" applyFill="1" applyBorder="1" applyAlignment="1">
      <alignment horizontal="right" vertical="center"/>
    </xf>
    <xf numFmtId="168" fontId="47" fillId="10" borderId="73" xfId="1" applyNumberFormat="1" applyFont="1" applyFill="1" applyBorder="1"/>
    <xf numFmtId="168" fontId="9" fillId="0" borderId="54" xfId="1" applyNumberFormat="1" applyFont="1" applyBorder="1" applyAlignment="1">
      <alignment vertical="center"/>
    </xf>
    <xf numFmtId="10" fontId="48" fillId="46" borderId="60" xfId="2" applyNumberFormat="1" applyFont="1" applyFill="1" applyBorder="1" applyAlignment="1" applyProtection="1">
      <alignment vertical="center"/>
    </xf>
    <xf numFmtId="10" fontId="48" fillId="46" borderId="44" xfId="2" applyNumberFormat="1" applyFont="1" applyFill="1" applyBorder="1" applyAlignment="1" applyProtection="1">
      <alignment vertical="center"/>
    </xf>
    <xf numFmtId="10" fontId="48" fillId="46" borderId="53" xfId="2" applyNumberFormat="1" applyFont="1" applyFill="1" applyBorder="1" applyAlignment="1" applyProtection="1">
      <alignment vertical="center"/>
    </xf>
    <xf numFmtId="168" fontId="47" fillId="18" borderId="54" xfId="1" applyNumberFormat="1" applyFont="1" applyFill="1" applyBorder="1" applyAlignment="1">
      <alignment horizontal="center" vertical="center"/>
    </xf>
    <xf numFmtId="168" fontId="50" fillId="10" borderId="5" xfId="0" applyNumberFormat="1" applyFont="1" applyFill="1" applyBorder="1" applyAlignment="1">
      <alignment vertical="center"/>
    </xf>
    <xf numFmtId="168" fontId="50" fillId="10" borderId="54" xfId="0" applyNumberFormat="1" applyFont="1" applyFill="1" applyBorder="1" applyAlignment="1">
      <alignment vertical="center"/>
    </xf>
    <xf numFmtId="0" fontId="31" fillId="36" borderId="29" xfId="0" applyFont="1" applyFill="1" applyBorder="1" applyAlignment="1">
      <alignment horizontal="center" wrapText="1"/>
    </xf>
    <xf numFmtId="0" fontId="44" fillId="28" borderId="0" xfId="0" applyFont="1" applyFill="1" applyAlignment="1">
      <alignment horizontal="center" vertical="center" wrapText="1"/>
    </xf>
    <xf numFmtId="0" fontId="31" fillId="36" borderId="19" xfId="0" applyFont="1" applyFill="1" applyBorder="1" applyAlignment="1">
      <alignment horizontal="center" wrapText="1"/>
    </xf>
    <xf numFmtId="0" fontId="26" fillId="0" borderId="91" xfId="0" applyFont="1" applyBorder="1" applyAlignment="1" applyProtection="1">
      <alignment horizontal="left" vertical="center"/>
      <protection locked="0"/>
    </xf>
    <xf numFmtId="10" fontId="34" fillId="0" borderId="56" xfId="0" applyNumberFormat="1" applyFont="1" applyBorder="1" applyAlignment="1" applyProtection="1">
      <alignment horizontal="center" vertical="center"/>
      <protection locked="0"/>
    </xf>
    <xf numFmtId="4" fontId="15" fillId="0" borderId="100" xfId="0" applyNumberFormat="1" applyFont="1" applyBorder="1" applyAlignment="1" applyProtection="1">
      <alignment horizontal="right" vertical="center"/>
      <protection locked="0"/>
    </xf>
    <xf numFmtId="164" fontId="15" fillId="0" borderId="73" xfId="1" applyFont="1" applyBorder="1" applyAlignment="1">
      <alignment horizontal="center" vertical="center"/>
    </xf>
    <xf numFmtId="164" fontId="14" fillId="0" borderId="61" xfId="1" applyFont="1" applyBorder="1" applyAlignment="1">
      <alignment horizontal="center" vertical="center"/>
    </xf>
    <xf numFmtId="164" fontId="14" fillId="0" borderId="95" xfId="1" applyFont="1" applyBorder="1" applyAlignment="1">
      <alignment horizontal="center" vertical="center"/>
    </xf>
    <xf numFmtId="2" fontId="23" fillId="11" borderId="91" xfId="1" applyNumberFormat="1" applyFont="1" applyFill="1" applyBorder="1" applyAlignment="1">
      <alignment horizontal="center" vertical="center"/>
    </xf>
    <xf numFmtId="164" fontId="23" fillId="37" borderId="31" xfId="1" applyFont="1" applyFill="1" applyBorder="1" applyAlignment="1">
      <alignment horizontal="center" vertical="center"/>
    </xf>
    <xf numFmtId="4" fontId="15" fillId="0" borderId="102" xfId="0" applyNumberFormat="1" applyFont="1" applyBorder="1" applyAlignment="1" applyProtection="1">
      <alignment horizontal="right" vertical="center"/>
      <protection locked="0"/>
    </xf>
    <xf numFmtId="164" fontId="15" fillId="0" borderId="3" xfId="1" applyFont="1" applyBorder="1" applyAlignment="1">
      <alignment horizontal="center" vertical="center"/>
    </xf>
    <xf numFmtId="164" fontId="15" fillId="0" borderId="79" xfId="1" applyFont="1" applyBorder="1" applyAlignment="1">
      <alignment horizontal="center" vertical="center"/>
    </xf>
    <xf numFmtId="164" fontId="14" fillId="0" borderId="3" xfId="1" applyFont="1" applyBorder="1" applyAlignment="1">
      <alignment horizontal="right" vertical="center"/>
    </xf>
    <xf numFmtId="172" fontId="23" fillId="11" borderId="42" xfId="1" applyNumberFormat="1" applyFont="1" applyFill="1" applyBorder="1" applyAlignment="1">
      <alignment horizontal="center" vertical="center"/>
    </xf>
    <xf numFmtId="164" fontId="23" fillId="37" borderId="45" xfId="1" applyFont="1" applyFill="1" applyBorder="1" applyAlignment="1">
      <alignment horizontal="center" vertical="center"/>
    </xf>
    <xf numFmtId="0" fontId="23" fillId="0" borderId="77" xfId="0" applyFont="1" applyBorder="1" applyAlignment="1" applyProtection="1">
      <alignment horizontal="left" vertical="center" wrapText="1"/>
      <protection locked="0"/>
    </xf>
    <xf numFmtId="172" fontId="23" fillId="11" borderId="77" xfId="1" applyNumberFormat="1" applyFont="1" applyFill="1" applyBorder="1" applyAlignment="1">
      <alignment horizontal="center" vertical="center"/>
    </xf>
    <xf numFmtId="4" fontId="15" fillId="0" borderId="103" xfId="0" applyNumberFormat="1" applyFont="1" applyBorder="1" applyAlignment="1" applyProtection="1">
      <alignment horizontal="right" vertical="center"/>
      <protection locked="0"/>
    </xf>
    <xf numFmtId="164" fontId="15" fillId="0" borderId="83" xfId="1" applyFont="1" applyBorder="1" applyAlignment="1">
      <alignment horizontal="center" vertical="center"/>
    </xf>
    <xf numFmtId="164" fontId="15" fillId="0" borderId="84" xfId="1" applyFont="1" applyBorder="1" applyAlignment="1">
      <alignment horizontal="center" vertical="center"/>
    </xf>
    <xf numFmtId="164" fontId="26" fillId="22" borderId="58" xfId="1" applyFont="1" applyFill="1" applyBorder="1" applyAlignment="1">
      <alignment horizontal="center" vertical="center"/>
    </xf>
    <xf numFmtId="164" fontId="44" fillId="28" borderId="21" xfId="0" applyNumberFormat="1" applyFont="1" applyFill="1" applyBorder="1" applyAlignment="1">
      <alignment horizontal="center" vertical="center" wrapText="1"/>
    </xf>
    <xf numFmtId="164" fontId="26" fillId="36" borderId="19" xfId="1" applyFont="1" applyFill="1" applyBorder="1" applyAlignment="1">
      <alignment horizontal="center" vertical="center"/>
    </xf>
    <xf numFmtId="0" fontId="47" fillId="39" borderId="110" xfId="0" applyFont="1" applyFill="1" applyBorder="1" applyAlignment="1">
      <alignment horizontal="center" vertical="center" wrapText="1"/>
    </xf>
    <xf numFmtId="168" fontId="47" fillId="18" borderId="3" xfId="1" applyNumberFormat="1" applyFont="1" applyFill="1" applyBorder="1" applyAlignment="1">
      <alignment horizontal="center" vertical="center"/>
    </xf>
    <xf numFmtId="168" fontId="47" fillId="18" borderId="80" xfId="1" applyNumberFormat="1" applyFont="1" applyFill="1" applyBorder="1" applyAlignment="1">
      <alignment horizontal="center" vertical="center"/>
    </xf>
    <xf numFmtId="0" fontId="58" fillId="0" borderId="3" xfId="0" applyFont="1" applyBorder="1"/>
    <xf numFmtId="0" fontId="24" fillId="0" borderId="3" xfId="0" applyFont="1" applyBorder="1" applyAlignment="1">
      <alignment horizontal="center" wrapText="1"/>
    </xf>
    <xf numFmtId="0" fontId="59" fillId="0" borderId="3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left" vertical="center" wrapText="1"/>
    </xf>
    <xf numFmtId="173" fontId="59" fillId="0" borderId="3" xfId="0" applyNumberFormat="1" applyFont="1" applyBorder="1" applyAlignment="1">
      <alignment horizontal="center" vertical="center"/>
    </xf>
    <xf numFmtId="0" fontId="59" fillId="0" borderId="3" xfId="0" applyFont="1" applyBorder="1" applyAlignment="1">
      <alignment vertical="center" wrapText="1"/>
    </xf>
    <xf numFmtId="0" fontId="24" fillId="0" borderId="6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3" fontId="24" fillId="0" borderId="3" xfId="0" applyNumberFormat="1" applyFont="1" applyBorder="1" applyAlignment="1">
      <alignment vertical="center"/>
    </xf>
    <xf numFmtId="173" fontId="58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24" fillId="0" borderId="0" xfId="0" applyFont="1" applyBorder="1" applyAlignment="1">
      <alignment horizontal="left" vertical="center"/>
    </xf>
    <xf numFmtId="4" fontId="24" fillId="0" borderId="0" xfId="0" applyNumberFormat="1" applyFont="1" applyBorder="1" applyAlignment="1">
      <alignment horizontal="left" vertical="center"/>
    </xf>
    <xf numFmtId="173" fontId="24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4" borderId="19" xfId="0" applyFont="1" applyFill="1" applyBorder="1" applyAlignment="1">
      <alignment horizontal="center" vertical="center"/>
    </xf>
    <xf numFmtId="0" fontId="17" fillId="16" borderId="19" xfId="0" applyFont="1" applyFill="1" applyBorder="1" applyAlignment="1">
      <alignment horizontal="center" vertical="center"/>
    </xf>
    <xf numFmtId="0" fontId="17" fillId="15" borderId="19" xfId="0" applyFon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17" fillId="17" borderId="19" xfId="0" applyFont="1" applyFill="1" applyBorder="1" applyAlignment="1">
      <alignment horizontal="center" vertical="center"/>
    </xf>
    <xf numFmtId="0" fontId="17" fillId="17" borderId="41" xfId="0" applyFont="1" applyFill="1" applyBorder="1" applyAlignment="1">
      <alignment horizontal="center" vertical="center"/>
    </xf>
    <xf numFmtId="0" fontId="18" fillId="10" borderId="44" xfId="0" applyFont="1" applyFill="1" applyBorder="1" applyAlignment="1">
      <alignment horizontal="left" vertical="top"/>
    </xf>
    <xf numFmtId="0" fontId="23" fillId="10" borderId="3" xfId="0" applyFont="1" applyFill="1" applyBorder="1" applyAlignment="1">
      <alignment horizontal="left" vertical="center" wrapText="1"/>
    </xf>
    <xf numFmtId="0" fontId="17" fillId="18" borderId="19" xfId="0" applyFont="1" applyFill="1" applyBorder="1" applyAlignment="1">
      <alignment horizontal="center" vertical="center"/>
    </xf>
    <xf numFmtId="170" fontId="16" fillId="0" borderId="58" xfId="0" applyNumberFormat="1" applyFont="1" applyBorder="1" applyAlignment="1">
      <alignment horizontal="center" vertical="center"/>
    </xf>
    <xf numFmtId="0" fontId="26" fillId="20" borderId="21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6" fillId="22" borderId="21" xfId="0" applyFont="1" applyFill="1" applyBorder="1" applyAlignment="1">
      <alignment horizontal="center" vertical="center"/>
    </xf>
    <xf numFmtId="0" fontId="26" fillId="23" borderId="0" xfId="0" applyFont="1" applyFill="1" applyBorder="1" applyAlignment="1" applyProtection="1">
      <alignment horizontal="center" vertical="center"/>
      <protection locked="0"/>
    </xf>
    <xf numFmtId="0" fontId="26" fillId="23" borderId="34" xfId="0" applyFont="1" applyFill="1" applyBorder="1" applyAlignment="1" applyProtection="1">
      <alignment horizontal="center" vertical="center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14" fillId="24" borderId="19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 wrapText="1"/>
    </xf>
    <xf numFmtId="0" fontId="8" fillId="25" borderId="19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 wrapText="1"/>
    </xf>
    <xf numFmtId="0" fontId="29" fillId="27" borderId="29" xfId="0" applyFont="1" applyFill="1" applyBorder="1" applyAlignment="1">
      <alignment horizontal="center" vertical="center" wrapText="1"/>
    </xf>
    <xf numFmtId="0" fontId="29" fillId="17" borderId="19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29" fillId="28" borderId="19" xfId="0" applyFont="1" applyFill="1" applyBorder="1" applyAlignment="1">
      <alignment horizontal="center" vertical="center" wrapText="1"/>
    </xf>
    <xf numFmtId="0" fontId="35" fillId="22" borderId="38" xfId="0" applyFont="1" applyFill="1" applyBorder="1" applyAlignment="1">
      <alignment horizontal="center" vertical="center"/>
    </xf>
    <xf numFmtId="0" fontId="35" fillId="22" borderId="41" xfId="0" applyFont="1" applyFill="1" applyBorder="1" applyAlignment="1">
      <alignment horizontal="center" vertical="center"/>
    </xf>
    <xf numFmtId="0" fontId="40" fillId="2" borderId="65" xfId="0" applyFont="1" applyFill="1" applyBorder="1" applyAlignment="1">
      <alignment horizontal="center" vertical="center"/>
    </xf>
    <xf numFmtId="4" fontId="36" fillId="2" borderId="68" xfId="0" applyNumberFormat="1" applyFont="1" applyFill="1" applyBorder="1" applyAlignment="1">
      <alignment horizontal="center" vertical="center"/>
    </xf>
    <xf numFmtId="0" fontId="26" fillId="20" borderId="70" xfId="0" applyFont="1" applyFill="1" applyBorder="1" applyAlignment="1">
      <alignment horizontal="center" vertical="center"/>
    </xf>
    <xf numFmtId="0" fontId="26" fillId="21" borderId="71" xfId="0" applyFont="1" applyFill="1" applyBorder="1" applyAlignment="1">
      <alignment horizontal="center" vertical="center"/>
    </xf>
    <xf numFmtId="0" fontId="26" fillId="22" borderId="5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33" borderId="20" xfId="0" applyFont="1" applyFill="1" applyBorder="1" applyAlignment="1" applyProtection="1">
      <alignment horizontal="center" vertical="center"/>
      <protection locked="0"/>
    </xf>
    <xf numFmtId="0" fontId="8" fillId="34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24" borderId="20" xfId="0" applyFont="1" applyFill="1" applyBorder="1" applyAlignment="1">
      <alignment horizontal="center" vertical="center" wrapText="1"/>
    </xf>
    <xf numFmtId="0" fontId="8" fillId="24" borderId="21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8" fillId="25" borderId="21" xfId="0" applyFont="1" applyFill="1" applyBorder="1" applyAlignment="1">
      <alignment horizontal="center" vertical="center" wrapText="1"/>
    </xf>
    <xf numFmtId="0" fontId="30" fillId="35" borderId="20" xfId="0" applyFont="1" applyFill="1" applyBorder="1" applyAlignment="1">
      <alignment horizontal="center" vertical="center" wrapText="1"/>
    </xf>
    <xf numFmtId="0" fontId="30" fillId="35" borderId="19" xfId="0" applyFont="1" applyFill="1" applyBorder="1" applyAlignment="1">
      <alignment horizontal="center" vertical="center" wrapText="1"/>
    </xf>
    <xf numFmtId="0" fontId="30" fillId="27" borderId="28" xfId="0" applyFont="1" applyFill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/>
    </xf>
    <xf numFmtId="0" fontId="46" fillId="10" borderId="38" xfId="0" applyFont="1" applyFill="1" applyBorder="1" applyAlignment="1">
      <alignment horizontal="center" vertical="center"/>
    </xf>
    <xf numFmtId="165" fontId="5" fillId="38" borderId="60" xfId="0" applyNumberFormat="1" applyFont="1" applyFill="1" applyBorder="1" applyAlignment="1">
      <alignment horizontal="center" vertical="center"/>
    </xf>
    <xf numFmtId="165" fontId="5" fillId="38" borderId="91" xfId="0" applyNumberFormat="1" applyFont="1" applyFill="1" applyBorder="1" applyAlignment="1">
      <alignment horizontal="center" vertical="center"/>
    </xf>
    <xf numFmtId="177" fontId="2" fillId="38" borderId="44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6" xfId="0" applyNumberFormat="1" applyFont="1" applyFill="1" applyBorder="1" applyAlignment="1">
      <alignment horizontal="center" vertical="center"/>
    </xf>
    <xf numFmtId="0" fontId="9" fillId="10" borderId="41" xfId="0" applyFont="1" applyFill="1" applyBorder="1" applyAlignment="1">
      <alignment horizontal="center" vertical="center"/>
    </xf>
    <xf numFmtId="0" fontId="47" fillId="40" borderId="45" xfId="0" applyFont="1" applyFill="1" applyBorder="1" applyAlignment="1">
      <alignment horizontal="left" vertical="center" wrapText="1"/>
    </xf>
    <xf numFmtId="0" fontId="9" fillId="10" borderId="44" xfId="0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47" fillId="47" borderId="60" xfId="0" applyFont="1" applyFill="1" applyBorder="1" applyAlignment="1">
      <alignment horizontal="center" vertical="center" wrapText="1"/>
    </xf>
    <xf numFmtId="0" fontId="47" fillId="18" borderId="53" xfId="0" applyFont="1" applyFill="1" applyBorder="1" applyAlignment="1">
      <alignment horizontal="left" vertical="center" wrapText="1"/>
    </xf>
    <xf numFmtId="0" fontId="47" fillId="10" borderId="60" xfId="0" applyFont="1" applyFill="1" applyBorder="1" applyAlignment="1">
      <alignment horizontal="left" vertical="center" wrapText="1"/>
    </xf>
    <xf numFmtId="0" fontId="47" fillId="10" borderId="44" xfId="0" applyFont="1" applyFill="1" applyBorder="1" applyAlignment="1">
      <alignment horizontal="left" vertical="center" wrapText="1"/>
    </xf>
    <xf numFmtId="0" fontId="47" fillId="10" borderId="44" xfId="0" applyFont="1" applyFill="1" applyBorder="1" applyAlignment="1">
      <alignment horizontal="center" vertical="center" wrapText="1"/>
    </xf>
    <xf numFmtId="0" fontId="47" fillId="10" borderId="46" xfId="0" applyFont="1" applyFill="1" applyBorder="1" applyAlignment="1">
      <alignment horizontal="left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26" fillId="24" borderId="3" xfId="0" applyFont="1" applyFill="1" applyBorder="1" applyAlignment="1">
      <alignment horizontal="center" vertical="center" wrapText="1"/>
    </xf>
    <xf numFmtId="0" fontId="26" fillId="25" borderId="3" xfId="0" applyFont="1" applyFill="1" applyBorder="1" applyAlignment="1">
      <alignment horizontal="center" vertical="center" wrapText="1"/>
    </xf>
    <xf numFmtId="0" fontId="47" fillId="40" borderId="104" xfId="0" applyFont="1" applyFill="1" applyBorder="1" applyAlignment="1">
      <alignment horizontal="left" vertical="center" wrapText="1"/>
    </xf>
    <xf numFmtId="0" fontId="55" fillId="40" borderId="105" xfId="0" applyFont="1" applyFill="1" applyBorder="1" applyAlignment="1">
      <alignment horizontal="left" vertical="center" wrapText="1"/>
    </xf>
    <xf numFmtId="0" fontId="47" fillId="40" borderId="105" xfId="0" applyFont="1" applyFill="1" applyBorder="1" applyAlignment="1">
      <alignment horizontal="left" vertical="center" wrapText="1"/>
    </xf>
    <xf numFmtId="177" fontId="2" fillId="38" borderId="3" xfId="1" applyNumberFormat="1" applyFont="1" applyFill="1" applyBorder="1" applyAlignment="1">
      <alignment horizontal="center" vertical="center"/>
    </xf>
    <xf numFmtId="165" fontId="2" fillId="38" borderId="3" xfId="0" applyNumberFormat="1" applyFont="1" applyFill="1" applyBorder="1" applyAlignment="1">
      <alignment horizontal="center" vertical="center"/>
    </xf>
    <xf numFmtId="165" fontId="2" fillId="38" borderId="54" xfId="0" applyNumberFormat="1" applyFont="1" applyFill="1" applyBorder="1" applyAlignment="1">
      <alignment horizontal="center" vertical="center"/>
    </xf>
    <xf numFmtId="0" fontId="47" fillId="40" borderId="57" xfId="0" applyFont="1" applyFill="1" applyBorder="1" applyAlignment="1">
      <alignment horizontal="left" vertical="center" wrapText="1"/>
    </xf>
    <xf numFmtId="0" fontId="47" fillId="10" borderId="53" xfId="0" applyFont="1" applyFill="1" applyBorder="1" applyAlignment="1">
      <alignment horizontal="left" vertical="center" wrapText="1"/>
    </xf>
  </cellXfs>
  <cellStyles count="5">
    <cellStyle name="Hiperlink" xfId="3" builtinId="8"/>
    <cellStyle name="Normal" xfId="0" builtinId="0"/>
    <cellStyle name="Porcentagem" xfId="2" builtinId="5"/>
    <cellStyle name="TableStyleLight1" xfId="4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1C1C1"/>
      <rgbColor rgb="FFA9D18E"/>
      <rgbColor rgb="FFD9D9D9"/>
      <rgbColor rgb="FF5EB91E"/>
      <rgbColor rgb="FFFCE4D6"/>
      <rgbColor rgb="FF58AA38"/>
      <rgbColor rgb="FFB4C7DE"/>
      <rgbColor rgb="FF8FAADC"/>
      <rgbColor rgb="FFC0C0C0"/>
      <rgbColor rgb="FF808080"/>
      <rgbColor rgb="FF8EA9DB"/>
      <rgbColor rgb="FFA1467E"/>
      <rgbColor rgb="FFFFFFCC"/>
      <rgbColor rgb="FFDEEBF7"/>
      <rgbColor rgb="FFBDD7EE"/>
      <rgbColor rgb="FFFC745D"/>
      <rgbColor rgb="FF0B50A0"/>
      <rgbColor rgb="FFCCCCFF"/>
      <rgbColor rgb="FFFFF2CC"/>
      <rgbColor rgb="FFFFCCCC"/>
      <rgbColor rgb="FFFFE699"/>
      <rgbColor rgb="FFA9D08E"/>
      <rgbColor rgb="FFCCCCCC"/>
      <rgbColor rgb="FFDBDBDB"/>
      <rgbColor rgb="FFA6A6A6"/>
      <rgbColor rgb="FFDDDDDD"/>
      <rgbColor rgb="FF00CCFF"/>
      <rgbColor rgb="FFD9E1F2"/>
      <rgbColor rgb="FFC6E0B4"/>
      <rgbColor rgb="FFFFFF99"/>
      <rgbColor rgb="FF9BC2E6"/>
      <rgbColor rgb="FFFF9999"/>
      <rgbColor rgb="FFCC90F3"/>
      <rgbColor rgb="FFF8CBAD"/>
      <rgbColor rgb="FF729FCF"/>
      <rgbColor rgb="FF5B9BD5"/>
      <rgbColor rgb="FFBBE33D"/>
      <rgbColor rgb="FFFFCC00"/>
      <rgbColor rgb="FFF4B183"/>
      <rgbColor rgb="FFE6570B"/>
      <rgbColor rgb="FF5282B0"/>
      <rgbColor rgb="FF8497B0"/>
      <rgbColor rgb="FFADB9CA"/>
      <rgbColor rgb="FF349865"/>
      <rgbColor rgb="FFD6DCE4"/>
      <rgbColor rgb="FF3D4C2F"/>
      <rgbColor rgb="FF824802"/>
      <rgbColor rgb="FFFF3333"/>
      <rgbColor rgb="FFBF819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88" zoomScaleNormal="88" workbookViewId="0">
      <selection sqref="A1:H1"/>
    </sheetView>
  </sheetViews>
  <sheetFormatPr defaultRowHeight="14.25" x14ac:dyDescent="0.2"/>
  <cols>
    <col min="2" max="2" width="15.125" customWidth="1"/>
    <col min="4" max="4" width="75.625" customWidth="1"/>
    <col min="5" max="5" width="12.375" customWidth="1"/>
    <col min="6" max="6" width="11.25" customWidth="1"/>
    <col min="7" max="7" width="13" bestFit="1" customWidth="1"/>
    <col min="8" max="8" width="18.875" customWidth="1"/>
    <col min="9" max="9" width="11.625" bestFit="1" customWidth="1"/>
  </cols>
  <sheetData>
    <row r="1" spans="1:9" ht="15" x14ac:dyDescent="0.2">
      <c r="A1" s="765" t="s">
        <v>663</v>
      </c>
      <c r="B1" s="765"/>
      <c r="C1" s="765"/>
      <c r="D1" s="765"/>
      <c r="E1" s="765"/>
      <c r="F1" s="765"/>
      <c r="G1" s="765"/>
      <c r="H1" s="765"/>
    </row>
    <row r="2" spans="1:9" ht="15" x14ac:dyDescent="0.2">
      <c r="A2" s="765" t="s">
        <v>629</v>
      </c>
      <c r="B2" s="765"/>
      <c r="C2" s="765"/>
      <c r="D2" s="765"/>
      <c r="E2" s="765"/>
      <c r="F2" s="765"/>
      <c r="G2" s="765"/>
      <c r="H2" s="765"/>
    </row>
    <row r="3" spans="1:9" ht="15" x14ac:dyDescent="0.2">
      <c r="A3" s="765" t="s">
        <v>630</v>
      </c>
      <c r="B3" s="765"/>
      <c r="C3" s="765"/>
      <c r="D3" s="765"/>
      <c r="E3" s="765"/>
      <c r="F3" s="765"/>
      <c r="G3" s="765"/>
      <c r="H3" s="765"/>
    </row>
    <row r="4" spans="1:9" ht="15" x14ac:dyDescent="0.2">
      <c r="A4" s="766" t="s">
        <v>631</v>
      </c>
      <c r="B4" s="766"/>
      <c r="C4" s="766"/>
      <c r="D4" s="766"/>
      <c r="E4" s="766"/>
      <c r="F4" s="766"/>
      <c r="G4" s="766"/>
      <c r="H4" s="766"/>
    </row>
    <row r="5" spans="1:9" ht="44.85" customHeight="1" x14ac:dyDescent="0.2">
      <c r="A5" s="767" t="s">
        <v>632</v>
      </c>
      <c r="B5" s="768"/>
      <c r="C5" s="768"/>
      <c r="D5" s="768"/>
      <c r="E5" s="768"/>
      <c r="F5" s="768"/>
      <c r="G5" s="768"/>
      <c r="H5" s="769"/>
    </row>
    <row r="7" spans="1:9" ht="30" x14ac:dyDescent="0.25">
      <c r="A7" s="748" t="s">
        <v>633</v>
      </c>
      <c r="B7" s="749" t="s">
        <v>634</v>
      </c>
      <c r="C7" s="749" t="s">
        <v>635</v>
      </c>
      <c r="D7" s="749" t="s">
        <v>636</v>
      </c>
      <c r="E7" s="749" t="s">
        <v>637</v>
      </c>
      <c r="F7" s="749" t="s">
        <v>638</v>
      </c>
      <c r="G7" s="749" t="s">
        <v>639</v>
      </c>
      <c r="H7" s="749" t="s">
        <v>640</v>
      </c>
    </row>
    <row r="8" spans="1:9" ht="73.5" customHeight="1" x14ac:dyDescent="0.2">
      <c r="A8" s="770">
        <v>5</v>
      </c>
      <c r="B8" s="750">
        <v>21</v>
      </c>
      <c r="C8" s="751">
        <v>24023</v>
      </c>
      <c r="D8" s="752" t="s">
        <v>641</v>
      </c>
      <c r="E8" s="750" t="s">
        <v>642</v>
      </c>
      <c r="F8" s="750" t="s">
        <v>643</v>
      </c>
      <c r="G8" s="753">
        <f>'Resumo Proposta'!AA47</f>
        <v>0</v>
      </c>
      <c r="H8" s="753">
        <f>G8*12</f>
        <v>0</v>
      </c>
    </row>
    <row r="9" spans="1:9" ht="73.5" customHeight="1" x14ac:dyDescent="0.2">
      <c r="A9" s="771"/>
      <c r="B9" s="750">
        <v>22</v>
      </c>
      <c r="C9" s="751">
        <v>25194</v>
      </c>
      <c r="D9" s="752" t="s">
        <v>644</v>
      </c>
      <c r="E9" s="750" t="s">
        <v>157</v>
      </c>
      <c r="F9" s="750" t="s">
        <v>643</v>
      </c>
      <c r="G9" s="753">
        <f>'Resumo Proposta'!AB47</f>
        <v>0</v>
      </c>
      <c r="H9" s="753">
        <f t="shared" ref="H9:H12" si="0">G9*12</f>
        <v>0</v>
      </c>
    </row>
    <row r="10" spans="1:9" ht="73.5" customHeight="1" x14ac:dyDescent="0.2">
      <c r="A10" s="771"/>
      <c r="B10" s="750">
        <v>23</v>
      </c>
      <c r="C10" s="751">
        <v>25194</v>
      </c>
      <c r="D10" s="754" t="s">
        <v>645</v>
      </c>
      <c r="E10" s="750" t="s">
        <v>157</v>
      </c>
      <c r="F10" s="750" t="s">
        <v>643</v>
      </c>
      <c r="G10" s="753">
        <f>'Resumo Proposta'!AC47</f>
        <v>0</v>
      </c>
      <c r="H10" s="753">
        <f t="shared" si="0"/>
        <v>0</v>
      </c>
    </row>
    <row r="11" spans="1:9" ht="73.5" customHeight="1" x14ac:dyDescent="0.2">
      <c r="A11" s="771"/>
      <c r="B11" s="750">
        <v>24</v>
      </c>
      <c r="C11" s="751">
        <v>25194</v>
      </c>
      <c r="D11" s="754" t="s">
        <v>646</v>
      </c>
      <c r="E11" s="750" t="s">
        <v>157</v>
      </c>
      <c r="F11" s="750" t="s">
        <v>643</v>
      </c>
      <c r="G11" s="753">
        <f>'Resumo Proposta'!AD47</f>
        <v>0</v>
      </c>
      <c r="H11" s="753">
        <f t="shared" si="0"/>
        <v>0</v>
      </c>
    </row>
    <row r="12" spans="1:9" ht="73.5" customHeight="1" x14ac:dyDescent="0.2">
      <c r="A12" s="771"/>
      <c r="B12" s="750">
        <v>25</v>
      </c>
      <c r="C12" s="751">
        <v>15890</v>
      </c>
      <c r="D12" s="754" t="s">
        <v>647</v>
      </c>
      <c r="E12" s="750" t="s">
        <v>157</v>
      </c>
      <c r="F12" s="750" t="s">
        <v>643</v>
      </c>
      <c r="G12" s="753">
        <f>'Resumo Proposta'!AE47</f>
        <v>0</v>
      </c>
      <c r="H12" s="753">
        <f t="shared" si="0"/>
        <v>0</v>
      </c>
    </row>
    <row r="13" spans="1:9" ht="17.25" customHeight="1" x14ac:dyDescent="0.2">
      <c r="A13" s="755" t="s">
        <v>648</v>
      </c>
      <c r="B13" s="756"/>
      <c r="C13" s="756"/>
      <c r="D13" s="756"/>
      <c r="E13" s="756"/>
      <c r="F13" s="756"/>
      <c r="G13" s="757">
        <f>SUM(G8:G12)</f>
        <v>0</v>
      </c>
      <c r="H13" s="758">
        <f>SUM(H8:H12)</f>
        <v>0</v>
      </c>
      <c r="I13" s="759"/>
    </row>
    <row r="14" spans="1:9" ht="15" x14ac:dyDescent="0.2">
      <c r="A14" s="760"/>
      <c r="B14" s="760"/>
      <c r="C14" s="760"/>
      <c r="D14" s="760"/>
      <c r="E14" s="760"/>
      <c r="F14" s="760"/>
      <c r="G14" s="761"/>
      <c r="H14" s="762"/>
    </row>
    <row r="15" spans="1:9" x14ac:dyDescent="0.2">
      <c r="A15" t="s">
        <v>649</v>
      </c>
    </row>
    <row r="16" spans="1:9" x14ac:dyDescent="0.2">
      <c r="A16" t="s">
        <v>650</v>
      </c>
    </row>
    <row r="17" spans="1:8" x14ac:dyDescent="0.2">
      <c r="A17" s="763" t="s">
        <v>651</v>
      </c>
    </row>
    <row r="18" spans="1:8" x14ac:dyDescent="0.2">
      <c r="A18" s="763" t="s">
        <v>652</v>
      </c>
    </row>
    <row r="19" spans="1:8" x14ac:dyDescent="0.2">
      <c r="A19" s="763" t="s">
        <v>653</v>
      </c>
    </row>
    <row r="20" spans="1:8" x14ac:dyDescent="0.2">
      <c r="A20" s="763" t="s">
        <v>654</v>
      </c>
    </row>
    <row r="21" spans="1:8" x14ac:dyDescent="0.2">
      <c r="A21" s="763" t="s">
        <v>655</v>
      </c>
    </row>
    <row r="22" spans="1:8" x14ac:dyDescent="0.2">
      <c r="A22" s="763" t="s">
        <v>656</v>
      </c>
    </row>
    <row r="23" spans="1:8" x14ac:dyDescent="0.2">
      <c r="A23" s="763" t="s">
        <v>657</v>
      </c>
    </row>
    <row r="24" spans="1:8" x14ac:dyDescent="0.2">
      <c r="A24" s="763" t="s">
        <v>658</v>
      </c>
    </row>
    <row r="25" spans="1:8" x14ac:dyDescent="0.2">
      <c r="A25" s="763" t="s">
        <v>659</v>
      </c>
    </row>
    <row r="26" spans="1:8" x14ac:dyDescent="0.2">
      <c r="A26" s="763" t="s">
        <v>660</v>
      </c>
    </row>
    <row r="27" spans="1:8" x14ac:dyDescent="0.2">
      <c r="A27" s="763" t="s">
        <v>661</v>
      </c>
    </row>
    <row r="28" spans="1:8" x14ac:dyDescent="0.2">
      <c r="A28" s="763"/>
      <c r="B28" s="763"/>
    </row>
    <row r="29" spans="1:8" x14ac:dyDescent="0.2">
      <c r="B29" s="764" t="s">
        <v>662</v>
      </c>
      <c r="C29" s="764"/>
      <c r="D29" s="764"/>
      <c r="E29" s="764"/>
      <c r="F29" s="764"/>
      <c r="G29" s="764"/>
      <c r="H29" s="764"/>
    </row>
  </sheetData>
  <mergeCells count="7">
    <mergeCell ref="B29:H29"/>
    <mergeCell ref="A1:H1"/>
    <mergeCell ref="A2:H2"/>
    <mergeCell ref="A3:H3"/>
    <mergeCell ref="A4:H4"/>
    <mergeCell ref="A5:H5"/>
    <mergeCell ref="A8:A1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</sheetPr>
  <dimension ref="A1:AMF146"/>
  <sheetViews>
    <sheetView zoomScale="75" zoomScaleNormal="75" workbookViewId="0">
      <pane ySplit="10" topLeftCell="A11" activePane="bottomLeft" state="frozen"/>
      <selection pane="bottomLeft" activeCell="C17" sqref="C17"/>
    </sheetView>
  </sheetViews>
  <sheetFormatPr defaultRowHeight="14.25" x14ac:dyDescent="0.2"/>
  <cols>
    <col min="1" max="1" width="55.5" style="427" customWidth="1"/>
    <col min="2" max="5" width="14" style="427" customWidth="1"/>
    <col min="6" max="1020" width="9" style="427" customWidth="1"/>
    <col min="1021" max="1025" width="8.625" customWidth="1"/>
  </cols>
  <sheetData>
    <row r="1" spans="1:5" ht="15.75" x14ac:dyDescent="0.2">
      <c r="A1" s="849" t="s">
        <v>464</v>
      </c>
      <c r="B1" s="849"/>
      <c r="C1" s="849"/>
      <c r="D1" s="849"/>
      <c r="E1" s="849"/>
    </row>
    <row r="2" spans="1:5" ht="15.75" x14ac:dyDescent="0.2">
      <c r="A2" s="850" t="s">
        <v>465</v>
      </c>
      <c r="B2" s="850"/>
      <c r="C2" s="850"/>
      <c r="D2" s="850"/>
      <c r="E2" s="850"/>
    </row>
    <row r="3" spans="1:5" ht="15.75" customHeight="1" x14ac:dyDescent="0.2">
      <c r="A3" s="850" t="s">
        <v>466</v>
      </c>
      <c r="B3" s="850"/>
      <c r="C3" s="850"/>
      <c r="D3" s="850"/>
      <c r="E3" s="850"/>
    </row>
    <row r="4" spans="1:5" ht="15.75" x14ac:dyDescent="0.2">
      <c r="A4" s="428"/>
      <c r="B4" s="429"/>
      <c r="C4" s="430" t="s">
        <v>467</v>
      </c>
      <c r="D4" s="433" t="s">
        <v>468</v>
      </c>
      <c r="E4" s="433" t="s">
        <v>469</v>
      </c>
    </row>
    <row r="5" spans="1:5" x14ac:dyDescent="0.2">
      <c r="A5" s="434"/>
      <c r="B5" s="435" t="s">
        <v>472</v>
      </c>
      <c r="C5" s="436">
        <f>MC!$D11</f>
        <v>0</v>
      </c>
      <c r="D5" s="436">
        <f>MC!$E11</f>
        <v>0</v>
      </c>
      <c r="E5" s="438">
        <f>MC!$F11</f>
        <v>0</v>
      </c>
    </row>
    <row r="6" spans="1:5" x14ac:dyDescent="0.2">
      <c r="A6" s="434"/>
      <c r="B6" s="435" t="s">
        <v>473</v>
      </c>
      <c r="C6" s="439">
        <f>MC!$E8</f>
        <v>44562</v>
      </c>
      <c r="D6" s="439">
        <f>MC!$E8</f>
        <v>44562</v>
      </c>
      <c r="E6" s="441">
        <f>MC!$E8</f>
        <v>44562</v>
      </c>
    </row>
    <row r="7" spans="1:5" x14ac:dyDescent="0.2">
      <c r="A7" s="434"/>
      <c r="B7" s="435" t="s">
        <v>474</v>
      </c>
      <c r="C7" s="439" t="str">
        <f>MC!$C8</f>
        <v>RS005021/2021</v>
      </c>
      <c r="D7" s="439" t="str">
        <f>MC!$C8</f>
        <v>RS005021/2021</v>
      </c>
      <c r="E7" s="441" t="str">
        <f>MC!$C8</f>
        <v>RS005021/2021</v>
      </c>
    </row>
    <row r="8" spans="1:5" x14ac:dyDescent="0.2">
      <c r="A8" s="434"/>
      <c r="B8" s="435" t="s">
        <v>475</v>
      </c>
      <c r="C8" s="442" t="str">
        <f>MC!$F8</f>
        <v>5143-20</v>
      </c>
      <c r="D8" s="442" t="str">
        <f>MC!$F8</f>
        <v>5143-20</v>
      </c>
      <c r="E8" s="444" t="str">
        <f>MC!$F8</f>
        <v>5143-20</v>
      </c>
    </row>
    <row r="9" spans="1:5" x14ac:dyDescent="0.2">
      <c r="A9" s="857"/>
      <c r="B9" s="857"/>
      <c r="C9" s="857"/>
      <c r="D9" s="857"/>
      <c r="E9" s="857"/>
    </row>
    <row r="10" spans="1:5" ht="66.75" customHeight="1" x14ac:dyDescent="0.2">
      <c r="A10" s="445" t="s">
        <v>476</v>
      </c>
      <c r="B10" s="446" t="s">
        <v>477</v>
      </c>
      <c r="C10" s="446" t="s">
        <v>615</v>
      </c>
      <c r="D10" s="627" t="s">
        <v>616</v>
      </c>
      <c r="E10" s="628" t="s">
        <v>617</v>
      </c>
    </row>
    <row r="11" spans="1:5" ht="14.25" customHeight="1" x14ac:dyDescent="0.2">
      <c r="A11" s="858" t="s">
        <v>485</v>
      </c>
      <c r="B11" s="858"/>
      <c r="C11" s="858"/>
      <c r="D11" s="858"/>
      <c r="E11" s="858"/>
    </row>
    <row r="12" spans="1:5" ht="14.25" customHeight="1" x14ac:dyDescent="0.2">
      <c r="A12" s="450" t="s">
        <v>486</v>
      </c>
      <c r="B12" s="451" t="s">
        <v>487</v>
      </c>
      <c r="C12" s="451" t="s">
        <v>488</v>
      </c>
      <c r="D12" s="706" t="s">
        <v>488</v>
      </c>
      <c r="E12" s="707" t="s">
        <v>488</v>
      </c>
    </row>
    <row r="13" spans="1:5" ht="14.25" customHeight="1" x14ac:dyDescent="0.2">
      <c r="A13" s="453" t="s">
        <v>489</v>
      </c>
      <c r="B13" s="454"/>
      <c r="C13" s="455">
        <f>C5</f>
        <v>0</v>
      </c>
      <c r="D13" s="455">
        <f>D5</f>
        <v>0</v>
      </c>
      <c r="E13" s="457">
        <f>E5</f>
        <v>0</v>
      </c>
    </row>
    <row r="14" spans="1:5" ht="14.25" customHeight="1" x14ac:dyDescent="0.2">
      <c r="A14" s="453" t="s">
        <v>490</v>
      </c>
      <c r="B14" s="477">
        <v>0.2</v>
      </c>
      <c r="C14" s="455">
        <f>C13*$B$14</f>
        <v>0</v>
      </c>
      <c r="D14" s="633">
        <f>D13*$B$14</f>
        <v>0</v>
      </c>
      <c r="E14" s="457">
        <f>E13*$B$14</f>
        <v>0</v>
      </c>
    </row>
    <row r="15" spans="1:5" ht="14.25" customHeight="1" x14ac:dyDescent="0.2">
      <c r="A15" s="453" t="s">
        <v>492</v>
      </c>
      <c r="B15" s="461"/>
      <c r="C15" s="455"/>
      <c r="D15" s="633"/>
      <c r="E15" s="457"/>
    </row>
    <row r="16" spans="1:5" ht="14.25" customHeight="1" x14ac:dyDescent="0.2">
      <c r="A16" s="453" t="s">
        <v>493</v>
      </c>
      <c r="B16" s="461"/>
      <c r="C16" s="455"/>
      <c r="D16" s="633"/>
      <c r="E16" s="457"/>
    </row>
    <row r="17" spans="1:5" ht="14.25" customHeight="1" x14ac:dyDescent="0.2">
      <c r="A17" s="453" t="s">
        <v>494</v>
      </c>
      <c r="B17" s="461"/>
      <c r="C17" s="455"/>
      <c r="D17" s="633"/>
      <c r="E17" s="457"/>
    </row>
    <row r="18" spans="1:5" ht="14.25" customHeight="1" x14ac:dyDescent="0.2">
      <c r="A18" s="453" t="s">
        <v>495</v>
      </c>
      <c r="B18" s="463"/>
      <c r="C18" s="455"/>
      <c r="D18" s="633"/>
      <c r="E18" s="457"/>
    </row>
    <row r="19" spans="1:5" ht="14.25" customHeight="1" x14ac:dyDescent="0.2">
      <c r="A19" s="464" t="s">
        <v>496</v>
      </c>
      <c r="B19" s="465"/>
      <c r="C19" s="479">
        <f>SUM(C13:C18)</f>
        <v>0</v>
      </c>
      <c r="D19" s="634">
        <f>SUM(D13:D18)</f>
        <v>0</v>
      </c>
      <c r="E19" s="635">
        <f>SUM(E13:E18)</f>
        <v>0</v>
      </c>
    </row>
    <row r="20" spans="1:5" ht="14.25" customHeight="1" x14ac:dyDescent="0.2">
      <c r="A20" s="860"/>
      <c r="B20" s="860"/>
      <c r="C20" s="860"/>
      <c r="D20" s="860"/>
      <c r="E20" s="860"/>
    </row>
    <row r="21" spans="1:5" ht="14.25" customHeight="1" x14ac:dyDescent="0.2">
      <c r="A21" s="881" t="s">
        <v>497</v>
      </c>
      <c r="B21" s="881"/>
      <c r="C21" s="881"/>
      <c r="D21" s="881"/>
      <c r="E21" s="881"/>
    </row>
    <row r="22" spans="1:5" ht="14.25" customHeight="1" x14ac:dyDescent="0.2">
      <c r="A22" s="473" t="s">
        <v>498</v>
      </c>
      <c r="B22" s="474" t="s">
        <v>487</v>
      </c>
      <c r="C22" s="474" t="s">
        <v>488</v>
      </c>
      <c r="D22" s="474" t="s">
        <v>488</v>
      </c>
      <c r="E22" s="475" t="s">
        <v>488</v>
      </c>
    </row>
    <row r="23" spans="1:5" ht="14.25" customHeight="1" x14ac:dyDescent="0.2">
      <c r="A23" s="476" t="s">
        <v>499</v>
      </c>
      <c r="B23" s="477">
        <f>1/12</f>
        <v>8.3333333333333329E-2</v>
      </c>
      <c r="C23" s="455">
        <f>ROUND($B23*C$19,2)</f>
        <v>0</v>
      </c>
      <c r="D23" s="455">
        <f>ROUND($B23*D$19,2)</f>
        <v>0</v>
      </c>
      <c r="E23" s="457">
        <f>ROUND($B23*E$19,2)</f>
        <v>0</v>
      </c>
    </row>
    <row r="24" spans="1:5" ht="14.25" customHeight="1" x14ac:dyDescent="0.2">
      <c r="A24" s="476" t="s">
        <v>500</v>
      </c>
      <c r="B24" s="477">
        <f>1/3*1/12</f>
        <v>2.7777777777777776E-2</v>
      </c>
      <c r="C24" s="455">
        <f>C$19*$B$24</f>
        <v>0</v>
      </c>
      <c r="D24" s="455">
        <f>D$19*$B$24</f>
        <v>0</v>
      </c>
      <c r="E24" s="457">
        <f>E$19*$B$24</f>
        <v>0</v>
      </c>
    </row>
    <row r="25" spans="1:5" ht="14.25" customHeight="1" x14ac:dyDescent="0.2">
      <c r="A25" s="464" t="s">
        <v>496</v>
      </c>
      <c r="B25" s="478">
        <f>SUM(B23:B24)</f>
        <v>0.1111111111111111</v>
      </c>
      <c r="C25" s="479">
        <f>SUM(C23:C24)</f>
        <v>0</v>
      </c>
      <c r="D25" s="479">
        <f>SUM(D23:D24)</f>
        <v>0</v>
      </c>
      <c r="E25" s="480">
        <f>SUM(E23:E24)</f>
        <v>0</v>
      </c>
    </row>
    <row r="26" spans="1:5" ht="14.25" customHeight="1" x14ac:dyDescent="0.2">
      <c r="A26" s="473" t="s">
        <v>501</v>
      </c>
      <c r="B26" s="474" t="s">
        <v>487</v>
      </c>
      <c r="C26" s="474" t="s">
        <v>488</v>
      </c>
      <c r="D26" s="474" t="s">
        <v>488</v>
      </c>
      <c r="E26" s="475" t="s">
        <v>488</v>
      </c>
    </row>
    <row r="27" spans="1:5" ht="14.25" customHeight="1" x14ac:dyDescent="0.2">
      <c r="A27" s="473" t="s">
        <v>502</v>
      </c>
      <c r="B27" s="481"/>
      <c r="C27" s="481"/>
      <c r="D27" s="481"/>
      <c r="E27" s="483"/>
    </row>
    <row r="28" spans="1:5" ht="14.25" customHeight="1" x14ac:dyDescent="0.2">
      <c r="A28" s="476" t="s">
        <v>503</v>
      </c>
      <c r="B28" s="477">
        <v>0.2</v>
      </c>
      <c r="C28" s="640">
        <f t="shared" ref="C28:E35" si="0">ROUND((C$19+C$25)*$B28,2)</f>
        <v>0</v>
      </c>
      <c r="D28" s="484">
        <f t="shared" si="0"/>
        <v>0</v>
      </c>
      <c r="E28" s="485">
        <f t="shared" si="0"/>
        <v>0</v>
      </c>
    </row>
    <row r="29" spans="1:5" ht="14.25" customHeight="1" x14ac:dyDescent="0.2">
      <c r="A29" s="476" t="s">
        <v>504</v>
      </c>
      <c r="B29" s="477">
        <v>2.5000000000000001E-2</v>
      </c>
      <c r="C29" s="640">
        <f t="shared" si="0"/>
        <v>0</v>
      </c>
      <c r="D29" s="484">
        <f t="shared" si="0"/>
        <v>0</v>
      </c>
      <c r="E29" s="485">
        <f t="shared" si="0"/>
        <v>0</v>
      </c>
    </row>
    <row r="30" spans="1:5" ht="14.25" customHeight="1" x14ac:dyDescent="0.2">
      <c r="A30" s="476" t="s">
        <v>505</v>
      </c>
      <c r="B30" s="477">
        <v>0.03</v>
      </c>
      <c r="C30" s="640">
        <f t="shared" si="0"/>
        <v>0</v>
      </c>
      <c r="D30" s="484">
        <f t="shared" si="0"/>
        <v>0</v>
      </c>
      <c r="E30" s="485">
        <f t="shared" si="0"/>
        <v>0</v>
      </c>
    </row>
    <row r="31" spans="1:5" ht="14.25" customHeight="1" x14ac:dyDescent="0.2">
      <c r="A31" s="476" t="s">
        <v>506</v>
      </c>
      <c r="B31" s="477">
        <v>1.4999999999999999E-2</v>
      </c>
      <c r="C31" s="640">
        <f t="shared" si="0"/>
        <v>0</v>
      </c>
      <c r="D31" s="484">
        <f t="shared" si="0"/>
        <v>0</v>
      </c>
      <c r="E31" s="485">
        <f t="shared" si="0"/>
        <v>0</v>
      </c>
    </row>
    <row r="32" spans="1:5" ht="14.25" customHeight="1" x14ac:dyDescent="0.2">
      <c r="A32" s="476" t="s">
        <v>507</v>
      </c>
      <c r="B32" s="477">
        <v>0.01</v>
      </c>
      <c r="C32" s="640">
        <f t="shared" si="0"/>
        <v>0</v>
      </c>
      <c r="D32" s="484">
        <f t="shared" si="0"/>
        <v>0</v>
      </c>
      <c r="E32" s="485">
        <f t="shared" si="0"/>
        <v>0</v>
      </c>
    </row>
    <row r="33" spans="1:5" ht="14.25" customHeight="1" x14ac:dyDescent="0.2">
      <c r="A33" s="476" t="s">
        <v>508</v>
      </c>
      <c r="B33" s="477">
        <v>6.0000000000000001E-3</v>
      </c>
      <c r="C33" s="640">
        <f t="shared" si="0"/>
        <v>0</v>
      </c>
      <c r="D33" s="484">
        <f t="shared" si="0"/>
        <v>0</v>
      </c>
      <c r="E33" s="485">
        <f t="shared" si="0"/>
        <v>0</v>
      </c>
    </row>
    <row r="34" spans="1:5" ht="14.25" customHeight="1" x14ac:dyDescent="0.2">
      <c r="A34" s="476" t="s">
        <v>509</v>
      </c>
      <c r="B34" s="477">
        <v>2E-3</v>
      </c>
      <c r="C34" s="640">
        <f t="shared" si="0"/>
        <v>0</v>
      </c>
      <c r="D34" s="484">
        <f t="shared" si="0"/>
        <v>0</v>
      </c>
      <c r="E34" s="485">
        <f t="shared" si="0"/>
        <v>0</v>
      </c>
    </row>
    <row r="35" spans="1:5" ht="14.25" customHeight="1" x14ac:dyDescent="0.2">
      <c r="A35" s="476" t="s">
        <v>510</v>
      </c>
      <c r="B35" s="477">
        <v>0.08</v>
      </c>
      <c r="C35" s="640">
        <f t="shared" si="0"/>
        <v>0</v>
      </c>
      <c r="D35" s="484">
        <f t="shared" si="0"/>
        <v>0</v>
      </c>
      <c r="E35" s="485">
        <f t="shared" si="0"/>
        <v>0</v>
      </c>
    </row>
    <row r="36" spans="1:5" ht="14.25" customHeight="1" x14ac:dyDescent="0.2">
      <c r="A36" s="464" t="s">
        <v>496</v>
      </c>
      <c r="B36" s="478">
        <f>SUM(B28:B35)</f>
        <v>0.36800000000000005</v>
      </c>
      <c r="C36" s="479">
        <f>SUM(C27:C35)</f>
        <v>0</v>
      </c>
      <c r="D36" s="479">
        <f>SUM(D27:D35)</f>
        <v>0</v>
      </c>
      <c r="E36" s="480">
        <f>SUM(E27:E35)</f>
        <v>0</v>
      </c>
    </row>
    <row r="37" spans="1:5" ht="14.25" customHeight="1" x14ac:dyDescent="0.2">
      <c r="A37" s="473" t="s">
        <v>511</v>
      </c>
      <c r="B37" s="474" t="s">
        <v>512</v>
      </c>
      <c r="C37" s="474" t="s">
        <v>488</v>
      </c>
      <c r="D37" s="474" t="s">
        <v>488</v>
      </c>
      <c r="E37" s="475" t="s">
        <v>488</v>
      </c>
    </row>
    <row r="38" spans="1:5" ht="14.25" customHeight="1" x14ac:dyDescent="0.2">
      <c r="A38" s="476" t="s">
        <v>513</v>
      </c>
      <c r="B38" s="486">
        <f>MC!K90</f>
        <v>0</v>
      </c>
      <c r="C38" s="455">
        <f>ROUND(((2*22*$B$38)-0.06*C$13),2)</f>
        <v>0</v>
      </c>
      <c r="D38" s="455">
        <f>ROUND(((2*22*$B$38)-0.06*D$13),2)</f>
        <v>0</v>
      </c>
      <c r="E38" s="457">
        <f>ROUND(((2*22*$B$38)-0.06*E$13),2)</f>
        <v>0</v>
      </c>
    </row>
    <row r="39" spans="1:5" ht="14.25" customHeight="1" x14ac:dyDescent="0.2">
      <c r="A39" s="476" t="s">
        <v>514</v>
      </c>
      <c r="B39" s="487"/>
      <c r="C39" s="484">
        <f>MC!E19</f>
        <v>0</v>
      </c>
      <c r="D39" s="484">
        <f>MC!E20</f>
        <v>0</v>
      </c>
      <c r="E39" s="485">
        <f>MC!E20</f>
        <v>0</v>
      </c>
    </row>
    <row r="40" spans="1:5" ht="14.25" customHeight="1" x14ac:dyDescent="0.2">
      <c r="A40" s="476" t="s">
        <v>515</v>
      </c>
      <c r="B40" s="477">
        <f>MC!C24</f>
        <v>0</v>
      </c>
      <c r="C40" s="484"/>
      <c r="D40" s="484"/>
      <c r="E40" s="485"/>
    </row>
    <row r="41" spans="1:5" ht="14.25" customHeight="1" x14ac:dyDescent="0.2">
      <c r="A41" s="476" t="s">
        <v>618</v>
      </c>
      <c r="B41" s="490">
        <f>MC!E26</f>
        <v>0</v>
      </c>
      <c r="C41" s="484">
        <f>B41</f>
        <v>0</v>
      </c>
      <c r="D41" s="484">
        <f>B41</f>
        <v>0</v>
      </c>
      <c r="E41" s="485"/>
    </row>
    <row r="42" spans="1:5" ht="14.25" customHeight="1" x14ac:dyDescent="0.2">
      <c r="A42" s="476" t="s">
        <v>619</v>
      </c>
      <c r="B42" s="490">
        <f>MC!E27</f>
        <v>0</v>
      </c>
      <c r="C42" s="484">
        <f>$B42</f>
        <v>0</v>
      </c>
      <c r="D42" s="484">
        <f>$B42</f>
        <v>0</v>
      </c>
      <c r="E42" s="485">
        <f>$B42</f>
        <v>0</v>
      </c>
    </row>
    <row r="43" spans="1:5" ht="14.25" customHeight="1" x14ac:dyDescent="0.2">
      <c r="A43" s="476" t="s">
        <v>518</v>
      </c>
      <c r="B43" s="477"/>
      <c r="C43" s="484"/>
      <c r="D43" s="484"/>
      <c r="E43" s="485"/>
    </row>
    <row r="44" spans="1:5" ht="14.25" customHeight="1" x14ac:dyDescent="0.2">
      <c r="A44" s="464" t="s">
        <v>496</v>
      </c>
      <c r="B44" s="465"/>
      <c r="C44" s="479">
        <f>SUM(C38:C43)</f>
        <v>0</v>
      </c>
      <c r="D44" s="708">
        <f>SUM(D38:D43)</f>
        <v>0</v>
      </c>
      <c r="E44" s="635">
        <f>SUM(E38:E43)</f>
        <v>0</v>
      </c>
    </row>
    <row r="45" spans="1:5" ht="14.25" customHeight="1" x14ac:dyDescent="0.2">
      <c r="A45" s="450" t="s">
        <v>519</v>
      </c>
      <c r="B45" s="451" t="s">
        <v>487</v>
      </c>
      <c r="C45" s="451" t="s">
        <v>488</v>
      </c>
      <c r="D45" s="451" t="s">
        <v>488</v>
      </c>
      <c r="E45" s="452" t="s">
        <v>488</v>
      </c>
    </row>
    <row r="46" spans="1:5" ht="14.25" customHeight="1" x14ac:dyDescent="0.2">
      <c r="A46" s="476" t="s">
        <v>498</v>
      </c>
      <c r="B46" s="493">
        <f>B25</f>
        <v>0.1111111111111111</v>
      </c>
      <c r="C46" s="494">
        <f>C25</f>
        <v>0</v>
      </c>
      <c r="D46" s="709">
        <f>D25</f>
        <v>0</v>
      </c>
      <c r="E46" s="710">
        <f>E25</f>
        <v>0</v>
      </c>
    </row>
    <row r="47" spans="1:5" ht="14.25" customHeight="1" x14ac:dyDescent="0.2">
      <c r="A47" s="476" t="s">
        <v>520</v>
      </c>
      <c r="B47" s="493">
        <f>B36</f>
        <v>0.36800000000000005</v>
      </c>
      <c r="C47" s="494">
        <f>C36</f>
        <v>0</v>
      </c>
      <c r="D47" s="642">
        <f>D36</f>
        <v>0</v>
      </c>
      <c r="E47" s="495">
        <f>E36</f>
        <v>0</v>
      </c>
    </row>
    <row r="48" spans="1:5" ht="14.25" customHeight="1" x14ac:dyDescent="0.2">
      <c r="A48" s="476" t="s">
        <v>511</v>
      </c>
      <c r="B48" s="493"/>
      <c r="C48" s="494">
        <f>C44</f>
        <v>0</v>
      </c>
      <c r="D48" s="642">
        <f>D44</f>
        <v>0</v>
      </c>
      <c r="E48" s="495">
        <f>E44</f>
        <v>0</v>
      </c>
    </row>
    <row r="49" spans="1:5" ht="14.25" customHeight="1" x14ac:dyDescent="0.2">
      <c r="A49" s="464" t="s">
        <v>496</v>
      </c>
      <c r="B49" s="465"/>
      <c r="C49" s="479">
        <f>SUM(C46:C48)</f>
        <v>0</v>
      </c>
      <c r="D49" s="634">
        <f>SUM(D46:D48)</f>
        <v>0</v>
      </c>
      <c r="E49" s="635">
        <f>SUM(E46:E48)</f>
        <v>0</v>
      </c>
    </row>
    <row r="50" spans="1:5" ht="14.25" customHeight="1" x14ac:dyDescent="0.2">
      <c r="A50" s="860"/>
      <c r="B50" s="860"/>
      <c r="C50" s="860"/>
      <c r="D50" s="860"/>
      <c r="E50" s="860"/>
    </row>
    <row r="51" spans="1:5" s="496" customFormat="1" ht="14.25" customHeight="1" x14ac:dyDescent="0.2">
      <c r="A51" s="881" t="s">
        <v>521</v>
      </c>
      <c r="B51" s="881"/>
      <c r="C51" s="881"/>
      <c r="D51" s="881"/>
      <c r="E51" s="881"/>
    </row>
    <row r="52" spans="1:5" ht="14.25" customHeight="1" x14ac:dyDescent="0.2">
      <c r="A52" s="450" t="s">
        <v>522</v>
      </c>
      <c r="B52" s="451" t="s">
        <v>487</v>
      </c>
      <c r="C52" s="451" t="s">
        <v>488</v>
      </c>
      <c r="D52" s="451" t="s">
        <v>488</v>
      </c>
      <c r="E52" s="452" t="s">
        <v>488</v>
      </c>
    </row>
    <row r="53" spans="1:5" ht="14.25" customHeight="1" x14ac:dyDescent="0.2">
      <c r="A53" s="473" t="s">
        <v>523</v>
      </c>
      <c r="B53" s="497"/>
      <c r="C53" s="497"/>
      <c r="D53" s="497"/>
      <c r="E53" s="499"/>
    </row>
    <row r="54" spans="1:5" ht="14.25" customHeight="1" x14ac:dyDescent="0.2">
      <c r="A54" s="476" t="s">
        <v>524</v>
      </c>
      <c r="B54" s="493">
        <f>1/12*0.05</f>
        <v>4.1666666666666666E-3</v>
      </c>
      <c r="C54" s="500">
        <f>C19*$B54</f>
        <v>0</v>
      </c>
      <c r="D54" s="500">
        <f>D19*$B54</f>
        <v>0</v>
      </c>
      <c r="E54" s="501">
        <f>E19*$B54</f>
        <v>0</v>
      </c>
    </row>
    <row r="55" spans="1:5" ht="14.25" customHeight="1" x14ac:dyDescent="0.2">
      <c r="A55" s="476" t="s">
        <v>525</v>
      </c>
      <c r="B55" s="493">
        <f>B35*B54</f>
        <v>3.3333333333333332E-4</v>
      </c>
      <c r="C55" s="500">
        <f>$B$55*C19</f>
        <v>0</v>
      </c>
      <c r="D55" s="500">
        <f>$B$55*D19</f>
        <v>0</v>
      </c>
      <c r="E55" s="501">
        <f>$B$55*E19</f>
        <v>0</v>
      </c>
    </row>
    <row r="56" spans="1:5" ht="14.25" customHeight="1" x14ac:dyDescent="0.2">
      <c r="A56" s="476" t="s">
        <v>526</v>
      </c>
      <c r="B56" s="493">
        <v>0</v>
      </c>
      <c r="C56" s="500">
        <f>C35*$B56</f>
        <v>0</v>
      </c>
      <c r="D56" s="500">
        <f>D35*$B56</f>
        <v>0</v>
      </c>
      <c r="E56" s="501">
        <f>E35*$B56</f>
        <v>0</v>
      </c>
    </row>
    <row r="57" spans="1:5" ht="14.25" customHeight="1" x14ac:dyDescent="0.2">
      <c r="A57" s="476" t="s">
        <v>527</v>
      </c>
      <c r="B57" s="493">
        <f>1/12*1/30*7</f>
        <v>1.9444444444444441E-2</v>
      </c>
      <c r="C57" s="494">
        <f>C19*$B57</f>
        <v>0</v>
      </c>
      <c r="D57" s="494">
        <f>D19*$B57</f>
        <v>0</v>
      </c>
      <c r="E57" s="495">
        <f>E19*$B57</f>
        <v>0</v>
      </c>
    </row>
    <row r="58" spans="1:5" ht="14.25" customHeight="1" x14ac:dyDescent="0.2">
      <c r="A58" s="476" t="s">
        <v>528</v>
      </c>
      <c r="B58" s="493">
        <f>B36*B57</f>
        <v>7.1555555555555556E-3</v>
      </c>
      <c r="C58" s="494">
        <f>$B58*C19</f>
        <v>0</v>
      </c>
      <c r="D58" s="494">
        <f>$B58*D19</f>
        <v>0</v>
      </c>
      <c r="E58" s="495">
        <f>$B58*E19</f>
        <v>0</v>
      </c>
    </row>
    <row r="59" spans="1:5" ht="14.25" customHeight="1" x14ac:dyDescent="0.2">
      <c r="A59" s="476" t="s">
        <v>529</v>
      </c>
      <c r="B59" s="493">
        <f>B35*40/100*90/100*(1+1/12+1/12+1/3*1/12)</f>
        <v>3.4399999999999993E-2</v>
      </c>
      <c r="C59" s="494">
        <f>C19*$B59</f>
        <v>0</v>
      </c>
      <c r="D59" s="494">
        <f>D19*$B59</f>
        <v>0</v>
      </c>
      <c r="E59" s="495">
        <f>E19*$B59</f>
        <v>0</v>
      </c>
    </row>
    <row r="60" spans="1:5" ht="14.25" customHeight="1" x14ac:dyDescent="0.2">
      <c r="A60" s="464" t="s">
        <v>496</v>
      </c>
      <c r="B60" s="478">
        <f>SUM(B54:B59)</f>
        <v>6.5499999999999989E-2</v>
      </c>
      <c r="C60" s="466">
        <f>SUM(C54:C59)</f>
        <v>0</v>
      </c>
      <c r="D60" s="711">
        <f>SUM(D54:D59)</f>
        <v>0</v>
      </c>
      <c r="E60" s="648">
        <f>SUM(E54:E59)</f>
        <v>0</v>
      </c>
    </row>
    <row r="61" spans="1:5" ht="14.25" customHeight="1" x14ac:dyDescent="0.2">
      <c r="A61" s="860"/>
      <c r="B61" s="860"/>
      <c r="C61" s="860"/>
      <c r="D61" s="860"/>
      <c r="E61" s="860"/>
    </row>
    <row r="62" spans="1:5" ht="14.25" customHeight="1" x14ac:dyDescent="0.2">
      <c r="A62" s="858" t="s">
        <v>530</v>
      </c>
      <c r="B62" s="858"/>
      <c r="C62" s="858"/>
      <c r="D62" s="858"/>
      <c r="E62" s="858"/>
    </row>
    <row r="63" spans="1:5" ht="14.25" customHeight="1" x14ac:dyDescent="0.2">
      <c r="A63" s="473" t="s">
        <v>43</v>
      </c>
      <c r="B63" s="474" t="s">
        <v>487</v>
      </c>
      <c r="C63" s="474" t="s">
        <v>488</v>
      </c>
      <c r="D63" s="474" t="s">
        <v>488</v>
      </c>
      <c r="E63" s="475" t="s">
        <v>488</v>
      </c>
    </row>
    <row r="64" spans="1:5" ht="14.25" customHeight="1" x14ac:dyDescent="0.2">
      <c r="A64" s="476" t="s">
        <v>44</v>
      </c>
      <c r="B64" s="477">
        <f>1/12</f>
        <v>8.3333333333333329E-2</v>
      </c>
      <c r="C64" s="649">
        <f t="shared" ref="C64:E67" si="1">$B64*(C$19+C$49+C$60)</f>
        <v>0</v>
      </c>
      <c r="D64" s="649">
        <f t="shared" si="1"/>
        <v>0</v>
      </c>
      <c r="E64" s="650">
        <f t="shared" si="1"/>
        <v>0</v>
      </c>
    </row>
    <row r="65" spans="1:5" ht="14.25" customHeight="1" x14ac:dyDescent="0.2">
      <c r="A65" s="476" t="s">
        <v>531</v>
      </c>
      <c r="B65" s="477">
        <f>MC!E54/30/12</f>
        <v>1.3538888888888885E-2</v>
      </c>
      <c r="C65" s="484">
        <f t="shared" si="1"/>
        <v>0</v>
      </c>
      <c r="D65" s="484">
        <f t="shared" si="1"/>
        <v>0</v>
      </c>
      <c r="E65" s="485">
        <f t="shared" si="1"/>
        <v>0</v>
      </c>
    </row>
    <row r="66" spans="1:5" ht="14.25" customHeight="1" x14ac:dyDescent="0.2">
      <c r="A66" s="476" t="s">
        <v>532</v>
      </c>
      <c r="B66" s="502">
        <f>(5/30)/12*MC!F56*MC!C57</f>
        <v>1.0764583333333333E-4</v>
      </c>
      <c r="C66" s="484">
        <f t="shared" si="1"/>
        <v>0</v>
      </c>
      <c r="D66" s="484">
        <f t="shared" si="1"/>
        <v>0</v>
      </c>
      <c r="E66" s="485">
        <f t="shared" si="1"/>
        <v>0</v>
      </c>
    </row>
    <row r="67" spans="1:5" ht="14.25" customHeight="1" x14ac:dyDescent="0.2">
      <c r="A67" s="476" t="s">
        <v>533</v>
      </c>
      <c r="B67" s="502">
        <f>MC!C59/30/12</f>
        <v>2.6830555555555553E-3</v>
      </c>
      <c r="C67" s="484">
        <f t="shared" si="1"/>
        <v>0</v>
      </c>
      <c r="D67" s="484">
        <f t="shared" si="1"/>
        <v>0</v>
      </c>
      <c r="E67" s="485">
        <f t="shared" si="1"/>
        <v>0</v>
      </c>
    </row>
    <row r="68" spans="1:5" ht="14.25" customHeight="1" x14ac:dyDescent="0.2">
      <c r="A68" s="476" t="s">
        <v>495</v>
      </c>
      <c r="B68" s="477"/>
      <c r="C68" s="484"/>
      <c r="D68" s="484"/>
      <c r="E68" s="485"/>
    </row>
    <row r="69" spans="1:5" ht="14.25" customHeight="1" x14ac:dyDescent="0.2">
      <c r="A69" s="503" t="s">
        <v>534</v>
      </c>
      <c r="B69" s="504">
        <f>SUM(B64:B68)</f>
        <v>9.9662923611111107E-2</v>
      </c>
      <c r="C69" s="505">
        <f>SUM(C64:C68)</f>
        <v>0</v>
      </c>
      <c r="D69" s="505">
        <f>SUM(D64:D68)</f>
        <v>0</v>
      </c>
      <c r="E69" s="506">
        <f>SUM(E64:E68)</f>
        <v>0</v>
      </c>
    </row>
    <row r="70" spans="1:5" ht="14.25" customHeight="1" x14ac:dyDescent="0.2">
      <c r="A70" s="473" t="s">
        <v>535</v>
      </c>
      <c r="B70" s="474" t="s">
        <v>487</v>
      </c>
      <c r="C70" s="474" t="s">
        <v>488</v>
      </c>
      <c r="D70" s="474" t="s">
        <v>488</v>
      </c>
      <c r="E70" s="475" t="s">
        <v>488</v>
      </c>
    </row>
    <row r="71" spans="1:5" ht="14.25" customHeight="1" x14ac:dyDescent="0.2">
      <c r="A71" s="476" t="s">
        <v>536</v>
      </c>
      <c r="B71" s="477"/>
      <c r="C71" s="484"/>
      <c r="D71" s="484"/>
      <c r="E71" s="485"/>
    </row>
    <row r="72" spans="1:5" ht="14.25" customHeight="1" x14ac:dyDescent="0.2">
      <c r="A72" s="503" t="s">
        <v>534</v>
      </c>
      <c r="B72" s="504"/>
      <c r="C72" s="505">
        <f>C71</f>
        <v>0</v>
      </c>
      <c r="D72" s="505"/>
      <c r="E72" s="506"/>
    </row>
    <row r="73" spans="1:5" ht="14.25" customHeight="1" x14ac:dyDescent="0.2">
      <c r="A73" s="473" t="s">
        <v>65</v>
      </c>
      <c r="B73" s="474" t="s">
        <v>487</v>
      </c>
      <c r="C73" s="474" t="s">
        <v>488</v>
      </c>
      <c r="D73" s="474" t="s">
        <v>488</v>
      </c>
      <c r="E73" s="475" t="s">
        <v>488</v>
      </c>
    </row>
    <row r="74" spans="1:5" ht="14.25" customHeight="1" x14ac:dyDescent="0.2">
      <c r="A74" s="476" t="s">
        <v>66</v>
      </c>
      <c r="B74" s="477">
        <f>120/30*MC!C62*MC!C63</f>
        <v>6.18624E-3</v>
      </c>
      <c r="C74" s="484">
        <f>(((C19*2)+ (C19*1/3))+(C36)+(C44-C38-C39))*$B$74</f>
        <v>0</v>
      </c>
      <c r="D74" s="484">
        <f>(((D19*2)+ (D19*1/3))+(D36)+(D44-D38-D39))*$B$74</f>
        <v>0</v>
      </c>
      <c r="E74" s="485">
        <f>(((E19*2)+ (E19*1/3))+(E36)+(E44-E38-E39))*$B$74</f>
        <v>0</v>
      </c>
    </row>
    <row r="75" spans="1:5" ht="14.25" customHeight="1" x14ac:dyDescent="0.2">
      <c r="A75" s="503" t="s">
        <v>496</v>
      </c>
      <c r="B75" s="504"/>
      <c r="C75" s="505"/>
      <c r="D75" s="505"/>
      <c r="E75" s="506"/>
    </row>
    <row r="76" spans="1:5" ht="14.25" customHeight="1" x14ac:dyDescent="0.2">
      <c r="A76" s="450" t="s">
        <v>537</v>
      </c>
      <c r="B76" s="451" t="s">
        <v>487</v>
      </c>
      <c r="C76" s="451" t="s">
        <v>488</v>
      </c>
      <c r="D76" s="451" t="s">
        <v>488</v>
      </c>
      <c r="E76" s="452" t="s">
        <v>488</v>
      </c>
    </row>
    <row r="77" spans="1:5" ht="14.25" customHeight="1" x14ac:dyDescent="0.2">
      <c r="A77" s="476" t="s">
        <v>43</v>
      </c>
      <c r="B77" s="493">
        <f>B69</f>
        <v>9.9662923611111107E-2</v>
      </c>
      <c r="C77" s="494">
        <f>C69</f>
        <v>0</v>
      </c>
      <c r="D77" s="494">
        <f>D69</f>
        <v>0</v>
      </c>
      <c r="E77" s="495">
        <f>E69</f>
        <v>0</v>
      </c>
    </row>
    <row r="78" spans="1:5" ht="14.25" customHeight="1" x14ac:dyDescent="0.2">
      <c r="A78" s="476" t="s">
        <v>535</v>
      </c>
      <c r="B78" s="493">
        <f>B72</f>
        <v>0</v>
      </c>
      <c r="C78" s="494">
        <f>C72</f>
        <v>0</v>
      </c>
      <c r="D78" s="494">
        <f>D72</f>
        <v>0</v>
      </c>
      <c r="E78" s="495">
        <f>E72</f>
        <v>0</v>
      </c>
    </row>
    <row r="79" spans="1:5" ht="14.25" customHeight="1" x14ac:dyDescent="0.2">
      <c r="A79" s="476" t="s">
        <v>65</v>
      </c>
      <c r="B79" s="493">
        <f>B74</f>
        <v>6.18624E-3</v>
      </c>
      <c r="C79" s="494">
        <f>C74</f>
        <v>0</v>
      </c>
      <c r="D79" s="494">
        <f>D74</f>
        <v>0</v>
      </c>
      <c r="E79" s="495">
        <f>E74</f>
        <v>0</v>
      </c>
    </row>
    <row r="80" spans="1:5" ht="14.25" customHeight="1" x14ac:dyDescent="0.2">
      <c r="A80" s="464" t="s">
        <v>496</v>
      </c>
      <c r="B80" s="465"/>
      <c r="C80" s="479">
        <f>SUM(C77:C79)</f>
        <v>0</v>
      </c>
      <c r="D80" s="708">
        <f>SUM(D77:D79)</f>
        <v>0</v>
      </c>
      <c r="E80" s="635">
        <f>SUM(E77:E79)</f>
        <v>0</v>
      </c>
    </row>
    <row r="81" spans="1:5" ht="14.25" customHeight="1" x14ac:dyDescent="0.2">
      <c r="A81" s="860"/>
      <c r="B81" s="860"/>
      <c r="C81" s="860"/>
      <c r="D81" s="860"/>
      <c r="E81" s="860"/>
    </row>
    <row r="82" spans="1:5" ht="14.25" customHeight="1" x14ac:dyDescent="0.2">
      <c r="A82" s="881" t="s">
        <v>538</v>
      </c>
      <c r="B82" s="881"/>
      <c r="C82" s="881"/>
      <c r="D82" s="881"/>
      <c r="E82" s="881"/>
    </row>
    <row r="83" spans="1:5" ht="14.25" customHeight="1" x14ac:dyDescent="0.2">
      <c r="A83" s="450" t="s">
        <v>539</v>
      </c>
      <c r="B83" s="451" t="s">
        <v>512</v>
      </c>
      <c r="C83" s="451" t="s">
        <v>488</v>
      </c>
      <c r="D83" s="451" t="s">
        <v>488</v>
      </c>
      <c r="E83" s="452" t="s">
        <v>488</v>
      </c>
    </row>
    <row r="84" spans="1:5" ht="14.25" customHeight="1" x14ac:dyDescent="0.2">
      <c r="A84" s="476" t="s">
        <v>541</v>
      </c>
      <c r="B84" s="654">
        <f>Insumos!K126</f>
        <v>0</v>
      </c>
      <c r="C84" s="712">
        <f>Insumos!$J119</f>
        <v>0</v>
      </c>
      <c r="D84" s="712">
        <f>Insumos!$J119</f>
        <v>0</v>
      </c>
      <c r="E84" s="632">
        <f>Insumos!$J119</f>
        <v>0</v>
      </c>
    </row>
    <row r="85" spans="1:5" ht="14.25" customHeight="1" x14ac:dyDescent="0.2">
      <c r="A85" s="513" t="s">
        <v>542</v>
      </c>
      <c r="B85" s="654">
        <f>Insumos!K71</f>
        <v>0</v>
      </c>
      <c r="C85" s="455">
        <f>Insumos!$G70</f>
        <v>0</v>
      </c>
      <c r="D85" s="455">
        <f>Insumos!$G70</f>
        <v>0</v>
      </c>
      <c r="E85" s="457">
        <f>Insumos!$G70</f>
        <v>0</v>
      </c>
    </row>
    <row r="86" spans="1:5" ht="14.25" customHeight="1" x14ac:dyDescent="0.2">
      <c r="A86" s="513" t="s">
        <v>543</v>
      </c>
      <c r="B86" s="655">
        <v>0</v>
      </c>
      <c r="C86" s="459" t="s">
        <v>112</v>
      </c>
      <c r="D86" s="459" t="s">
        <v>112</v>
      </c>
      <c r="E86" s="460" t="s">
        <v>112</v>
      </c>
    </row>
    <row r="87" spans="1:5" ht="14.25" customHeight="1" x14ac:dyDescent="0.2">
      <c r="A87" s="513" t="s">
        <v>544</v>
      </c>
      <c r="B87" s="656">
        <f>Insumos!K144</f>
        <v>0</v>
      </c>
      <c r="C87" s="455">
        <f>Insumos!$I123</f>
        <v>0</v>
      </c>
      <c r="D87" s="455">
        <f>Insumos!$H123</f>
        <v>0</v>
      </c>
      <c r="E87" s="457">
        <f>Insumos!$H123</f>
        <v>0</v>
      </c>
    </row>
    <row r="88" spans="1:5" ht="14.25" customHeight="1" x14ac:dyDescent="0.2">
      <c r="A88" s="503" t="s">
        <v>496</v>
      </c>
      <c r="B88" s="520"/>
      <c r="C88" s="505">
        <f>SUM(C84:C87)</f>
        <v>0</v>
      </c>
      <c r="D88" s="651">
        <f>SUM(D84:D87)</f>
        <v>0</v>
      </c>
      <c r="E88" s="652">
        <f>SUM(E84:E87)</f>
        <v>0</v>
      </c>
    </row>
    <row r="89" spans="1:5" ht="14.25" customHeight="1" x14ac:dyDescent="0.2">
      <c r="A89" s="860"/>
      <c r="B89" s="860"/>
      <c r="C89" s="860"/>
      <c r="D89" s="860"/>
      <c r="E89" s="860"/>
    </row>
    <row r="90" spans="1:5" ht="14.25" customHeight="1" x14ac:dyDescent="0.2">
      <c r="A90" s="881" t="s">
        <v>548</v>
      </c>
      <c r="B90" s="881"/>
      <c r="C90" s="881"/>
      <c r="D90" s="881"/>
      <c r="E90" s="881"/>
    </row>
    <row r="91" spans="1:5" ht="14.25" customHeight="1" x14ac:dyDescent="0.2">
      <c r="A91" s="450" t="s">
        <v>549</v>
      </c>
      <c r="B91" s="451" t="s">
        <v>487</v>
      </c>
      <c r="C91" s="451" t="s">
        <v>488</v>
      </c>
      <c r="D91" s="451" t="s">
        <v>488</v>
      </c>
      <c r="E91" s="452" t="s">
        <v>488</v>
      </c>
    </row>
    <row r="92" spans="1:5" ht="14.25" customHeight="1" x14ac:dyDescent="0.2">
      <c r="A92" s="453" t="s">
        <v>71</v>
      </c>
      <c r="B92" s="477">
        <v>0.03</v>
      </c>
      <c r="C92" s="484">
        <f>($C$19+$C$49+$C$60+$C$80+$C$88)*$B$92</f>
        <v>0</v>
      </c>
      <c r="D92" s="484">
        <f>(D$19+D$49+D$60+D$80+D$88)*$B$92</f>
        <v>0</v>
      </c>
      <c r="E92" s="485">
        <f>(E$19+E$49+E$60+E$80+E$88)*$B$92</f>
        <v>0</v>
      </c>
    </row>
    <row r="93" spans="1:5" ht="14.25" customHeight="1" x14ac:dyDescent="0.2">
      <c r="A93" s="453" t="s">
        <v>72</v>
      </c>
      <c r="B93" s="477">
        <v>6.7900000000000002E-2</v>
      </c>
      <c r="C93" s="484">
        <f>($C$19+$C$49+$C$60+$C$80+$C$88+C92)*B93</f>
        <v>0</v>
      </c>
      <c r="D93" s="484">
        <f>(D$19+D$49+D$60+D$80+D$88+D$92)*$B$93</f>
        <v>0</v>
      </c>
      <c r="E93" s="485">
        <f>(E$19+E$49+E$60+E$80+E$88+E$92)*$B$93</f>
        <v>0</v>
      </c>
    </row>
    <row r="94" spans="1:5" ht="14.25" customHeight="1" x14ac:dyDescent="0.2">
      <c r="A94" s="524" t="s">
        <v>550</v>
      </c>
      <c r="B94" s="525">
        <f>B95+B96</f>
        <v>0.1125</v>
      </c>
      <c r="C94" s="526">
        <f>((C19+C49+C60+C80+C88+C92+C93)/(1-($B$94)))*$B$94</f>
        <v>0</v>
      </c>
      <c r="D94" s="526">
        <f>((D19+D49+D60+D80+D88+D92+D93)/(1-($B$94)))*$B$94</f>
        <v>0</v>
      </c>
      <c r="E94" s="527">
        <f>((E19+E49+E60+E80+E88+E92+E93)/(1-($B$94)))*$B$94</f>
        <v>0</v>
      </c>
    </row>
    <row r="95" spans="1:5" ht="14.25" customHeight="1" x14ac:dyDescent="0.2">
      <c r="A95" s="453" t="s">
        <v>551</v>
      </c>
      <c r="B95" s="477">
        <f>0.0165+0.076</f>
        <v>9.2499999999999999E-2</v>
      </c>
      <c r="C95" s="533">
        <f>((C$19+C$49+C$60+C$80+C$88+C$92+C$93)/(1-($B$94)))*$B$95</f>
        <v>0</v>
      </c>
      <c r="D95" s="533">
        <f>((D$19+D$49+D$60+D$80+D$88+D$92+D$93)/(1-($B$94)))*$B$95</f>
        <v>0</v>
      </c>
      <c r="E95" s="534">
        <f>((E$19+E$49+E$60+E$80+E$88+E$92+E$93)/(1-($B$94)))*$B$95</f>
        <v>0</v>
      </c>
    </row>
    <row r="96" spans="1:5" ht="14.25" customHeight="1" x14ac:dyDescent="0.2">
      <c r="A96" s="453" t="s">
        <v>552</v>
      </c>
      <c r="B96" s="477">
        <v>0.02</v>
      </c>
      <c r="C96" s="533">
        <f>((C$19+C$49+C$60+C$80+C$88+C$92+C$93)/(1-($B$94)))*$B$96</f>
        <v>0</v>
      </c>
      <c r="D96" s="533">
        <f>((D$19+D$49+D$60+D$80+D$88+D$92+D$93)/(1-($B$94)))*$B$96</f>
        <v>0</v>
      </c>
      <c r="E96" s="534">
        <f>((E$19+E$49+E$60+E$80+E$88+E$92+E$93)/(1-($B$94)))*$B$96</f>
        <v>0</v>
      </c>
    </row>
    <row r="97" spans="1:6" ht="14.25" customHeight="1" x14ac:dyDescent="0.2">
      <c r="A97" s="524" t="s">
        <v>553</v>
      </c>
      <c r="B97" s="525">
        <f>B98+B99</f>
        <v>0.11749999999999999</v>
      </c>
      <c r="C97" s="526">
        <f>((C19+C49+C60+C80+C88+C92+C93)/(1-($B$97)))*$B$97</f>
        <v>0</v>
      </c>
      <c r="D97" s="526">
        <f>((D19+D49+D60+D80+D88+D92+D93)/(1-($B$97)))*$B$97</f>
        <v>0</v>
      </c>
      <c r="E97" s="527">
        <f>((E19+E49+E60+E80+E88+E92+E93)/(1-($B$97)))*$B$97</f>
        <v>0</v>
      </c>
    </row>
    <row r="98" spans="1:6" ht="14.25" customHeight="1" x14ac:dyDescent="0.2">
      <c r="A98" s="453" t="s">
        <v>551</v>
      </c>
      <c r="B98" s="477">
        <f>0.0165+0.076</f>
        <v>9.2499999999999999E-2</v>
      </c>
      <c r="C98" s="528">
        <f>((C19+C49+C60+C80+C88+C92+C93)/(1-($B$97)))*$B$98</f>
        <v>0</v>
      </c>
      <c r="D98" s="528">
        <f>((D19+D49+D60+D80+D88+D92+D93)/(1-($B$97)))*$B$98</f>
        <v>0</v>
      </c>
      <c r="E98" s="529">
        <f>((E19+E49+E60+E80+E88+E92+E93)/(1-($B$97)))*$B$98</f>
        <v>0</v>
      </c>
    </row>
    <row r="99" spans="1:6" ht="14.25" customHeight="1" x14ac:dyDescent="0.2">
      <c r="A99" s="453" t="s">
        <v>552</v>
      </c>
      <c r="B99" s="477">
        <v>2.5000000000000001E-2</v>
      </c>
      <c r="C99" s="528">
        <f>((C$19+C$49+C$60+C$80+C$88+C$92+C$93)/(1-($B$97)))*$B$99</f>
        <v>0</v>
      </c>
      <c r="D99" s="528">
        <f>((D$19+D$49+D$60+D$80+D$88+D$92+D$93)/(1-($B$97)))*$B$99</f>
        <v>0</v>
      </c>
      <c r="E99" s="529">
        <f>((E$19+E$49+E$60+E$80+E$88+E$92+E$93)/(1-($B$97)))*$B$99</f>
        <v>0</v>
      </c>
    </row>
    <row r="100" spans="1:6" ht="14.25" customHeight="1" x14ac:dyDescent="0.2">
      <c r="A100" s="524" t="s">
        <v>554</v>
      </c>
      <c r="B100" s="525">
        <f>B101+B102</f>
        <v>0.1225</v>
      </c>
      <c r="C100" s="526">
        <f>((C19+C49+C60+C80+C88+C92+C93)/(1-($B$100)))*$B$100</f>
        <v>0</v>
      </c>
      <c r="D100" s="526">
        <f>((D19+D49+D60+D80+D88+D92+D93)/(1-($B$100)))*$B$100</f>
        <v>0</v>
      </c>
      <c r="E100" s="527">
        <f>((E19+E49+E60+E80+E88+E92+E93)/(1-($B$100)))*$B$100</f>
        <v>0</v>
      </c>
    </row>
    <row r="101" spans="1:6" ht="14.25" customHeight="1" x14ac:dyDescent="0.2">
      <c r="A101" s="453" t="s">
        <v>551</v>
      </c>
      <c r="B101" s="477">
        <f>0.0165+0.076</f>
        <v>9.2499999999999999E-2</v>
      </c>
      <c r="C101" s="528">
        <f>((C19+C49+C60+C80+C88+C92+C93)/(1-($B$100)))*$B$101</f>
        <v>0</v>
      </c>
      <c r="D101" s="528">
        <f>((D19+D49+D60+D80+D88+D92+D93)/(1-($B$100)))*$B$101</f>
        <v>0</v>
      </c>
      <c r="E101" s="529">
        <f>((E19+E49+E60+E80+E88+E92+E93)/(1-($B$100)))*$B$101</f>
        <v>0</v>
      </c>
    </row>
    <row r="102" spans="1:6" ht="14.25" customHeight="1" x14ac:dyDescent="0.2">
      <c r="A102" s="453" t="s">
        <v>552</v>
      </c>
      <c r="B102" s="477">
        <v>0.03</v>
      </c>
      <c r="C102" s="528">
        <f>((C19+C49+C60+C80+C88+C92+C93)/(1-($B$100)))*$B$102</f>
        <v>0</v>
      </c>
      <c r="D102" s="528">
        <f>((D19+D49+D60+D80+D88+D92+D93)/(1-($B$100)))*$B$102</f>
        <v>0</v>
      </c>
      <c r="E102" s="529">
        <f>((E19+E49+E60+E80+E88+E92+E93)/(1-($B$100)))*$B$102</f>
        <v>0</v>
      </c>
      <c r="F102" s="532"/>
    </row>
    <row r="103" spans="1:6" ht="14.25" customHeight="1" x14ac:dyDescent="0.2">
      <c r="A103" s="524" t="s">
        <v>624</v>
      </c>
      <c r="B103" s="525">
        <f>B104+B105</f>
        <v>0.1275</v>
      </c>
      <c r="C103" s="526">
        <f>((C19+C49+C60+C80+C88+C92+C93)/(1-($B$103)))*$B$103</f>
        <v>0</v>
      </c>
      <c r="D103" s="526">
        <f>((D19+D49+D60+D80+D88+D92+D93)/(1-($B$103)))*$B$103</f>
        <v>0</v>
      </c>
      <c r="E103" s="527">
        <f>((E19+E49+E60+E80+E88+E92+E93)/(1-($B$103)))*$B$103</f>
        <v>0</v>
      </c>
      <c r="F103" s="532"/>
    </row>
    <row r="104" spans="1:6" ht="14.25" customHeight="1" x14ac:dyDescent="0.2">
      <c r="A104" s="453" t="s">
        <v>551</v>
      </c>
      <c r="B104" s="477">
        <f>0.0165+0.076</f>
        <v>9.2499999999999999E-2</v>
      </c>
      <c r="C104" s="528">
        <f>((C19+C49+C60+C80+C88+C92+C93)/(1-($B$103)))*$B$104</f>
        <v>0</v>
      </c>
      <c r="D104" s="528">
        <f>((D19+D49+D60+D80+D88+D92+D93)/(1-($B$103)))*$B$104</f>
        <v>0</v>
      </c>
      <c r="E104" s="529">
        <f>((E19+E49+E60+E80+E88+E92+E93)/(1-($B$103)))*$B$104</f>
        <v>0</v>
      </c>
      <c r="F104" s="532"/>
    </row>
    <row r="105" spans="1:6" ht="14.25" customHeight="1" x14ac:dyDescent="0.2">
      <c r="A105" s="453" t="s">
        <v>552</v>
      </c>
      <c r="B105" s="477">
        <v>3.5000000000000003E-2</v>
      </c>
      <c r="C105" s="528">
        <f>((C19+C49+C60+C80+C88+C92+C93)/(1-($B$103)))*$B$105</f>
        <v>0</v>
      </c>
      <c r="D105" s="528">
        <f>((D19+D49+D60+D80+D88+D92+D93)/(1-($B$103)))*$B$105</f>
        <v>0</v>
      </c>
      <c r="E105" s="529">
        <f>((E19+E49+E60+E80+E88+E92+E93)/(1-($B$103)))*$B$105</f>
        <v>0</v>
      </c>
      <c r="F105" s="532"/>
    </row>
    <row r="106" spans="1:6" ht="14.25" customHeight="1" x14ac:dyDescent="0.2">
      <c r="A106" s="524" t="s">
        <v>555</v>
      </c>
      <c r="B106" s="525">
        <f>B107+B108</f>
        <v>0.13250000000000001</v>
      </c>
      <c r="C106" s="526">
        <f>((C19+C49+C60+C80+C88+C92+C93)/(1-($B$106)))*$B$106</f>
        <v>0</v>
      </c>
      <c r="D106" s="526">
        <f>((D19+D49+D60+D80+D88+D92+D93)/(1-($B$106)))*$B$106</f>
        <v>0</v>
      </c>
      <c r="E106" s="527">
        <f>((E19+E49+E60+E80+E88+E92+E93)/(1-($B$106)))*$B$106</f>
        <v>0</v>
      </c>
    </row>
    <row r="107" spans="1:6" ht="14.25" customHeight="1" x14ac:dyDescent="0.2">
      <c r="A107" s="453" t="s">
        <v>551</v>
      </c>
      <c r="B107" s="477">
        <f>0.0165+0.076</f>
        <v>9.2499999999999999E-2</v>
      </c>
      <c r="C107" s="528">
        <f>((C19+C49+C60+C80+C88+C92+C93)/(1-($B$106)))*$B$107</f>
        <v>0</v>
      </c>
      <c r="D107" s="528">
        <f>((D19+D49+D60+D80+D88+D92+D93)/(1-($B$106)))*$B$107</f>
        <v>0</v>
      </c>
      <c r="E107" s="529">
        <f>((E19+E49+E60+E80+E88+E92+E93)/(1-($B$106)))*$B$107</f>
        <v>0</v>
      </c>
    </row>
    <row r="108" spans="1:6" ht="14.25" customHeight="1" x14ac:dyDescent="0.2">
      <c r="A108" s="453" t="s">
        <v>552</v>
      </c>
      <c r="B108" s="477">
        <v>0.04</v>
      </c>
      <c r="C108" s="528">
        <f>((C19+C49+C60+C80+C88+C92+C93)/(1-($B$106)))*$B$108</f>
        <v>0</v>
      </c>
      <c r="D108" s="528">
        <f>((D19+D49+D60+D80+D88+D92+D93)/(1-($B$106)))*$B$108</f>
        <v>0</v>
      </c>
      <c r="E108" s="529">
        <f>((E19+E49+E60+E80+E88+E92+E93)/(1-($B$106)))*$B$108</f>
        <v>0</v>
      </c>
    </row>
    <row r="109" spans="1:6" ht="14.25" customHeight="1" x14ac:dyDescent="0.2">
      <c r="A109" s="524" t="s">
        <v>556</v>
      </c>
      <c r="B109" s="525">
        <f>B110+B111</f>
        <v>0.14250000000000002</v>
      </c>
      <c r="C109" s="526">
        <f>((C19+C49+C60+C80+C88+C92+C93)/(1-($B$109)))*$B$109</f>
        <v>0</v>
      </c>
      <c r="D109" s="526">
        <f>((D19+D49+D60+D80+D88+D92+D93)/(1-($B$109)))*$B$109</f>
        <v>0</v>
      </c>
      <c r="E109" s="527">
        <f>((E19+E49+E60+E80+E88+E92+E93)/(1-($B$109)))*$B$109</f>
        <v>0</v>
      </c>
    </row>
    <row r="110" spans="1:6" ht="14.25" customHeight="1" x14ac:dyDescent="0.2">
      <c r="A110" s="453" t="s">
        <v>551</v>
      </c>
      <c r="B110" s="477">
        <f>0.0165+0.076</f>
        <v>9.2499999999999999E-2</v>
      </c>
      <c r="C110" s="533">
        <f>((C19+C49+C60+C80+C88+C92+C93)/(1-($B$109)))*$B$110</f>
        <v>0</v>
      </c>
      <c r="D110" s="533">
        <f>((D19+D49+D60+D80+D88+D92+D93)/(1-($B$109)))*$B$110</f>
        <v>0</v>
      </c>
      <c r="E110" s="534">
        <f>((E19+E49+E60+E80+E88+E92+E93)/(1-($B$109)))*$B$110</f>
        <v>0</v>
      </c>
    </row>
    <row r="111" spans="1:6" ht="14.25" customHeight="1" x14ac:dyDescent="0.2">
      <c r="A111" s="453" t="s">
        <v>552</v>
      </c>
      <c r="B111" s="535">
        <v>0.05</v>
      </c>
      <c r="C111" s="536">
        <f>((C19+C49+C60+C80+C88+C92+C93)/(1-($B$109)))*$B$111</f>
        <v>0</v>
      </c>
      <c r="D111" s="713">
        <f>((D19+D49+D60+D80+D88+D92+D93)/(1-($B$109)))*$B$111</f>
        <v>0</v>
      </c>
      <c r="E111" s="661">
        <f>((E19+E49+E60+E80+E88+E92+E93)/(1-($B$109)))*$B$111</f>
        <v>0</v>
      </c>
    </row>
    <row r="112" spans="1:6" ht="14.25" customHeight="1" x14ac:dyDescent="0.2">
      <c r="A112" s="861" t="s">
        <v>557</v>
      </c>
      <c r="B112" s="714">
        <v>0.02</v>
      </c>
      <c r="C112" s="539">
        <f>C92+C93+C94</f>
        <v>0</v>
      </c>
      <c r="D112" s="539">
        <f>D92+D93+D94</f>
        <v>0</v>
      </c>
      <c r="E112" s="540">
        <f>E92+E93+E94</f>
        <v>0</v>
      </c>
    </row>
    <row r="113" spans="1:6" ht="14.25" customHeight="1" x14ac:dyDescent="0.2">
      <c r="A113" s="861"/>
      <c r="B113" s="715">
        <v>2.5000000000000001E-2</v>
      </c>
      <c r="C113" s="542">
        <f>C92+C93+C97</f>
        <v>0</v>
      </c>
      <c r="D113" s="542">
        <f>D92+D93+D97</f>
        <v>0</v>
      </c>
      <c r="E113" s="543">
        <f>E92+E93+E97</f>
        <v>0</v>
      </c>
    </row>
    <row r="114" spans="1:6" ht="14.25" customHeight="1" x14ac:dyDescent="0.2">
      <c r="A114" s="861"/>
      <c r="B114" s="715">
        <v>0.03</v>
      </c>
      <c r="C114" s="542">
        <f>C92+C93+C100</f>
        <v>0</v>
      </c>
      <c r="D114" s="542">
        <f>D92+D93+D100</f>
        <v>0</v>
      </c>
      <c r="E114" s="543">
        <f>E92+E93+E100</f>
        <v>0</v>
      </c>
      <c r="F114" s="532"/>
    </row>
    <row r="115" spans="1:6" ht="14.25" customHeight="1" x14ac:dyDescent="0.2">
      <c r="A115" s="861"/>
      <c r="B115" s="715">
        <v>3.5000000000000003E-2</v>
      </c>
      <c r="C115" s="542">
        <f>C92+C93+C103</f>
        <v>0</v>
      </c>
      <c r="D115" s="542">
        <f>D92+D93+D103</f>
        <v>0</v>
      </c>
      <c r="E115" s="543">
        <f>E92+E93+E103</f>
        <v>0</v>
      </c>
      <c r="F115" s="532"/>
    </row>
    <row r="116" spans="1:6" ht="14.25" customHeight="1" x14ac:dyDescent="0.2">
      <c r="A116" s="861"/>
      <c r="B116" s="715">
        <v>0.04</v>
      </c>
      <c r="C116" s="542">
        <f>C92+C93+C106</f>
        <v>0</v>
      </c>
      <c r="D116" s="542">
        <f>D92+D93+D106</f>
        <v>0</v>
      </c>
      <c r="E116" s="543">
        <f>E92+E93+E106</f>
        <v>0</v>
      </c>
    </row>
    <row r="117" spans="1:6" ht="14.25" customHeight="1" x14ac:dyDescent="0.2">
      <c r="A117" s="861"/>
      <c r="B117" s="716">
        <v>0.05</v>
      </c>
      <c r="C117" s="545">
        <f>C92+C93+C109</f>
        <v>0</v>
      </c>
      <c r="D117" s="545">
        <f>D92+D93+D109</f>
        <v>0</v>
      </c>
      <c r="E117" s="546">
        <f>E92+E93+E109</f>
        <v>0</v>
      </c>
    </row>
    <row r="118" spans="1:6" ht="7.5" customHeight="1" x14ac:dyDescent="0.2">
      <c r="A118" s="862"/>
      <c r="B118" s="862"/>
      <c r="C118" s="862"/>
      <c r="D118" s="862"/>
      <c r="E118" s="862"/>
    </row>
    <row r="119" spans="1:6" ht="7.5" customHeight="1" x14ac:dyDescent="0.2">
      <c r="A119" s="857"/>
      <c r="B119" s="857"/>
      <c r="C119" s="857"/>
      <c r="D119" s="857"/>
      <c r="E119" s="857"/>
    </row>
    <row r="120" spans="1:6" ht="54.75" customHeight="1" x14ac:dyDescent="0.2">
      <c r="A120" s="864" t="s">
        <v>559</v>
      </c>
      <c r="B120" s="864"/>
      <c r="C120" s="556" t="str">
        <f>C10</f>
        <v>Servente 40h
COVID</v>
      </c>
      <c r="D120" s="556" t="str">
        <f>D10</f>
        <v>Servente 30h
COVID</v>
      </c>
      <c r="E120" s="558" t="str">
        <f>E10</f>
        <v>Servente 20h
COVID</v>
      </c>
    </row>
    <row r="121" spans="1:6" ht="15.75" customHeight="1" x14ac:dyDescent="0.2">
      <c r="A121" s="865" t="s">
        <v>560</v>
      </c>
      <c r="B121" s="865"/>
      <c r="C121" s="559" t="s">
        <v>488</v>
      </c>
      <c r="D121" s="717" t="s">
        <v>488</v>
      </c>
      <c r="E121" s="667" t="s">
        <v>488</v>
      </c>
    </row>
    <row r="122" spans="1:6" ht="14.25" customHeight="1" x14ac:dyDescent="0.2">
      <c r="A122" s="866" t="s">
        <v>561</v>
      </c>
      <c r="B122" s="866"/>
      <c r="C122" s="561">
        <f>C19</f>
        <v>0</v>
      </c>
      <c r="D122" s="561">
        <f>D19</f>
        <v>0</v>
      </c>
      <c r="E122" s="562">
        <f>E19</f>
        <v>0</v>
      </c>
    </row>
    <row r="123" spans="1:6" ht="14.25" customHeight="1" x14ac:dyDescent="0.2">
      <c r="A123" s="867" t="s">
        <v>562</v>
      </c>
      <c r="B123" s="867"/>
      <c r="C123" s="563">
        <f>C49</f>
        <v>0</v>
      </c>
      <c r="D123" s="563">
        <f>D49</f>
        <v>0</v>
      </c>
      <c r="E123" s="564">
        <f>E49</f>
        <v>0</v>
      </c>
    </row>
    <row r="124" spans="1:6" ht="14.25" customHeight="1" x14ac:dyDescent="0.2">
      <c r="A124" s="867" t="s">
        <v>563</v>
      </c>
      <c r="B124" s="867"/>
      <c r="C124" s="563">
        <f>C60</f>
        <v>0</v>
      </c>
      <c r="D124" s="563">
        <f>D60</f>
        <v>0</v>
      </c>
      <c r="E124" s="564">
        <f>E60</f>
        <v>0</v>
      </c>
    </row>
    <row r="125" spans="1:6" ht="14.25" customHeight="1" x14ac:dyDescent="0.2">
      <c r="A125" s="867" t="s">
        <v>564</v>
      </c>
      <c r="B125" s="867"/>
      <c r="C125" s="563">
        <f>C80</f>
        <v>0</v>
      </c>
      <c r="D125" s="563">
        <f>D80</f>
        <v>0</v>
      </c>
      <c r="E125" s="564">
        <f>E80</f>
        <v>0</v>
      </c>
    </row>
    <row r="126" spans="1:6" ht="15.75" customHeight="1" x14ac:dyDescent="0.2">
      <c r="A126" s="867" t="s">
        <v>565</v>
      </c>
      <c r="B126" s="867"/>
      <c r="C126" s="563">
        <f>C88</f>
        <v>0</v>
      </c>
      <c r="D126" s="563">
        <f>D88</f>
        <v>0</v>
      </c>
      <c r="E126" s="564">
        <f>E88</f>
        <v>0</v>
      </c>
    </row>
    <row r="127" spans="1:6" ht="15.75" customHeight="1" x14ac:dyDescent="0.2">
      <c r="A127" s="868" t="s">
        <v>566</v>
      </c>
      <c r="B127" s="868"/>
      <c r="C127" s="565">
        <f>SUM(C122:C126)</f>
        <v>0</v>
      </c>
      <c r="D127" s="565">
        <f>SUM(D122:D126)</f>
        <v>0</v>
      </c>
      <c r="E127" s="567">
        <f>SUM(E122:E126)</f>
        <v>0</v>
      </c>
    </row>
    <row r="128" spans="1:6" ht="15.75" customHeight="1" x14ac:dyDescent="0.2">
      <c r="A128" s="867" t="s">
        <v>567</v>
      </c>
      <c r="B128" s="867"/>
      <c r="C128" s="565">
        <f t="shared" ref="C128:E133" si="2">C112</f>
        <v>0</v>
      </c>
      <c r="D128" s="565">
        <f t="shared" si="2"/>
        <v>0</v>
      </c>
      <c r="E128" s="567">
        <f t="shared" si="2"/>
        <v>0</v>
      </c>
    </row>
    <row r="129" spans="1:5" ht="15.75" customHeight="1" x14ac:dyDescent="0.2">
      <c r="A129" s="867" t="s">
        <v>568</v>
      </c>
      <c r="B129" s="867"/>
      <c r="C129" s="718">
        <f t="shared" si="2"/>
        <v>0</v>
      </c>
      <c r="D129" s="565">
        <f t="shared" si="2"/>
        <v>0</v>
      </c>
      <c r="E129" s="567">
        <f t="shared" si="2"/>
        <v>0</v>
      </c>
    </row>
    <row r="130" spans="1:5" ht="15.75" customHeight="1" x14ac:dyDescent="0.2">
      <c r="A130" s="867" t="s">
        <v>569</v>
      </c>
      <c r="B130" s="867"/>
      <c r="C130" s="718">
        <f t="shared" si="2"/>
        <v>0</v>
      </c>
      <c r="D130" s="565">
        <f t="shared" si="2"/>
        <v>0</v>
      </c>
      <c r="E130" s="567">
        <f t="shared" si="2"/>
        <v>0</v>
      </c>
    </row>
    <row r="131" spans="1:5" ht="15.75" customHeight="1" x14ac:dyDescent="0.2">
      <c r="A131" s="867" t="s">
        <v>625</v>
      </c>
      <c r="B131" s="867"/>
      <c r="C131" s="718">
        <f t="shared" si="2"/>
        <v>0</v>
      </c>
      <c r="D131" s="565">
        <f t="shared" si="2"/>
        <v>0</v>
      </c>
      <c r="E131" s="567">
        <f t="shared" si="2"/>
        <v>0</v>
      </c>
    </row>
    <row r="132" spans="1:5" ht="15.75" customHeight="1" x14ac:dyDescent="0.2">
      <c r="A132" s="867" t="s">
        <v>570</v>
      </c>
      <c r="B132" s="867"/>
      <c r="C132" s="718">
        <f t="shared" si="2"/>
        <v>0</v>
      </c>
      <c r="D132" s="565">
        <f t="shared" si="2"/>
        <v>0</v>
      </c>
      <c r="E132" s="567">
        <f t="shared" si="2"/>
        <v>0</v>
      </c>
    </row>
    <row r="133" spans="1:5" ht="15.75" customHeight="1" x14ac:dyDescent="0.2">
      <c r="A133" s="882" t="s">
        <v>571</v>
      </c>
      <c r="B133" s="882"/>
      <c r="C133" s="570">
        <f t="shared" si="2"/>
        <v>0</v>
      </c>
      <c r="D133" s="719">
        <f t="shared" si="2"/>
        <v>0</v>
      </c>
      <c r="E133" s="672">
        <f t="shared" si="2"/>
        <v>0</v>
      </c>
    </row>
    <row r="134" spans="1:5" ht="15.75" customHeight="1" x14ac:dyDescent="0.2">
      <c r="A134" s="572" t="s">
        <v>572</v>
      </c>
      <c r="B134" s="573"/>
      <c r="C134" s="574">
        <f>C127+C128</f>
        <v>0</v>
      </c>
      <c r="D134" s="574">
        <f>D127+D128</f>
        <v>0</v>
      </c>
      <c r="E134" s="575">
        <f>E127+E128</f>
        <v>0</v>
      </c>
    </row>
    <row r="135" spans="1:5" ht="15.75" customHeight="1" x14ac:dyDescent="0.2">
      <c r="A135" s="576" t="s">
        <v>573</v>
      </c>
      <c r="B135" s="577"/>
      <c r="C135" s="578">
        <f>C127+C129</f>
        <v>0</v>
      </c>
      <c r="D135" s="578">
        <f>D127+D129</f>
        <v>0</v>
      </c>
      <c r="E135" s="579">
        <f>E127+E129</f>
        <v>0</v>
      </c>
    </row>
    <row r="136" spans="1:5" ht="15.75" customHeight="1" x14ac:dyDescent="0.2">
      <c r="A136" s="576" t="s">
        <v>574</v>
      </c>
      <c r="B136" s="577"/>
      <c r="C136" s="578">
        <f>C127+C130</f>
        <v>0</v>
      </c>
      <c r="D136" s="578">
        <f>D127+D130</f>
        <v>0</v>
      </c>
      <c r="E136" s="579">
        <f>E127+E130</f>
        <v>0</v>
      </c>
    </row>
    <row r="137" spans="1:5" ht="15.75" customHeight="1" x14ac:dyDescent="0.2">
      <c r="A137" s="576" t="s">
        <v>626</v>
      </c>
      <c r="B137" s="577"/>
      <c r="C137" s="578">
        <f>C127+C131</f>
        <v>0</v>
      </c>
      <c r="D137" s="578">
        <f>D127+D131</f>
        <v>0</v>
      </c>
      <c r="E137" s="579">
        <f>E127+E131</f>
        <v>0</v>
      </c>
    </row>
    <row r="138" spans="1:5" ht="15.75" customHeight="1" x14ac:dyDescent="0.2">
      <c r="A138" s="576" t="s">
        <v>575</v>
      </c>
      <c r="B138" s="577"/>
      <c r="C138" s="578">
        <f>C127+C132</f>
        <v>0</v>
      </c>
      <c r="D138" s="578">
        <f>D127+D132</f>
        <v>0</v>
      </c>
      <c r="E138" s="579">
        <f>E127+E132</f>
        <v>0</v>
      </c>
    </row>
    <row r="139" spans="1:5" ht="15.75" customHeight="1" x14ac:dyDescent="0.2">
      <c r="A139" s="576" t="s">
        <v>576</v>
      </c>
      <c r="B139" s="577"/>
      <c r="C139" s="578">
        <f>C127+C133</f>
        <v>0</v>
      </c>
      <c r="D139" s="673">
        <f>D127+D133</f>
        <v>0</v>
      </c>
      <c r="E139" s="674">
        <f>E127+E133</f>
        <v>0</v>
      </c>
    </row>
    <row r="140" spans="1:5" ht="15.75" customHeight="1" x14ac:dyDescent="0.2">
      <c r="A140" s="580" t="s">
        <v>577</v>
      </c>
      <c r="B140" s="581"/>
      <c r="C140" s="582">
        <f t="shared" ref="C140:C145" si="3">C134/200</f>
        <v>0</v>
      </c>
      <c r="D140" s="582"/>
      <c r="E140" s="675"/>
    </row>
    <row r="141" spans="1:5" ht="15.75" customHeight="1" x14ac:dyDescent="0.2">
      <c r="A141" s="585" t="s">
        <v>578</v>
      </c>
      <c r="B141" s="586"/>
      <c r="C141" s="587">
        <f t="shared" si="3"/>
        <v>0</v>
      </c>
      <c r="D141" s="587"/>
      <c r="E141" s="676"/>
    </row>
    <row r="142" spans="1:5" ht="15.75" customHeight="1" x14ac:dyDescent="0.2">
      <c r="A142" s="585" t="s">
        <v>579</v>
      </c>
      <c r="B142" s="586"/>
      <c r="C142" s="587">
        <f t="shared" si="3"/>
        <v>0</v>
      </c>
      <c r="D142" s="587"/>
      <c r="E142" s="676"/>
    </row>
    <row r="143" spans="1:5" ht="15.75" customHeight="1" x14ac:dyDescent="0.2">
      <c r="A143" s="585" t="s">
        <v>627</v>
      </c>
      <c r="B143" s="586"/>
      <c r="C143" s="587">
        <f t="shared" si="3"/>
        <v>0</v>
      </c>
      <c r="D143" s="587"/>
      <c r="E143" s="676"/>
    </row>
    <row r="144" spans="1:5" ht="15.75" customHeight="1" x14ac:dyDescent="0.2">
      <c r="A144" s="585" t="s">
        <v>580</v>
      </c>
      <c r="B144" s="586"/>
      <c r="C144" s="587">
        <f t="shared" si="3"/>
        <v>0</v>
      </c>
      <c r="D144" s="587"/>
      <c r="E144" s="676"/>
    </row>
    <row r="145" spans="1:5" ht="15.75" customHeight="1" x14ac:dyDescent="0.2">
      <c r="A145" s="590" t="s">
        <v>581</v>
      </c>
      <c r="B145" s="591"/>
      <c r="C145" s="592">
        <f t="shared" si="3"/>
        <v>0</v>
      </c>
      <c r="D145" s="592"/>
      <c r="E145" s="677"/>
    </row>
    <row r="146" spans="1:5" x14ac:dyDescent="0.2">
      <c r="A146" s="595"/>
    </row>
  </sheetData>
  <mergeCells count="32">
    <mergeCell ref="A132:B132"/>
    <mergeCell ref="A133:B133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2:A117"/>
    <mergeCell ref="A118:E118"/>
    <mergeCell ref="A119:E119"/>
    <mergeCell ref="A120:B120"/>
    <mergeCell ref="A121:B121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A1:ALY170"/>
  <sheetViews>
    <sheetView zoomScale="75" zoomScaleNormal="75" workbookViewId="0">
      <pane xSplit="1" topLeftCell="B1" activePane="topRight" state="frozen"/>
      <selection pane="topRight" activeCell="Z1" sqref="Z1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26" width="9.25" customWidth="1"/>
    <col min="27" max="1014" width="10.625" customWidth="1"/>
    <col min="1015" max="1025" width="10.5" customWidth="1"/>
  </cols>
  <sheetData>
    <row r="1" spans="1:1013" ht="15" customHeight="1" x14ac:dyDescent="0.2">
      <c r="A1" s="311"/>
      <c r="B1" s="311"/>
      <c r="C1" s="835" t="s">
        <v>331</v>
      </c>
      <c r="D1" s="835"/>
      <c r="E1" s="835"/>
      <c r="F1" s="835"/>
      <c r="G1" s="835"/>
      <c r="H1" s="835"/>
      <c r="I1" s="836" t="s">
        <v>332</v>
      </c>
      <c r="J1" s="836"/>
      <c r="K1" s="836"/>
      <c r="L1" s="837" t="s">
        <v>333</v>
      </c>
      <c r="M1" s="837"/>
      <c r="N1" s="837"/>
      <c r="O1" s="311"/>
      <c r="P1" s="311"/>
      <c r="Q1" s="311"/>
      <c r="R1" s="311"/>
      <c r="S1" s="311"/>
      <c r="T1" s="311"/>
      <c r="U1" s="311"/>
      <c r="V1" s="838"/>
      <c r="W1" s="838"/>
      <c r="X1" s="838"/>
      <c r="Y1" s="311"/>
      <c r="Z1" s="80"/>
    </row>
    <row r="2" spans="1:1013" ht="45.95" customHeight="1" x14ac:dyDescent="0.2">
      <c r="A2" s="839" t="s">
        <v>339</v>
      </c>
      <c r="B2" s="839" t="s">
        <v>340</v>
      </c>
      <c r="C2" s="840" t="s">
        <v>428</v>
      </c>
      <c r="D2" s="820" t="s">
        <v>341</v>
      </c>
      <c r="E2" s="820" t="s">
        <v>342</v>
      </c>
      <c r="F2" s="821" t="s">
        <v>343</v>
      </c>
      <c r="G2" s="819" t="s">
        <v>344</v>
      </c>
      <c r="H2" s="841" t="s">
        <v>429</v>
      </c>
      <c r="I2" s="842" t="s">
        <v>346</v>
      </c>
      <c r="J2" s="822" t="s">
        <v>430</v>
      </c>
      <c r="K2" s="843" t="s">
        <v>348</v>
      </c>
      <c r="L2" s="844" t="s">
        <v>349</v>
      </c>
      <c r="M2" s="824" t="s">
        <v>350</v>
      </c>
      <c r="N2" s="845" t="s">
        <v>351</v>
      </c>
      <c r="O2" s="846" t="s">
        <v>431</v>
      </c>
      <c r="P2" s="847" t="s">
        <v>432</v>
      </c>
      <c r="Q2" s="847"/>
      <c r="R2" s="847"/>
      <c r="S2" s="847"/>
      <c r="T2" s="848" t="s">
        <v>433</v>
      </c>
      <c r="U2" s="848"/>
      <c r="V2" s="335" t="s">
        <v>434</v>
      </c>
      <c r="W2" s="336" t="s">
        <v>435</v>
      </c>
      <c r="X2" s="337" t="s">
        <v>436</v>
      </c>
      <c r="Y2" s="720" t="s">
        <v>437</v>
      </c>
      <c r="Z2" s="339"/>
    </row>
    <row r="3" spans="1:1013" x14ac:dyDescent="0.2">
      <c r="A3" s="839"/>
      <c r="B3" s="839"/>
      <c r="C3" s="839"/>
      <c r="D3" s="820"/>
      <c r="E3" s="820"/>
      <c r="F3" s="821"/>
      <c r="G3" s="819"/>
      <c r="H3" s="841"/>
      <c r="I3" s="842"/>
      <c r="J3" s="822"/>
      <c r="K3" s="843"/>
      <c r="L3" s="844"/>
      <c r="M3" s="824"/>
      <c r="N3" s="845"/>
      <c r="O3" s="846"/>
      <c r="P3" s="340" t="s">
        <v>438</v>
      </c>
      <c r="Q3" s="340" t="s">
        <v>439</v>
      </c>
      <c r="R3" s="340" t="s">
        <v>440</v>
      </c>
      <c r="S3" s="341" t="s">
        <v>441</v>
      </c>
      <c r="T3" s="342" t="s">
        <v>442</v>
      </c>
      <c r="U3" s="342" t="s">
        <v>443</v>
      </c>
      <c r="V3" s="343" t="s">
        <v>444</v>
      </c>
      <c r="W3" s="344" t="s">
        <v>444</v>
      </c>
      <c r="X3" s="721" t="s">
        <v>445</v>
      </c>
      <c r="Y3" s="722" t="s">
        <v>442</v>
      </c>
      <c r="Z3" s="339"/>
    </row>
    <row r="4" spans="1:1013" x14ac:dyDescent="0.2">
      <c r="A4" s="723" t="s">
        <v>115</v>
      </c>
      <c r="B4" s="724">
        <f>'Resumo Proposta'!D39</f>
        <v>0</v>
      </c>
      <c r="C4" s="725">
        <v>13505</v>
      </c>
      <c r="D4" s="726">
        <f>C4-E4-F4-G4-H4</f>
        <v>14874.542307692309</v>
      </c>
      <c r="E4" s="350">
        <f t="shared" ref="E4:E9" si="0">$E$11*(1-H4/$H$11)</f>
        <v>-2560.1923076923076</v>
      </c>
      <c r="F4" s="727">
        <v>0</v>
      </c>
      <c r="G4" s="727">
        <v>265</v>
      </c>
      <c r="H4" s="727">
        <v>925.65</v>
      </c>
      <c r="I4" s="727">
        <v>229</v>
      </c>
      <c r="J4" s="727"/>
      <c r="K4" s="727"/>
      <c r="L4" s="727">
        <v>3572.1</v>
      </c>
      <c r="M4" s="727"/>
      <c r="N4" s="728">
        <v>4291</v>
      </c>
      <c r="O4" s="353">
        <f t="shared" ref="O4:O9" si="1">D4/$D$11+E4/$E$11+F4/$F$11+G4/$G$11+H4/$H$11+I4/$I$11+J4/$J$11+K4/$K$11+M4/$M$11*16*1/188.76+N4/$N$11*16*1/188.76</f>
        <v>17.093184650640872</v>
      </c>
      <c r="P4" s="353">
        <v>5</v>
      </c>
      <c r="Q4" s="353">
        <v>13</v>
      </c>
      <c r="R4" s="353"/>
      <c r="S4" s="353"/>
      <c r="T4" s="354"/>
      <c r="U4" s="354"/>
      <c r="V4" s="355">
        <v>6</v>
      </c>
      <c r="W4" s="356">
        <v>6</v>
      </c>
      <c r="X4" s="729">
        <v>22</v>
      </c>
      <c r="Y4" s="730">
        <v>1</v>
      </c>
      <c r="Z4" s="80"/>
    </row>
    <row r="5" spans="1:1013" x14ac:dyDescent="0.2">
      <c r="A5" s="359" t="s">
        <v>116</v>
      </c>
      <c r="B5" s="724">
        <f>'Resumo Proposta'!D40</f>
        <v>0</v>
      </c>
      <c r="C5" s="731">
        <v>872.12</v>
      </c>
      <c r="D5" s="732">
        <f>C5-E5-F5-G5-H5</f>
        <v>441.35076923076929</v>
      </c>
      <c r="E5" s="733">
        <f t="shared" si="0"/>
        <v>230.76923076923072</v>
      </c>
      <c r="F5" s="282"/>
      <c r="G5" s="282"/>
      <c r="H5" s="734">
        <v>200</v>
      </c>
      <c r="I5" s="282"/>
      <c r="J5" s="282"/>
      <c r="K5" s="282"/>
      <c r="L5" s="282">
        <v>0</v>
      </c>
      <c r="M5" s="282"/>
      <c r="N5" s="363"/>
      <c r="O5" s="353">
        <f t="shared" si="1"/>
        <v>1.4413507692307692</v>
      </c>
      <c r="P5" s="364">
        <v>1</v>
      </c>
      <c r="Q5" s="365">
        <v>1</v>
      </c>
      <c r="R5" s="365"/>
      <c r="S5" s="365"/>
      <c r="T5" s="366"/>
      <c r="U5" s="366"/>
      <c r="V5" s="367">
        <v>6</v>
      </c>
      <c r="W5" s="368">
        <v>6</v>
      </c>
      <c r="X5" s="735"/>
      <c r="Y5" s="736"/>
      <c r="Z5" s="80"/>
    </row>
    <row r="6" spans="1:1013" x14ac:dyDescent="0.2">
      <c r="A6" s="737" t="s">
        <v>117</v>
      </c>
      <c r="B6" s="724">
        <f>'Resumo Proposta'!D41</f>
        <v>0</v>
      </c>
      <c r="C6" s="731">
        <v>6242</v>
      </c>
      <c r="D6" s="732">
        <f>C6-E6-F6-G6-H6</f>
        <v>5167.1446153846155</v>
      </c>
      <c r="E6" s="733">
        <f t="shared" si="0"/>
        <v>60.615384615384627</v>
      </c>
      <c r="F6" s="282">
        <v>0</v>
      </c>
      <c r="G6" s="282">
        <v>770</v>
      </c>
      <c r="H6" s="282">
        <v>244.24</v>
      </c>
      <c r="I6" s="282">
        <v>2045</v>
      </c>
      <c r="J6" s="282"/>
      <c r="K6" s="282"/>
      <c r="L6" s="282">
        <v>0</v>
      </c>
      <c r="M6" s="282"/>
      <c r="N6" s="363">
        <v>4627</v>
      </c>
      <c r="O6" s="353">
        <f t="shared" si="1"/>
        <v>8.4699951920629442</v>
      </c>
      <c r="P6" s="365">
        <v>2</v>
      </c>
      <c r="Q6" s="365">
        <v>5</v>
      </c>
      <c r="R6" s="365"/>
      <c r="S6" s="365">
        <v>2</v>
      </c>
      <c r="T6" s="366">
        <v>6</v>
      </c>
      <c r="U6" s="366">
        <v>5</v>
      </c>
      <c r="V6" s="367">
        <v>6</v>
      </c>
      <c r="W6" s="368">
        <v>6</v>
      </c>
      <c r="X6" s="738"/>
      <c r="Y6" s="736"/>
      <c r="Z6" s="80"/>
    </row>
    <row r="7" spans="1:1013" x14ac:dyDescent="0.2">
      <c r="A7" s="359" t="s">
        <v>118</v>
      </c>
      <c r="B7" s="724">
        <f>'Resumo Proposta'!D42</f>
        <v>0</v>
      </c>
      <c r="C7" s="731">
        <v>825</v>
      </c>
      <c r="D7" s="732">
        <f>C7-E7-F7-G7-H7</f>
        <v>49.230769230769283</v>
      </c>
      <c r="E7" s="733">
        <f t="shared" si="0"/>
        <v>230.76923076923072</v>
      </c>
      <c r="F7" s="282">
        <v>0</v>
      </c>
      <c r="G7" s="282">
        <v>345</v>
      </c>
      <c r="H7" s="282">
        <v>200</v>
      </c>
      <c r="I7" s="282">
        <v>945</v>
      </c>
      <c r="J7" s="282"/>
      <c r="K7" s="282"/>
      <c r="L7" s="282">
        <v>0</v>
      </c>
      <c r="M7" s="282"/>
      <c r="N7" s="363">
        <v>176</v>
      </c>
      <c r="O7" s="353">
        <f t="shared" si="1"/>
        <v>1.6684897558581773</v>
      </c>
      <c r="P7" s="365">
        <v>1</v>
      </c>
      <c r="Q7" s="365"/>
      <c r="R7" s="365"/>
      <c r="S7" s="365">
        <v>1</v>
      </c>
      <c r="T7" s="354"/>
      <c r="U7" s="354"/>
      <c r="V7" s="367">
        <v>6</v>
      </c>
      <c r="W7" s="368">
        <v>6</v>
      </c>
      <c r="X7" s="738"/>
      <c r="Y7" s="736"/>
      <c r="Z7" s="80"/>
    </row>
    <row r="8" spans="1:1013" x14ac:dyDescent="0.2">
      <c r="A8" s="359" t="s">
        <v>119</v>
      </c>
      <c r="B8" s="724">
        <f>'Resumo Proposta'!D43</f>
        <v>0</v>
      </c>
      <c r="C8" s="731"/>
      <c r="D8" s="732"/>
      <c r="E8" s="733">
        <f t="shared" si="0"/>
        <v>1000</v>
      </c>
      <c r="F8" s="282"/>
      <c r="G8" s="282"/>
      <c r="H8" s="282"/>
      <c r="I8" s="282"/>
      <c r="J8" s="282"/>
      <c r="K8" s="282"/>
      <c r="L8" s="282"/>
      <c r="M8" s="282"/>
      <c r="N8" s="363"/>
      <c r="O8" s="353">
        <f t="shared" si="1"/>
        <v>1</v>
      </c>
      <c r="P8" s="365">
        <v>1</v>
      </c>
      <c r="Q8" s="365"/>
      <c r="R8" s="365"/>
      <c r="S8" s="365"/>
      <c r="T8" s="366">
        <v>1</v>
      </c>
      <c r="U8" s="366"/>
      <c r="V8" s="367">
        <v>6</v>
      </c>
      <c r="W8" s="368">
        <v>6</v>
      </c>
      <c r="X8" s="738"/>
      <c r="Y8" s="736"/>
      <c r="Z8" s="80"/>
    </row>
    <row r="9" spans="1:1013" x14ac:dyDescent="0.2">
      <c r="A9" s="373" t="s">
        <v>120</v>
      </c>
      <c r="B9" s="724">
        <f>'Resumo Proposta'!D44</f>
        <v>0</v>
      </c>
      <c r="C9" s="739">
        <v>3440</v>
      </c>
      <c r="D9" s="740">
        <f>C9-E9-F9-G9-H9</f>
        <v>2709.2307692307695</v>
      </c>
      <c r="E9" s="741">
        <f t="shared" si="0"/>
        <v>230.76923076923072</v>
      </c>
      <c r="F9" s="378"/>
      <c r="G9" s="378">
        <v>300</v>
      </c>
      <c r="H9" s="378">
        <v>200</v>
      </c>
      <c r="I9" s="378">
        <v>1570</v>
      </c>
      <c r="J9" s="378"/>
      <c r="K9" s="378"/>
      <c r="L9" s="378">
        <v>0</v>
      </c>
      <c r="M9" s="378"/>
      <c r="N9" s="379">
        <v>250</v>
      </c>
      <c r="O9" s="353">
        <f t="shared" si="1"/>
        <v>4.5464778567170914</v>
      </c>
      <c r="P9" s="365">
        <v>1</v>
      </c>
      <c r="Q9" s="365">
        <v>1</v>
      </c>
      <c r="R9" s="365"/>
      <c r="S9" s="365">
        <v>1</v>
      </c>
      <c r="T9" s="366"/>
      <c r="U9" s="366"/>
      <c r="V9" s="367">
        <v>6</v>
      </c>
      <c r="W9" s="368">
        <v>6</v>
      </c>
      <c r="X9" s="738"/>
      <c r="Y9" s="736"/>
      <c r="Z9" s="80"/>
    </row>
    <row r="10" spans="1:1013" x14ac:dyDescent="0.2">
      <c r="A10" s="380" t="s">
        <v>446</v>
      </c>
      <c r="B10" s="380"/>
      <c r="C10" s="380"/>
      <c r="D10" s="381">
        <f t="shared" ref="D10:Y10" si="2">SUM(D4:D9)</f>
        <v>23241.49923076923</v>
      </c>
      <c r="E10" s="381">
        <f t="shared" si="2"/>
        <v>-807.26923076923094</v>
      </c>
      <c r="F10" s="689">
        <f t="shared" si="2"/>
        <v>0</v>
      </c>
      <c r="G10" s="689">
        <f t="shared" si="2"/>
        <v>1680</v>
      </c>
      <c r="H10" s="689">
        <f t="shared" si="2"/>
        <v>1769.89</v>
      </c>
      <c r="I10" s="689">
        <f t="shared" si="2"/>
        <v>4789</v>
      </c>
      <c r="J10" s="689">
        <f t="shared" si="2"/>
        <v>0</v>
      </c>
      <c r="K10" s="689">
        <f t="shared" si="2"/>
        <v>0</v>
      </c>
      <c r="L10" s="689">
        <f t="shared" si="2"/>
        <v>3572.1</v>
      </c>
      <c r="M10" s="689">
        <f t="shared" si="2"/>
        <v>0</v>
      </c>
      <c r="N10" s="742">
        <f t="shared" si="2"/>
        <v>9344</v>
      </c>
      <c r="O10" s="382">
        <f t="shared" si="2"/>
        <v>34.219498224509856</v>
      </c>
      <c r="P10" s="384">
        <f t="shared" si="2"/>
        <v>11</v>
      </c>
      <c r="Q10" s="384">
        <f t="shared" si="2"/>
        <v>20</v>
      </c>
      <c r="R10" s="384">
        <f t="shared" si="2"/>
        <v>0</v>
      </c>
      <c r="S10" s="384">
        <f t="shared" si="2"/>
        <v>4</v>
      </c>
      <c r="T10" s="385">
        <f t="shared" si="2"/>
        <v>7</v>
      </c>
      <c r="U10" s="386">
        <f t="shared" si="2"/>
        <v>5</v>
      </c>
      <c r="V10" s="387">
        <f t="shared" si="2"/>
        <v>36</v>
      </c>
      <c r="W10" s="388">
        <f t="shared" si="2"/>
        <v>36</v>
      </c>
      <c r="X10" s="743">
        <f t="shared" si="2"/>
        <v>22</v>
      </c>
      <c r="Y10" s="744">
        <f t="shared" si="2"/>
        <v>1</v>
      </c>
      <c r="ALV10" s="270"/>
      <c r="ALW10" s="270"/>
      <c r="ALX10" s="270"/>
      <c r="ALY10" s="270"/>
    </row>
    <row r="11" spans="1:1013" ht="15" x14ac:dyDescent="0.25">
      <c r="A11" s="391" t="s">
        <v>447</v>
      </c>
      <c r="B11" s="391"/>
      <c r="C11" s="391"/>
      <c r="D11" s="392">
        <v>1000</v>
      </c>
      <c r="E11" s="392">
        <v>1000</v>
      </c>
      <c r="F11" s="393">
        <v>2500</v>
      </c>
      <c r="G11" s="393">
        <v>1500</v>
      </c>
      <c r="H11" s="393">
        <v>260</v>
      </c>
      <c r="I11" s="393">
        <v>2700</v>
      </c>
      <c r="J11" s="393">
        <v>100000</v>
      </c>
      <c r="K11" s="393">
        <v>7500</v>
      </c>
      <c r="L11" s="393">
        <v>160</v>
      </c>
      <c r="M11" s="393">
        <v>380</v>
      </c>
      <c r="N11" s="394">
        <v>380</v>
      </c>
      <c r="O11" s="395"/>
      <c r="P11" s="396" t="s">
        <v>448</v>
      </c>
      <c r="Q11" s="397">
        <f>P10+Q10+R10+S10</f>
        <v>35</v>
      </c>
      <c r="R11" s="398"/>
      <c r="S11" s="398"/>
      <c r="T11" s="396" t="s">
        <v>448</v>
      </c>
      <c r="U11" s="399">
        <f>T10+U10</f>
        <v>12</v>
      </c>
      <c r="V11" s="400"/>
      <c r="W11" s="400"/>
      <c r="X11" s="400"/>
      <c r="Y11" s="314"/>
      <c r="Z11" s="315"/>
      <c r="ALY11" s="315"/>
    </row>
    <row r="12" spans="1:1013" ht="15" x14ac:dyDescent="0.25">
      <c r="A12" s="401" t="s">
        <v>449</v>
      </c>
      <c r="B12" s="401"/>
      <c r="C12" s="401"/>
      <c r="D12" s="402">
        <f t="shared" ref="D12:K12" si="3">D10/D11</f>
        <v>23.241499230769229</v>
      </c>
      <c r="E12" s="402">
        <f t="shared" si="3"/>
        <v>-0.80726923076923096</v>
      </c>
      <c r="F12" s="403">
        <f t="shared" si="3"/>
        <v>0</v>
      </c>
      <c r="G12" s="403">
        <f t="shared" si="3"/>
        <v>1.1200000000000001</v>
      </c>
      <c r="H12" s="403">
        <f t="shared" si="3"/>
        <v>6.8072692307692311</v>
      </c>
      <c r="I12" s="403">
        <f t="shared" si="3"/>
        <v>1.7737037037037038</v>
      </c>
      <c r="J12" s="403">
        <f t="shared" si="3"/>
        <v>0</v>
      </c>
      <c r="K12" s="403">
        <f t="shared" si="3"/>
        <v>0</v>
      </c>
      <c r="L12" s="403">
        <f>1/L11*8*1/1132.6*L10</f>
        <v>0.15769468479604451</v>
      </c>
      <c r="M12" s="403">
        <f>1/M11*16*1/188.76*M10</f>
        <v>0</v>
      </c>
      <c r="N12" s="404">
        <f>1/N11*16*1/188.76*N10</f>
        <v>2.0842952900369172</v>
      </c>
      <c r="O12" s="405">
        <f>SUM(D12:N12)-L12</f>
        <v>34.219498224509856</v>
      </c>
      <c r="P12" s="396" t="s">
        <v>450</v>
      </c>
      <c r="Q12" s="399">
        <f>P10+Q10+((R10+S10)*0.75)</f>
        <v>34</v>
      </c>
      <c r="R12" s="314"/>
      <c r="S12" s="314"/>
      <c r="T12" s="406"/>
      <c r="U12" s="314"/>
      <c r="V12" s="314"/>
      <c r="W12" s="314"/>
      <c r="X12" s="314"/>
      <c r="Y12" s="314"/>
      <c r="Z12" s="315"/>
      <c r="ALY12" s="315"/>
    </row>
    <row r="13" spans="1:1013" ht="15" x14ac:dyDescent="0.25">
      <c r="A13" s="407" t="s">
        <v>451</v>
      </c>
      <c r="B13" s="407"/>
      <c r="C13" s="407"/>
      <c r="D13" s="408">
        <f t="shared" ref="D13:K13" si="4">D10/($O12*D11)</f>
        <v>0.67918877939952982</v>
      </c>
      <c r="E13" s="693">
        <f t="shared" si="4"/>
        <v>-2.3590913737917437E-2</v>
      </c>
      <c r="F13" s="694">
        <f t="shared" si="4"/>
        <v>0</v>
      </c>
      <c r="G13" s="694">
        <f t="shared" si="4"/>
        <v>3.2729877938356078E-2</v>
      </c>
      <c r="H13" s="694">
        <f t="shared" si="4"/>
        <v>0.19892954555053927</v>
      </c>
      <c r="I13" s="694">
        <f t="shared" si="4"/>
        <v>5.1833130108064562E-2</v>
      </c>
      <c r="J13" s="694">
        <f t="shared" si="4"/>
        <v>0</v>
      </c>
      <c r="K13" s="694">
        <f t="shared" si="4"/>
        <v>0</v>
      </c>
      <c r="L13" s="694">
        <f>1/$O12*1/L11*16*1/188.76*L10</f>
        <v>5.5301893647830259E-2</v>
      </c>
      <c r="M13" s="694">
        <f>1/$O12*1/M11*16*1/188.76*M10</f>
        <v>0</v>
      </c>
      <c r="N13" s="695">
        <f>1/$O12*1/N11*16*1/188.76*N10</f>
        <v>6.0909580741427466E-2</v>
      </c>
      <c r="O13" s="410">
        <f>SUM(D13:N13)</f>
        <v>1.05530189364783</v>
      </c>
      <c r="P13" s="314"/>
      <c r="Q13" s="314"/>
      <c r="R13" s="314"/>
      <c r="S13" s="314"/>
      <c r="T13" s="314"/>
      <c r="U13" s="314"/>
      <c r="V13" s="314"/>
      <c r="W13" s="314"/>
      <c r="X13" s="314"/>
      <c r="Y13" s="315"/>
      <c r="Z13" s="315"/>
      <c r="ALY13" s="315"/>
    </row>
    <row r="14" spans="1:1013" ht="15" hidden="1" x14ac:dyDescent="0.25">
      <c r="A14" s="411" t="s">
        <v>452</v>
      </c>
      <c r="B14" s="411"/>
      <c r="C14" s="411"/>
      <c r="D14" s="412">
        <f>ROUND(1/D11,9)</f>
        <v>1E-3</v>
      </c>
      <c r="E14" s="412"/>
      <c r="F14" s="413">
        <f t="shared" ref="F14:K14" si="5">ROUND(1/F11,9)</f>
        <v>4.0000000000000002E-4</v>
      </c>
      <c r="G14" s="413">
        <f t="shared" si="5"/>
        <v>6.6666700000000002E-4</v>
      </c>
      <c r="H14" s="413">
        <f t="shared" si="5"/>
        <v>3.8461540000000001E-3</v>
      </c>
      <c r="I14" s="413">
        <f t="shared" si="5"/>
        <v>3.7037000000000002E-4</v>
      </c>
      <c r="J14" s="413">
        <f t="shared" si="5"/>
        <v>1.0000000000000001E-5</v>
      </c>
      <c r="K14" s="413">
        <f t="shared" si="5"/>
        <v>1.3333299999999999E-4</v>
      </c>
      <c r="L14" s="414">
        <f>(1/L11)*(1/N19)*8</f>
        <v>4.8611111111111115E-5</v>
      </c>
      <c r="M14" s="414">
        <f>(1/M11)*(1/N18)*16</f>
        <v>2.4561403508771931E-4</v>
      </c>
      <c r="N14" s="415">
        <f>(1/N11)*(1/N18)*16</f>
        <v>2.4561403508771931E-4</v>
      </c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LY14" s="315"/>
    </row>
    <row r="15" spans="1:1013" ht="15" hidden="1" x14ac:dyDescent="0.25">
      <c r="A15" s="416" t="s">
        <v>453</v>
      </c>
      <c r="B15" s="416"/>
      <c r="C15" s="416"/>
      <c r="D15" s="417">
        <f>D14/$Y$10</f>
        <v>1E-3</v>
      </c>
      <c r="E15" s="417"/>
      <c r="F15" s="418">
        <f t="shared" ref="F15:N15" si="6">F14/$Y$10</f>
        <v>4.0000000000000002E-4</v>
      </c>
      <c r="G15" s="418">
        <f t="shared" si="6"/>
        <v>6.6666700000000002E-4</v>
      </c>
      <c r="H15" s="418">
        <f t="shared" si="6"/>
        <v>3.8461540000000001E-3</v>
      </c>
      <c r="I15" s="418">
        <f t="shared" si="6"/>
        <v>3.7037000000000002E-4</v>
      </c>
      <c r="J15" s="418">
        <f t="shared" si="6"/>
        <v>1.0000000000000001E-5</v>
      </c>
      <c r="K15" s="418">
        <f t="shared" si="6"/>
        <v>1.3333299999999999E-4</v>
      </c>
      <c r="L15" s="419">
        <f t="shared" si="6"/>
        <v>4.8611111111111115E-5</v>
      </c>
      <c r="M15" s="419">
        <f t="shared" si="6"/>
        <v>2.4561403508771931E-4</v>
      </c>
      <c r="N15" s="420">
        <f t="shared" si="6"/>
        <v>2.4561403508771931E-4</v>
      </c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LY15" s="315"/>
    </row>
    <row r="16" spans="1:1013" ht="15" x14ac:dyDescent="0.25">
      <c r="A16" s="421" t="s">
        <v>454</v>
      </c>
      <c r="B16" s="421"/>
      <c r="C16" s="421"/>
      <c r="D16" s="422" t="s">
        <v>455</v>
      </c>
      <c r="E16" s="422" t="s">
        <v>455</v>
      </c>
      <c r="F16" s="423" t="s">
        <v>456</v>
      </c>
      <c r="G16" s="423" t="s">
        <v>457</v>
      </c>
      <c r="H16" s="423" t="s">
        <v>458</v>
      </c>
      <c r="I16" s="424" t="s">
        <v>459</v>
      </c>
      <c r="J16" s="424" t="s">
        <v>459</v>
      </c>
      <c r="K16" s="424" t="s">
        <v>460</v>
      </c>
      <c r="L16" s="425" t="s">
        <v>461</v>
      </c>
      <c r="M16" s="425" t="s">
        <v>462</v>
      </c>
      <c r="N16" s="426" t="s">
        <v>462</v>
      </c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LY16" s="315"/>
    </row>
    <row r="17" spans="1:1013" ht="15" hidden="1" x14ac:dyDescent="0.25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ALV17" s="270"/>
      <c r="ALW17" s="270"/>
      <c r="ALX17" s="270"/>
      <c r="ALY17" s="270"/>
    </row>
    <row r="18" spans="1:1013" ht="15" hidden="1" x14ac:dyDescent="0.25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427">
        <f>30/7</f>
        <v>4.2857142857142856</v>
      </c>
      <c r="M18" s="427">
        <v>40</v>
      </c>
      <c r="N18" s="427">
        <f>L18*M18</f>
        <v>171.42857142857142</v>
      </c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ALV18" s="270"/>
      <c r="ALW18" s="270"/>
      <c r="ALX18" s="270"/>
      <c r="ALY18" s="270"/>
    </row>
    <row r="19" spans="1:1013" ht="15" hidden="1" x14ac:dyDescent="0.25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427"/>
      <c r="M19" s="427"/>
      <c r="N19" s="427">
        <f>N18*6</f>
        <v>1028.5714285714284</v>
      </c>
      <c r="O19" s="427" t="s">
        <v>463</v>
      </c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ALV19" s="270"/>
      <c r="ALW19" s="270"/>
      <c r="ALX19" s="270"/>
      <c r="ALY19" s="270"/>
    </row>
    <row r="170" spans="4:4" x14ac:dyDescent="0.2">
      <c r="D170">
        <f>(1/'Prod. GEXCAN'!L18)*(1/('Prod. GEXCAN'!L19))*8</f>
        <v>12.357074277734135</v>
      </c>
    </row>
  </sheetData>
  <mergeCells count="21">
    <mergeCell ref="M2:M3"/>
    <mergeCell ref="N2:N3"/>
    <mergeCell ref="O2:O3"/>
    <mergeCell ref="P2:S2"/>
    <mergeCell ref="T2:U2"/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7EE"/>
  </sheetPr>
  <dimension ref="A1:AMK198"/>
  <sheetViews>
    <sheetView zoomScale="75" zoomScaleNormal="75" workbookViewId="0">
      <pane ySplit="10" topLeftCell="A11" activePane="bottomLeft" state="frozen"/>
      <selection pane="bottomLeft" activeCell="M145" sqref="M145"/>
    </sheetView>
  </sheetViews>
  <sheetFormatPr defaultRowHeight="14.25" x14ac:dyDescent="0.2"/>
  <cols>
    <col min="1" max="1" width="58.125" style="427" customWidth="1"/>
    <col min="2" max="2" width="16.25" style="427" customWidth="1"/>
    <col min="3" max="12" width="14" style="427" customWidth="1"/>
    <col min="13" max="13" width="15.125" style="427" customWidth="1"/>
    <col min="14" max="14" width="10.5" style="427" customWidth="1"/>
    <col min="15" max="15" width="14.25" style="427" customWidth="1"/>
    <col min="16" max="1025" width="10.5" style="427" customWidth="1"/>
  </cols>
  <sheetData>
    <row r="1" spans="1:9" ht="15.75" x14ac:dyDescent="0.2">
      <c r="A1" s="849" t="s">
        <v>464</v>
      </c>
      <c r="B1" s="849"/>
      <c r="C1" s="849"/>
      <c r="D1" s="849"/>
      <c r="E1" s="849"/>
      <c r="F1" s="849"/>
      <c r="G1" s="849"/>
      <c r="H1" s="849"/>
      <c r="I1" s="849"/>
    </row>
    <row r="2" spans="1:9" ht="15.75" x14ac:dyDescent="0.2">
      <c r="A2" s="850" t="s">
        <v>465</v>
      </c>
      <c r="B2" s="850"/>
      <c r="C2" s="850"/>
      <c r="D2" s="850"/>
      <c r="E2" s="850"/>
      <c r="F2" s="850"/>
      <c r="G2" s="850"/>
      <c r="H2" s="850"/>
      <c r="I2" s="850"/>
    </row>
    <row r="3" spans="1:9" ht="15.75" customHeight="1" x14ac:dyDescent="0.2">
      <c r="A3" s="850" t="s">
        <v>466</v>
      </c>
      <c r="B3" s="850"/>
      <c r="C3" s="850"/>
      <c r="D3" s="850"/>
      <c r="E3" s="850"/>
      <c r="F3" s="850"/>
      <c r="G3" s="850"/>
      <c r="H3" s="850"/>
      <c r="I3" s="850"/>
    </row>
    <row r="4" spans="1:9" ht="24" x14ac:dyDescent="0.2">
      <c r="A4" s="428"/>
      <c r="B4" s="429"/>
      <c r="C4" s="851" t="s">
        <v>467</v>
      </c>
      <c r="D4" s="851"/>
      <c r="E4" s="852" t="s">
        <v>468</v>
      </c>
      <c r="F4" s="852"/>
      <c r="G4" s="431" t="s">
        <v>469</v>
      </c>
      <c r="H4" s="432" t="s">
        <v>470</v>
      </c>
      <c r="I4" s="433" t="s">
        <v>471</v>
      </c>
    </row>
    <row r="5" spans="1:9" x14ac:dyDescent="0.2">
      <c r="A5" s="434"/>
      <c r="B5" s="435" t="s">
        <v>472</v>
      </c>
      <c r="C5" s="853">
        <f>MC!$D11</f>
        <v>0</v>
      </c>
      <c r="D5" s="853"/>
      <c r="E5" s="878">
        <f>MC!$E11</f>
        <v>0</v>
      </c>
      <c r="F5" s="878"/>
      <c r="G5" s="696">
        <f>MC!$F11</f>
        <v>0</v>
      </c>
      <c r="H5" s="696">
        <f>MC!$C13</f>
        <v>0</v>
      </c>
      <c r="I5" s="697">
        <f>MC!$D12</f>
        <v>0</v>
      </c>
    </row>
    <row r="6" spans="1:9" x14ac:dyDescent="0.2">
      <c r="A6" s="434"/>
      <c r="B6" s="435" t="s">
        <v>473</v>
      </c>
      <c r="C6" s="854">
        <f>MC!$E8</f>
        <v>44562</v>
      </c>
      <c r="D6" s="854"/>
      <c r="E6" s="879">
        <f>MC!$E8</f>
        <v>44562</v>
      </c>
      <c r="F6" s="879"/>
      <c r="G6" s="698">
        <f>MC!$E8</f>
        <v>44562</v>
      </c>
      <c r="H6" s="698">
        <f>MC!$E8</f>
        <v>44562</v>
      </c>
      <c r="I6" s="699">
        <f>MC!$E8</f>
        <v>44562</v>
      </c>
    </row>
    <row r="7" spans="1:9" x14ac:dyDescent="0.2">
      <c r="A7" s="434"/>
      <c r="B7" s="435" t="s">
        <v>474</v>
      </c>
      <c r="C7" s="854" t="str">
        <f>MC!$C8</f>
        <v>RS005021/2021</v>
      </c>
      <c r="D7" s="854"/>
      <c r="E7" s="879" t="str">
        <f>MC!$C8</f>
        <v>RS005021/2021</v>
      </c>
      <c r="F7" s="879"/>
      <c r="G7" s="698" t="str">
        <f>MC!$C8</f>
        <v>RS005021/2021</v>
      </c>
      <c r="H7" s="698" t="str">
        <f>MC!$C8</f>
        <v>RS005021/2021</v>
      </c>
      <c r="I7" s="699" t="str">
        <f>MC!$C8</f>
        <v>RS005021/2021</v>
      </c>
    </row>
    <row r="8" spans="1:9" x14ac:dyDescent="0.2">
      <c r="A8" s="434"/>
      <c r="B8" s="435" t="s">
        <v>475</v>
      </c>
      <c r="C8" s="855" t="str">
        <f>MC!$F8</f>
        <v>5143-20</v>
      </c>
      <c r="D8" s="855"/>
      <c r="E8" s="880" t="str">
        <f>MC!$F8</f>
        <v>5143-20</v>
      </c>
      <c r="F8" s="880"/>
      <c r="G8" s="700" t="str">
        <f>MC!$F8</f>
        <v>5143-20</v>
      </c>
      <c r="H8" s="700" t="str">
        <f>MC!$F8</f>
        <v>5143-20</v>
      </c>
      <c r="I8" s="701" t="str">
        <f>MC!$F8</f>
        <v>5143-20</v>
      </c>
    </row>
    <row r="9" spans="1:9" x14ac:dyDescent="0.2">
      <c r="A9" s="857"/>
      <c r="B9" s="857"/>
      <c r="C9" s="857"/>
      <c r="D9" s="857"/>
      <c r="E9" s="857"/>
      <c r="F9" s="857"/>
      <c r="G9" s="857"/>
      <c r="H9" s="857"/>
      <c r="I9" s="857"/>
    </row>
    <row r="10" spans="1:9" ht="56.1" customHeight="1" x14ac:dyDescent="0.2">
      <c r="A10" s="445" t="s">
        <v>476</v>
      </c>
      <c r="B10" s="446" t="s">
        <v>477</v>
      </c>
      <c r="C10" s="447" t="s">
        <v>478</v>
      </c>
      <c r="D10" s="448" t="s">
        <v>479</v>
      </c>
      <c r="E10" s="448" t="s">
        <v>480</v>
      </c>
      <c r="F10" s="448" t="s">
        <v>481</v>
      </c>
      <c r="G10" s="448" t="s">
        <v>482</v>
      </c>
      <c r="H10" s="448" t="s">
        <v>483</v>
      </c>
      <c r="I10" s="449" t="s">
        <v>484</v>
      </c>
    </row>
    <row r="11" spans="1:9" ht="14.25" customHeight="1" x14ac:dyDescent="0.2">
      <c r="A11" s="858" t="s">
        <v>485</v>
      </c>
      <c r="B11" s="858"/>
      <c r="C11" s="858"/>
      <c r="D11" s="858"/>
      <c r="E11" s="858"/>
      <c r="F11" s="858"/>
      <c r="G11" s="858"/>
      <c r="H11" s="858"/>
      <c r="I11" s="858"/>
    </row>
    <row r="12" spans="1:9" ht="15.75" customHeight="1" x14ac:dyDescent="0.2">
      <c r="A12" s="450" t="s">
        <v>486</v>
      </c>
      <c r="B12" s="451" t="s">
        <v>487</v>
      </c>
      <c r="C12" s="451" t="s">
        <v>488</v>
      </c>
      <c r="D12" s="451" t="s">
        <v>488</v>
      </c>
      <c r="E12" s="451" t="s">
        <v>488</v>
      </c>
      <c r="F12" s="451" t="s">
        <v>488</v>
      </c>
      <c r="G12" s="451" t="s">
        <v>488</v>
      </c>
      <c r="H12" s="451" t="s">
        <v>488</v>
      </c>
      <c r="I12" s="452" t="s">
        <v>488</v>
      </c>
    </row>
    <row r="13" spans="1:9" ht="15.75" customHeight="1" x14ac:dyDescent="0.2">
      <c r="A13" s="453" t="s">
        <v>489</v>
      </c>
      <c r="B13" s="454"/>
      <c r="C13" s="455">
        <f>C5</f>
        <v>0</v>
      </c>
      <c r="D13" s="455">
        <f>C5</f>
        <v>0</v>
      </c>
      <c r="E13" s="456">
        <f>E5</f>
        <v>0</v>
      </c>
      <c r="F13" s="456">
        <f>E5</f>
        <v>0</v>
      </c>
      <c r="G13" s="456">
        <f>G5</f>
        <v>0</v>
      </c>
      <c r="H13" s="456">
        <f>H5</f>
        <v>0</v>
      </c>
      <c r="I13" s="457">
        <f>I5</f>
        <v>0</v>
      </c>
    </row>
    <row r="14" spans="1:9" ht="15.75" customHeight="1" x14ac:dyDescent="0.2">
      <c r="A14" s="453" t="s">
        <v>490</v>
      </c>
      <c r="B14" s="458" t="s">
        <v>491</v>
      </c>
      <c r="C14" s="455">
        <f>C5*0.4</f>
        <v>0</v>
      </c>
      <c r="D14" s="455">
        <f>C5*0.2</f>
        <v>0</v>
      </c>
      <c r="E14" s="455">
        <f>E5*0.4</f>
        <v>0</v>
      </c>
      <c r="F14" s="455">
        <f>E5*0.2</f>
        <v>0</v>
      </c>
      <c r="G14" s="455">
        <f>G5*0.2</f>
        <v>0</v>
      </c>
      <c r="H14" s="459" t="s">
        <v>112</v>
      </c>
      <c r="I14" s="460" t="s">
        <v>112</v>
      </c>
    </row>
    <row r="15" spans="1:9" ht="15.75" customHeight="1" x14ac:dyDescent="0.2">
      <c r="A15" s="453" t="s">
        <v>492</v>
      </c>
      <c r="B15" s="461"/>
      <c r="C15" s="459" t="s">
        <v>112</v>
      </c>
      <c r="D15" s="459" t="s">
        <v>112</v>
      </c>
      <c r="E15" s="462" t="s">
        <v>112</v>
      </c>
      <c r="F15" s="462" t="s">
        <v>112</v>
      </c>
      <c r="G15" s="462" t="s">
        <v>112</v>
      </c>
      <c r="H15" s="462" t="s">
        <v>112</v>
      </c>
      <c r="I15" s="460" t="s">
        <v>112</v>
      </c>
    </row>
    <row r="16" spans="1:9" ht="15.75" customHeight="1" x14ac:dyDescent="0.2">
      <c r="A16" s="453" t="s">
        <v>493</v>
      </c>
      <c r="B16" s="461"/>
      <c r="C16" s="459" t="s">
        <v>112</v>
      </c>
      <c r="D16" s="459" t="s">
        <v>112</v>
      </c>
      <c r="E16" s="462" t="s">
        <v>112</v>
      </c>
      <c r="F16" s="462" t="s">
        <v>112</v>
      </c>
      <c r="G16" s="462" t="s">
        <v>112</v>
      </c>
      <c r="H16" s="462" t="s">
        <v>112</v>
      </c>
      <c r="I16" s="460" t="s">
        <v>112</v>
      </c>
    </row>
    <row r="17" spans="1:9" ht="15.75" customHeight="1" x14ac:dyDescent="0.2">
      <c r="A17" s="453" t="s">
        <v>494</v>
      </c>
      <c r="B17" s="461"/>
      <c r="C17" s="459" t="s">
        <v>112</v>
      </c>
      <c r="D17" s="459" t="s">
        <v>112</v>
      </c>
      <c r="E17" s="462" t="s">
        <v>112</v>
      </c>
      <c r="F17" s="462" t="s">
        <v>112</v>
      </c>
      <c r="G17" s="462" t="s">
        <v>112</v>
      </c>
      <c r="H17" s="462" t="s">
        <v>112</v>
      </c>
      <c r="I17" s="460" t="s">
        <v>112</v>
      </c>
    </row>
    <row r="18" spans="1:9" ht="15.75" customHeight="1" x14ac:dyDescent="0.2">
      <c r="A18" s="453" t="s">
        <v>495</v>
      </c>
      <c r="B18" s="463"/>
      <c r="C18" s="459" t="s">
        <v>112</v>
      </c>
      <c r="D18" s="459" t="s">
        <v>112</v>
      </c>
      <c r="E18" s="459" t="s">
        <v>112</v>
      </c>
      <c r="F18" s="459" t="s">
        <v>112</v>
      </c>
      <c r="G18" s="459" t="s">
        <v>112</v>
      </c>
      <c r="H18" s="462" t="s">
        <v>112</v>
      </c>
      <c r="I18" s="460" t="s">
        <v>112</v>
      </c>
    </row>
    <row r="19" spans="1:9" ht="15.75" customHeight="1" x14ac:dyDescent="0.2">
      <c r="A19" s="464" t="s">
        <v>496</v>
      </c>
      <c r="B19" s="465"/>
      <c r="C19" s="466">
        <f t="shared" ref="C19:I19" si="0">SUM(C13:C18)</f>
        <v>0</v>
      </c>
      <c r="D19" s="467">
        <f t="shared" si="0"/>
        <v>0</v>
      </c>
      <c r="E19" s="467">
        <f t="shared" si="0"/>
        <v>0</v>
      </c>
      <c r="F19" s="467">
        <f t="shared" si="0"/>
        <v>0</v>
      </c>
      <c r="G19" s="467">
        <f t="shared" si="0"/>
        <v>0</v>
      </c>
      <c r="H19" s="467">
        <f t="shared" si="0"/>
        <v>0</v>
      </c>
      <c r="I19" s="468">
        <f t="shared" si="0"/>
        <v>0</v>
      </c>
    </row>
    <row r="20" spans="1:9" ht="15.75" customHeight="1" x14ac:dyDescent="0.2">
      <c r="A20" s="859"/>
      <c r="B20" s="859"/>
      <c r="C20" s="470"/>
      <c r="D20" s="470"/>
      <c r="E20" s="471"/>
      <c r="F20" s="471"/>
      <c r="G20" s="471"/>
      <c r="H20" s="471"/>
      <c r="I20" s="472"/>
    </row>
    <row r="21" spans="1:9" ht="14.25" customHeight="1" x14ac:dyDescent="0.2">
      <c r="A21" s="858" t="s">
        <v>497</v>
      </c>
      <c r="B21" s="858"/>
      <c r="C21" s="858"/>
      <c r="D21" s="858"/>
      <c r="E21" s="858"/>
      <c r="F21" s="858"/>
      <c r="G21" s="858"/>
      <c r="H21" s="858"/>
      <c r="I21" s="858"/>
    </row>
    <row r="22" spans="1:9" ht="28.35" customHeight="1" x14ac:dyDescent="0.2">
      <c r="A22" s="473" t="s">
        <v>498</v>
      </c>
      <c r="B22" s="474" t="s">
        <v>487</v>
      </c>
      <c r="C22" s="474" t="s">
        <v>488</v>
      </c>
      <c r="D22" s="474" t="s">
        <v>488</v>
      </c>
      <c r="E22" s="474" t="s">
        <v>488</v>
      </c>
      <c r="F22" s="474" t="s">
        <v>488</v>
      </c>
      <c r="G22" s="474" t="s">
        <v>488</v>
      </c>
      <c r="H22" s="474" t="s">
        <v>488</v>
      </c>
      <c r="I22" s="475" t="s">
        <v>488</v>
      </c>
    </row>
    <row r="23" spans="1:9" ht="15.75" customHeight="1" x14ac:dyDescent="0.2">
      <c r="A23" s="476" t="s">
        <v>499</v>
      </c>
      <c r="B23" s="477">
        <f>1/12</f>
        <v>8.3333333333333329E-2</v>
      </c>
      <c r="C23" s="455">
        <f t="shared" ref="C23:I23" si="1">ROUND($B23*C$19,2)</f>
        <v>0</v>
      </c>
      <c r="D23" s="455">
        <f t="shared" si="1"/>
        <v>0</v>
      </c>
      <c r="E23" s="455">
        <f t="shared" si="1"/>
        <v>0</v>
      </c>
      <c r="F23" s="455">
        <f t="shared" si="1"/>
        <v>0</v>
      </c>
      <c r="G23" s="455">
        <f t="shared" si="1"/>
        <v>0</v>
      </c>
      <c r="H23" s="455">
        <f t="shared" si="1"/>
        <v>0</v>
      </c>
      <c r="I23" s="457">
        <f t="shared" si="1"/>
        <v>0</v>
      </c>
    </row>
    <row r="24" spans="1:9" x14ac:dyDescent="0.2">
      <c r="A24" s="476" t="s">
        <v>500</v>
      </c>
      <c r="B24" s="477">
        <f>1/3*1/12</f>
        <v>2.7777777777777776E-2</v>
      </c>
      <c r="C24" s="455">
        <f t="shared" ref="C24:I24" si="2">C$19*$B$24</f>
        <v>0</v>
      </c>
      <c r="D24" s="455">
        <f t="shared" si="2"/>
        <v>0</v>
      </c>
      <c r="E24" s="455">
        <f t="shared" si="2"/>
        <v>0</v>
      </c>
      <c r="F24" s="455">
        <f t="shared" si="2"/>
        <v>0</v>
      </c>
      <c r="G24" s="455">
        <f t="shared" si="2"/>
        <v>0</v>
      </c>
      <c r="H24" s="455">
        <f t="shared" si="2"/>
        <v>0</v>
      </c>
      <c r="I24" s="457">
        <f t="shared" si="2"/>
        <v>0</v>
      </c>
    </row>
    <row r="25" spans="1:9" ht="14.25" customHeight="1" x14ac:dyDescent="0.2">
      <c r="A25" s="464" t="s">
        <v>496</v>
      </c>
      <c r="B25" s="478">
        <f t="shared" ref="B25:I25" si="3">SUM(B23:B24)</f>
        <v>0.1111111111111111</v>
      </c>
      <c r="C25" s="479">
        <f t="shared" si="3"/>
        <v>0</v>
      </c>
      <c r="D25" s="479">
        <f t="shared" si="3"/>
        <v>0</v>
      </c>
      <c r="E25" s="479">
        <f t="shared" si="3"/>
        <v>0</v>
      </c>
      <c r="F25" s="479">
        <f t="shared" si="3"/>
        <v>0</v>
      </c>
      <c r="G25" s="479">
        <f t="shared" si="3"/>
        <v>0</v>
      </c>
      <c r="H25" s="479">
        <f t="shared" si="3"/>
        <v>0</v>
      </c>
      <c r="I25" s="480">
        <f t="shared" si="3"/>
        <v>0</v>
      </c>
    </row>
    <row r="26" spans="1:9" x14ac:dyDescent="0.2">
      <c r="A26" s="473" t="s">
        <v>501</v>
      </c>
      <c r="B26" s="474" t="s">
        <v>487</v>
      </c>
      <c r="C26" s="474" t="s">
        <v>488</v>
      </c>
      <c r="D26" s="474" t="s">
        <v>488</v>
      </c>
      <c r="E26" s="474" t="s">
        <v>488</v>
      </c>
      <c r="F26" s="474" t="s">
        <v>488</v>
      </c>
      <c r="G26" s="474" t="s">
        <v>488</v>
      </c>
      <c r="H26" s="474" t="s">
        <v>488</v>
      </c>
      <c r="I26" s="475" t="s">
        <v>488</v>
      </c>
    </row>
    <row r="27" spans="1:9" ht="15.75" customHeight="1" x14ac:dyDescent="0.2">
      <c r="A27" s="473" t="s">
        <v>502</v>
      </c>
      <c r="B27" s="481"/>
      <c r="C27" s="481"/>
      <c r="D27" s="481"/>
      <c r="E27" s="481"/>
      <c r="F27" s="481"/>
      <c r="G27" s="481"/>
      <c r="H27" s="482"/>
      <c r="I27" s="483"/>
    </row>
    <row r="28" spans="1:9" ht="14.25" customHeight="1" x14ac:dyDescent="0.2">
      <c r="A28" s="476" t="s">
        <v>503</v>
      </c>
      <c r="B28" s="477">
        <v>0.2</v>
      </c>
      <c r="C28" s="484">
        <f>ROUND(($C$19+$C$25)*B28,2)</f>
        <v>0</v>
      </c>
      <c r="D28" s="484">
        <f t="shared" ref="D28:I35" si="4">ROUND((D$19+D$25)*$B28,2)</f>
        <v>0</v>
      </c>
      <c r="E28" s="484">
        <f t="shared" si="4"/>
        <v>0</v>
      </c>
      <c r="F28" s="484">
        <f t="shared" si="4"/>
        <v>0</v>
      </c>
      <c r="G28" s="484">
        <f t="shared" si="4"/>
        <v>0</v>
      </c>
      <c r="H28" s="484">
        <f t="shared" si="4"/>
        <v>0</v>
      </c>
      <c r="I28" s="485">
        <f t="shared" si="4"/>
        <v>0</v>
      </c>
    </row>
    <row r="29" spans="1:9" ht="15.75" customHeight="1" x14ac:dyDescent="0.2">
      <c r="A29" s="476" t="s">
        <v>504</v>
      </c>
      <c r="B29" s="477">
        <v>2.5000000000000001E-2</v>
      </c>
      <c r="C29" s="484">
        <f t="shared" ref="C29:C35" si="5">ROUND((C$19+C$25)*$B29,2)</f>
        <v>0</v>
      </c>
      <c r="D29" s="484">
        <f t="shared" si="4"/>
        <v>0</v>
      </c>
      <c r="E29" s="484">
        <f t="shared" si="4"/>
        <v>0</v>
      </c>
      <c r="F29" s="484">
        <f t="shared" si="4"/>
        <v>0</v>
      </c>
      <c r="G29" s="484">
        <f t="shared" si="4"/>
        <v>0</v>
      </c>
      <c r="H29" s="484">
        <f t="shared" si="4"/>
        <v>0</v>
      </c>
      <c r="I29" s="485">
        <f t="shared" si="4"/>
        <v>0</v>
      </c>
    </row>
    <row r="30" spans="1:9" ht="15.75" customHeight="1" x14ac:dyDescent="0.2">
      <c r="A30" s="476" t="s">
        <v>505</v>
      </c>
      <c r="B30" s="477">
        <v>0.03</v>
      </c>
      <c r="C30" s="484">
        <f t="shared" si="5"/>
        <v>0</v>
      </c>
      <c r="D30" s="484">
        <f t="shared" si="4"/>
        <v>0</v>
      </c>
      <c r="E30" s="484">
        <f t="shared" si="4"/>
        <v>0</v>
      </c>
      <c r="F30" s="484">
        <f t="shared" si="4"/>
        <v>0</v>
      </c>
      <c r="G30" s="484">
        <f t="shared" si="4"/>
        <v>0</v>
      </c>
      <c r="H30" s="484">
        <f t="shared" si="4"/>
        <v>0</v>
      </c>
      <c r="I30" s="485">
        <f t="shared" si="4"/>
        <v>0</v>
      </c>
    </row>
    <row r="31" spans="1:9" ht="15.75" customHeight="1" x14ac:dyDescent="0.2">
      <c r="A31" s="476" t="s">
        <v>506</v>
      </c>
      <c r="B31" s="477">
        <v>1.4999999999999999E-2</v>
      </c>
      <c r="C31" s="484">
        <f t="shared" si="5"/>
        <v>0</v>
      </c>
      <c r="D31" s="484">
        <f t="shared" si="4"/>
        <v>0</v>
      </c>
      <c r="E31" s="484">
        <f t="shared" si="4"/>
        <v>0</v>
      </c>
      <c r="F31" s="484">
        <f t="shared" si="4"/>
        <v>0</v>
      </c>
      <c r="G31" s="484">
        <f t="shared" si="4"/>
        <v>0</v>
      </c>
      <c r="H31" s="484">
        <f t="shared" si="4"/>
        <v>0</v>
      </c>
      <c r="I31" s="485">
        <f t="shared" si="4"/>
        <v>0</v>
      </c>
    </row>
    <row r="32" spans="1:9" ht="15.75" customHeight="1" x14ac:dyDescent="0.2">
      <c r="A32" s="476" t="s">
        <v>507</v>
      </c>
      <c r="B32" s="477">
        <v>0.01</v>
      </c>
      <c r="C32" s="484">
        <f t="shared" si="5"/>
        <v>0</v>
      </c>
      <c r="D32" s="484">
        <f t="shared" si="4"/>
        <v>0</v>
      </c>
      <c r="E32" s="484">
        <f t="shared" si="4"/>
        <v>0</v>
      </c>
      <c r="F32" s="484">
        <f t="shared" si="4"/>
        <v>0</v>
      </c>
      <c r="G32" s="484">
        <f t="shared" si="4"/>
        <v>0</v>
      </c>
      <c r="H32" s="484">
        <f t="shared" si="4"/>
        <v>0</v>
      </c>
      <c r="I32" s="485">
        <f t="shared" si="4"/>
        <v>0</v>
      </c>
    </row>
    <row r="33" spans="1:9" ht="15.75" customHeight="1" x14ac:dyDescent="0.2">
      <c r="A33" s="476" t="s">
        <v>508</v>
      </c>
      <c r="B33" s="477">
        <v>6.0000000000000001E-3</v>
      </c>
      <c r="C33" s="484">
        <f t="shared" si="5"/>
        <v>0</v>
      </c>
      <c r="D33" s="484">
        <f t="shared" si="4"/>
        <v>0</v>
      </c>
      <c r="E33" s="484">
        <f t="shared" si="4"/>
        <v>0</v>
      </c>
      <c r="F33" s="484">
        <f t="shared" si="4"/>
        <v>0</v>
      </c>
      <c r="G33" s="484">
        <f t="shared" si="4"/>
        <v>0</v>
      </c>
      <c r="H33" s="484">
        <f t="shared" si="4"/>
        <v>0</v>
      </c>
      <c r="I33" s="485">
        <f t="shared" si="4"/>
        <v>0</v>
      </c>
    </row>
    <row r="34" spans="1:9" ht="15.75" customHeight="1" x14ac:dyDescent="0.2">
      <c r="A34" s="476" t="s">
        <v>509</v>
      </c>
      <c r="B34" s="477">
        <v>2E-3</v>
      </c>
      <c r="C34" s="484">
        <f t="shared" si="5"/>
        <v>0</v>
      </c>
      <c r="D34" s="484">
        <f t="shared" si="4"/>
        <v>0</v>
      </c>
      <c r="E34" s="484">
        <f t="shared" si="4"/>
        <v>0</v>
      </c>
      <c r="F34" s="484">
        <f t="shared" si="4"/>
        <v>0</v>
      </c>
      <c r="G34" s="484">
        <f t="shared" si="4"/>
        <v>0</v>
      </c>
      <c r="H34" s="484">
        <f t="shared" si="4"/>
        <v>0</v>
      </c>
      <c r="I34" s="485">
        <f t="shared" si="4"/>
        <v>0</v>
      </c>
    </row>
    <row r="35" spans="1:9" ht="15.75" customHeight="1" x14ac:dyDescent="0.2">
      <c r="A35" s="476" t="s">
        <v>510</v>
      </c>
      <c r="B35" s="477">
        <v>0.08</v>
      </c>
      <c r="C35" s="484">
        <f t="shared" si="5"/>
        <v>0</v>
      </c>
      <c r="D35" s="484">
        <f t="shared" si="4"/>
        <v>0</v>
      </c>
      <c r="E35" s="484">
        <f t="shared" si="4"/>
        <v>0</v>
      </c>
      <c r="F35" s="484">
        <f t="shared" si="4"/>
        <v>0</v>
      </c>
      <c r="G35" s="484">
        <f t="shared" si="4"/>
        <v>0</v>
      </c>
      <c r="H35" s="484">
        <f t="shared" si="4"/>
        <v>0</v>
      </c>
      <c r="I35" s="485">
        <f t="shared" si="4"/>
        <v>0</v>
      </c>
    </row>
    <row r="36" spans="1:9" ht="15.75" customHeight="1" x14ac:dyDescent="0.2">
      <c r="A36" s="464" t="s">
        <v>496</v>
      </c>
      <c r="B36" s="478">
        <f t="shared" ref="B36:I36" si="6">SUM(B28:B35)</f>
        <v>0.36800000000000005</v>
      </c>
      <c r="C36" s="479">
        <f t="shared" si="6"/>
        <v>0</v>
      </c>
      <c r="D36" s="479">
        <f t="shared" si="6"/>
        <v>0</v>
      </c>
      <c r="E36" s="479">
        <f t="shared" si="6"/>
        <v>0</v>
      </c>
      <c r="F36" s="479">
        <f t="shared" si="6"/>
        <v>0</v>
      </c>
      <c r="G36" s="479">
        <f t="shared" si="6"/>
        <v>0</v>
      </c>
      <c r="H36" s="479">
        <f t="shared" si="6"/>
        <v>0</v>
      </c>
      <c r="I36" s="480">
        <f t="shared" si="6"/>
        <v>0</v>
      </c>
    </row>
    <row r="37" spans="1:9" ht="15.75" customHeight="1" x14ac:dyDescent="0.2">
      <c r="A37" s="473" t="s">
        <v>511</v>
      </c>
      <c r="B37" s="474" t="s">
        <v>512</v>
      </c>
      <c r="C37" s="474" t="s">
        <v>488</v>
      </c>
      <c r="D37" s="474" t="s">
        <v>488</v>
      </c>
      <c r="E37" s="474" t="s">
        <v>488</v>
      </c>
      <c r="F37" s="474" t="s">
        <v>488</v>
      </c>
      <c r="G37" s="474" t="s">
        <v>488</v>
      </c>
      <c r="H37" s="474" t="s">
        <v>488</v>
      </c>
      <c r="I37" s="475" t="s">
        <v>488</v>
      </c>
    </row>
    <row r="38" spans="1:9" ht="15.75" customHeight="1" x14ac:dyDescent="0.2">
      <c r="A38" s="476" t="s">
        <v>513</v>
      </c>
      <c r="B38" s="486">
        <f>MC!D96</f>
        <v>0</v>
      </c>
      <c r="C38" s="455">
        <f t="shared" ref="C38:I38" si="7">ROUND(((2*22*$B$38)-0.06*C$13),2)</f>
        <v>0</v>
      </c>
      <c r="D38" s="455">
        <f t="shared" si="7"/>
        <v>0</v>
      </c>
      <c r="E38" s="455">
        <f t="shared" si="7"/>
        <v>0</v>
      </c>
      <c r="F38" s="455">
        <f t="shared" si="7"/>
        <v>0</v>
      </c>
      <c r="G38" s="455">
        <f t="shared" si="7"/>
        <v>0</v>
      </c>
      <c r="H38" s="455">
        <f t="shared" si="7"/>
        <v>0</v>
      </c>
      <c r="I38" s="457">
        <f t="shared" si="7"/>
        <v>0</v>
      </c>
    </row>
    <row r="39" spans="1:9" ht="15.75" customHeight="1" x14ac:dyDescent="0.2">
      <c r="A39" s="476" t="s">
        <v>514</v>
      </c>
      <c r="B39" s="487"/>
      <c r="C39" s="484">
        <f>MC!$E$19</f>
        <v>0</v>
      </c>
      <c r="D39" s="484">
        <f>MC!$E$19</f>
        <v>0</v>
      </c>
      <c r="E39" s="484">
        <f>MC!$E$20</f>
        <v>0</v>
      </c>
      <c r="F39" s="484">
        <f>MC!$E$20</f>
        <v>0</v>
      </c>
      <c r="G39" s="484">
        <f>MC!$E$20</f>
        <v>0</v>
      </c>
      <c r="H39" s="484">
        <f>MC!$E$19</f>
        <v>0</v>
      </c>
      <c r="I39" s="484">
        <f>MC!$E$19</f>
        <v>0</v>
      </c>
    </row>
    <row r="40" spans="1:9" ht="15.75" customHeight="1" x14ac:dyDescent="0.2">
      <c r="A40" s="476" t="s">
        <v>515</v>
      </c>
      <c r="B40" s="477"/>
      <c r="C40" s="488" t="s">
        <v>112</v>
      </c>
      <c r="D40" s="488" t="s">
        <v>112</v>
      </c>
      <c r="E40" s="488" t="s">
        <v>112</v>
      </c>
      <c r="F40" s="488" t="s">
        <v>112</v>
      </c>
      <c r="G40" s="488" t="s">
        <v>112</v>
      </c>
      <c r="H40" s="488" t="s">
        <v>112</v>
      </c>
      <c r="I40" s="489" t="s">
        <v>112</v>
      </c>
    </row>
    <row r="41" spans="1:9" ht="15.75" customHeight="1" x14ac:dyDescent="0.2">
      <c r="A41" s="476" t="s">
        <v>516</v>
      </c>
      <c r="B41" s="490"/>
      <c r="C41" s="488" t="s">
        <v>112</v>
      </c>
      <c r="D41" s="488" t="s">
        <v>112</v>
      </c>
      <c r="E41" s="488" t="s">
        <v>112</v>
      </c>
      <c r="F41" s="488" t="s">
        <v>112</v>
      </c>
      <c r="G41" s="488" t="s">
        <v>112</v>
      </c>
      <c r="H41" s="491" t="s">
        <v>112</v>
      </c>
      <c r="I41" s="489" t="s">
        <v>112</v>
      </c>
    </row>
    <row r="42" spans="1:9" ht="15.75" customHeight="1" x14ac:dyDescent="0.2">
      <c r="A42" s="476" t="s">
        <v>517</v>
      </c>
      <c r="B42" s="492">
        <f>MC!E27</f>
        <v>0</v>
      </c>
      <c r="C42" s="484">
        <f t="shared" ref="C42:I42" si="8">$B42</f>
        <v>0</v>
      </c>
      <c r="D42" s="484">
        <f t="shared" si="8"/>
        <v>0</v>
      </c>
      <c r="E42" s="484">
        <f t="shared" si="8"/>
        <v>0</v>
      </c>
      <c r="F42" s="484">
        <f t="shared" si="8"/>
        <v>0</v>
      </c>
      <c r="G42" s="484">
        <f t="shared" si="8"/>
        <v>0</v>
      </c>
      <c r="H42" s="484">
        <f t="shared" si="8"/>
        <v>0</v>
      </c>
      <c r="I42" s="485">
        <f t="shared" si="8"/>
        <v>0</v>
      </c>
    </row>
    <row r="43" spans="1:9" ht="15.75" customHeight="1" x14ac:dyDescent="0.2">
      <c r="A43" s="476" t="s">
        <v>518</v>
      </c>
      <c r="B43" s="477"/>
      <c r="C43" s="488" t="s">
        <v>112</v>
      </c>
      <c r="D43" s="488" t="s">
        <v>112</v>
      </c>
      <c r="E43" s="488" t="s">
        <v>112</v>
      </c>
      <c r="F43" s="488" t="s">
        <v>112</v>
      </c>
      <c r="G43" s="488" t="s">
        <v>112</v>
      </c>
      <c r="H43" s="491" t="s">
        <v>112</v>
      </c>
      <c r="I43" s="489" t="s">
        <v>112</v>
      </c>
    </row>
    <row r="44" spans="1:9" ht="15.75" customHeight="1" x14ac:dyDescent="0.2">
      <c r="A44" s="464" t="s">
        <v>496</v>
      </c>
      <c r="B44" s="465"/>
      <c r="C44" s="479">
        <f t="shared" ref="C44:I44" si="9">SUM(C38:C43)</f>
        <v>0</v>
      </c>
      <c r="D44" s="479">
        <f t="shared" si="9"/>
        <v>0</v>
      </c>
      <c r="E44" s="479">
        <f t="shared" si="9"/>
        <v>0</v>
      </c>
      <c r="F44" s="479">
        <f t="shared" si="9"/>
        <v>0</v>
      </c>
      <c r="G44" s="479">
        <f t="shared" si="9"/>
        <v>0</v>
      </c>
      <c r="H44" s="479">
        <f t="shared" si="9"/>
        <v>0</v>
      </c>
      <c r="I44" s="480">
        <f t="shared" si="9"/>
        <v>0</v>
      </c>
    </row>
    <row r="45" spans="1:9" x14ac:dyDescent="0.2">
      <c r="A45" s="450" t="s">
        <v>519</v>
      </c>
      <c r="B45" s="451" t="s">
        <v>487</v>
      </c>
      <c r="C45" s="451" t="s">
        <v>488</v>
      </c>
      <c r="D45" s="451" t="s">
        <v>488</v>
      </c>
      <c r="E45" s="451" t="s">
        <v>488</v>
      </c>
      <c r="F45" s="451" t="s">
        <v>488</v>
      </c>
      <c r="G45" s="451" t="s">
        <v>488</v>
      </c>
      <c r="H45" s="451" t="s">
        <v>488</v>
      </c>
      <c r="I45" s="452" t="s">
        <v>488</v>
      </c>
    </row>
    <row r="46" spans="1:9" ht="15.75" customHeight="1" x14ac:dyDescent="0.2">
      <c r="A46" s="476" t="s">
        <v>498</v>
      </c>
      <c r="B46" s="493">
        <f t="shared" ref="B46:I46" si="10">B25</f>
        <v>0.1111111111111111</v>
      </c>
      <c r="C46" s="494">
        <f t="shared" si="10"/>
        <v>0</v>
      </c>
      <c r="D46" s="494">
        <f t="shared" si="10"/>
        <v>0</v>
      </c>
      <c r="E46" s="494">
        <f t="shared" si="10"/>
        <v>0</v>
      </c>
      <c r="F46" s="494">
        <f t="shared" si="10"/>
        <v>0</v>
      </c>
      <c r="G46" s="494">
        <f t="shared" si="10"/>
        <v>0</v>
      </c>
      <c r="H46" s="494">
        <f t="shared" si="10"/>
        <v>0</v>
      </c>
      <c r="I46" s="495">
        <f t="shared" si="10"/>
        <v>0</v>
      </c>
    </row>
    <row r="47" spans="1:9" ht="15.75" customHeight="1" x14ac:dyDescent="0.2">
      <c r="A47" s="476" t="s">
        <v>520</v>
      </c>
      <c r="B47" s="493">
        <f t="shared" ref="B47:I47" si="11">B36</f>
        <v>0.36800000000000005</v>
      </c>
      <c r="C47" s="494">
        <f t="shared" si="11"/>
        <v>0</v>
      </c>
      <c r="D47" s="494">
        <f t="shared" si="11"/>
        <v>0</v>
      </c>
      <c r="E47" s="494">
        <f t="shared" si="11"/>
        <v>0</v>
      </c>
      <c r="F47" s="494">
        <f t="shared" si="11"/>
        <v>0</v>
      </c>
      <c r="G47" s="494">
        <f t="shared" si="11"/>
        <v>0</v>
      </c>
      <c r="H47" s="494">
        <f t="shared" si="11"/>
        <v>0</v>
      </c>
      <c r="I47" s="495">
        <f t="shared" si="11"/>
        <v>0</v>
      </c>
    </row>
    <row r="48" spans="1:9" ht="15.75" customHeight="1" x14ac:dyDescent="0.2">
      <c r="A48" s="476" t="s">
        <v>511</v>
      </c>
      <c r="B48" s="493"/>
      <c r="C48" s="494">
        <f t="shared" ref="C48:I48" si="12">C44</f>
        <v>0</v>
      </c>
      <c r="D48" s="494">
        <f t="shared" si="12"/>
        <v>0</v>
      </c>
      <c r="E48" s="494">
        <f t="shared" si="12"/>
        <v>0</v>
      </c>
      <c r="F48" s="494">
        <f t="shared" si="12"/>
        <v>0</v>
      </c>
      <c r="G48" s="494">
        <f t="shared" si="12"/>
        <v>0</v>
      </c>
      <c r="H48" s="494">
        <f t="shared" si="12"/>
        <v>0</v>
      </c>
      <c r="I48" s="495">
        <f t="shared" si="12"/>
        <v>0</v>
      </c>
    </row>
    <row r="49" spans="1:9" ht="15.75" customHeight="1" x14ac:dyDescent="0.2">
      <c r="A49" s="464" t="s">
        <v>496</v>
      </c>
      <c r="B49" s="465"/>
      <c r="C49" s="479">
        <f t="shared" ref="C49:I49" si="13">SUM(C46:C48)</f>
        <v>0</v>
      </c>
      <c r="D49" s="466">
        <f t="shared" si="13"/>
        <v>0</v>
      </c>
      <c r="E49" s="466">
        <f t="shared" si="13"/>
        <v>0</v>
      </c>
      <c r="F49" s="479">
        <f t="shared" si="13"/>
        <v>0</v>
      </c>
      <c r="G49" s="479">
        <f t="shared" si="13"/>
        <v>0</v>
      </c>
      <c r="H49" s="479">
        <f t="shared" si="13"/>
        <v>0</v>
      </c>
      <c r="I49" s="480">
        <f t="shared" si="13"/>
        <v>0</v>
      </c>
    </row>
    <row r="50" spans="1:9" ht="14.25" customHeight="1" x14ac:dyDescent="0.2">
      <c r="A50" s="859"/>
      <c r="B50" s="859"/>
      <c r="C50" s="859"/>
      <c r="D50" s="859"/>
      <c r="E50" s="859"/>
      <c r="F50" s="859"/>
      <c r="G50" s="859"/>
      <c r="H50" s="859"/>
      <c r="I50" s="859"/>
    </row>
    <row r="51" spans="1:9" s="496" customFormat="1" ht="12.75" customHeight="1" x14ac:dyDescent="0.2">
      <c r="A51" s="858" t="s">
        <v>521</v>
      </c>
      <c r="B51" s="858"/>
      <c r="C51" s="858"/>
      <c r="D51" s="858"/>
      <c r="E51" s="858"/>
      <c r="F51" s="858"/>
      <c r="G51" s="858"/>
      <c r="H51" s="858"/>
      <c r="I51" s="858"/>
    </row>
    <row r="52" spans="1:9" ht="15.75" customHeight="1" x14ac:dyDescent="0.2">
      <c r="A52" s="450" t="s">
        <v>522</v>
      </c>
      <c r="B52" s="451" t="s">
        <v>487</v>
      </c>
      <c r="C52" s="451" t="s">
        <v>488</v>
      </c>
      <c r="D52" s="451" t="s">
        <v>488</v>
      </c>
      <c r="E52" s="451" t="s">
        <v>488</v>
      </c>
      <c r="F52" s="451" t="s">
        <v>488</v>
      </c>
      <c r="G52" s="451" t="s">
        <v>488</v>
      </c>
      <c r="H52" s="451" t="s">
        <v>488</v>
      </c>
      <c r="I52" s="452" t="s">
        <v>488</v>
      </c>
    </row>
    <row r="53" spans="1:9" ht="15.75" customHeight="1" x14ac:dyDescent="0.2">
      <c r="A53" s="473" t="s">
        <v>523</v>
      </c>
      <c r="B53" s="497"/>
      <c r="C53" s="497"/>
      <c r="D53" s="497"/>
      <c r="E53" s="497"/>
      <c r="F53" s="497"/>
      <c r="G53" s="497"/>
      <c r="H53" s="498"/>
      <c r="I53" s="499"/>
    </row>
    <row r="54" spans="1:9" ht="15.75" customHeight="1" x14ac:dyDescent="0.2">
      <c r="A54" s="476" t="s">
        <v>524</v>
      </c>
      <c r="B54" s="493">
        <f>1/12*0.05</f>
        <v>4.1666666666666666E-3</v>
      </c>
      <c r="C54" s="500">
        <f t="shared" ref="C54:I54" si="14">C19*$B54</f>
        <v>0</v>
      </c>
      <c r="D54" s="500">
        <f t="shared" si="14"/>
        <v>0</v>
      </c>
      <c r="E54" s="500">
        <f t="shared" si="14"/>
        <v>0</v>
      </c>
      <c r="F54" s="500">
        <f t="shared" si="14"/>
        <v>0</v>
      </c>
      <c r="G54" s="500">
        <f t="shared" si="14"/>
        <v>0</v>
      </c>
      <c r="H54" s="500">
        <f t="shared" si="14"/>
        <v>0</v>
      </c>
      <c r="I54" s="501">
        <f t="shared" si="14"/>
        <v>0</v>
      </c>
    </row>
    <row r="55" spans="1:9" x14ac:dyDescent="0.2">
      <c r="A55" s="476" t="s">
        <v>525</v>
      </c>
      <c r="B55" s="493">
        <f>B35*B54</f>
        <v>3.3333333333333332E-4</v>
      </c>
      <c r="C55" s="500">
        <f t="shared" ref="C55:I55" si="15">$B$55*C19</f>
        <v>0</v>
      </c>
      <c r="D55" s="500">
        <f t="shared" si="15"/>
        <v>0</v>
      </c>
      <c r="E55" s="500">
        <f t="shared" si="15"/>
        <v>0</v>
      </c>
      <c r="F55" s="500">
        <f t="shared" si="15"/>
        <v>0</v>
      </c>
      <c r="G55" s="500">
        <f t="shared" si="15"/>
        <v>0</v>
      </c>
      <c r="H55" s="500">
        <f t="shared" si="15"/>
        <v>0</v>
      </c>
      <c r="I55" s="501">
        <f t="shared" si="15"/>
        <v>0</v>
      </c>
    </row>
    <row r="56" spans="1:9" x14ac:dyDescent="0.2">
      <c r="A56" s="476" t="s">
        <v>526</v>
      </c>
      <c r="B56" s="493">
        <v>0</v>
      </c>
      <c r="C56" s="500">
        <f t="shared" ref="C56:I56" si="16">C35*$B56</f>
        <v>0</v>
      </c>
      <c r="D56" s="500">
        <f t="shared" si="16"/>
        <v>0</v>
      </c>
      <c r="E56" s="500">
        <f t="shared" si="16"/>
        <v>0</v>
      </c>
      <c r="F56" s="500">
        <f t="shared" si="16"/>
        <v>0</v>
      </c>
      <c r="G56" s="500">
        <f t="shared" si="16"/>
        <v>0</v>
      </c>
      <c r="H56" s="500">
        <f t="shared" si="16"/>
        <v>0</v>
      </c>
      <c r="I56" s="501">
        <f t="shared" si="16"/>
        <v>0</v>
      </c>
    </row>
    <row r="57" spans="1:9" x14ac:dyDescent="0.2">
      <c r="A57" s="476" t="s">
        <v>527</v>
      </c>
      <c r="B57" s="493">
        <f>1/12*1/30*7</f>
        <v>1.9444444444444441E-2</v>
      </c>
      <c r="C57" s="494">
        <f t="shared" ref="C57:I57" si="17">C19*$B57</f>
        <v>0</v>
      </c>
      <c r="D57" s="494">
        <f t="shared" si="17"/>
        <v>0</v>
      </c>
      <c r="E57" s="494">
        <f t="shared" si="17"/>
        <v>0</v>
      </c>
      <c r="F57" s="494">
        <f t="shared" si="17"/>
        <v>0</v>
      </c>
      <c r="G57" s="494">
        <f t="shared" si="17"/>
        <v>0</v>
      </c>
      <c r="H57" s="494">
        <f t="shared" si="17"/>
        <v>0</v>
      </c>
      <c r="I57" s="495">
        <f t="shared" si="17"/>
        <v>0</v>
      </c>
    </row>
    <row r="58" spans="1:9" x14ac:dyDescent="0.2">
      <c r="A58" s="476" t="s">
        <v>528</v>
      </c>
      <c r="B58" s="493">
        <f>B36*B57</f>
        <v>7.1555555555555556E-3</v>
      </c>
      <c r="C58" s="494">
        <f t="shared" ref="C58:I58" si="18">$B58*C19</f>
        <v>0</v>
      </c>
      <c r="D58" s="494">
        <f t="shared" si="18"/>
        <v>0</v>
      </c>
      <c r="E58" s="494">
        <f t="shared" si="18"/>
        <v>0</v>
      </c>
      <c r="F58" s="494">
        <f t="shared" si="18"/>
        <v>0</v>
      </c>
      <c r="G58" s="494">
        <f t="shared" si="18"/>
        <v>0</v>
      </c>
      <c r="H58" s="494">
        <f t="shared" si="18"/>
        <v>0</v>
      </c>
      <c r="I58" s="495">
        <f t="shared" si="18"/>
        <v>0</v>
      </c>
    </row>
    <row r="59" spans="1:9" x14ac:dyDescent="0.2">
      <c r="A59" s="476" t="s">
        <v>529</v>
      </c>
      <c r="B59" s="493">
        <f>B35*40/100*90/100*(1+1/12+1/12+1/3*1/12)</f>
        <v>3.4399999999999993E-2</v>
      </c>
      <c r="C59" s="494">
        <f t="shared" ref="C59:I59" si="19">C19*$B59</f>
        <v>0</v>
      </c>
      <c r="D59" s="494">
        <f t="shared" si="19"/>
        <v>0</v>
      </c>
      <c r="E59" s="494">
        <f t="shared" si="19"/>
        <v>0</v>
      </c>
      <c r="F59" s="494">
        <f t="shared" si="19"/>
        <v>0</v>
      </c>
      <c r="G59" s="494">
        <f t="shared" si="19"/>
        <v>0</v>
      </c>
      <c r="H59" s="494">
        <f t="shared" si="19"/>
        <v>0</v>
      </c>
      <c r="I59" s="495">
        <f t="shared" si="19"/>
        <v>0</v>
      </c>
    </row>
    <row r="60" spans="1:9" ht="14.25" customHeight="1" x14ac:dyDescent="0.2">
      <c r="A60" s="464" t="s">
        <v>496</v>
      </c>
      <c r="B60" s="478">
        <f t="shared" ref="B60:I60" si="20">SUM(B54:B59)</f>
        <v>6.5499999999999989E-2</v>
      </c>
      <c r="C60" s="466">
        <f t="shared" si="20"/>
        <v>0</v>
      </c>
      <c r="D60" s="466">
        <f t="shared" si="20"/>
        <v>0</v>
      </c>
      <c r="E60" s="466">
        <f t="shared" si="20"/>
        <v>0</v>
      </c>
      <c r="F60" s="466">
        <f t="shared" si="20"/>
        <v>0</v>
      </c>
      <c r="G60" s="466">
        <f t="shared" si="20"/>
        <v>0</v>
      </c>
      <c r="H60" s="467">
        <f t="shared" si="20"/>
        <v>0</v>
      </c>
      <c r="I60" s="468">
        <f t="shared" si="20"/>
        <v>0</v>
      </c>
    </row>
    <row r="61" spans="1:9" ht="14.25" customHeight="1" x14ac:dyDescent="0.2">
      <c r="A61" s="860"/>
      <c r="B61" s="860"/>
      <c r="C61" s="860"/>
      <c r="D61" s="860"/>
      <c r="E61" s="860"/>
      <c r="F61" s="860"/>
      <c r="G61" s="860"/>
      <c r="H61" s="860"/>
      <c r="I61" s="860"/>
    </row>
    <row r="62" spans="1:9" ht="15.75" customHeight="1" x14ac:dyDescent="0.2">
      <c r="A62" s="858" t="s">
        <v>530</v>
      </c>
      <c r="B62" s="858"/>
      <c r="C62" s="858"/>
      <c r="D62" s="858"/>
      <c r="E62" s="858"/>
      <c r="F62" s="858"/>
      <c r="G62" s="858"/>
      <c r="H62" s="858"/>
      <c r="I62" s="858"/>
    </row>
    <row r="63" spans="1:9" ht="14.25" customHeight="1" x14ac:dyDescent="0.2">
      <c r="A63" s="473" t="s">
        <v>43</v>
      </c>
      <c r="B63" s="474" t="s">
        <v>487</v>
      </c>
      <c r="C63" s="474" t="s">
        <v>488</v>
      </c>
      <c r="D63" s="474" t="s">
        <v>488</v>
      </c>
      <c r="E63" s="474" t="s">
        <v>488</v>
      </c>
      <c r="F63" s="474" t="s">
        <v>488</v>
      </c>
      <c r="G63" s="474" t="s">
        <v>488</v>
      </c>
      <c r="H63" s="474" t="s">
        <v>488</v>
      </c>
      <c r="I63" s="474" t="s">
        <v>488</v>
      </c>
    </row>
    <row r="64" spans="1:9" ht="14.25" customHeight="1" x14ac:dyDescent="0.2">
      <c r="A64" s="476" t="s">
        <v>44</v>
      </c>
      <c r="B64" s="477">
        <f>1/12</f>
        <v>8.3333333333333329E-2</v>
      </c>
      <c r="C64" s="484">
        <f t="shared" ref="C64:I67" si="21">$B64*(C$19+C$49+C$60)</f>
        <v>0</v>
      </c>
      <c r="D64" s="484">
        <f t="shared" si="21"/>
        <v>0</v>
      </c>
      <c r="E64" s="484">
        <f t="shared" si="21"/>
        <v>0</v>
      </c>
      <c r="F64" s="484">
        <f t="shared" si="21"/>
        <v>0</v>
      </c>
      <c r="G64" s="484">
        <f t="shared" si="21"/>
        <v>0</v>
      </c>
      <c r="H64" s="484">
        <f t="shared" si="21"/>
        <v>0</v>
      </c>
      <c r="I64" s="485">
        <f t="shared" si="21"/>
        <v>0</v>
      </c>
    </row>
    <row r="65" spans="1:9" x14ac:dyDescent="0.2">
      <c r="A65" s="476" t="s">
        <v>531</v>
      </c>
      <c r="B65" s="477">
        <f>MC!E54/30/12</f>
        <v>1.3538888888888885E-2</v>
      </c>
      <c r="C65" s="484">
        <f t="shared" si="21"/>
        <v>0</v>
      </c>
      <c r="D65" s="484">
        <f t="shared" si="21"/>
        <v>0</v>
      </c>
      <c r="E65" s="484">
        <f t="shared" si="21"/>
        <v>0</v>
      </c>
      <c r="F65" s="484">
        <f t="shared" si="21"/>
        <v>0</v>
      </c>
      <c r="G65" s="484">
        <f t="shared" si="21"/>
        <v>0</v>
      </c>
      <c r="H65" s="484">
        <f t="shared" si="21"/>
        <v>0</v>
      </c>
      <c r="I65" s="485">
        <f t="shared" si="21"/>
        <v>0</v>
      </c>
    </row>
    <row r="66" spans="1:9" x14ac:dyDescent="0.2">
      <c r="A66" s="476" t="s">
        <v>532</v>
      </c>
      <c r="B66" s="502">
        <f>(5/30)/12*MC!F56*MC!C57</f>
        <v>1.0764583333333333E-4</v>
      </c>
      <c r="C66" s="484">
        <f t="shared" si="21"/>
        <v>0</v>
      </c>
      <c r="D66" s="484">
        <f t="shared" si="21"/>
        <v>0</v>
      </c>
      <c r="E66" s="484">
        <f t="shared" si="21"/>
        <v>0</v>
      </c>
      <c r="F66" s="484">
        <f t="shared" si="21"/>
        <v>0</v>
      </c>
      <c r="G66" s="484">
        <f t="shared" si="21"/>
        <v>0</v>
      </c>
      <c r="H66" s="484">
        <f t="shared" si="21"/>
        <v>0</v>
      </c>
      <c r="I66" s="485">
        <f t="shared" si="21"/>
        <v>0</v>
      </c>
    </row>
    <row r="67" spans="1:9" ht="14.25" customHeight="1" x14ac:dyDescent="0.2">
      <c r="A67" s="476" t="s">
        <v>533</v>
      </c>
      <c r="B67" s="502">
        <f>MC!C59/30/12</f>
        <v>2.6830555555555553E-3</v>
      </c>
      <c r="C67" s="484">
        <f t="shared" si="21"/>
        <v>0</v>
      </c>
      <c r="D67" s="484">
        <f t="shared" si="21"/>
        <v>0</v>
      </c>
      <c r="E67" s="484">
        <f t="shared" si="21"/>
        <v>0</v>
      </c>
      <c r="F67" s="484">
        <f t="shared" si="21"/>
        <v>0</v>
      </c>
      <c r="G67" s="484">
        <f t="shared" si="21"/>
        <v>0</v>
      </c>
      <c r="H67" s="484">
        <f t="shared" si="21"/>
        <v>0</v>
      </c>
      <c r="I67" s="485">
        <f t="shared" si="21"/>
        <v>0</v>
      </c>
    </row>
    <row r="68" spans="1:9" ht="14.25" customHeight="1" x14ac:dyDescent="0.2">
      <c r="A68" s="476" t="s">
        <v>495</v>
      </c>
      <c r="B68" s="477"/>
      <c r="C68" s="488" t="s">
        <v>112</v>
      </c>
      <c r="D68" s="488" t="s">
        <v>112</v>
      </c>
      <c r="E68" s="488" t="s">
        <v>112</v>
      </c>
      <c r="F68" s="488" t="s">
        <v>112</v>
      </c>
      <c r="G68" s="488" t="s">
        <v>112</v>
      </c>
      <c r="H68" s="491" t="s">
        <v>112</v>
      </c>
      <c r="I68" s="489" t="s">
        <v>112</v>
      </c>
    </row>
    <row r="69" spans="1:9" ht="14.25" customHeight="1" x14ac:dyDescent="0.2">
      <c r="A69" s="503" t="s">
        <v>534</v>
      </c>
      <c r="B69" s="504">
        <f t="shared" ref="B69:I69" si="22">SUM(B64:B68)</f>
        <v>9.9662923611111107E-2</v>
      </c>
      <c r="C69" s="505">
        <f t="shared" si="22"/>
        <v>0</v>
      </c>
      <c r="D69" s="505">
        <f t="shared" si="22"/>
        <v>0</v>
      </c>
      <c r="E69" s="505">
        <f t="shared" si="22"/>
        <v>0</v>
      </c>
      <c r="F69" s="505">
        <f t="shared" si="22"/>
        <v>0</v>
      </c>
      <c r="G69" s="505">
        <f t="shared" si="22"/>
        <v>0</v>
      </c>
      <c r="H69" s="505">
        <f t="shared" si="22"/>
        <v>0</v>
      </c>
      <c r="I69" s="506">
        <f t="shared" si="22"/>
        <v>0</v>
      </c>
    </row>
    <row r="70" spans="1:9" ht="14.25" customHeight="1" x14ac:dyDescent="0.2">
      <c r="A70" s="473" t="s">
        <v>535</v>
      </c>
      <c r="B70" s="474" t="s">
        <v>487</v>
      </c>
      <c r="C70" s="474" t="s">
        <v>488</v>
      </c>
      <c r="D70" s="474" t="s">
        <v>488</v>
      </c>
      <c r="E70" s="474" t="s">
        <v>488</v>
      </c>
      <c r="F70" s="474" t="s">
        <v>488</v>
      </c>
      <c r="G70" s="474" t="s">
        <v>488</v>
      </c>
      <c r="H70" s="474" t="s">
        <v>488</v>
      </c>
      <c r="I70" s="475" t="s">
        <v>488</v>
      </c>
    </row>
    <row r="71" spans="1:9" ht="14.25" customHeight="1" x14ac:dyDescent="0.2">
      <c r="A71" s="476" t="s">
        <v>536</v>
      </c>
      <c r="B71" s="477"/>
      <c r="C71" s="488" t="s">
        <v>112</v>
      </c>
      <c r="D71" s="488" t="s">
        <v>112</v>
      </c>
      <c r="E71" s="488" t="s">
        <v>112</v>
      </c>
      <c r="F71" s="488" t="s">
        <v>112</v>
      </c>
      <c r="G71" s="488" t="s">
        <v>112</v>
      </c>
      <c r="H71" s="491" t="s">
        <v>112</v>
      </c>
      <c r="I71" s="489" t="s">
        <v>112</v>
      </c>
    </row>
    <row r="72" spans="1:9" ht="14.25" customHeight="1" x14ac:dyDescent="0.2">
      <c r="A72" s="503" t="s">
        <v>534</v>
      </c>
      <c r="B72" s="504"/>
      <c r="C72" s="507" t="str">
        <f t="shared" ref="C72:I72" si="23">C71</f>
        <v>-</v>
      </c>
      <c r="D72" s="507" t="str">
        <f t="shared" si="23"/>
        <v>-</v>
      </c>
      <c r="E72" s="507" t="str">
        <f t="shared" si="23"/>
        <v>-</v>
      </c>
      <c r="F72" s="507" t="str">
        <f t="shared" si="23"/>
        <v>-</v>
      </c>
      <c r="G72" s="507" t="str">
        <f t="shared" si="23"/>
        <v>-</v>
      </c>
      <c r="H72" s="507" t="str">
        <f t="shared" si="23"/>
        <v>-</v>
      </c>
      <c r="I72" s="508" t="str">
        <f t="shared" si="23"/>
        <v>-</v>
      </c>
    </row>
    <row r="73" spans="1:9" ht="14.25" customHeight="1" x14ac:dyDescent="0.2">
      <c r="A73" s="473" t="s">
        <v>65</v>
      </c>
      <c r="B73" s="474" t="s">
        <v>487</v>
      </c>
      <c r="C73" s="474" t="s">
        <v>488</v>
      </c>
      <c r="D73" s="474" t="s">
        <v>488</v>
      </c>
      <c r="E73" s="474" t="s">
        <v>488</v>
      </c>
      <c r="F73" s="474" t="s">
        <v>488</v>
      </c>
      <c r="G73" s="474" t="s">
        <v>488</v>
      </c>
      <c r="H73" s="474" t="s">
        <v>488</v>
      </c>
      <c r="I73" s="475" t="s">
        <v>488</v>
      </c>
    </row>
    <row r="74" spans="1:9" ht="14.25" customHeight="1" x14ac:dyDescent="0.2">
      <c r="A74" s="476" t="s">
        <v>66</v>
      </c>
      <c r="B74" s="477">
        <f>120/30*MC!C62*MC!C63</f>
        <v>6.18624E-3</v>
      </c>
      <c r="C74" s="484">
        <f t="shared" ref="C74:I74" si="24">(((C19*2)+ (C19*1/3))+(C36)+(C44-C38-C39))*$B$74</f>
        <v>0</v>
      </c>
      <c r="D74" s="484">
        <f t="shared" si="24"/>
        <v>0</v>
      </c>
      <c r="E74" s="484">
        <f t="shared" si="24"/>
        <v>0</v>
      </c>
      <c r="F74" s="484">
        <f t="shared" si="24"/>
        <v>0</v>
      </c>
      <c r="G74" s="484">
        <f t="shared" si="24"/>
        <v>0</v>
      </c>
      <c r="H74" s="484">
        <f t="shared" si="24"/>
        <v>0</v>
      </c>
      <c r="I74" s="485">
        <f t="shared" si="24"/>
        <v>0</v>
      </c>
    </row>
    <row r="75" spans="1:9" ht="15.75" customHeight="1" x14ac:dyDescent="0.2">
      <c r="A75" s="503" t="s">
        <v>496</v>
      </c>
      <c r="B75" s="504"/>
      <c r="C75" s="507">
        <f t="shared" ref="C75:I75" si="25">C74</f>
        <v>0</v>
      </c>
      <c r="D75" s="507">
        <f t="shared" si="25"/>
        <v>0</v>
      </c>
      <c r="E75" s="507">
        <f t="shared" si="25"/>
        <v>0</v>
      </c>
      <c r="F75" s="507">
        <f t="shared" si="25"/>
        <v>0</v>
      </c>
      <c r="G75" s="507">
        <f t="shared" si="25"/>
        <v>0</v>
      </c>
      <c r="H75" s="507">
        <f t="shared" si="25"/>
        <v>0</v>
      </c>
      <c r="I75" s="508">
        <f t="shared" si="25"/>
        <v>0</v>
      </c>
    </row>
    <row r="76" spans="1:9" x14ac:dyDescent="0.2">
      <c r="A76" s="450" t="s">
        <v>537</v>
      </c>
      <c r="B76" s="451" t="s">
        <v>487</v>
      </c>
      <c r="C76" s="451" t="s">
        <v>488</v>
      </c>
      <c r="D76" s="451" t="s">
        <v>488</v>
      </c>
      <c r="E76" s="451" t="s">
        <v>488</v>
      </c>
      <c r="F76" s="451" t="s">
        <v>488</v>
      </c>
      <c r="G76" s="451" t="s">
        <v>488</v>
      </c>
      <c r="H76" s="451" t="s">
        <v>488</v>
      </c>
      <c r="I76" s="452" t="s">
        <v>488</v>
      </c>
    </row>
    <row r="77" spans="1:9" x14ac:dyDescent="0.2">
      <c r="A77" s="476" t="s">
        <v>43</v>
      </c>
      <c r="B77" s="493">
        <f t="shared" ref="B77:I77" si="26">B69</f>
        <v>9.9662923611111107E-2</v>
      </c>
      <c r="C77" s="494">
        <f t="shared" si="26"/>
        <v>0</v>
      </c>
      <c r="D77" s="494">
        <f t="shared" si="26"/>
        <v>0</v>
      </c>
      <c r="E77" s="494">
        <f t="shared" si="26"/>
        <v>0</v>
      </c>
      <c r="F77" s="494">
        <f t="shared" si="26"/>
        <v>0</v>
      </c>
      <c r="G77" s="494">
        <f t="shared" si="26"/>
        <v>0</v>
      </c>
      <c r="H77" s="494">
        <f t="shared" si="26"/>
        <v>0</v>
      </c>
      <c r="I77" s="495">
        <f t="shared" si="26"/>
        <v>0</v>
      </c>
    </row>
    <row r="78" spans="1:9" ht="15.75" customHeight="1" x14ac:dyDescent="0.2">
      <c r="A78" s="476" t="s">
        <v>535</v>
      </c>
      <c r="B78" s="493">
        <f t="shared" ref="B78:I78" si="27">B72</f>
        <v>0</v>
      </c>
      <c r="C78" s="494" t="str">
        <f t="shared" si="27"/>
        <v>-</v>
      </c>
      <c r="D78" s="494" t="str">
        <f t="shared" si="27"/>
        <v>-</v>
      </c>
      <c r="E78" s="494" t="str">
        <f t="shared" si="27"/>
        <v>-</v>
      </c>
      <c r="F78" s="494" t="str">
        <f t="shared" si="27"/>
        <v>-</v>
      </c>
      <c r="G78" s="494" t="str">
        <f t="shared" si="27"/>
        <v>-</v>
      </c>
      <c r="H78" s="494" t="str">
        <f t="shared" si="27"/>
        <v>-</v>
      </c>
      <c r="I78" s="495" t="str">
        <f t="shared" si="27"/>
        <v>-</v>
      </c>
    </row>
    <row r="79" spans="1:9" ht="15.75" customHeight="1" x14ac:dyDescent="0.2">
      <c r="A79" s="476" t="s">
        <v>65</v>
      </c>
      <c r="B79" s="493">
        <f t="shared" ref="B79:I79" si="28">B74</f>
        <v>6.18624E-3</v>
      </c>
      <c r="C79" s="494">
        <f t="shared" si="28"/>
        <v>0</v>
      </c>
      <c r="D79" s="494">
        <f t="shared" si="28"/>
        <v>0</v>
      </c>
      <c r="E79" s="494">
        <f t="shared" si="28"/>
        <v>0</v>
      </c>
      <c r="F79" s="494">
        <f t="shared" si="28"/>
        <v>0</v>
      </c>
      <c r="G79" s="494">
        <f t="shared" si="28"/>
        <v>0</v>
      </c>
      <c r="H79" s="494">
        <f t="shared" si="28"/>
        <v>0</v>
      </c>
      <c r="I79" s="495">
        <f t="shared" si="28"/>
        <v>0</v>
      </c>
    </row>
    <row r="80" spans="1:9" ht="15.75" customHeight="1" x14ac:dyDescent="0.2">
      <c r="A80" s="464" t="s">
        <v>496</v>
      </c>
      <c r="B80" s="465"/>
      <c r="C80" s="479">
        <f t="shared" ref="C80:I80" si="29">SUM(C77:C79)</f>
        <v>0</v>
      </c>
      <c r="D80" s="479">
        <f t="shared" si="29"/>
        <v>0</v>
      </c>
      <c r="E80" s="479">
        <f t="shared" si="29"/>
        <v>0</v>
      </c>
      <c r="F80" s="479">
        <f t="shared" si="29"/>
        <v>0</v>
      </c>
      <c r="G80" s="479">
        <f t="shared" si="29"/>
        <v>0</v>
      </c>
      <c r="H80" s="479">
        <f t="shared" si="29"/>
        <v>0</v>
      </c>
      <c r="I80" s="480">
        <f t="shared" si="29"/>
        <v>0</v>
      </c>
    </row>
    <row r="81" spans="1:9" ht="15.75" customHeight="1" x14ac:dyDescent="0.2">
      <c r="A81" s="469"/>
      <c r="B81" s="470"/>
      <c r="C81" s="470"/>
      <c r="D81" s="470"/>
      <c r="E81" s="470"/>
      <c r="F81" s="470"/>
      <c r="G81" s="470"/>
      <c r="H81" s="471"/>
      <c r="I81" s="472"/>
    </row>
    <row r="82" spans="1:9" ht="15.75" customHeight="1" x14ac:dyDescent="0.2">
      <c r="A82" s="509" t="s">
        <v>538</v>
      </c>
      <c r="B82" s="510"/>
      <c r="C82" s="510"/>
      <c r="D82" s="510"/>
      <c r="E82" s="510"/>
      <c r="F82" s="510"/>
      <c r="G82" s="510"/>
      <c r="H82" s="510"/>
      <c r="I82" s="511"/>
    </row>
    <row r="83" spans="1:9" ht="15.75" customHeight="1" x14ac:dyDescent="0.2">
      <c r="A83" s="450" t="s">
        <v>539</v>
      </c>
      <c r="B83" s="451" t="s">
        <v>540</v>
      </c>
      <c r="C83" s="451" t="s">
        <v>488</v>
      </c>
      <c r="D83" s="451" t="s">
        <v>488</v>
      </c>
      <c r="E83" s="451" t="s">
        <v>488</v>
      </c>
      <c r="F83" s="451" t="s">
        <v>488</v>
      </c>
      <c r="G83" s="451" t="s">
        <v>488</v>
      </c>
      <c r="H83" s="451" t="s">
        <v>488</v>
      </c>
      <c r="I83" s="452" t="s">
        <v>488</v>
      </c>
    </row>
    <row r="84" spans="1:9" ht="15.75" customHeight="1" x14ac:dyDescent="0.2">
      <c r="A84" s="476" t="s">
        <v>541</v>
      </c>
      <c r="B84" s="512"/>
      <c r="C84" s="455">
        <f>Insumos!$K119</f>
        <v>0</v>
      </c>
      <c r="D84" s="455">
        <f>Insumos!$K119</f>
        <v>0</v>
      </c>
      <c r="E84" s="455">
        <f>Insumos!$K119</f>
        <v>0</v>
      </c>
      <c r="F84" s="455">
        <f>Insumos!$K119</f>
        <v>0</v>
      </c>
      <c r="G84" s="455">
        <f>Insumos!$K119</f>
        <v>0</v>
      </c>
      <c r="H84" s="455">
        <f>Insumos!$K119</f>
        <v>0</v>
      </c>
      <c r="I84" s="457">
        <f>Insumos!$K118</f>
        <v>0</v>
      </c>
    </row>
    <row r="85" spans="1:9" x14ac:dyDescent="0.2">
      <c r="A85" s="513" t="s">
        <v>542</v>
      </c>
      <c r="B85" s="512"/>
      <c r="C85" s="455">
        <f>Insumos!$G60</f>
        <v>0</v>
      </c>
      <c r="D85" s="455">
        <f>Insumos!$G60</f>
        <v>0</v>
      </c>
      <c r="E85" s="455">
        <f>Insumos!$G60</f>
        <v>0</v>
      </c>
      <c r="F85" s="455">
        <f>Insumos!$G60</f>
        <v>0</v>
      </c>
      <c r="G85" s="455">
        <f>Insumos!$G60</f>
        <v>0</v>
      </c>
      <c r="H85" s="459" t="s">
        <v>112</v>
      </c>
      <c r="I85" s="460" t="s">
        <v>112</v>
      </c>
    </row>
    <row r="86" spans="1:9" x14ac:dyDescent="0.2">
      <c r="A86" s="513" t="s">
        <v>543</v>
      </c>
      <c r="B86" s="514"/>
      <c r="C86" s="455">
        <f>Insumos!$K100</f>
        <v>0</v>
      </c>
      <c r="D86" s="455">
        <f>Insumos!$K100</f>
        <v>0</v>
      </c>
      <c r="E86" s="455">
        <f>Insumos!$K100</f>
        <v>0</v>
      </c>
      <c r="F86" s="455">
        <f>Insumos!$K100</f>
        <v>0</v>
      </c>
      <c r="G86" s="455">
        <f>Insumos!$K100</f>
        <v>0</v>
      </c>
      <c r="H86" s="459" t="s">
        <v>112</v>
      </c>
      <c r="I86" s="460" t="s">
        <v>112</v>
      </c>
    </row>
    <row r="87" spans="1:9" ht="15.75" customHeight="1" x14ac:dyDescent="0.2">
      <c r="A87" s="513" t="s">
        <v>544</v>
      </c>
      <c r="B87" s="512"/>
      <c r="C87" s="455">
        <f>Insumos!$I130</f>
        <v>0</v>
      </c>
      <c r="D87" s="455">
        <f>Insumos!$I130</f>
        <v>0</v>
      </c>
      <c r="E87" s="455">
        <f>Insumos!$H130</f>
        <v>0</v>
      </c>
      <c r="F87" s="455">
        <f>Insumos!$H130</f>
        <v>0</v>
      </c>
      <c r="G87" s="455">
        <f>Insumos!$H130</f>
        <v>0</v>
      </c>
      <c r="H87" s="459" t="s">
        <v>112</v>
      </c>
      <c r="I87" s="460" t="s">
        <v>112</v>
      </c>
    </row>
    <row r="88" spans="1:9" ht="15.75" customHeight="1" x14ac:dyDescent="0.2">
      <c r="A88" s="513" t="s">
        <v>545</v>
      </c>
      <c r="B88" s="477">
        <v>0.12</v>
      </c>
      <c r="C88" s="459" t="s">
        <v>112</v>
      </c>
      <c r="D88" s="459" t="s">
        <v>112</v>
      </c>
      <c r="E88" s="459" t="s">
        <v>112</v>
      </c>
      <c r="F88" s="459" t="s">
        <v>112</v>
      </c>
      <c r="G88" s="459" t="s">
        <v>112</v>
      </c>
      <c r="H88" s="456">
        <f>B88*(H123+H124+H84)</f>
        <v>0</v>
      </c>
      <c r="I88" s="460" t="s">
        <v>112</v>
      </c>
    </row>
    <row r="89" spans="1:9" ht="15.75" customHeight="1" x14ac:dyDescent="0.2">
      <c r="A89" s="515" t="s">
        <v>546</v>
      </c>
      <c r="B89" s="516"/>
      <c r="C89" s="517"/>
      <c r="D89" s="517"/>
      <c r="E89" s="517"/>
      <c r="F89" s="517"/>
      <c r="G89" s="517"/>
      <c r="H89" s="518"/>
      <c r="I89" s="519">
        <f>Insumos!H146</f>
        <v>0</v>
      </c>
    </row>
    <row r="90" spans="1:9" ht="15.75" customHeight="1" x14ac:dyDescent="0.2">
      <c r="A90" s="513" t="s">
        <v>547</v>
      </c>
      <c r="B90" s="477"/>
      <c r="C90" s="459"/>
      <c r="D90" s="459"/>
      <c r="E90" s="459"/>
      <c r="F90" s="459"/>
      <c r="G90" s="459"/>
      <c r="H90" s="456"/>
      <c r="I90" s="460"/>
    </row>
    <row r="91" spans="1:9" ht="15.75" customHeight="1" x14ac:dyDescent="0.2">
      <c r="A91" s="503" t="s">
        <v>496</v>
      </c>
      <c r="B91" s="520"/>
      <c r="C91" s="505">
        <f t="shared" ref="C91:I91" si="30">SUM(C84:C90)</f>
        <v>0</v>
      </c>
      <c r="D91" s="505">
        <f t="shared" si="30"/>
        <v>0</v>
      </c>
      <c r="E91" s="505">
        <f t="shared" si="30"/>
        <v>0</v>
      </c>
      <c r="F91" s="505">
        <f t="shared" si="30"/>
        <v>0</v>
      </c>
      <c r="G91" s="505">
        <f t="shared" si="30"/>
        <v>0</v>
      </c>
      <c r="H91" s="505">
        <f t="shared" si="30"/>
        <v>0</v>
      </c>
      <c r="I91" s="505">
        <f t="shared" si="30"/>
        <v>0</v>
      </c>
    </row>
    <row r="92" spans="1:9" ht="15.75" customHeight="1" x14ac:dyDescent="0.2">
      <c r="A92" s="859"/>
      <c r="B92" s="859"/>
      <c r="C92" s="521"/>
      <c r="D92" s="521"/>
      <c r="E92" s="521"/>
      <c r="F92" s="521"/>
      <c r="G92" s="521"/>
      <c r="H92" s="522"/>
      <c r="I92" s="523"/>
    </row>
    <row r="93" spans="1:9" ht="15.75" customHeight="1" x14ac:dyDescent="0.2">
      <c r="A93" s="509" t="s">
        <v>548</v>
      </c>
      <c r="B93" s="510"/>
      <c r="C93" s="510"/>
      <c r="D93" s="510"/>
      <c r="E93" s="510"/>
      <c r="F93" s="510"/>
      <c r="G93" s="510"/>
      <c r="H93" s="510"/>
      <c r="I93" s="511"/>
    </row>
    <row r="94" spans="1:9" ht="15.75" customHeight="1" x14ac:dyDescent="0.2">
      <c r="A94" s="450" t="s">
        <v>549</v>
      </c>
      <c r="B94" s="451" t="s">
        <v>487</v>
      </c>
      <c r="C94" s="451" t="s">
        <v>488</v>
      </c>
      <c r="D94" s="451" t="s">
        <v>488</v>
      </c>
      <c r="E94" s="451" t="s">
        <v>488</v>
      </c>
      <c r="F94" s="451" t="s">
        <v>488</v>
      </c>
      <c r="G94" s="451" t="s">
        <v>488</v>
      </c>
      <c r="H94" s="451" t="s">
        <v>488</v>
      </c>
      <c r="I94" s="452" t="s">
        <v>488</v>
      </c>
    </row>
    <row r="95" spans="1:9" ht="15.75" customHeight="1" x14ac:dyDescent="0.2">
      <c r="A95" s="453" t="s">
        <v>71</v>
      </c>
      <c r="B95" s="477">
        <f>MC!C66</f>
        <v>0</v>
      </c>
      <c r="C95" s="484">
        <f t="shared" ref="C95:I95" si="31">(C$19+C$49+C$60+C$80+C$91)*$B$95</f>
        <v>0</v>
      </c>
      <c r="D95" s="484">
        <f t="shared" si="31"/>
        <v>0</v>
      </c>
      <c r="E95" s="484">
        <f t="shared" si="31"/>
        <v>0</v>
      </c>
      <c r="F95" s="484">
        <f t="shared" si="31"/>
        <v>0</v>
      </c>
      <c r="G95" s="484">
        <f t="shared" si="31"/>
        <v>0</v>
      </c>
      <c r="H95" s="484">
        <f t="shared" si="31"/>
        <v>0</v>
      </c>
      <c r="I95" s="485">
        <f t="shared" si="31"/>
        <v>0</v>
      </c>
    </row>
    <row r="96" spans="1:9" x14ac:dyDescent="0.2">
      <c r="A96" s="453" t="s">
        <v>72</v>
      </c>
      <c r="B96" s="477">
        <f>MC!C67</f>
        <v>0</v>
      </c>
      <c r="C96" s="484">
        <f t="shared" ref="C96:I96" si="32">(C$19+C$49+C$60+C$80+C$91+C95)*$B$96</f>
        <v>0</v>
      </c>
      <c r="D96" s="484">
        <f t="shared" si="32"/>
        <v>0</v>
      </c>
      <c r="E96" s="484">
        <f t="shared" si="32"/>
        <v>0</v>
      </c>
      <c r="F96" s="484">
        <f t="shared" si="32"/>
        <v>0</v>
      </c>
      <c r="G96" s="484">
        <f t="shared" si="32"/>
        <v>0</v>
      </c>
      <c r="H96" s="484">
        <f t="shared" si="32"/>
        <v>0</v>
      </c>
      <c r="I96" s="485">
        <f t="shared" si="32"/>
        <v>0</v>
      </c>
    </row>
    <row r="97" spans="1:10" x14ac:dyDescent="0.2">
      <c r="A97" s="524" t="s">
        <v>550</v>
      </c>
      <c r="B97" s="525">
        <f>B98+B99</f>
        <v>0.1125</v>
      </c>
      <c r="C97" s="526">
        <f t="shared" ref="C97:I97" si="33">((C19+C49+C60+C80+C91+C95+C96)/(1-($B$97)))*$B$97</f>
        <v>0</v>
      </c>
      <c r="D97" s="526">
        <f t="shared" si="33"/>
        <v>0</v>
      </c>
      <c r="E97" s="526">
        <f t="shared" si="33"/>
        <v>0</v>
      </c>
      <c r="F97" s="526">
        <f t="shared" si="33"/>
        <v>0</v>
      </c>
      <c r="G97" s="526">
        <f t="shared" si="33"/>
        <v>0</v>
      </c>
      <c r="H97" s="526">
        <f t="shared" si="33"/>
        <v>0</v>
      </c>
      <c r="I97" s="527">
        <f t="shared" si="33"/>
        <v>0</v>
      </c>
    </row>
    <row r="98" spans="1:10" x14ac:dyDescent="0.2">
      <c r="A98" s="453" t="s">
        <v>551</v>
      </c>
      <c r="B98" s="477">
        <f>0.0165+0.076</f>
        <v>9.2499999999999999E-2</v>
      </c>
      <c r="C98" s="528">
        <f t="shared" ref="C98:I98" si="34">((C$19+C$49+C$60+C$80+C$91+C$95+C$96)/(1-($B$97)))*$B$98</f>
        <v>0</v>
      </c>
      <c r="D98" s="528">
        <f t="shared" si="34"/>
        <v>0</v>
      </c>
      <c r="E98" s="528">
        <f t="shared" si="34"/>
        <v>0</v>
      </c>
      <c r="F98" s="528">
        <f t="shared" si="34"/>
        <v>0</v>
      </c>
      <c r="G98" s="528">
        <f t="shared" si="34"/>
        <v>0</v>
      </c>
      <c r="H98" s="528">
        <f t="shared" si="34"/>
        <v>0</v>
      </c>
      <c r="I98" s="529">
        <f t="shared" si="34"/>
        <v>0</v>
      </c>
    </row>
    <row r="99" spans="1:10" x14ac:dyDescent="0.2">
      <c r="A99" s="453" t="s">
        <v>552</v>
      </c>
      <c r="B99" s="477">
        <v>0.02</v>
      </c>
      <c r="C99" s="530">
        <f t="shared" ref="C99:I99" si="35">((C$19+C$49+C$60+C$80+C$91+C$95+C$96)/(1-($B$97)))*$B$99</f>
        <v>0</v>
      </c>
      <c r="D99" s="530">
        <f t="shared" si="35"/>
        <v>0</v>
      </c>
      <c r="E99" s="530">
        <f t="shared" si="35"/>
        <v>0</v>
      </c>
      <c r="F99" s="530">
        <f t="shared" si="35"/>
        <v>0</v>
      </c>
      <c r="G99" s="530">
        <f t="shared" si="35"/>
        <v>0</v>
      </c>
      <c r="H99" s="530">
        <f t="shared" si="35"/>
        <v>0</v>
      </c>
      <c r="I99" s="531">
        <f t="shared" si="35"/>
        <v>0</v>
      </c>
    </row>
    <row r="100" spans="1:10" x14ac:dyDescent="0.2">
      <c r="A100" s="524" t="s">
        <v>553</v>
      </c>
      <c r="B100" s="525">
        <f>B101+B102</f>
        <v>0.11749999999999999</v>
      </c>
      <c r="C100" s="526">
        <f t="shared" ref="C100:I100" si="36">((C19+C49+C60+C80+C91+C95+C96)/(1-($B$100)))*$B$100</f>
        <v>0</v>
      </c>
      <c r="D100" s="526">
        <f t="shared" si="36"/>
        <v>0</v>
      </c>
      <c r="E100" s="526">
        <f t="shared" si="36"/>
        <v>0</v>
      </c>
      <c r="F100" s="526">
        <f t="shared" si="36"/>
        <v>0</v>
      </c>
      <c r="G100" s="526">
        <f t="shared" si="36"/>
        <v>0</v>
      </c>
      <c r="H100" s="526">
        <f t="shared" si="36"/>
        <v>0</v>
      </c>
      <c r="I100" s="527">
        <f t="shared" si="36"/>
        <v>0</v>
      </c>
    </row>
    <row r="101" spans="1:10" x14ac:dyDescent="0.2">
      <c r="A101" s="453" t="s">
        <v>551</v>
      </c>
      <c r="B101" s="477">
        <f>0.0165+0.076</f>
        <v>9.2499999999999999E-2</v>
      </c>
      <c r="C101" s="528">
        <f t="shared" ref="C101:I101" si="37">((C19+C49+C60+C80+C91+C95+C96)/(1-($B$100)))*$B$101</f>
        <v>0</v>
      </c>
      <c r="D101" s="528">
        <f t="shared" si="37"/>
        <v>0</v>
      </c>
      <c r="E101" s="528">
        <f t="shared" si="37"/>
        <v>0</v>
      </c>
      <c r="F101" s="528">
        <f t="shared" si="37"/>
        <v>0</v>
      </c>
      <c r="G101" s="528">
        <f t="shared" si="37"/>
        <v>0</v>
      </c>
      <c r="H101" s="528">
        <f t="shared" si="37"/>
        <v>0</v>
      </c>
      <c r="I101" s="529">
        <f t="shared" si="37"/>
        <v>0</v>
      </c>
    </row>
    <row r="102" spans="1:10" x14ac:dyDescent="0.2">
      <c r="A102" s="453" t="s">
        <v>552</v>
      </c>
      <c r="B102" s="477">
        <v>2.5000000000000001E-2</v>
      </c>
      <c r="C102" s="530">
        <f t="shared" ref="C102:I102" si="38">((C$19+C$49+C$60+C$80+C$91+C$95+C$96)/(1-($B$100)))*$B$102</f>
        <v>0</v>
      </c>
      <c r="D102" s="530">
        <f t="shared" si="38"/>
        <v>0</v>
      </c>
      <c r="E102" s="530">
        <f t="shared" si="38"/>
        <v>0</v>
      </c>
      <c r="F102" s="530">
        <f t="shared" si="38"/>
        <v>0</v>
      </c>
      <c r="G102" s="530">
        <f t="shared" si="38"/>
        <v>0</v>
      </c>
      <c r="H102" s="530">
        <f t="shared" si="38"/>
        <v>0</v>
      </c>
      <c r="I102" s="531">
        <f t="shared" si="38"/>
        <v>0</v>
      </c>
    </row>
    <row r="103" spans="1:10" x14ac:dyDescent="0.2">
      <c r="A103" s="524" t="s">
        <v>554</v>
      </c>
      <c r="B103" s="525">
        <f>B104+B105</f>
        <v>0.1225</v>
      </c>
      <c r="C103" s="526">
        <f t="shared" ref="C103:I103" si="39">((C19+C49+C60+C80+C91+C95+C96)/(1-($B$103)))*$B$103</f>
        <v>0</v>
      </c>
      <c r="D103" s="526">
        <f t="shared" si="39"/>
        <v>0</v>
      </c>
      <c r="E103" s="526">
        <f t="shared" si="39"/>
        <v>0</v>
      </c>
      <c r="F103" s="526">
        <f t="shared" si="39"/>
        <v>0</v>
      </c>
      <c r="G103" s="526">
        <f t="shared" si="39"/>
        <v>0</v>
      </c>
      <c r="H103" s="526">
        <f t="shared" si="39"/>
        <v>0</v>
      </c>
      <c r="I103" s="527">
        <f t="shared" si="39"/>
        <v>0</v>
      </c>
    </row>
    <row r="104" spans="1:10" x14ac:dyDescent="0.2">
      <c r="A104" s="453" t="s">
        <v>551</v>
      </c>
      <c r="B104" s="477">
        <f>0.0165+0.076</f>
        <v>9.2499999999999999E-2</v>
      </c>
      <c r="C104" s="528">
        <f t="shared" ref="C104:I104" si="40">((C19+C49+C60+C80+C91+C95+C96)/(1-($B$103)))*$B$104</f>
        <v>0</v>
      </c>
      <c r="D104" s="528">
        <f t="shared" si="40"/>
        <v>0</v>
      </c>
      <c r="E104" s="528">
        <f t="shared" si="40"/>
        <v>0</v>
      </c>
      <c r="F104" s="528">
        <f t="shared" si="40"/>
        <v>0</v>
      </c>
      <c r="G104" s="528">
        <f t="shared" si="40"/>
        <v>0</v>
      </c>
      <c r="H104" s="528">
        <f t="shared" si="40"/>
        <v>0</v>
      </c>
      <c r="I104" s="529">
        <f t="shared" si="40"/>
        <v>0</v>
      </c>
    </row>
    <row r="105" spans="1:10" x14ac:dyDescent="0.2">
      <c r="A105" s="453" t="s">
        <v>552</v>
      </c>
      <c r="B105" s="477">
        <v>0.03</v>
      </c>
      <c r="C105" s="530">
        <f t="shared" ref="C105:I105" si="41">((C19+C49+C60+C80+C91+C95+C96)/(1-($B$103)))*$B$105</f>
        <v>0</v>
      </c>
      <c r="D105" s="530">
        <f t="shared" si="41"/>
        <v>0</v>
      </c>
      <c r="E105" s="530">
        <f t="shared" si="41"/>
        <v>0</v>
      </c>
      <c r="F105" s="530">
        <f t="shared" si="41"/>
        <v>0</v>
      </c>
      <c r="G105" s="530">
        <f t="shared" si="41"/>
        <v>0</v>
      </c>
      <c r="H105" s="530">
        <f t="shared" si="41"/>
        <v>0</v>
      </c>
      <c r="I105" s="531">
        <f t="shared" si="41"/>
        <v>0</v>
      </c>
      <c r="J105" s="532"/>
    </row>
    <row r="106" spans="1:10" x14ac:dyDescent="0.2">
      <c r="A106" s="524" t="s">
        <v>555</v>
      </c>
      <c r="B106" s="525">
        <f>B107+B108</f>
        <v>0.13250000000000001</v>
      </c>
      <c r="C106" s="526">
        <f t="shared" ref="C106:I106" si="42">((C19+C49+C60+C80+C91+C95+C96)/(1-($B$106)))*$B$106</f>
        <v>0</v>
      </c>
      <c r="D106" s="526">
        <f t="shared" si="42"/>
        <v>0</v>
      </c>
      <c r="E106" s="526">
        <f t="shared" si="42"/>
        <v>0</v>
      </c>
      <c r="F106" s="526">
        <f t="shared" si="42"/>
        <v>0</v>
      </c>
      <c r="G106" s="526">
        <f t="shared" si="42"/>
        <v>0</v>
      </c>
      <c r="H106" s="526">
        <f t="shared" si="42"/>
        <v>0</v>
      </c>
      <c r="I106" s="527">
        <f t="shared" si="42"/>
        <v>0</v>
      </c>
    </row>
    <row r="107" spans="1:10" x14ac:dyDescent="0.2">
      <c r="A107" s="453" t="s">
        <v>551</v>
      </c>
      <c r="B107" s="477">
        <f>0.0165+0.076</f>
        <v>9.2499999999999999E-2</v>
      </c>
      <c r="C107" s="528">
        <f t="shared" ref="C107:I107" si="43">((C19+C49+C60+C80+C91+C95+C96)/(1-($B$106)))*$B$107</f>
        <v>0</v>
      </c>
      <c r="D107" s="528">
        <f t="shared" si="43"/>
        <v>0</v>
      </c>
      <c r="E107" s="528">
        <f t="shared" si="43"/>
        <v>0</v>
      </c>
      <c r="F107" s="528">
        <f t="shared" si="43"/>
        <v>0</v>
      </c>
      <c r="G107" s="528">
        <f t="shared" si="43"/>
        <v>0</v>
      </c>
      <c r="H107" s="528">
        <f t="shared" si="43"/>
        <v>0</v>
      </c>
      <c r="I107" s="529">
        <f t="shared" si="43"/>
        <v>0</v>
      </c>
    </row>
    <row r="108" spans="1:10" x14ac:dyDescent="0.2">
      <c r="A108" s="453" t="s">
        <v>552</v>
      </c>
      <c r="B108" s="477">
        <v>0.04</v>
      </c>
      <c r="C108" s="530">
        <f t="shared" ref="C108:I108" si="44">((C19+C49+C60+C80+C91+C95+C96)/(1-($B$106)))*$B$108</f>
        <v>0</v>
      </c>
      <c r="D108" s="530">
        <f t="shared" si="44"/>
        <v>0</v>
      </c>
      <c r="E108" s="530">
        <f t="shared" si="44"/>
        <v>0</v>
      </c>
      <c r="F108" s="530">
        <f t="shared" si="44"/>
        <v>0</v>
      </c>
      <c r="G108" s="530">
        <f t="shared" si="44"/>
        <v>0</v>
      </c>
      <c r="H108" s="530">
        <f t="shared" si="44"/>
        <v>0</v>
      </c>
      <c r="I108" s="531">
        <f t="shared" si="44"/>
        <v>0</v>
      </c>
    </row>
    <row r="109" spans="1:10" x14ac:dyDescent="0.2">
      <c r="A109" s="524" t="s">
        <v>556</v>
      </c>
      <c r="B109" s="525">
        <f>B110+B111</f>
        <v>0.14250000000000002</v>
      </c>
      <c r="C109" s="526">
        <f t="shared" ref="C109:I109" si="45">((C19+C49+C60+C80+C91+C95+C96)/(1-($B$109)))*$B$109</f>
        <v>0</v>
      </c>
      <c r="D109" s="526">
        <f t="shared" si="45"/>
        <v>0</v>
      </c>
      <c r="E109" s="526">
        <f t="shared" si="45"/>
        <v>0</v>
      </c>
      <c r="F109" s="526">
        <f t="shared" si="45"/>
        <v>0</v>
      </c>
      <c r="G109" s="526">
        <f t="shared" si="45"/>
        <v>0</v>
      </c>
      <c r="H109" s="526">
        <f t="shared" si="45"/>
        <v>0</v>
      </c>
      <c r="I109" s="527">
        <f t="shared" si="45"/>
        <v>0</v>
      </c>
    </row>
    <row r="110" spans="1:10" x14ac:dyDescent="0.2">
      <c r="A110" s="453" t="s">
        <v>551</v>
      </c>
      <c r="B110" s="477">
        <f>0.0165+0.076</f>
        <v>9.2499999999999999E-2</v>
      </c>
      <c r="C110" s="533">
        <f t="shared" ref="C110:I110" si="46">((C19+C49+C60+C80+C91+C95+C96)/(1-($B$109)))*$B$110</f>
        <v>0</v>
      </c>
      <c r="D110" s="533">
        <f t="shared" si="46"/>
        <v>0</v>
      </c>
      <c r="E110" s="533">
        <f t="shared" si="46"/>
        <v>0</v>
      </c>
      <c r="F110" s="533">
        <f t="shared" si="46"/>
        <v>0</v>
      </c>
      <c r="G110" s="533">
        <f t="shared" si="46"/>
        <v>0</v>
      </c>
      <c r="H110" s="533">
        <f t="shared" si="46"/>
        <v>0</v>
      </c>
      <c r="I110" s="534">
        <f t="shared" si="46"/>
        <v>0</v>
      </c>
    </row>
    <row r="111" spans="1:10" x14ac:dyDescent="0.2">
      <c r="A111" s="453" t="s">
        <v>552</v>
      </c>
      <c r="B111" s="535">
        <v>0.05</v>
      </c>
      <c r="C111" s="536">
        <f t="shared" ref="C111:I111" si="47">((C19+C49+C60+C80+C91+C95+C96)/(1-($B$109)))*$B$111</f>
        <v>0</v>
      </c>
      <c r="D111" s="536">
        <f t="shared" si="47"/>
        <v>0</v>
      </c>
      <c r="E111" s="536">
        <f t="shared" si="47"/>
        <v>0</v>
      </c>
      <c r="F111" s="536">
        <f t="shared" si="47"/>
        <v>0</v>
      </c>
      <c r="G111" s="536">
        <f t="shared" si="47"/>
        <v>0</v>
      </c>
      <c r="H111" s="536">
        <f t="shared" si="47"/>
        <v>0</v>
      </c>
      <c r="I111" s="537">
        <f t="shared" si="47"/>
        <v>0</v>
      </c>
    </row>
    <row r="112" spans="1:10" x14ac:dyDescent="0.2">
      <c r="A112" s="861" t="s">
        <v>557</v>
      </c>
      <c r="B112" s="538">
        <v>0.02</v>
      </c>
      <c r="C112" s="539">
        <f t="shared" ref="C112:I112" si="48">C95+C96+C97</f>
        <v>0</v>
      </c>
      <c r="D112" s="539">
        <f t="shared" si="48"/>
        <v>0</v>
      </c>
      <c r="E112" s="539">
        <f t="shared" si="48"/>
        <v>0</v>
      </c>
      <c r="F112" s="539">
        <f t="shared" si="48"/>
        <v>0</v>
      </c>
      <c r="G112" s="539">
        <f t="shared" si="48"/>
        <v>0</v>
      </c>
      <c r="H112" s="539">
        <f t="shared" si="48"/>
        <v>0</v>
      </c>
      <c r="I112" s="540">
        <f t="shared" si="48"/>
        <v>0</v>
      </c>
    </row>
    <row r="113" spans="1:10" x14ac:dyDescent="0.2">
      <c r="A113" s="861"/>
      <c r="B113" s="541">
        <v>2.5000000000000001E-2</v>
      </c>
      <c r="C113" s="542">
        <f t="shared" ref="C113:I113" si="49">C95+C96+C100</f>
        <v>0</v>
      </c>
      <c r="D113" s="542">
        <f t="shared" si="49"/>
        <v>0</v>
      </c>
      <c r="E113" s="542">
        <f t="shared" si="49"/>
        <v>0</v>
      </c>
      <c r="F113" s="542">
        <f t="shared" si="49"/>
        <v>0</v>
      </c>
      <c r="G113" s="542">
        <f t="shared" si="49"/>
        <v>0</v>
      </c>
      <c r="H113" s="542">
        <f t="shared" si="49"/>
        <v>0</v>
      </c>
      <c r="I113" s="543">
        <f t="shared" si="49"/>
        <v>0</v>
      </c>
    </row>
    <row r="114" spans="1:10" ht="15.75" customHeight="1" x14ac:dyDescent="0.2">
      <c r="A114" s="861"/>
      <c r="B114" s="541">
        <v>0.03</v>
      </c>
      <c r="C114" s="542">
        <f t="shared" ref="C114:I114" si="50">C95+C96+C103</f>
        <v>0</v>
      </c>
      <c r="D114" s="542">
        <f t="shared" si="50"/>
        <v>0</v>
      </c>
      <c r="E114" s="542">
        <f t="shared" si="50"/>
        <v>0</v>
      </c>
      <c r="F114" s="542">
        <f t="shared" si="50"/>
        <v>0</v>
      </c>
      <c r="G114" s="542">
        <f t="shared" si="50"/>
        <v>0</v>
      </c>
      <c r="H114" s="542">
        <f t="shared" si="50"/>
        <v>0</v>
      </c>
      <c r="I114" s="543">
        <f t="shared" si="50"/>
        <v>0</v>
      </c>
      <c r="J114" s="532"/>
    </row>
    <row r="115" spans="1:10" ht="15.75" customHeight="1" x14ac:dyDescent="0.2">
      <c r="A115" s="861"/>
      <c r="B115" s="541">
        <v>0.04</v>
      </c>
      <c r="C115" s="542">
        <f t="shared" ref="C115:I115" si="51">C95+C96+C106</f>
        <v>0</v>
      </c>
      <c r="D115" s="542">
        <f t="shared" si="51"/>
        <v>0</v>
      </c>
      <c r="E115" s="542">
        <f t="shared" si="51"/>
        <v>0</v>
      </c>
      <c r="F115" s="542">
        <f t="shared" si="51"/>
        <v>0</v>
      </c>
      <c r="G115" s="542">
        <f t="shared" si="51"/>
        <v>0</v>
      </c>
      <c r="H115" s="542">
        <f t="shared" si="51"/>
        <v>0</v>
      </c>
      <c r="I115" s="543">
        <f t="shared" si="51"/>
        <v>0</v>
      </c>
    </row>
    <row r="116" spans="1:10" ht="15.75" customHeight="1" x14ac:dyDescent="0.2">
      <c r="A116" s="861"/>
      <c r="B116" s="544">
        <v>0.05</v>
      </c>
      <c r="C116" s="545">
        <f t="shared" ref="C116:I116" si="52">C95+C96+C109</f>
        <v>0</v>
      </c>
      <c r="D116" s="545">
        <f t="shared" si="52"/>
        <v>0</v>
      </c>
      <c r="E116" s="545">
        <f t="shared" si="52"/>
        <v>0</v>
      </c>
      <c r="F116" s="545">
        <f t="shared" si="52"/>
        <v>0</v>
      </c>
      <c r="G116" s="545">
        <f t="shared" si="52"/>
        <v>0</v>
      </c>
      <c r="H116" s="545">
        <f t="shared" si="52"/>
        <v>0</v>
      </c>
      <c r="I116" s="546">
        <f t="shared" si="52"/>
        <v>0</v>
      </c>
    </row>
    <row r="117" spans="1:10" ht="15.75" customHeight="1" x14ac:dyDescent="0.2">
      <c r="A117" s="453" t="s">
        <v>558</v>
      </c>
      <c r="B117" s="547"/>
      <c r="C117" s="548"/>
      <c r="D117" s="548"/>
      <c r="E117" s="548"/>
      <c r="F117" s="548"/>
      <c r="G117" s="548"/>
      <c r="H117" s="549"/>
      <c r="I117" s="550"/>
    </row>
    <row r="118" spans="1:10" ht="24.75" customHeight="1" x14ac:dyDescent="0.2">
      <c r="A118" s="551"/>
      <c r="B118" s="552"/>
      <c r="C118" s="553"/>
      <c r="D118" s="553"/>
      <c r="E118" s="553"/>
      <c r="F118" s="553"/>
      <c r="G118" s="553"/>
      <c r="H118" s="554"/>
      <c r="I118" s="555"/>
    </row>
    <row r="119" spans="1:10" ht="15.75" customHeight="1" x14ac:dyDescent="0.2">
      <c r="A119" s="862"/>
      <c r="B119" s="862"/>
      <c r="C119" s="862"/>
      <c r="D119" s="862"/>
      <c r="E119" s="862"/>
      <c r="F119" s="862"/>
      <c r="G119" s="862"/>
      <c r="H119" s="862"/>
      <c r="I119" s="862"/>
    </row>
    <row r="120" spans="1:10" ht="15.75" customHeight="1" x14ac:dyDescent="0.2">
      <c r="A120" s="863"/>
      <c r="B120" s="863"/>
      <c r="C120" s="863"/>
      <c r="D120" s="863"/>
      <c r="E120" s="863"/>
      <c r="F120" s="863"/>
      <c r="G120" s="863"/>
      <c r="H120" s="863"/>
      <c r="I120" s="863"/>
    </row>
    <row r="121" spans="1:10" ht="54.75" customHeight="1" x14ac:dyDescent="0.2">
      <c r="A121" s="864" t="s">
        <v>559</v>
      </c>
      <c r="B121" s="864"/>
      <c r="C121" s="556" t="str">
        <f t="shared" ref="C121:I121" si="53">C10</f>
        <v>Servente 40h (banheirista)
(insalubridade 40%)</v>
      </c>
      <c r="D121" s="556" t="str">
        <f t="shared" si="53"/>
        <v>Servente 40h
(insalubridade 20%)</v>
      </c>
      <c r="E121" s="556" t="str">
        <f t="shared" si="53"/>
        <v>Servente 30h (banheirista)
(insalubridade 40%)</v>
      </c>
      <c r="F121" s="556" t="str">
        <f t="shared" si="53"/>
        <v>Servente 30h
(insalubridade 20%)</v>
      </c>
      <c r="G121" s="556" t="str">
        <f t="shared" si="53"/>
        <v>Servente 20h
(insalubridade 20%)</v>
      </c>
      <c r="H121" s="557" t="str">
        <f t="shared" si="53"/>
        <v>Limpador alpinista 44h (limpeza de esquadrias com risco)</v>
      </c>
      <c r="I121" s="558" t="str">
        <f t="shared" si="53"/>
        <v>Encarregada 40h</v>
      </c>
    </row>
    <row r="122" spans="1:10" ht="15.75" customHeight="1" x14ac:dyDescent="0.2">
      <c r="A122" s="865" t="s">
        <v>560</v>
      </c>
      <c r="B122" s="865"/>
      <c r="C122" s="559" t="s">
        <v>488</v>
      </c>
      <c r="D122" s="559" t="s">
        <v>488</v>
      </c>
      <c r="E122" s="559" t="s">
        <v>488</v>
      </c>
      <c r="F122" s="559" t="s">
        <v>488</v>
      </c>
      <c r="G122" s="559" t="s">
        <v>488</v>
      </c>
      <c r="H122" s="559" t="s">
        <v>488</v>
      </c>
      <c r="I122" s="560" t="s">
        <v>488</v>
      </c>
    </row>
    <row r="123" spans="1:10" ht="14.25" customHeight="1" x14ac:dyDescent="0.2">
      <c r="A123" s="866" t="s">
        <v>561</v>
      </c>
      <c r="B123" s="866"/>
      <c r="C123" s="561">
        <f t="shared" ref="C123:I123" si="54">C19</f>
        <v>0</v>
      </c>
      <c r="D123" s="561">
        <f t="shared" si="54"/>
        <v>0</v>
      </c>
      <c r="E123" s="561">
        <f t="shared" si="54"/>
        <v>0</v>
      </c>
      <c r="F123" s="561">
        <f t="shared" si="54"/>
        <v>0</v>
      </c>
      <c r="G123" s="561">
        <f t="shared" si="54"/>
        <v>0</v>
      </c>
      <c r="H123" s="561">
        <f t="shared" si="54"/>
        <v>0</v>
      </c>
      <c r="I123" s="562">
        <f t="shared" si="54"/>
        <v>0</v>
      </c>
    </row>
    <row r="124" spans="1:10" ht="14.25" customHeight="1" x14ac:dyDescent="0.2">
      <c r="A124" s="867" t="s">
        <v>562</v>
      </c>
      <c r="B124" s="867"/>
      <c r="C124" s="563">
        <f t="shared" ref="C124:I124" si="55">C49</f>
        <v>0</v>
      </c>
      <c r="D124" s="563">
        <f t="shared" si="55"/>
        <v>0</v>
      </c>
      <c r="E124" s="563">
        <f t="shared" si="55"/>
        <v>0</v>
      </c>
      <c r="F124" s="563">
        <f t="shared" si="55"/>
        <v>0</v>
      </c>
      <c r="G124" s="563">
        <f t="shared" si="55"/>
        <v>0</v>
      </c>
      <c r="H124" s="563">
        <f t="shared" si="55"/>
        <v>0</v>
      </c>
      <c r="I124" s="564">
        <f t="shared" si="55"/>
        <v>0</v>
      </c>
    </row>
    <row r="125" spans="1:10" ht="14.25" customHeight="1" x14ac:dyDescent="0.2">
      <c r="A125" s="867" t="s">
        <v>563</v>
      </c>
      <c r="B125" s="867"/>
      <c r="C125" s="563">
        <f t="shared" ref="C125:I125" si="56">C60</f>
        <v>0</v>
      </c>
      <c r="D125" s="563">
        <f t="shared" si="56"/>
        <v>0</v>
      </c>
      <c r="E125" s="563">
        <f t="shared" si="56"/>
        <v>0</v>
      </c>
      <c r="F125" s="563">
        <f t="shared" si="56"/>
        <v>0</v>
      </c>
      <c r="G125" s="563">
        <f t="shared" si="56"/>
        <v>0</v>
      </c>
      <c r="H125" s="563">
        <f t="shared" si="56"/>
        <v>0</v>
      </c>
      <c r="I125" s="564">
        <f t="shared" si="56"/>
        <v>0</v>
      </c>
    </row>
    <row r="126" spans="1:10" ht="14.25" customHeight="1" x14ac:dyDescent="0.2">
      <c r="A126" s="867" t="s">
        <v>564</v>
      </c>
      <c r="B126" s="867"/>
      <c r="C126" s="563">
        <f t="shared" ref="C126:H126" si="57">C80</f>
        <v>0</v>
      </c>
      <c r="D126" s="563">
        <f t="shared" si="57"/>
        <v>0</v>
      </c>
      <c r="E126" s="563">
        <f t="shared" si="57"/>
        <v>0</v>
      </c>
      <c r="F126" s="563">
        <f t="shared" si="57"/>
        <v>0</v>
      </c>
      <c r="G126" s="563">
        <f t="shared" si="57"/>
        <v>0</v>
      </c>
      <c r="H126" s="563">
        <f t="shared" si="57"/>
        <v>0</v>
      </c>
      <c r="I126" s="564">
        <f>I69</f>
        <v>0</v>
      </c>
    </row>
    <row r="127" spans="1:10" ht="15.75" customHeight="1" x14ac:dyDescent="0.2">
      <c r="A127" s="867" t="s">
        <v>565</v>
      </c>
      <c r="B127" s="867"/>
      <c r="C127" s="563">
        <f t="shared" ref="C127:I127" si="58">C91</f>
        <v>0</v>
      </c>
      <c r="D127" s="563">
        <f t="shared" si="58"/>
        <v>0</v>
      </c>
      <c r="E127" s="563">
        <f t="shared" si="58"/>
        <v>0</v>
      </c>
      <c r="F127" s="563">
        <f t="shared" si="58"/>
        <v>0</v>
      </c>
      <c r="G127" s="563">
        <f t="shared" si="58"/>
        <v>0</v>
      </c>
      <c r="H127" s="563">
        <f t="shared" si="58"/>
        <v>0</v>
      </c>
      <c r="I127" s="564">
        <f t="shared" si="58"/>
        <v>0</v>
      </c>
    </row>
    <row r="128" spans="1:10" ht="15.75" customHeight="1" x14ac:dyDescent="0.2">
      <c r="A128" s="868" t="s">
        <v>566</v>
      </c>
      <c r="B128" s="868"/>
      <c r="C128" s="565">
        <f t="shared" ref="C128:I128" si="59">SUM(C123:C127)</f>
        <v>0</v>
      </c>
      <c r="D128" s="565">
        <f t="shared" si="59"/>
        <v>0</v>
      </c>
      <c r="E128" s="565">
        <f t="shared" si="59"/>
        <v>0</v>
      </c>
      <c r="F128" s="565">
        <f t="shared" si="59"/>
        <v>0</v>
      </c>
      <c r="G128" s="565">
        <f t="shared" si="59"/>
        <v>0</v>
      </c>
      <c r="H128" s="566">
        <f t="shared" si="59"/>
        <v>0</v>
      </c>
      <c r="I128" s="567">
        <f t="shared" si="59"/>
        <v>0</v>
      </c>
    </row>
    <row r="129" spans="1:9" ht="15.75" customHeight="1" x14ac:dyDescent="0.2">
      <c r="A129" s="869" t="s">
        <v>567</v>
      </c>
      <c r="B129" s="869"/>
      <c r="C129" s="568">
        <f t="shared" ref="C129:I133" si="60">C112</f>
        <v>0</v>
      </c>
      <c r="D129" s="568">
        <f t="shared" si="60"/>
        <v>0</v>
      </c>
      <c r="E129" s="568">
        <f t="shared" si="60"/>
        <v>0</v>
      </c>
      <c r="F129" s="568">
        <f t="shared" si="60"/>
        <v>0</v>
      </c>
      <c r="G129" s="568">
        <f t="shared" si="60"/>
        <v>0</v>
      </c>
      <c r="H129" s="568">
        <f t="shared" si="60"/>
        <v>0</v>
      </c>
      <c r="I129" s="569">
        <f t="shared" si="60"/>
        <v>0</v>
      </c>
    </row>
    <row r="130" spans="1:9" ht="15.75" customHeight="1" x14ac:dyDescent="0.2">
      <c r="A130" s="867" t="s">
        <v>568</v>
      </c>
      <c r="B130" s="867"/>
      <c r="C130" s="570">
        <f t="shared" si="60"/>
        <v>0</v>
      </c>
      <c r="D130" s="570">
        <f t="shared" si="60"/>
        <v>0</v>
      </c>
      <c r="E130" s="570">
        <f t="shared" si="60"/>
        <v>0</v>
      </c>
      <c r="F130" s="570">
        <f t="shared" si="60"/>
        <v>0</v>
      </c>
      <c r="G130" s="570">
        <f t="shared" si="60"/>
        <v>0</v>
      </c>
      <c r="H130" s="570">
        <f t="shared" si="60"/>
        <v>0</v>
      </c>
      <c r="I130" s="571">
        <f t="shared" si="60"/>
        <v>0</v>
      </c>
    </row>
    <row r="131" spans="1:9" ht="15.75" customHeight="1" x14ac:dyDescent="0.2">
      <c r="A131" s="867" t="s">
        <v>569</v>
      </c>
      <c r="B131" s="867"/>
      <c r="C131" s="570">
        <f t="shared" si="60"/>
        <v>0</v>
      </c>
      <c r="D131" s="570">
        <f t="shared" si="60"/>
        <v>0</v>
      </c>
      <c r="E131" s="570">
        <f t="shared" si="60"/>
        <v>0</v>
      </c>
      <c r="F131" s="570">
        <f t="shared" si="60"/>
        <v>0</v>
      </c>
      <c r="G131" s="570">
        <f t="shared" si="60"/>
        <v>0</v>
      </c>
      <c r="H131" s="570">
        <f t="shared" si="60"/>
        <v>0</v>
      </c>
      <c r="I131" s="571">
        <f t="shared" si="60"/>
        <v>0</v>
      </c>
    </row>
    <row r="132" spans="1:9" ht="15.75" customHeight="1" x14ac:dyDescent="0.2">
      <c r="A132" s="867" t="s">
        <v>570</v>
      </c>
      <c r="B132" s="867"/>
      <c r="C132" s="570">
        <f t="shared" si="60"/>
        <v>0</v>
      </c>
      <c r="D132" s="570">
        <f t="shared" si="60"/>
        <v>0</v>
      </c>
      <c r="E132" s="570">
        <f t="shared" si="60"/>
        <v>0</v>
      </c>
      <c r="F132" s="570">
        <f t="shared" si="60"/>
        <v>0</v>
      </c>
      <c r="G132" s="570">
        <f t="shared" si="60"/>
        <v>0</v>
      </c>
      <c r="H132" s="570">
        <f t="shared" si="60"/>
        <v>0</v>
      </c>
      <c r="I132" s="571">
        <f t="shared" si="60"/>
        <v>0</v>
      </c>
    </row>
    <row r="133" spans="1:9" ht="15.75" customHeight="1" x14ac:dyDescent="0.2">
      <c r="A133" s="869" t="s">
        <v>571</v>
      </c>
      <c r="B133" s="869"/>
      <c r="C133" s="570">
        <f t="shared" si="60"/>
        <v>0</v>
      </c>
      <c r="D133" s="570">
        <f t="shared" si="60"/>
        <v>0</v>
      </c>
      <c r="E133" s="570">
        <f t="shared" si="60"/>
        <v>0</v>
      </c>
      <c r="F133" s="570">
        <f t="shared" si="60"/>
        <v>0</v>
      </c>
      <c r="G133" s="570">
        <f t="shared" si="60"/>
        <v>0</v>
      </c>
      <c r="H133" s="570">
        <f t="shared" si="60"/>
        <v>0</v>
      </c>
      <c r="I133" s="571">
        <f t="shared" si="60"/>
        <v>0</v>
      </c>
    </row>
    <row r="134" spans="1:9" ht="15.75" customHeight="1" x14ac:dyDescent="0.2">
      <c r="A134" s="572" t="s">
        <v>572</v>
      </c>
      <c r="B134" s="573"/>
      <c r="C134" s="574">
        <f t="shared" ref="C134:I134" si="61">C128+C129</f>
        <v>0</v>
      </c>
      <c r="D134" s="574">
        <f t="shared" si="61"/>
        <v>0</v>
      </c>
      <c r="E134" s="574">
        <f t="shared" si="61"/>
        <v>0</v>
      </c>
      <c r="F134" s="574">
        <f t="shared" si="61"/>
        <v>0</v>
      </c>
      <c r="G134" s="574">
        <f t="shared" si="61"/>
        <v>0</v>
      </c>
      <c r="H134" s="574">
        <f t="shared" si="61"/>
        <v>0</v>
      </c>
      <c r="I134" s="575">
        <f t="shared" si="61"/>
        <v>0</v>
      </c>
    </row>
    <row r="135" spans="1:9" ht="15.75" customHeight="1" x14ac:dyDescent="0.2">
      <c r="A135" s="576" t="s">
        <v>573</v>
      </c>
      <c r="B135" s="577"/>
      <c r="C135" s="578">
        <f t="shared" ref="C135:I135" si="62">C128+C130</f>
        <v>0</v>
      </c>
      <c r="D135" s="578">
        <f t="shared" si="62"/>
        <v>0</v>
      </c>
      <c r="E135" s="578">
        <f t="shared" si="62"/>
        <v>0</v>
      </c>
      <c r="F135" s="578">
        <f t="shared" si="62"/>
        <v>0</v>
      </c>
      <c r="G135" s="578">
        <f t="shared" si="62"/>
        <v>0</v>
      </c>
      <c r="H135" s="578">
        <f t="shared" si="62"/>
        <v>0</v>
      </c>
      <c r="I135" s="579">
        <f t="shared" si="62"/>
        <v>0</v>
      </c>
    </row>
    <row r="136" spans="1:9" ht="15.75" customHeight="1" x14ac:dyDescent="0.2">
      <c r="A136" s="576" t="s">
        <v>574</v>
      </c>
      <c r="B136" s="577"/>
      <c r="C136" s="578">
        <f t="shared" ref="C136:I136" si="63">C128+C131</f>
        <v>0</v>
      </c>
      <c r="D136" s="578">
        <f t="shared" si="63"/>
        <v>0</v>
      </c>
      <c r="E136" s="578">
        <f t="shared" si="63"/>
        <v>0</v>
      </c>
      <c r="F136" s="578">
        <f t="shared" si="63"/>
        <v>0</v>
      </c>
      <c r="G136" s="578">
        <f t="shared" si="63"/>
        <v>0</v>
      </c>
      <c r="H136" s="578">
        <f t="shared" si="63"/>
        <v>0</v>
      </c>
      <c r="I136" s="579">
        <f t="shared" si="63"/>
        <v>0</v>
      </c>
    </row>
    <row r="137" spans="1:9" ht="15.75" customHeight="1" x14ac:dyDescent="0.2">
      <c r="A137" s="576" t="s">
        <v>575</v>
      </c>
      <c r="B137" s="577"/>
      <c r="C137" s="578">
        <f t="shared" ref="C137:I137" si="64">C128+C132</f>
        <v>0</v>
      </c>
      <c r="D137" s="578">
        <f t="shared" si="64"/>
        <v>0</v>
      </c>
      <c r="E137" s="578">
        <f t="shared" si="64"/>
        <v>0</v>
      </c>
      <c r="F137" s="578">
        <f t="shared" si="64"/>
        <v>0</v>
      </c>
      <c r="G137" s="578">
        <f t="shared" si="64"/>
        <v>0</v>
      </c>
      <c r="H137" s="578">
        <f t="shared" si="64"/>
        <v>0</v>
      </c>
      <c r="I137" s="579">
        <f t="shared" si="64"/>
        <v>0</v>
      </c>
    </row>
    <row r="138" spans="1:9" ht="15.75" customHeight="1" x14ac:dyDescent="0.2">
      <c r="A138" s="576" t="s">
        <v>576</v>
      </c>
      <c r="B138" s="577"/>
      <c r="C138" s="578">
        <f t="shared" ref="C138:I138" si="65">C128+C133</f>
        <v>0</v>
      </c>
      <c r="D138" s="578">
        <f t="shared" si="65"/>
        <v>0</v>
      </c>
      <c r="E138" s="578">
        <f t="shared" si="65"/>
        <v>0</v>
      </c>
      <c r="F138" s="578">
        <f t="shared" si="65"/>
        <v>0</v>
      </c>
      <c r="G138" s="578">
        <f t="shared" si="65"/>
        <v>0</v>
      </c>
      <c r="H138" s="578">
        <f t="shared" si="65"/>
        <v>0</v>
      </c>
      <c r="I138" s="579">
        <f t="shared" si="65"/>
        <v>0</v>
      </c>
    </row>
    <row r="139" spans="1:9" ht="15.75" customHeight="1" x14ac:dyDescent="0.2">
      <c r="A139" s="580" t="s">
        <v>577</v>
      </c>
      <c r="B139" s="581"/>
      <c r="C139" s="582">
        <f>C134/200</f>
        <v>0</v>
      </c>
      <c r="D139" s="582"/>
      <c r="E139" s="582"/>
      <c r="F139" s="582"/>
      <c r="G139" s="582"/>
      <c r="H139" s="583"/>
      <c r="I139" s="584"/>
    </row>
    <row r="140" spans="1:9" ht="15.75" customHeight="1" x14ac:dyDescent="0.2">
      <c r="A140" s="585" t="s">
        <v>578</v>
      </c>
      <c r="B140" s="586"/>
      <c r="C140" s="587">
        <f>C135/200</f>
        <v>0</v>
      </c>
      <c r="D140" s="587"/>
      <c r="E140" s="587"/>
      <c r="F140" s="587"/>
      <c r="G140" s="587"/>
      <c r="H140" s="588"/>
      <c r="I140" s="589"/>
    </row>
    <row r="141" spans="1:9" ht="15.75" customHeight="1" x14ac:dyDescent="0.2">
      <c r="A141" s="585" t="s">
        <v>579</v>
      </c>
      <c r="B141" s="586"/>
      <c r="C141" s="587">
        <f>C136/200</f>
        <v>0</v>
      </c>
      <c r="D141" s="587"/>
      <c r="E141" s="587"/>
      <c r="F141" s="587"/>
      <c r="G141" s="587"/>
      <c r="H141" s="588"/>
      <c r="I141" s="589"/>
    </row>
    <row r="142" spans="1:9" ht="15.75" customHeight="1" x14ac:dyDescent="0.2">
      <c r="A142" s="585" t="s">
        <v>580</v>
      </c>
      <c r="B142" s="586"/>
      <c r="C142" s="587">
        <f>C137/200</f>
        <v>0</v>
      </c>
      <c r="D142" s="587"/>
      <c r="E142" s="587"/>
      <c r="F142" s="587"/>
      <c r="G142" s="587"/>
      <c r="H142" s="588"/>
      <c r="I142" s="589"/>
    </row>
    <row r="143" spans="1:9" ht="15.75" customHeight="1" x14ac:dyDescent="0.2">
      <c r="A143" s="590" t="s">
        <v>581</v>
      </c>
      <c r="B143" s="591"/>
      <c r="C143" s="592">
        <f>C138/200</f>
        <v>0</v>
      </c>
      <c r="D143" s="592"/>
      <c r="E143" s="592"/>
      <c r="F143" s="592"/>
      <c r="G143" s="592"/>
      <c r="H143" s="593"/>
      <c r="I143" s="594"/>
    </row>
    <row r="144" spans="1:9" x14ac:dyDescent="0.2">
      <c r="A144" s="595"/>
    </row>
    <row r="145" spans="1:15" ht="14.25" customHeight="1" x14ac:dyDescent="0.2">
      <c r="A145" s="870" t="s">
        <v>582</v>
      </c>
      <c r="B145" s="870"/>
      <c r="C145" s="870" t="s">
        <v>583</v>
      </c>
      <c r="D145" s="870"/>
      <c r="E145" s="871" t="s">
        <v>584</v>
      </c>
      <c r="F145" s="871"/>
      <c r="G145" s="870" t="s">
        <v>585</v>
      </c>
      <c r="H145" s="870"/>
      <c r="I145" s="870" t="s">
        <v>586</v>
      </c>
      <c r="J145" s="870"/>
      <c r="K145" s="870" t="s">
        <v>587</v>
      </c>
      <c r="L145" s="870"/>
    </row>
    <row r="146" spans="1:15" ht="25.5" x14ac:dyDescent="0.2">
      <c r="A146" s="596" t="s">
        <v>588</v>
      </c>
      <c r="B146" s="597" t="s">
        <v>589</v>
      </c>
      <c r="C146" s="597" t="s">
        <v>590</v>
      </c>
      <c r="D146" s="597" t="s">
        <v>591</v>
      </c>
      <c r="E146" s="597" t="s">
        <v>590</v>
      </c>
      <c r="F146" s="597" t="s">
        <v>591</v>
      </c>
      <c r="G146" s="597" t="s">
        <v>590</v>
      </c>
      <c r="H146" s="597" t="s">
        <v>591</v>
      </c>
      <c r="I146" s="597" t="s">
        <v>590</v>
      </c>
      <c r="J146" s="597" t="s">
        <v>591</v>
      </c>
      <c r="K146" s="597" t="s">
        <v>590</v>
      </c>
      <c r="L146" s="597" t="s">
        <v>591</v>
      </c>
    </row>
    <row r="147" spans="1:15" x14ac:dyDescent="0.2">
      <c r="A147" s="598" t="s">
        <v>592</v>
      </c>
      <c r="B147" s="599">
        <f>1/'Prod. GEXPOA'!D11</f>
        <v>1E-3</v>
      </c>
      <c r="C147" s="600">
        <f>D134</f>
        <v>0</v>
      </c>
      <c r="D147" s="600">
        <f>B147*C147</f>
        <v>0</v>
      </c>
      <c r="E147" s="600">
        <f>D135</f>
        <v>0</v>
      </c>
      <c r="F147" s="600">
        <f>B147*E147</f>
        <v>0</v>
      </c>
      <c r="G147" s="600">
        <f>D136</f>
        <v>0</v>
      </c>
      <c r="H147" s="600">
        <f>B147*G147</f>
        <v>0</v>
      </c>
      <c r="I147" s="600">
        <f>D137</f>
        <v>0</v>
      </c>
      <c r="J147" s="600">
        <f>B147*I147</f>
        <v>0</v>
      </c>
      <c r="K147" s="600">
        <f>D138</f>
        <v>0</v>
      </c>
      <c r="L147" s="600">
        <f>B147*K147</f>
        <v>0</v>
      </c>
    </row>
    <row r="148" spans="1:15" x14ac:dyDescent="0.2">
      <c r="A148" s="601" t="s">
        <v>593</v>
      </c>
      <c r="B148" s="599">
        <f>B147/'Prod. GEXPOA'!Q11</f>
        <v>2.8571428571428571E-5</v>
      </c>
      <c r="C148" s="600">
        <f>I135</f>
        <v>0</v>
      </c>
      <c r="D148" s="600">
        <f>C148*B148</f>
        <v>0</v>
      </c>
      <c r="E148" s="600">
        <f>I135</f>
        <v>0</v>
      </c>
      <c r="F148" s="600">
        <f>B148*E148</f>
        <v>0</v>
      </c>
      <c r="G148" s="600">
        <f>I135</f>
        <v>0</v>
      </c>
      <c r="H148" s="600">
        <f>B148*G148</f>
        <v>0</v>
      </c>
      <c r="I148" s="600">
        <f>I135</f>
        <v>0</v>
      </c>
      <c r="J148" s="600">
        <f>B148*I148</f>
        <v>0</v>
      </c>
      <c r="K148" s="600">
        <f>I135</f>
        <v>0</v>
      </c>
      <c r="L148" s="600">
        <f>B148*K148</f>
        <v>0</v>
      </c>
      <c r="M148" s="872"/>
      <c r="N148" s="872"/>
      <c r="O148" s="602"/>
    </row>
    <row r="149" spans="1:15" x14ac:dyDescent="0.2">
      <c r="A149" s="603" t="s">
        <v>594</v>
      </c>
      <c r="B149" s="604"/>
      <c r="C149" s="605"/>
      <c r="D149" s="605">
        <f>SUM(D147:D148)</f>
        <v>0</v>
      </c>
      <c r="E149" s="605"/>
      <c r="F149" s="605">
        <f>SUM(F147:F148)</f>
        <v>0</v>
      </c>
      <c r="G149" s="605"/>
      <c r="H149" s="605">
        <f>SUM(H147:H148)</f>
        <v>0</v>
      </c>
      <c r="I149" s="605"/>
      <c r="J149" s="605">
        <f>SUM(J147:J148)</f>
        <v>0</v>
      </c>
      <c r="K149" s="605"/>
      <c r="L149" s="605">
        <f>SUM(L147:L148)</f>
        <v>0</v>
      </c>
      <c r="M149" s="606"/>
      <c r="N149" s="607"/>
    </row>
    <row r="150" spans="1:15" x14ac:dyDescent="0.2">
      <c r="A150" s="595"/>
    </row>
    <row r="151" spans="1:15" ht="14.25" customHeight="1" x14ac:dyDescent="0.2">
      <c r="A151" s="870" t="s">
        <v>595</v>
      </c>
      <c r="B151" s="870"/>
      <c r="C151" s="870" t="s">
        <v>583</v>
      </c>
      <c r="D151" s="870"/>
      <c r="E151" s="871" t="s">
        <v>584</v>
      </c>
      <c r="F151" s="871"/>
      <c r="G151" s="870" t="s">
        <v>585</v>
      </c>
      <c r="H151" s="870"/>
      <c r="I151" s="870" t="s">
        <v>586</v>
      </c>
      <c r="J151" s="870"/>
      <c r="K151" s="870" t="s">
        <v>587</v>
      </c>
      <c r="L151" s="870"/>
    </row>
    <row r="152" spans="1:15" ht="25.5" x14ac:dyDescent="0.2">
      <c r="A152" s="596" t="s">
        <v>588</v>
      </c>
      <c r="B152" s="597" t="s">
        <v>589</v>
      </c>
      <c r="C152" s="597" t="s">
        <v>590</v>
      </c>
      <c r="D152" s="597" t="s">
        <v>591</v>
      </c>
      <c r="E152" s="597" t="s">
        <v>590</v>
      </c>
      <c r="F152" s="597" t="s">
        <v>591</v>
      </c>
      <c r="G152" s="597" t="s">
        <v>590</v>
      </c>
      <c r="H152" s="597" t="s">
        <v>591</v>
      </c>
      <c r="I152" s="597" t="s">
        <v>590</v>
      </c>
      <c r="J152" s="597" t="s">
        <v>591</v>
      </c>
      <c r="K152" s="597" t="s">
        <v>590</v>
      </c>
      <c r="L152" s="597" t="s">
        <v>591</v>
      </c>
    </row>
    <row r="153" spans="1:15" x14ac:dyDescent="0.2">
      <c r="A153" s="598" t="s">
        <v>592</v>
      </c>
      <c r="B153" s="599">
        <f>1/'Prod. GEXPOA'!E11</f>
        <v>1E-3</v>
      </c>
      <c r="C153" s="608">
        <f>C134</f>
        <v>0</v>
      </c>
      <c r="D153" s="600">
        <f>B153*C153</f>
        <v>0</v>
      </c>
      <c r="E153" s="608">
        <f>C135</f>
        <v>0</v>
      </c>
      <c r="F153" s="600">
        <f>B153*E153</f>
        <v>0</v>
      </c>
      <c r="G153" s="608">
        <f>C136</f>
        <v>0</v>
      </c>
      <c r="H153" s="600">
        <f>B153*G153</f>
        <v>0</v>
      </c>
      <c r="I153" s="608">
        <f>C137</f>
        <v>0</v>
      </c>
      <c r="J153" s="600">
        <f>B153*I153</f>
        <v>0</v>
      </c>
      <c r="K153" s="608">
        <f>C138</f>
        <v>0</v>
      </c>
      <c r="L153" s="600">
        <f>B153*K153</f>
        <v>0</v>
      </c>
    </row>
    <row r="154" spans="1:15" x14ac:dyDescent="0.2">
      <c r="A154" s="601" t="s">
        <v>593</v>
      </c>
      <c r="B154" s="599">
        <f>B153/'Prod. GEXPOA'!Q11</f>
        <v>2.8571428571428571E-5</v>
      </c>
      <c r="C154" s="600">
        <f>I135</f>
        <v>0</v>
      </c>
      <c r="D154" s="600">
        <f>C154*B154</f>
        <v>0</v>
      </c>
      <c r="E154" s="600">
        <f>I135</f>
        <v>0</v>
      </c>
      <c r="F154" s="600">
        <f>B154*E154</f>
        <v>0</v>
      </c>
      <c r="G154" s="600">
        <f>I135</f>
        <v>0</v>
      </c>
      <c r="H154" s="600">
        <f>B154*G154</f>
        <v>0</v>
      </c>
      <c r="I154" s="600">
        <f>I135</f>
        <v>0</v>
      </c>
      <c r="J154" s="600">
        <f>B154*I154</f>
        <v>0</v>
      </c>
      <c r="K154" s="600">
        <f>I135</f>
        <v>0</v>
      </c>
      <c r="L154" s="600">
        <f>B154*K154</f>
        <v>0</v>
      </c>
      <c r="M154" s="872"/>
      <c r="N154" s="872"/>
      <c r="O154" s="602"/>
    </row>
    <row r="155" spans="1:15" x14ac:dyDescent="0.2">
      <c r="A155" s="603" t="s">
        <v>594</v>
      </c>
      <c r="B155" s="604"/>
      <c r="C155" s="605"/>
      <c r="D155" s="605">
        <f>SUM(D153:D154)</f>
        <v>0</v>
      </c>
      <c r="E155" s="605"/>
      <c r="F155" s="605">
        <f>SUM(F153:F154)</f>
        <v>0</v>
      </c>
      <c r="G155" s="605"/>
      <c r="H155" s="605">
        <f>SUM(H153:H154)</f>
        <v>0</v>
      </c>
      <c r="I155" s="605"/>
      <c r="J155" s="605">
        <f>SUM(J153:J154)</f>
        <v>0</v>
      </c>
      <c r="K155" s="605"/>
      <c r="L155" s="605">
        <f>SUM(L153:L154)</f>
        <v>0</v>
      </c>
      <c r="M155" s="606"/>
      <c r="N155" s="607"/>
    </row>
    <row r="156" spans="1:15" x14ac:dyDescent="0.2">
      <c r="A156" s="609"/>
      <c r="B156" s="610"/>
      <c r="C156" s="610"/>
      <c r="D156" s="610"/>
      <c r="E156" s="611"/>
      <c r="F156" s="611"/>
      <c r="G156" s="611"/>
      <c r="H156" s="611"/>
    </row>
    <row r="157" spans="1:15" ht="14.25" customHeight="1" x14ac:dyDescent="0.2">
      <c r="A157" s="871" t="s">
        <v>596</v>
      </c>
      <c r="B157" s="871"/>
      <c r="C157" s="871" t="s">
        <v>583</v>
      </c>
      <c r="D157" s="871"/>
      <c r="E157" s="871" t="s">
        <v>584</v>
      </c>
      <c r="F157" s="871"/>
      <c r="G157" s="871" t="s">
        <v>585</v>
      </c>
      <c r="H157" s="871"/>
      <c r="I157" s="871" t="s">
        <v>586</v>
      </c>
      <c r="J157" s="871"/>
      <c r="K157" s="871" t="s">
        <v>587</v>
      </c>
      <c r="L157" s="871"/>
    </row>
    <row r="158" spans="1:15" ht="25.5" x14ac:dyDescent="0.2">
      <c r="A158" s="596" t="s">
        <v>588</v>
      </c>
      <c r="B158" s="597" t="s">
        <v>597</v>
      </c>
      <c r="C158" s="597" t="s">
        <v>590</v>
      </c>
      <c r="D158" s="597" t="s">
        <v>591</v>
      </c>
      <c r="E158" s="597" t="s">
        <v>590</v>
      </c>
      <c r="F158" s="597" t="s">
        <v>591</v>
      </c>
      <c r="G158" s="597" t="s">
        <v>590</v>
      </c>
      <c r="H158" s="597" t="s">
        <v>591</v>
      </c>
      <c r="I158" s="597" t="s">
        <v>590</v>
      </c>
      <c r="J158" s="597" t="s">
        <v>591</v>
      </c>
      <c r="K158" s="597" t="s">
        <v>590</v>
      </c>
      <c r="L158" s="597" t="s">
        <v>591</v>
      </c>
    </row>
    <row r="159" spans="1:15" x14ac:dyDescent="0.2">
      <c r="A159" s="598" t="s">
        <v>592</v>
      </c>
      <c r="B159" s="612">
        <f>1/'Prod. GEXPOA'!F11</f>
        <v>4.0000000000000002E-4</v>
      </c>
      <c r="C159" s="613">
        <f>D134</f>
        <v>0</v>
      </c>
      <c r="D159" s="600">
        <f>B159*C159</f>
        <v>0</v>
      </c>
      <c r="E159" s="600">
        <f>D135</f>
        <v>0</v>
      </c>
      <c r="F159" s="600">
        <f>B159*E159</f>
        <v>0</v>
      </c>
      <c r="G159" s="600">
        <f>D136</f>
        <v>0</v>
      </c>
      <c r="H159" s="600">
        <f>B159*G159</f>
        <v>0</v>
      </c>
      <c r="I159" s="600">
        <f>D137</f>
        <v>0</v>
      </c>
      <c r="J159" s="600">
        <f>B159*I159</f>
        <v>0</v>
      </c>
      <c r="K159" s="600">
        <f>D138</f>
        <v>0</v>
      </c>
      <c r="L159" s="600">
        <f>B159*K159</f>
        <v>0</v>
      </c>
    </row>
    <row r="160" spans="1:15" x14ac:dyDescent="0.2">
      <c r="A160" s="601" t="s">
        <v>593</v>
      </c>
      <c r="B160" s="599">
        <f>B159/'Prod. GEXPOA'!Q11</f>
        <v>1.1428571428571429E-5</v>
      </c>
      <c r="C160" s="600">
        <f>I135</f>
        <v>0</v>
      </c>
      <c r="D160" s="600">
        <f>B160*C160</f>
        <v>0</v>
      </c>
      <c r="E160" s="600">
        <f>I135</f>
        <v>0</v>
      </c>
      <c r="F160" s="600">
        <f>B160*E160</f>
        <v>0</v>
      </c>
      <c r="G160" s="600">
        <f>I135</f>
        <v>0</v>
      </c>
      <c r="H160" s="600">
        <f>B160*G160</f>
        <v>0</v>
      </c>
      <c r="I160" s="600">
        <f>I135</f>
        <v>0</v>
      </c>
      <c r="J160" s="600">
        <f>B160*I160</f>
        <v>0</v>
      </c>
      <c r="K160" s="600">
        <f>I135</f>
        <v>0</v>
      </c>
      <c r="L160" s="600">
        <f>B160*K160</f>
        <v>0</v>
      </c>
    </row>
    <row r="161" spans="1:12" x14ac:dyDescent="0.2">
      <c r="A161" s="603" t="s">
        <v>598</v>
      </c>
      <c r="B161" s="604"/>
      <c r="C161" s="605"/>
      <c r="D161" s="605">
        <f>SUM(D159:D160)</f>
        <v>0</v>
      </c>
      <c r="E161" s="605"/>
      <c r="F161" s="605">
        <f>SUM(F159:F160)</f>
        <v>0</v>
      </c>
      <c r="G161" s="605"/>
      <c r="H161" s="605">
        <f>SUM(H159:H160)</f>
        <v>0</v>
      </c>
      <c r="I161" s="605"/>
      <c r="J161" s="605">
        <f>SUM(J159:J160)</f>
        <v>0</v>
      </c>
      <c r="K161" s="605"/>
      <c r="L161" s="605">
        <f>SUM(L159:L160)</f>
        <v>0</v>
      </c>
    </row>
    <row r="162" spans="1:12" x14ac:dyDescent="0.2">
      <c r="A162" s="609"/>
      <c r="B162" s="614"/>
      <c r="C162" s="614"/>
      <c r="D162" s="614"/>
      <c r="E162" s="614"/>
      <c r="F162" s="614"/>
      <c r="G162" s="614"/>
      <c r="H162" s="614"/>
    </row>
    <row r="163" spans="1:12" ht="14.25" customHeight="1" x14ac:dyDescent="0.2">
      <c r="A163" s="871" t="s">
        <v>599</v>
      </c>
      <c r="B163" s="871"/>
      <c r="C163" s="871" t="s">
        <v>583</v>
      </c>
      <c r="D163" s="871"/>
      <c r="E163" s="871" t="s">
        <v>584</v>
      </c>
      <c r="F163" s="871"/>
      <c r="G163" s="871" t="s">
        <v>585</v>
      </c>
      <c r="H163" s="871"/>
      <c r="I163" s="871" t="s">
        <v>586</v>
      </c>
      <c r="J163" s="871"/>
      <c r="K163" s="871" t="s">
        <v>587</v>
      </c>
      <c r="L163" s="871"/>
    </row>
    <row r="164" spans="1:12" ht="25.5" x14ac:dyDescent="0.2">
      <c r="A164" s="596" t="s">
        <v>588</v>
      </c>
      <c r="B164" s="597" t="s">
        <v>597</v>
      </c>
      <c r="C164" s="597" t="s">
        <v>590</v>
      </c>
      <c r="D164" s="597" t="s">
        <v>591</v>
      </c>
      <c r="E164" s="597" t="s">
        <v>590</v>
      </c>
      <c r="F164" s="597" t="s">
        <v>591</v>
      </c>
      <c r="G164" s="597" t="s">
        <v>590</v>
      </c>
      <c r="H164" s="597" t="s">
        <v>591</v>
      </c>
      <c r="I164" s="597" t="s">
        <v>590</v>
      </c>
      <c r="J164" s="597" t="s">
        <v>591</v>
      </c>
      <c r="K164" s="597" t="s">
        <v>590</v>
      </c>
      <c r="L164" s="597" t="s">
        <v>591</v>
      </c>
    </row>
    <row r="165" spans="1:12" x14ac:dyDescent="0.2">
      <c r="A165" s="598" t="s">
        <v>592</v>
      </c>
      <c r="B165" s="612">
        <f>1/'Prod. GEXPOA'!G11</f>
        <v>6.6666666666666664E-4</v>
      </c>
      <c r="C165" s="613">
        <f>D134</f>
        <v>0</v>
      </c>
      <c r="D165" s="600">
        <f>B165*C165</f>
        <v>0</v>
      </c>
      <c r="E165" s="600">
        <f>D135</f>
        <v>0</v>
      </c>
      <c r="F165" s="600">
        <f>B165*E165</f>
        <v>0</v>
      </c>
      <c r="G165" s="600">
        <f>D136</f>
        <v>0</v>
      </c>
      <c r="H165" s="600">
        <f>B165*G165</f>
        <v>0</v>
      </c>
      <c r="I165" s="600">
        <f>D137</f>
        <v>0</v>
      </c>
      <c r="J165" s="600">
        <f>B165*I165</f>
        <v>0</v>
      </c>
      <c r="K165" s="600">
        <f>D138</f>
        <v>0</v>
      </c>
      <c r="L165" s="600">
        <f>B165*K165</f>
        <v>0</v>
      </c>
    </row>
    <row r="166" spans="1:12" x14ac:dyDescent="0.2">
      <c r="A166" s="601" t="s">
        <v>593</v>
      </c>
      <c r="B166" s="599">
        <f>B165/'Prod. GEXPOA'!Q11</f>
        <v>1.9047619047619046E-5</v>
      </c>
      <c r="C166" s="600">
        <f>I135</f>
        <v>0</v>
      </c>
      <c r="D166" s="600">
        <f>B166*C166</f>
        <v>0</v>
      </c>
      <c r="E166" s="600">
        <f>I135</f>
        <v>0</v>
      </c>
      <c r="F166" s="600">
        <f>B166*E166</f>
        <v>0</v>
      </c>
      <c r="G166" s="600">
        <f>I135</f>
        <v>0</v>
      </c>
      <c r="H166" s="600">
        <f>B166*G166</f>
        <v>0</v>
      </c>
      <c r="I166" s="600">
        <f>I135</f>
        <v>0</v>
      </c>
      <c r="J166" s="600">
        <f>B166*I166</f>
        <v>0</v>
      </c>
      <c r="K166" s="600">
        <f>I135</f>
        <v>0</v>
      </c>
      <c r="L166" s="600">
        <f>B166*K166</f>
        <v>0</v>
      </c>
    </row>
    <row r="167" spans="1:12" x14ac:dyDescent="0.2">
      <c r="A167" s="603" t="s">
        <v>598</v>
      </c>
      <c r="B167" s="604"/>
      <c r="C167" s="605"/>
      <c r="D167" s="605">
        <f>SUM(D165:D166)</f>
        <v>0</v>
      </c>
      <c r="E167" s="605"/>
      <c r="F167" s="605">
        <f>SUM(F165:F166)</f>
        <v>0</v>
      </c>
      <c r="G167" s="605"/>
      <c r="H167" s="605">
        <f>SUM(H165:H166)</f>
        <v>0</v>
      </c>
      <c r="I167" s="605"/>
      <c r="J167" s="605">
        <f>SUM(J165:J166)</f>
        <v>0</v>
      </c>
      <c r="K167" s="605"/>
      <c r="L167" s="605">
        <f>SUM(L165:L166)</f>
        <v>0</v>
      </c>
    </row>
    <row r="168" spans="1:12" x14ac:dyDescent="0.2">
      <c r="A168" s="609"/>
      <c r="B168" s="614"/>
      <c r="C168" s="614"/>
      <c r="D168" s="614"/>
      <c r="E168" s="614"/>
      <c r="F168" s="614"/>
      <c r="G168" s="614"/>
      <c r="H168" s="614"/>
    </row>
    <row r="169" spans="1:12" ht="14.25" customHeight="1" x14ac:dyDescent="0.2">
      <c r="A169" s="871" t="s">
        <v>600</v>
      </c>
      <c r="B169" s="871"/>
      <c r="C169" s="871" t="s">
        <v>583</v>
      </c>
      <c r="D169" s="871"/>
      <c r="E169" s="871" t="s">
        <v>584</v>
      </c>
      <c r="F169" s="871"/>
      <c r="G169" s="871" t="s">
        <v>585</v>
      </c>
      <c r="H169" s="871"/>
      <c r="I169" s="871" t="s">
        <v>586</v>
      </c>
      <c r="J169" s="871"/>
      <c r="K169" s="871" t="s">
        <v>587</v>
      </c>
      <c r="L169" s="871"/>
    </row>
    <row r="170" spans="1:12" ht="25.5" x14ac:dyDescent="0.2">
      <c r="A170" s="596" t="s">
        <v>588</v>
      </c>
      <c r="B170" s="597" t="s">
        <v>597</v>
      </c>
      <c r="C170" s="597" t="s">
        <v>590</v>
      </c>
      <c r="D170" s="597" t="s">
        <v>591</v>
      </c>
      <c r="E170" s="597" t="s">
        <v>590</v>
      </c>
      <c r="F170" s="597" t="s">
        <v>591</v>
      </c>
      <c r="G170" s="597" t="s">
        <v>590</v>
      </c>
      <c r="H170" s="597" t="s">
        <v>591</v>
      </c>
      <c r="I170" s="597" t="s">
        <v>590</v>
      </c>
      <c r="J170" s="597" t="s">
        <v>591</v>
      </c>
      <c r="K170" s="597" t="s">
        <v>590</v>
      </c>
      <c r="L170" s="597" t="s">
        <v>591</v>
      </c>
    </row>
    <row r="171" spans="1:12" x14ac:dyDescent="0.2">
      <c r="A171" s="598" t="s">
        <v>592</v>
      </c>
      <c r="B171" s="612">
        <f>1/'Prod. GEXPOA'!H11</f>
        <v>3.8461538461538464E-3</v>
      </c>
      <c r="C171" s="608">
        <f>C134</f>
        <v>0</v>
      </c>
      <c r="D171" s="600">
        <f>B171*C171</f>
        <v>0</v>
      </c>
      <c r="E171" s="608">
        <f>C135</f>
        <v>0</v>
      </c>
      <c r="F171" s="600">
        <f>B171*E171</f>
        <v>0</v>
      </c>
      <c r="G171" s="608">
        <f>C136</f>
        <v>0</v>
      </c>
      <c r="H171" s="600">
        <f>B171*G171</f>
        <v>0</v>
      </c>
      <c r="I171" s="608">
        <f>C137</f>
        <v>0</v>
      </c>
      <c r="J171" s="600">
        <f>B171*I171</f>
        <v>0</v>
      </c>
      <c r="K171" s="608">
        <f>C138</f>
        <v>0</v>
      </c>
      <c r="L171" s="600">
        <f>B171*K171</f>
        <v>0</v>
      </c>
    </row>
    <row r="172" spans="1:12" x14ac:dyDescent="0.2">
      <c r="A172" s="601" t="s">
        <v>593</v>
      </c>
      <c r="B172" s="599">
        <f>B171/'Prod. GEXPOA'!Q11</f>
        <v>1.0989010989010989E-4</v>
      </c>
      <c r="C172" s="600">
        <f>I135</f>
        <v>0</v>
      </c>
      <c r="D172" s="600">
        <f>C172*B172</f>
        <v>0</v>
      </c>
      <c r="E172" s="600">
        <f>I135</f>
        <v>0</v>
      </c>
      <c r="F172" s="600">
        <f>B172*E172</f>
        <v>0</v>
      </c>
      <c r="G172" s="600">
        <f>I135</f>
        <v>0</v>
      </c>
      <c r="H172" s="600">
        <f>B172*G172</f>
        <v>0</v>
      </c>
      <c r="I172" s="600">
        <f>I135</f>
        <v>0</v>
      </c>
      <c r="J172" s="600">
        <f>B172*I172</f>
        <v>0</v>
      </c>
      <c r="K172" s="600">
        <f>I135</f>
        <v>0</v>
      </c>
      <c r="L172" s="600">
        <f>B172*K172</f>
        <v>0</v>
      </c>
    </row>
    <row r="173" spans="1:12" x14ac:dyDescent="0.2">
      <c r="A173" s="603" t="s">
        <v>598</v>
      </c>
      <c r="B173" s="604"/>
      <c r="C173" s="605"/>
      <c r="D173" s="605">
        <f>SUM(D171:D172)</f>
        <v>0</v>
      </c>
      <c r="E173" s="605"/>
      <c r="F173" s="605">
        <f>SUM(F171:F172)</f>
        <v>0</v>
      </c>
      <c r="G173" s="605"/>
      <c r="H173" s="605">
        <f>SUM(H171:H172)</f>
        <v>0</v>
      </c>
      <c r="I173" s="605"/>
      <c r="J173" s="605">
        <f>SUM(J171:J172)</f>
        <v>0</v>
      </c>
      <c r="K173" s="605"/>
      <c r="L173" s="605">
        <f>SUM(L171:L172)</f>
        <v>0</v>
      </c>
    </row>
    <row r="174" spans="1:12" x14ac:dyDescent="0.2">
      <c r="A174" s="609"/>
      <c r="B174" s="615"/>
      <c r="C174" s="615"/>
      <c r="D174" s="615"/>
      <c r="E174" s="615"/>
      <c r="F174" s="615"/>
      <c r="G174" s="615"/>
      <c r="H174" s="615"/>
    </row>
    <row r="175" spans="1:12" ht="14.25" customHeight="1" x14ac:dyDescent="0.2">
      <c r="A175" s="873" t="s">
        <v>601</v>
      </c>
      <c r="B175" s="873"/>
      <c r="C175" s="873" t="s">
        <v>583</v>
      </c>
      <c r="D175" s="873"/>
      <c r="E175" s="873" t="s">
        <v>584</v>
      </c>
      <c r="F175" s="873"/>
      <c r="G175" s="873" t="s">
        <v>585</v>
      </c>
      <c r="H175" s="873"/>
      <c r="I175" s="873" t="s">
        <v>586</v>
      </c>
      <c r="J175" s="873"/>
      <c r="K175" s="873" t="s">
        <v>587</v>
      </c>
      <c r="L175" s="873"/>
    </row>
    <row r="176" spans="1:12" ht="25.5" x14ac:dyDescent="0.2">
      <c r="A176" s="596" t="s">
        <v>588</v>
      </c>
      <c r="B176" s="597" t="s">
        <v>597</v>
      </c>
      <c r="C176" s="597" t="s">
        <v>590</v>
      </c>
      <c r="D176" s="597" t="s">
        <v>591</v>
      </c>
      <c r="E176" s="597" t="s">
        <v>590</v>
      </c>
      <c r="F176" s="597" t="s">
        <v>591</v>
      </c>
      <c r="G176" s="597" t="s">
        <v>590</v>
      </c>
      <c r="H176" s="597" t="s">
        <v>591</v>
      </c>
      <c r="I176" s="597" t="s">
        <v>590</v>
      </c>
      <c r="J176" s="597" t="s">
        <v>591</v>
      </c>
      <c r="K176" s="597" t="s">
        <v>590</v>
      </c>
      <c r="L176" s="597" t="s">
        <v>591</v>
      </c>
    </row>
    <row r="177" spans="1:14" x14ac:dyDescent="0.2">
      <c r="A177" s="598" t="s">
        <v>602</v>
      </c>
      <c r="B177" s="612">
        <f>1/'Prod. GEXPOA'!I11</f>
        <v>3.7037037037037035E-4</v>
      </c>
      <c r="C177" s="600">
        <f>D134</f>
        <v>0</v>
      </c>
      <c r="D177" s="600">
        <f>B177*C177</f>
        <v>0</v>
      </c>
      <c r="E177" s="600">
        <f>D135</f>
        <v>0</v>
      </c>
      <c r="F177" s="600">
        <f>B177*E177</f>
        <v>0</v>
      </c>
      <c r="G177" s="600">
        <f>D136</f>
        <v>0</v>
      </c>
      <c r="H177" s="600">
        <f>B177*G177</f>
        <v>0</v>
      </c>
      <c r="I177" s="600">
        <f>D137</f>
        <v>0</v>
      </c>
      <c r="J177" s="600">
        <f>B177*I177</f>
        <v>0</v>
      </c>
      <c r="K177" s="600">
        <f>D138</f>
        <v>0</v>
      </c>
      <c r="L177" s="600">
        <f>B177*K177</f>
        <v>0</v>
      </c>
    </row>
    <row r="178" spans="1:14" x14ac:dyDescent="0.2">
      <c r="A178" s="601" t="s">
        <v>593</v>
      </c>
      <c r="B178" s="599">
        <f>B177/'Prod. GEXPOA'!Q11</f>
        <v>1.0582010582010582E-5</v>
      </c>
      <c r="C178" s="600">
        <f>I135</f>
        <v>0</v>
      </c>
      <c r="D178" s="600">
        <f>B178*C178</f>
        <v>0</v>
      </c>
      <c r="E178" s="600">
        <f>I135</f>
        <v>0</v>
      </c>
      <c r="F178" s="600">
        <f>B178*E178</f>
        <v>0</v>
      </c>
      <c r="G178" s="600">
        <f>I135</f>
        <v>0</v>
      </c>
      <c r="H178" s="600">
        <f>B178*G178</f>
        <v>0</v>
      </c>
      <c r="I178" s="600">
        <f>I135</f>
        <v>0</v>
      </c>
      <c r="J178" s="600">
        <f>B178*I178</f>
        <v>0</v>
      </c>
      <c r="K178" s="600">
        <f>I135</f>
        <v>0</v>
      </c>
      <c r="L178" s="600">
        <f>B178*K178</f>
        <v>0</v>
      </c>
      <c r="M178" s="872"/>
      <c r="N178" s="872"/>
    </row>
    <row r="179" spans="1:14" x14ac:dyDescent="0.2">
      <c r="A179" s="616" t="s">
        <v>603</v>
      </c>
      <c r="B179" s="617"/>
      <c r="C179" s="618"/>
      <c r="D179" s="619">
        <f>SUM(D177:D178)</f>
        <v>0</v>
      </c>
      <c r="E179" s="618"/>
      <c r="F179" s="619">
        <f>SUM(F177:F178)</f>
        <v>0</v>
      </c>
      <c r="G179" s="618"/>
      <c r="H179" s="619">
        <f>SUM(H177:H178)</f>
        <v>0</v>
      </c>
      <c r="I179" s="618"/>
      <c r="J179" s="619">
        <f>SUM(J177:J178)</f>
        <v>0</v>
      </c>
      <c r="K179" s="618"/>
      <c r="L179" s="619">
        <f>SUM(L177:L178)</f>
        <v>0</v>
      </c>
      <c r="M179" s="606"/>
      <c r="N179" s="607"/>
    </row>
    <row r="180" spans="1:14" x14ac:dyDescent="0.2">
      <c r="A180" s="598" t="s">
        <v>604</v>
      </c>
      <c r="B180" s="612">
        <f>1/'Prod. GEXPOA'!J11</f>
        <v>1.0000000000000001E-5</v>
      </c>
      <c r="C180" s="600">
        <f>D134</f>
        <v>0</v>
      </c>
      <c r="D180" s="600">
        <f>B180*C180</f>
        <v>0</v>
      </c>
      <c r="E180" s="600">
        <f>D135</f>
        <v>0</v>
      </c>
      <c r="F180" s="600">
        <f>B180*E180</f>
        <v>0</v>
      </c>
      <c r="G180" s="600">
        <f>D136</f>
        <v>0</v>
      </c>
      <c r="H180" s="600">
        <f>B180*G180</f>
        <v>0</v>
      </c>
      <c r="I180" s="600">
        <f>D137</f>
        <v>0</v>
      </c>
      <c r="J180" s="600">
        <f>B180*I180</f>
        <v>0</v>
      </c>
      <c r="K180" s="600">
        <f>D138</f>
        <v>0</v>
      </c>
      <c r="L180" s="600">
        <f>B180*K180</f>
        <v>0</v>
      </c>
    </row>
    <row r="181" spans="1:14" x14ac:dyDescent="0.2">
      <c r="A181" s="601" t="s">
        <v>593</v>
      </c>
      <c r="B181" s="599">
        <f>B180/'Prod. GEXPOA'!Q11</f>
        <v>2.8571428571428575E-7</v>
      </c>
      <c r="C181" s="600">
        <f>I135</f>
        <v>0</v>
      </c>
      <c r="D181" s="600">
        <f>B181*C181</f>
        <v>0</v>
      </c>
      <c r="E181" s="600">
        <f>I135</f>
        <v>0</v>
      </c>
      <c r="F181" s="600">
        <f>B181*E181</f>
        <v>0</v>
      </c>
      <c r="G181" s="600">
        <f>I135</f>
        <v>0</v>
      </c>
      <c r="H181" s="600">
        <f>B181*G181</f>
        <v>0</v>
      </c>
      <c r="I181" s="600">
        <f>I135</f>
        <v>0</v>
      </c>
      <c r="J181" s="600">
        <f>B181*I181</f>
        <v>0</v>
      </c>
      <c r="K181" s="600">
        <f>I135</f>
        <v>0</v>
      </c>
      <c r="L181" s="600">
        <f>B181*K181</f>
        <v>0</v>
      </c>
    </row>
    <row r="182" spans="1:14" x14ac:dyDescent="0.2">
      <c r="A182" s="616" t="s">
        <v>605</v>
      </c>
      <c r="B182" s="620"/>
      <c r="C182" s="618"/>
      <c r="D182" s="619">
        <f>SUM(D180:D181)</f>
        <v>0</v>
      </c>
      <c r="E182" s="618"/>
      <c r="F182" s="619">
        <f>SUM(F180:F181)</f>
        <v>0</v>
      </c>
      <c r="G182" s="618"/>
      <c r="H182" s="619">
        <f>SUM(H180:H181)</f>
        <v>0</v>
      </c>
      <c r="I182" s="618"/>
      <c r="J182" s="619">
        <f>SUM(J180:J181)</f>
        <v>0</v>
      </c>
      <c r="K182" s="618"/>
      <c r="L182" s="619">
        <f>SUM(L180:L181)</f>
        <v>0</v>
      </c>
    </row>
    <row r="183" spans="1:14" x14ac:dyDescent="0.2">
      <c r="A183" s="598" t="s">
        <v>606</v>
      </c>
      <c r="B183" s="612">
        <f>1/'Prod. GEXPOA'!K11</f>
        <v>1.3333333333333334E-4</v>
      </c>
      <c r="C183" s="600">
        <f>D134</f>
        <v>0</v>
      </c>
      <c r="D183" s="600">
        <f>B183*C183</f>
        <v>0</v>
      </c>
      <c r="E183" s="600">
        <f>D135</f>
        <v>0</v>
      </c>
      <c r="F183" s="600">
        <f>B183*E183</f>
        <v>0</v>
      </c>
      <c r="G183" s="600">
        <f>D136</f>
        <v>0</v>
      </c>
      <c r="H183" s="600">
        <f>B183*G183</f>
        <v>0</v>
      </c>
      <c r="I183" s="600">
        <f>D137</f>
        <v>0</v>
      </c>
      <c r="J183" s="600">
        <f>B183*I183</f>
        <v>0</v>
      </c>
      <c r="K183" s="600">
        <f>D138</f>
        <v>0</v>
      </c>
      <c r="L183" s="600">
        <f>B183*K183</f>
        <v>0</v>
      </c>
    </row>
    <row r="184" spans="1:14" x14ac:dyDescent="0.2">
      <c r="A184" s="601" t="s">
        <v>593</v>
      </c>
      <c r="B184" s="599">
        <f>B183/'Prod. GEXPOA'!Q11</f>
        <v>3.8095238095238098E-6</v>
      </c>
      <c r="C184" s="600">
        <f>I135</f>
        <v>0</v>
      </c>
      <c r="D184" s="600">
        <f>B184*C184</f>
        <v>0</v>
      </c>
      <c r="E184" s="600">
        <f>I135</f>
        <v>0</v>
      </c>
      <c r="F184" s="600">
        <f>B184*E184</f>
        <v>0</v>
      </c>
      <c r="G184" s="600">
        <f>I135</f>
        <v>0</v>
      </c>
      <c r="H184" s="600">
        <f>B184*G184</f>
        <v>0</v>
      </c>
      <c r="I184" s="600">
        <f>I135</f>
        <v>0</v>
      </c>
      <c r="J184" s="600">
        <f>B184*I184</f>
        <v>0</v>
      </c>
      <c r="K184" s="600">
        <f>I135</f>
        <v>0</v>
      </c>
      <c r="L184" s="600">
        <f>B184*K184</f>
        <v>0</v>
      </c>
    </row>
    <row r="185" spans="1:14" x14ac:dyDescent="0.2">
      <c r="A185" s="616" t="s">
        <v>607</v>
      </c>
      <c r="B185" s="620"/>
      <c r="C185" s="618"/>
      <c r="D185" s="619">
        <f>SUM(D183:D184)</f>
        <v>0</v>
      </c>
      <c r="E185" s="618"/>
      <c r="F185" s="619">
        <f>SUM(F183:F184)</f>
        <v>0</v>
      </c>
      <c r="G185" s="618"/>
      <c r="H185" s="619">
        <f>SUM(H183:H184)</f>
        <v>0</v>
      </c>
      <c r="I185" s="618"/>
      <c r="J185" s="619">
        <f>SUM(J183:J184)</f>
        <v>0</v>
      </c>
      <c r="K185" s="618"/>
      <c r="L185" s="619">
        <f>SUM(L183:L184)</f>
        <v>0</v>
      </c>
    </row>
    <row r="186" spans="1:14" x14ac:dyDescent="0.2">
      <c r="A186" s="609"/>
      <c r="B186" s="614"/>
      <c r="C186" s="614"/>
      <c r="D186" s="614"/>
      <c r="E186" s="614"/>
      <c r="F186" s="614"/>
      <c r="G186" s="614"/>
      <c r="H186" s="614"/>
    </row>
    <row r="187" spans="1:14" ht="14.25" customHeight="1" x14ac:dyDescent="0.2">
      <c r="A187" s="874" t="s">
        <v>608</v>
      </c>
      <c r="B187" s="874"/>
      <c r="C187" s="874" t="s">
        <v>583</v>
      </c>
      <c r="D187" s="874"/>
      <c r="E187" s="874" t="s">
        <v>584</v>
      </c>
      <c r="F187" s="874"/>
      <c r="G187" s="874" t="s">
        <v>585</v>
      </c>
      <c r="H187" s="874"/>
      <c r="I187" s="874" t="s">
        <v>586</v>
      </c>
      <c r="J187" s="874"/>
      <c r="K187" s="874" t="s">
        <v>587</v>
      </c>
      <c r="L187" s="874"/>
    </row>
    <row r="188" spans="1:14" ht="25.5" x14ac:dyDescent="0.2">
      <c r="A188" s="596" t="s">
        <v>588</v>
      </c>
      <c r="B188" s="597" t="s">
        <v>597</v>
      </c>
      <c r="C188" s="597" t="s">
        <v>590</v>
      </c>
      <c r="D188" s="597" t="s">
        <v>591</v>
      </c>
      <c r="E188" s="597" t="s">
        <v>590</v>
      </c>
      <c r="F188" s="597" t="s">
        <v>591</v>
      </c>
      <c r="G188" s="597" t="s">
        <v>590</v>
      </c>
      <c r="H188" s="597" t="s">
        <v>591</v>
      </c>
      <c r="I188" s="597" t="s">
        <v>590</v>
      </c>
      <c r="J188" s="597" t="s">
        <v>591</v>
      </c>
      <c r="K188" s="597" t="s">
        <v>590</v>
      </c>
      <c r="L188" s="597" t="s">
        <v>591</v>
      </c>
    </row>
    <row r="189" spans="1:14" x14ac:dyDescent="0.2">
      <c r="A189" s="621" t="s">
        <v>609</v>
      </c>
      <c r="B189" s="612">
        <f>(1/'Prod. GEXPOA'!L11)*(1/(30/7*44*6))*8</f>
        <v>4.4191919191919199E-5</v>
      </c>
      <c r="C189" s="622">
        <f>H134</f>
        <v>0</v>
      </c>
      <c r="D189" s="600">
        <f>B189*C189</f>
        <v>0</v>
      </c>
      <c r="E189" s="622">
        <f>H135</f>
        <v>0</v>
      </c>
      <c r="F189" s="600">
        <f>B189*E189</f>
        <v>0</v>
      </c>
      <c r="G189" s="622">
        <f>H136</f>
        <v>0</v>
      </c>
      <c r="H189" s="600">
        <f>B189*G189</f>
        <v>0</v>
      </c>
      <c r="I189" s="622">
        <f>H137</f>
        <v>0</v>
      </c>
      <c r="J189" s="600">
        <f>B189*I189</f>
        <v>0</v>
      </c>
      <c r="K189" s="622">
        <f>H138</f>
        <v>0</v>
      </c>
      <c r="L189" s="600">
        <f>B189*K189</f>
        <v>0</v>
      </c>
    </row>
    <row r="190" spans="1:14" x14ac:dyDescent="0.2">
      <c r="A190" s="601" t="s">
        <v>593</v>
      </c>
      <c r="B190" s="612">
        <f>B189/4</f>
        <v>1.10479797979798E-5</v>
      </c>
      <c r="C190" s="600">
        <f>I135</f>
        <v>0</v>
      </c>
      <c r="D190" s="600">
        <f>B190*C190</f>
        <v>0</v>
      </c>
      <c r="E190" s="600">
        <f>I135</f>
        <v>0</v>
      </c>
      <c r="F190" s="600">
        <f>B190*E190</f>
        <v>0</v>
      </c>
      <c r="G190" s="600">
        <f>I135</f>
        <v>0</v>
      </c>
      <c r="H190" s="600">
        <f>B190*G190</f>
        <v>0</v>
      </c>
      <c r="I190" s="600">
        <f>I135</f>
        <v>0</v>
      </c>
      <c r="J190" s="600">
        <f>B190*I190</f>
        <v>0</v>
      </c>
      <c r="K190" s="600">
        <f>I135</f>
        <v>0</v>
      </c>
      <c r="L190" s="600">
        <f>B190*K190</f>
        <v>0</v>
      </c>
      <c r="M190" s="872"/>
      <c r="N190" s="872"/>
    </row>
    <row r="191" spans="1:14" x14ac:dyDescent="0.2">
      <c r="A191" s="623" t="s">
        <v>610</v>
      </c>
      <c r="B191" s="624"/>
      <c r="C191" s="625"/>
      <c r="D191" s="626">
        <f>SUM(D189:D190)</f>
        <v>0</v>
      </c>
      <c r="E191" s="625"/>
      <c r="F191" s="626">
        <f>SUM(F189:F190)</f>
        <v>0</v>
      </c>
      <c r="G191" s="625"/>
      <c r="H191" s="626">
        <f>SUM(H189:H190)</f>
        <v>0</v>
      </c>
      <c r="I191" s="625"/>
      <c r="J191" s="626">
        <f>SUM(J189:J190)</f>
        <v>0</v>
      </c>
      <c r="K191" s="625"/>
      <c r="L191" s="626">
        <f>SUM(L189:L190)</f>
        <v>0</v>
      </c>
      <c r="M191" s="606"/>
      <c r="N191" s="607"/>
    </row>
    <row r="192" spans="1:14" x14ac:dyDescent="0.2">
      <c r="A192" s="621" t="s">
        <v>611</v>
      </c>
      <c r="B192" s="612">
        <f>1/'Prod. GEXPOA'!M11*16*(1/188.76)</f>
        <v>2.2306242401936183E-4</v>
      </c>
      <c r="C192" s="600">
        <f>D134</f>
        <v>0</v>
      </c>
      <c r="D192" s="600">
        <f>B192*C192</f>
        <v>0</v>
      </c>
      <c r="E192" s="600">
        <f>D135</f>
        <v>0</v>
      </c>
      <c r="F192" s="600">
        <f>B192*E192</f>
        <v>0</v>
      </c>
      <c r="G192" s="600">
        <f>D136</f>
        <v>0</v>
      </c>
      <c r="H192" s="600">
        <f>B192*G192</f>
        <v>0</v>
      </c>
      <c r="I192" s="600">
        <f>D137</f>
        <v>0</v>
      </c>
      <c r="J192" s="600">
        <f>B192*I192</f>
        <v>0</v>
      </c>
      <c r="K192" s="600">
        <f>D138</f>
        <v>0</v>
      </c>
      <c r="L192" s="600">
        <f>B192*K192</f>
        <v>0</v>
      </c>
    </row>
    <row r="193" spans="1:14" x14ac:dyDescent="0.2">
      <c r="A193" s="601" t="s">
        <v>593</v>
      </c>
      <c r="B193" s="612">
        <f>1/('Prod. GEXPOA'!Q11*'Prod. GEXPOA'!M11)*16*(1/188.76)</f>
        <v>6.3732121148389098E-6</v>
      </c>
      <c r="C193" s="600">
        <f>I135</f>
        <v>0</v>
      </c>
      <c r="D193" s="600">
        <f>B193*C193</f>
        <v>0</v>
      </c>
      <c r="E193" s="600">
        <f>I135</f>
        <v>0</v>
      </c>
      <c r="F193" s="600">
        <f>B193*E193</f>
        <v>0</v>
      </c>
      <c r="G193" s="600">
        <f>I135</f>
        <v>0</v>
      </c>
      <c r="H193" s="600">
        <f>B193*G193</f>
        <v>0</v>
      </c>
      <c r="I193" s="600">
        <f>I135</f>
        <v>0</v>
      </c>
      <c r="J193" s="600">
        <f>B193*I193</f>
        <v>0</v>
      </c>
      <c r="K193" s="600">
        <f>I135</f>
        <v>0</v>
      </c>
      <c r="L193" s="600">
        <f>B193*K193</f>
        <v>0</v>
      </c>
      <c r="M193" s="872"/>
      <c r="N193" s="872"/>
    </row>
    <row r="194" spans="1:14" x14ac:dyDescent="0.2">
      <c r="A194" s="623" t="s">
        <v>612</v>
      </c>
      <c r="B194" s="624"/>
      <c r="C194" s="625"/>
      <c r="D194" s="626">
        <f>SUM(D192:D193)</f>
        <v>0</v>
      </c>
      <c r="E194" s="625"/>
      <c r="F194" s="626">
        <f>SUM(F192:F193)</f>
        <v>0</v>
      </c>
      <c r="G194" s="625"/>
      <c r="H194" s="626">
        <f>SUM(H192:H193)</f>
        <v>0</v>
      </c>
      <c r="I194" s="625"/>
      <c r="J194" s="626">
        <f>SUM(J192:J193)</f>
        <v>0</v>
      </c>
      <c r="K194" s="625"/>
      <c r="L194" s="626">
        <f>SUM(L192:L193)</f>
        <v>0</v>
      </c>
      <c r="M194" s="606"/>
      <c r="N194" s="607"/>
    </row>
    <row r="195" spans="1:14" x14ac:dyDescent="0.2">
      <c r="A195" s="598" t="s">
        <v>613</v>
      </c>
      <c r="B195" s="612">
        <f>1/'Prod. GEXPOA'!N11*16*(1/188.76)</f>
        <v>2.2306242401936183E-4</v>
      </c>
      <c r="C195" s="600">
        <f>D134</f>
        <v>0</v>
      </c>
      <c r="D195" s="600">
        <f>B195*C195</f>
        <v>0</v>
      </c>
      <c r="E195" s="600">
        <f>D135</f>
        <v>0</v>
      </c>
      <c r="F195" s="600">
        <f>B195*E195</f>
        <v>0</v>
      </c>
      <c r="G195" s="600">
        <f>D136</f>
        <v>0</v>
      </c>
      <c r="H195" s="600">
        <f>B195*G195</f>
        <v>0</v>
      </c>
      <c r="I195" s="600">
        <f>D137</f>
        <v>0</v>
      </c>
      <c r="J195" s="600">
        <f>B195*I195</f>
        <v>0</v>
      </c>
      <c r="K195" s="600">
        <f>D138</f>
        <v>0</v>
      </c>
      <c r="L195" s="600">
        <f>B195*K195</f>
        <v>0</v>
      </c>
    </row>
    <row r="196" spans="1:14" x14ac:dyDescent="0.2">
      <c r="A196" s="601" t="s">
        <v>593</v>
      </c>
      <c r="B196" s="612">
        <f>1/('Prod. GEXPOA'!Q11*'Prod. GEXPOA'!N11)*16*(1/188.76)</f>
        <v>6.3732121148389098E-6</v>
      </c>
      <c r="C196" s="600">
        <f>I135</f>
        <v>0</v>
      </c>
      <c r="D196" s="600">
        <f>B196*C196</f>
        <v>0</v>
      </c>
      <c r="E196" s="600">
        <f>I135</f>
        <v>0</v>
      </c>
      <c r="F196" s="600">
        <f>B196*E196</f>
        <v>0</v>
      </c>
      <c r="G196" s="600">
        <f>I135</f>
        <v>0</v>
      </c>
      <c r="H196" s="600">
        <f>B196*G196</f>
        <v>0</v>
      </c>
      <c r="I196" s="600">
        <f>I135</f>
        <v>0</v>
      </c>
      <c r="J196" s="600">
        <f>B196*I196</f>
        <v>0</v>
      </c>
      <c r="K196" s="600">
        <f>I135</f>
        <v>0</v>
      </c>
      <c r="L196" s="600">
        <f>B196*K196</f>
        <v>0</v>
      </c>
      <c r="M196" s="872"/>
      <c r="N196" s="872"/>
    </row>
    <row r="197" spans="1:14" x14ac:dyDescent="0.2">
      <c r="A197" s="623" t="s">
        <v>614</v>
      </c>
      <c r="B197" s="624"/>
      <c r="C197" s="625"/>
      <c r="D197" s="626">
        <f>SUM(D195:D196)</f>
        <v>0</v>
      </c>
      <c r="E197" s="625"/>
      <c r="F197" s="626">
        <f>SUM(F195:F196)</f>
        <v>0</v>
      </c>
      <c r="G197" s="625"/>
      <c r="H197" s="626">
        <f>SUM(H195:H196)</f>
        <v>0</v>
      </c>
      <c r="I197" s="625"/>
      <c r="J197" s="626">
        <f>SUM(J195:J196)</f>
        <v>0</v>
      </c>
      <c r="K197" s="625"/>
      <c r="L197" s="626">
        <f>SUM(L195:L196)</f>
        <v>0</v>
      </c>
      <c r="M197" s="606"/>
      <c r="N197" s="607"/>
    </row>
    <row r="198" spans="1:14" x14ac:dyDescent="0.2">
      <c r="A198" s="595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7EE"/>
  </sheetPr>
  <dimension ref="A1:AMF139"/>
  <sheetViews>
    <sheetView zoomScale="75" zoomScaleNormal="75" workbookViewId="0">
      <pane ySplit="10" topLeftCell="A11" activePane="bottomLeft" state="frozen"/>
      <selection pane="bottomLeft" activeCell="C18" sqref="C18"/>
    </sheetView>
  </sheetViews>
  <sheetFormatPr defaultRowHeight="14.25" x14ac:dyDescent="0.2"/>
  <cols>
    <col min="1" max="1" width="55.5" style="427" customWidth="1"/>
    <col min="2" max="5" width="14" style="427" customWidth="1"/>
    <col min="6" max="1020" width="9" style="427" customWidth="1"/>
    <col min="1021" max="1025" width="8.625" customWidth="1"/>
  </cols>
  <sheetData>
    <row r="1" spans="1:5" ht="15.75" x14ac:dyDescent="0.2">
      <c r="A1" s="849" t="s">
        <v>464</v>
      </c>
      <c r="B1" s="849"/>
      <c r="C1" s="849"/>
      <c r="D1" s="849"/>
      <c r="E1" s="849"/>
    </row>
    <row r="2" spans="1:5" ht="15.75" x14ac:dyDescent="0.2">
      <c r="A2" s="850" t="s">
        <v>465</v>
      </c>
      <c r="B2" s="850"/>
      <c r="C2" s="850"/>
      <c r="D2" s="850"/>
      <c r="E2" s="850"/>
    </row>
    <row r="3" spans="1:5" ht="15.75" customHeight="1" x14ac:dyDescent="0.2">
      <c r="A3" s="850" t="s">
        <v>466</v>
      </c>
      <c r="B3" s="850"/>
      <c r="C3" s="850"/>
      <c r="D3" s="850"/>
      <c r="E3" s="850"/>
    </row>
    <row r="4" spans="1:5" ht="15.75" x14ac:dyDescent="0.2">
      <c r="A4" s="428"/>
      <c r="B4" s="429"/>
      <c r="C4" s="430" t="s">
        <v>467</v>
      </c>
      <c r="D4" s="433" t="s">
        <v>468</v>
      </c>
      <c r="E4" s="433" t="s">
        <v>469</v>
      </c>
    </row>
    <row r="5" spans="1:5" x14ac:dyDescent="0.2">
      <c r="A5" s="434"/>
      <c r="B5" s="435" t="s">
        <v>472</v>
      </c>
      <c r="C5" s="436">
        <f>MC!$D11</f>
        <v>0</v>
      </c>
      <c r="D5" s="436">
        <f>MC!$E11</f>
        <v>0</v>
      </c>
      <c r="E5" s="438">
        <f>MC!$F11</f>
        <v>0</v>
      </c>
    </row>
    <row r="6" spans="1:5" x14ac:dyDescent="0.2">
      <c r="A6" s="434"/>
      <c r="B6" s="435" t="s">
        <v>473</v>
      </c>
      <c r="C6" s="439">
        <f>MC!$E8</f>
        <v>44562</v>
      </c>
      <c r="D6" s="439">
        <f>MC!$E8</f>
        <v>44562</v>
      </c>
      <c r="E6" s="441">
        <f>MC!$E8</f>
        <v>44562</v>
      </c>
    </row>
    <row r="7" spans="1:5" x14ac:dyDescent="0.2">
      <c r="A7" s="434"/>
      <c r="B7" s="435" t="s">
        <v>474</v>
      </c>
      <c r="C7" s="439" t="str">
        <f>MC!$C8</f>
        <v>RS005021/2021</v>
      </c>
      <c r="D7" s="439" t="str">
        <f>MC!$C8</f>
        <v>RS005021/2021</v>
      </c>
      <c r="E7" s="441" t="str">
        <f>MC!$C8</f>
        <v>RS005021/2021</v>
      </c>
    </row>
    <row r="8" spans="1:5" x14ac:dyDescent="0.2">
      <c r="A8" s="434"/>
      <c r="B8" s="435" t="s">
        <v>475</v>
      </c>
      <c r="C8" s="442" t="str">
        <f>MC!$F8</f>
        <v>5143-20</v>
      </c>
      <c r="D8" s="442" t="str">
        <f>MC!$F8</f>
        <v>5143-20</v>
      </c>
      <c r="E8" s="444" t="str">
        <f>MC!$F8</f>
        <v>5143-20</v>
      </c>
    </row>
    <row r="9" spans="1:5" x14ac:dyDescent="0.2">
      <c r="A9" s="857"/>
      <c r="B9" s="857"/>
      <c r="C9" s="857"/>
      <c r="D9" s="857"/>
      <c r="E9" s="857"/>
    </row>
    <row r="10" spans="1:5" ht="66.75" customHeight="1" x14ac:dyDescent="0.2">
      <c r="A10" s="445" t="s">
        <v>476</v>
      </c>
      <c r="B10" s="446" t="s">
        <v>477</v>
      </c>
      <c r="C10" s="446" t="s">
        <v>615</v>
      </c>
      <c r="D10" s="745" t="s">
        <v>616</v>
      </c>
      <c r="E10" s="628" t="s">
        <v>617</v>
      </c>
    </row>
    <row r="11" spans="1:5" ht="14.25" customHeight="1" x14ac:dyDescent="0.2">
      <c r="A11" s="858" t="s">
        <v>485</v>
      </c>
      <c r="B11" s="858"/>
      <c r="C11" s="858"/>
      <c r="D11" s="858"/>
      <c r="E11" s="858"/>
    </row>
    <row r="12" spans="1:5" ht="14.25" customHeight="1" x14ac:dyDescent="0.2">
      <c r="A12" s="450" t="s">
        <v>486</v>
      </c>
      <c r="B12" s="451" t="s">
        <v>487</v>
      </c>
      <c r="C12" s="451" t="s">
        <v>488</v>
      </c>
      <c r="D12" s="706" t="s">
        <v>488</v>
      </c>
      <c r="E12" s="707" t="s">
        <v>488</v>
      </c>
    </row>
    <row r="13" spans="1:5" ht="14.25" customHeight="1" x14ac:dyDescent="0.2">
      <c r="A13" s="453" t="s">
        <v>489</v>
      </c>
      <c r="B13" s="454"/>
      <c r="C13" s="455">
        <f>C5</f>
        <v>0</v>
      </c>
      <c r="D13" s="455">
        <f>D5</f>
        <v>0</v>
      </c>
      <c r="E13" s="457">
        <f>E5</f>
        <v>0</v>
      </c>
    </row>
    <row r="14" spans="1:5" ht="14.25" customHeight="1" x14ac:dyDescent="0.2">
      <c r="A14" s="453" t="s">
        <v>490</v>
      </c>
      <c r="B14" s="477">
        <v>0.2</v>
      </c>
      <c r="C14" s="455">
        <f>C13*$B$14</f>
        <v>0</v>
      </c>
      <c r="D14" s="633">
        <f>D13*$B$14</f>
        <v>0</v>
      </c>
      <c r="E14" s="457">
        <f>E13*$B$14</f>
        <v>0</v>
      </c>
    </row>
    <row r="15" spans="1:5" ht="14.25" customHeight="1" x14ac:dyDescent="0.2">
      <c r="A15" s="453" t="s">
        <v>492</v>
      </c>
      <c r="B15" s="461"/>
      <c r="C15" s="455"/>
      <c r="D15" s="633"/>
      <c r="E15" s="457"/>
    </row>
    <row r="16" spans="1:5" ht="14.25" customHeight="1" x14ac:dyDescent="0.2">
      <c r="A16" s="453" t="s">
        <v>493</v>
      </c>
      <c r="B16" s="461"/>
      <c r="C16" s="455"/>
      <c r="D16" s="633"/>
      <c r="E16" s="457"/>
    </row>
    <row r="17" spans="1:5" ht="14.25" customHeight="1" x14ac:dyDescent="0.2">
      <c r="A17" s="453" t="s">
        <v>494</v>
      </c>
      <c r="B17" s="461"/>
      <c r="C17" s="455"/>
      <c r="D17" s="633"/>
      <c r="E17" s="457"/>
    </row>
    <row r="18" spans="1:5" ht="14.25" customHeight="1" x14ac:dyDescent="0.2">
      <c r="A18" s="453" t="s">
        <v>495</v>
      </c>
      <c r="B18" s="463"/>
      <c r="C18" s="455"/>
      <c r="D18" s="633"/>
      <c r="E18" s="457"/>
    </row>
    <row r="19" spans="1:5" ht="14.25" customHeight="1" x14ac:dyDescent="0.2">
      <c r="A19" s="464" t="s">
        <v>496</v>
      </c>
      <c r="B19" s="465"/>
      <c r="C19" s="479">
        <f>SUM(C13:C18)</f>
        <v>0</v>
      </c>
      <c r="D19" s="634">
        <f>SUM(D13:D18)</f>
        <v>0</v>
      </c>
      <c r="E19" s="635">
        <f>SUM(E13:E18)</f>
        <v>0</v>
      </c>
    </row>
    <row r="20" spans="1:5" ht="14.25" customHeight="1" x14ac:dyDescent="0.2">
      <c r="A20" s="860"/>
      <c r="B20" s="860"/>
      <c r="C20" s="860"/>
      <c r="D20" s="860"/>
      <c r="E20" s="860"/>
    </row>
    <row r="21" spans="1:5" ht="14.25" customHeight="1" x14ac:dyDescent="0.2">
      <c r="A21" s="877" t="s">
        <v>497</v>
      </c>
      <c r="B21" s="877"/>
      <c r="C21" s="877"/>
      <c r="D21" s="877"/>
      <c r="E21" s="877"/>
    </row>
    <row r="22" spans="1:5" ht="14.25" customHeight="1" x14ac:dyDescent="0.2">
      <c r="A22" s="473" t="s">
        <v>498</v>
      </c>
      <c r="B22" s="474" t="s">
        <v>487</v>
      </c>
      <c r="C22" s="474" t="s">
        <v>488</v>
      </c>
      <c r="D22" s="474" t="s">
        <v>488</v>
      </c>
      <c r="E22" s="475" t="s">
        <v>488</v>
      </c>
    </row>
    <row r="23" spans="1:5" ht="14.25" customHeight="1" x14ac:dyDescent="0.2">
      <c r="A23" s="476" t="s">
        <v>499</v>
      </c>
      <c r="B23" s="477">
        <f>1/12</f>
        <v>8.3333333333333329E-2</v>
      </c>
      <c r="C23" s="455">
        <f>ROUND($B23*C$19,2)</f>
        <v>0</v>
      </c>
      <c r="D23" s="455">
        <f>ROUND($B23*D$19,2)</f>
        <v>0</v>
      </c>
      <c r="E23" s="457">
        <f>ROUND($B23*E$19,2)</f>
        <v>0</v>
      </c>
    </row>
    <row r="24" spans="1:5" ht="14.25" customHeight="1" x14ac:dyDescent="0.2">
      <c r="A24" s="476" t="s">
        <v>500</v>
      </c>
      <c r="B24" s="477">
        <f>1/3*1/12</f>
        <v>2.7777777777777776E-2</v>
      </c>
      <c r="C24" s="455">
        <f>C$19*$B$24</f>
        <v>0</v>
      </c>
      <c r="D24" s="455">
        <f>D$19*$B$24</f>
        <v>0</v>
      </c>
      <c r="E24" s="457">
        <f>E$19*$B$24</f>
        <v>0</v>
      </c>
    </row>
    <row r="25" spans="1:5" ht="14.25" customHeight="1" x14ac:dyDescent="0.2">
      <c r="A25" s="464" t="s">
        <v>496</v>
      </c>
      <c r="B25" s="478">
        <f>SUM(B23:B24)</f>
        <v>0.1111111111111111</v>
      </c>
      <c r="C25" s="479">
        <f>SUM(C23:C24)</f>
        <v>0</v>
      </c>
      <c r="D25" s="479">
        <f>SUM(D23:D24)</f>
        <v>0</v>
      </c>
      <c r="E25" s="480">
        <f>SUM(E23:E24)</f>
        <v>0</v>
      </c>
    </row>
    <row r="26" spans="1:5" ht="14.25" customHeight="1" x14ac:dyDescent="0.2">
      <c r="A26" s="473" t="s">
        <v>501</v>
      </c>
      <c r="B26" s="474" t="s">
        <v>487</v>
      </c>
      <c r="C26" s="474" t="s">
        <v>488</v>
      </c>
      <c r="D26" s="474" t="s">
        <v>488</v>
      </c>
      <c r="E26" s="475" t="s">
        <v>488</v>
      </c>
    </row>
    <row r="27" spans="1:5" ht="14.25" customHeight="1" x14ac:dyDescent="0.2">
      <c r="A27" s="473" t="s">
        <v>502</v>
      </c>
      <c r="B27" s="481"/>
      <c r="C27" s="481"/>
      <c r="D27" s="481"/>
      <c r="E27" s="483"/>
    </row>
    <row r="28" spans="1:5" ht="14.25" customHeight="1" x14ac:dyDescent="0.2">
      <c r="A28" s="476" t="s">
        <v>503</v>
      </c>
      <c r="B28" s="477">
        <v>0.2</v>
      </c>
      <c r="C28" s="484">
        <f t="shared" ref="C28:E35" si="0">ROUND((C$19+C$25)*$B28,2)</f>
        <v>0</v>
      </c>
      <c r="D28" s="484">
        <f t="shared" si="0"/>
        <v>0</v>
      </c>
      <c r="E28" s="485">
        <f t="shared" si="0"/>
        <v>0</v>
      </c>
    </row>
    <row r="29" spans="1:5" ht="14.25" customHeight="1" x14ac:dyDescent="0.2">
      <c r="A29" s="476" t="s">
        <v>504</v>
      </c>
      <c r="B29" s="477">
        <v>2.5000000000000001E-2</v>
      </c>
      <c r="C29" s="484">
        <f t="shared" si="0"/>
        <v>0</v>
      </c>
      <c r="D29" s="484">
        <f t="shared" si="0"/>
        <v>0</v>
      </c>
      <c r="E29" s="485">
        <f t="shared" si="0"/>
        <v>0</v>
      </c>
    </row>
    <row r="30" spans="1:5" ht="14.25" customHeight="1" x14ac:dyDescent="0.2">
      <c r="A30" s="476" t="s">
        <v>505</v>
      </c>
      <c r="B30" s="477">
        <v>0.03</v>
      </c>
      <c r="C30" s="484">
        <f t="shared" si="0"/>
        <v>0</v>
      </c>
      <c r="D30" s="484">
        <f t="shared" si="0"/>
        <v>0</v>
      </c>
      <c r="E30" s="485">
        <f t="shared" si="0"/>
        <v>0</v>
      </c>
    </row>
    <row r="31" spans="1:5" ht="14.25" customHeight="1" x14ac:dyDescent="0.2">
      <c r="A31" s="476" t="s">
        <v>506</v>
      </c>
      <c r="B31" s="477">
        <v>1.4999999999999999E-2</v>
      </c>
      <c r="C31" s="484">
        <f t="shared" si="0"/>
        <v>0</v>
      </c>
      <c r="D31" s="484">
        <f t="shared" si="0"/>
        <v>0</v>
      </c>
      <c r="E31" s="485">
        <f t="shared" si="0"/>
        <v>0</v>
      </c>
    </row>
    <row r="32" spans="1:5" ht="14.25" customHeight="1" x14ac:dyDescent="0.2">
      <c r="A32" s="476" t="s">
        <v>507</v>
      </c>
      <c r="B32" s="477">
        <v>0.01</v>
      </c>
      <c r="C32" s="484">
        <f t="shared" si="0"/>
        <v>0</v>
      </c>
      <c r="D32" s="484">
        <f t="shared" si="0"/>
        <v>0</v>
      </c>
      <c r="E32" s="485">
        <f t="shared" si="0"/>
        <v>0</v>
      </c>
    </row>
    <row r="33" spans="1:5" ht="14.25" customHeight="1" x14ac:dyDescent="0.2">
      <c r="A33" s="476" t="s">
        <v>508</v>
      </c>
      <c r="B33" s="477">
        <v>6.0000000000000001E-3</v>
      </c>
      <c r="C33" s="484">
        <f t="shared" si="0"/>
        <v>0</v>
      </c>
      <c r="D33" s="484">
        <f t="shared" si="0"/>
        <v>0</v>
      </c>
      <c r="E33" s="485">
        <f t="shared" si="0"/>
        <v>0</v>
      </c>
    </row>
    <row r="34" spans="1:5" ht="14.25" customHeight="1" x14ac:dyDescent="0.2">
      <c r="A34" s="476" t="s">
        <v>509</v>
      </c>
      <c r="B34" s="477">
        <v>2E-3</v>
      </c>
      <c r="C34" s="484">
        <f t="shared" si="0"/>
        <v>0</v>
      </c>
      <c r="D34" s="484">
        <f t="shared" si="0"/>
        <v>0</v>
      </c>
      <c r="E34" s="485">
        <f t="shared" si="0"/>
        <v>0</v>
      </c>
    </row>
    <row r="35" spans="1:5" ht="14.25" customHeight="1" x14ac:dyDescent="0.2">
      <c r="A35" s="476" t="s">
        <v>510</v>
      </c>
      <c r="B35" s="477">
        <v>0.08</v>
      </c>
      <c r="C35" s="484">
        <f t="shared" si="0"/>
        <v>0</v>
      </c>
      <c r="D35" s="484">
        <f t="shared" si="0"/>
        <v>0</v>
      </c>
      <c r="E35" s="485">
        <f t="shared" si="0"/>
        <v>0</v>
      </c>
    </row>
    <row r="36" spans="1:5" ht="14.25" customHeight="1" x14ac:dyDescent="0.2">
      <c r="A36" s="464" t="s">
        <v>496</v>
      </c>
      <c r="B36" s="478">
        <f>SUM(B28:B35)</f>
        <v>0.36800000000000005</v>
      </c>
      <c r="C36" s="479">
        <f>SUM(C27:C35)</f>
        <v>0</v>
      </c>
      <c r="D36" s="479">
        <f>SUM(D27:D35)</f>
        <v>0</v>
      </c>
      <c r="E36" s="480">
        <f>SUM(E27:E35)</f>
        <v>0</v>
      </c>
    </row>
    <row r="37" spans="1:5" ht="14.25" customHeight="1" x14ac:dyDescent="0.2">
      <c r="A37" s="473" t="s">
        <v>511</v>
      </c>
      <c r="B37" s="474" t="s">
        <v>512</v>
      </c>
      <c r="C37" s="474" t="s">
        <v>488</v>
      </c>
      <c r="D37" s="474" t="s">
        <v>488</v>
      </c>
      <c r="E37" s="475" t="s">
        <v>488</v>
      </c>
    </row>
    <row r="38" spans="1:5" ht="14.25" customHeight="1" x14ac:dyDescent="0.2">
      <c r="A38" s="476" t="s">
        <v>513</v>
      </c>
      <c r="B38" s="486">
        <f>MC!D96</f>
        <v>0</v>
      </c>
      <c r="C38" s="455">
        <f>ROUND(((2*22*$B$38)-0.06*C$13),2)</f>
        <v>0</v>
      </c>
      <c r="D38" s="455">
        <f>ROUND(((2*22*$B$38)-0.06*D$13),2)</f>
        <v>0</v>
      </c>
      <c r="E38" s="457">
        <f>ROUND(((2*22*$B$38)-0.06*E$13),2)</f>
        <v>0</v>
      </c>
    </row>
    <row r="39" spans="1:5" ht="14.25" customHeight="1" x14ac:dyDescent="0.2">
      <c r="A39" s="476" t="s">
        <v>514</v>
      </c>
      <c r="B39" s="487"/>
      <c r="C39" s="484">
        <f>MC!K19</f>
        <v>0</v>
      </c>
      <c r="D39" s="484">
        <f>MC!K20</f>
        <v>0</v>
      </c>
      <c r="E39" s="485">
        <f>MC!K20</f>
        <v>0</v>
      </c>
    </row>
    <row r="40" spans="1:5" ht="14.25" customHeight="1" x14ac:dyDescent="0.2">
      <c r="A40" s="476" t="s">
        <v>515</v>
      </c>
      <c r="B40" s="477">
        <f>MC!C24</f>
        <v>0</v>
      </c>
      <c r="C40" s="484"/>
      <c r="D40" s="484"/>
      <c r="E40" s="485"/>
    </row>
    <row r="41" spans="1:5" ht="14.25" customHeight="1" x14ac:dyDescent="0.2">
      <c r="A41" s="476" t="s">
        <v>618</v>
      </c>
      <c r="B41" s="490">
        <f>MC!E26</f>
        <v>0</v>
      </c>
      <c r="C41" s="484">
        <f>B41</f>
        <v>0</v>
      </c>
      <c r="D41" s="484">
        <f>B41</f>
        <v>0</v>
      </c>
      <c r="E41" s="485"/>
    </row>
    <row r="42" spans="1:5" ht="14.25" customHeight="1" x14ac:dyDescent="0.2">
      <c r="A42" s="476" t="s">
        <v>619</v>
      </c>
      <c r="B42" s="490">
        <f>MC!E27</f>
        <v>0</v>
      </c>
      <c r="C42" s="484">
        <f>$B42</f>
        <v>0</v>
      </c>
      <c r="D42" s="484">
        <f>$B42</f>
        <v>0</v>
      </c>
      <c r="E42" s="485">
        <f>$B42</f>
        <v>0</v>
      </c>
    </row>
    <row r="43" spans="1:5" ht="14.25" customHeight="1" x14ac:dyDescent="0.2">
      <c r="A43" s="476" t="s">
        <v>518</v>
      </c>
      <c r="B43" s="477"/>
      <c r="C43" s="484"/>
      <c r="D43" s="484"/>
      <c r="E43" s="485"/>
    </row>
    <row r="44" spans="1:5" ht="14.25" customHeight="1" x14ac:dyDescent="0.2">
      <c r="A44" s="464" t="s">
        <v>496</v>
      </c>
      <c r="B44" s="465"/>
      <c r="C44" s="479">
        <f>SUM(C38:C43)</f>
        <v>0</v>
      </c>
      <c r="D44" s="479">
        <f>SUM(D38:D43)</f>
        <v>0</v>
      </c>
      <c r="E44" s="480">
        <f>SUM(E38:E43)</f>
        <v>0</v>
      </c>
    </row>
    <row r="45" spans="1:5" ht="14.25" customHeight="1" x14ac:dyDescent="0.2">
      <c r="A45" s="450" t="s">
        <v>519</v>
      </c>
      <c r="B45" s="451" t="s">
        <v>487</v>
      </c>
      <c r="C45" s="451" t="s">
        <v>488</v>
      </c>
      <c r="D45" s="451" t="s">
        <v>488</v>
      </c>
      <c r="E45" s="452" t="s">
        <v>488</v>
      </c>
    </row>
    <row r="46" spans="1:5" ht="14.25" customHeight="1" x14ac:dyDescent="0.2">
      <c r="A46" s="476" t="s">
        <v>498</v>
      </c>
      <c r="B46" s="493">
        <f>B25</f>
        <v>0.1111111111111111</v>
      </c>
      <c r="C46" s="494">
        <f>C25</f>
        <v>0</v>
      </c>
      <c r="D46" s="494">
        <f>D25</f>
        <v>0</v>
      </c>
      <c r="E46" s="495">
        <f>E25</f>
        <v>0</v>
      </c>
    </row>
    <row r="47" spans="1:5" ht="14.25" customHeight="1" x14ac:dyDescent="0.2">
      <c r="A47" s="476" t="s">
        <v>520</v>
      </c>
      <c r="B47" s="493">
        <f>B36</f>
        <v>0.36800000000000005</v>
      </c>
      <c r="C47" s="494">
        <f>C36</f>
        <v>0</v>
      </c>
      <c r="D47" s="494">
        <f>D36</f>
        <v>0</v>
      </c>
      <c r="E47" s="495">
        <f>E36</f>
        <v>0</v>
      </c>
    </row>
    <row r="48" spans="1:5" ht="14.25" customHeight="1" x14ac:dyDescent="0.2">
      <c r="A48" s="476" t="s">
        <v>511</v>
      </c>
      <c r="B48" s="493"/>
      <c r="C48" s="494">
        <f>C44</f>
        <v>0</v>
      </c>
      <c r="D48" s="494">
        <f>D44</f>
        <v>0</v>
      </c>
      <c r="E48" s="495">
        <f>E44</f>
        <v>0</v>
      </c>
    </row>
    <row r="49" spans="1:5" ht="14.25" customHeight="1" x14ac:dyDescent="0.2">
      <c r="A49" s="464" t="s">
        <v>496</v>
      </c>
      <c r="B49" s="465"/>
      <c r="C49" s="479">
        <f>SUM(C46:C48)</f>
        <v>0</v>
      </c>
      <c r="D49" s="708">
        <f>SUM(D46:D48)</f>
        <v>0</v>
      </c>
      <c r="E49" s="635">
        <f>SUM(E46:E48)</f>
        <v>0</v>
      </c>
    </row>
    <row r="50" spans="1:5" ht="14.25" customHeight="1" x14ac:dyDescent="0.2">
      <c r="A50" s="860"/>
      <c r="B50" s="860"/>
      <c r="C50" s="860"/>
      <c r="D50" s="860"/>
      <c r="E50" s="860"/>
    </row>
    <row r="51" spans="1:5" s="496" customFormat="1" ht="14.25" customHeight="1" x14ac:dyDescent="0.2">
      <c r="A51" s="881" t="s">
        <v>521</v>
      </c>
      <c r="B51" s="881"/>
      <c r="C51" s="881"/>
      <c r="D51" s="881"/>
      <c r="E51" s="881"/>
    </row>
    <row r="52" spans="1:5" ht="14.25" customHeight="1" x14ac:dyDescent="0.2">
      <c r="A52" s="450" t="s">
        <v>522</v>
      </c>
      <c r="B52" s="451" t="s">
        <v>487</v>
      </c>
      <c r="C52" s="451" t="s">
        <v>488</v>
      </c>
      <c r="D52" s="451" t="s">
        <v>488</v>
      </c>
      <c r="E52" s="452" t="s">
        <v>488</v>
      </c>
    </row>
    <row r="53" spans="1:5" ht="14.25" customHeight="1" x14ac:dyDescent="0.2">
      <c r="A53" s="473" t="s">
        <v>523</v>
      </c>
      <c r="B53" s="497"/>
      <c r="C53" s="497"/>
      <c r="D53" s="497"/>
      <c r="E53" s="499"/>
    </row>
    <row r="54" spans="1:5" ht="14.25" customHeight="1" x14ac:dyDescent="0.2">
      <c r="A54" s="476" t="s">
        <v>524</v>
      </c>
      <c r="B54" s="493">
        <f>1/12*0.05</f>
        <v>4.1666666666666666E-3</v>
      </c>
      <c r="C54" s="500">
        <f>C19*$B54</f>
        <v>0</v>
      </c>
      <c r="D54" s="500">
        <f>D19*$B54</f>
        <v>0</v>
      </c>
      <c r="E54" s="501">
        <f>E19*$B54</f>
        <v>0</v>
      </c>
    </row>
    <row r="55" spans="1:5" ht="14.25" customHeight="1" x14ac:dyDescent="0.2">
      <c r="A55" s="476" t="s">
        <v>525</v>
      </c>
      <c r="B55" s="493">
        <f>B35*B54</f>
        <v>3.3333333333333332E-4</v>
      </c>
      <c r="C55" s="500">
        <f>$B$55*C19</f>
        <v>0</v>
      </c>
      <c r="D55" s="500">
        <f>$B$55*D19</f>
        <v>0</v>
      </c>
      <c r="E55" s="501">
        <f>$B$55*E19</f>
        <v>0</v>
      </c>
    </row>
    <row r="56" spans="1:5" ht="14.25" customHeight="1" x14ac:dyDescent="0.2">
      <c r="A56" s="476" t="s">
        <v>526</v>
      </c>
      <c r="B56" s="493">
        <v>0</v>
      </c>
      <c r="C56" s="500">
        <f>C35*$B56</f>
        <v>0</v>
      </c>
      <c r="D56" s="500">
        <f>D35*$B56</f>
        <v>0</v>
      </c>
      <c r="E56" s="501">
        <f>E35*$B56</f>
        <v>0</v>
      </c>
    </row>
    <row r="57" spans="1:5" ht="14.25" customHeight="1" x14ac:dyDescent="0.2">
      <c r="A57" s="476" t="s">
        <v>527</v>
      </c>
      <c r="B57" s="493">
        <f>1/12*1/30*7</f>
        <v>1.9444444444444441E-2</v>
      </c>
      <c r="C57" s="494">
        <f>C19*$B57</f>
        <v>0</v>
      </c>
      <c r="D57" s="494">
        <f>D19*$B57</f>
        <v>0</v>
      </c>
      <c r="E57" s="495">
        <f>E19*$B57</f>
        <v>0</v>
      </c>
    </row>
    <row r="58" spans="1:5" ht="14.25" customHeight="1" x14ac:dyDescent="0.2">
      <c r="A58" s="476" t="s">
        <v>528</v>
      </c>
      <c r="B58" s="493">
        <f>B36*B57</f>
        <v>7.1555555555555556E-3</v>
      </c>
      <c r="C58" s="494">
        <f>$B58*C19</f>
        <v>0</v>
      </c>
      <c r="D58" s="494">
        <f>$B58*D19</f>
        <v>0</v>
      </c>
      <c r="E58" s="495">
        <f>$B58*E19</f>
        <v>0</v>
      </c>
    </row>
    <row r="59" spans="1:5" ht="14.25" customHeight="1" x14ac:dyDescent="0.2">
      <c r="A59" s="476" t="s">
        <v>529</v>
      </c>
      <c r="B59" s="493">
        <f>B35*40/100*90/100*(1+1/12+1/12+1/3*1/12)</f>
        <v>3.4399999999999993E-2</v>
      </c>
      <c r="C59" s="494">
        <f>C19*$B59</f>
        <v>0</v>
      </c>
      <c r="D59" s="494">
        <f>D19*$B59</f>
        <v>0</v>
      </c>
      <c r="E59" s="495">
        <f>E19*$B59</f>
        <v>0</v>
      </c>
    </row>
    <row r="60" spans="1:5" ht="14.25" customHeight="1" x14ac:dyDescent="0.2">
      <c r="A60" s="464" t="s">
        <v>496</v>
      </c>
      <c r="B60" s="478">
        <f>SUM(B54:B59)</f>
        <v>6.5499999999999989E-2</v>
      </c>
      <c r="C60" s="466">
        <f>SUM(C54:C59)</f>
        <v>0</v>
      </c>
      <c r="D60" s="711">
        <f>SUM(D54:D59)</f>
        <v>0</v>
      </c>
      <c r="E60" s="648">
        <f>SUM(E54:E59)</f>
        <v>0</v>
      </c>
    </row>
    <row r="61" spans="1:5" ht="14.25" customHeight="1" x14ac:dyDescent="0.2">
      <c r="A61" s="860"/>
      <c r="B61" s="860"/>
      <c r="C61" s="860"/>
      <c r="D61" s="860"/>
      <c r="E61" s="860"/>
    </row>
    <row r="62" spans="1:5" ht="14.25" customHeight="1" x14ac:dyDescent="0.2">
      <c r="A62" s="877" t="s">
        <v>530</v>
      </c>
      <c r="B62" s="877"/>
      <c r="C62" s="877"/>
      <c r="D62" s="877"/>
      <c r="E62" s="877"/>
    </row>
    <row r="63" spans="1:5" ht="14.25" customHeight="1" x14ac:dyDescent="0.2">
      <c r="A63" s="473" t="s">
        <v>43</v>
      </c>
      <c r="B63" s="474" t="s">
        <v>487</v>
      </c>
      <c r="C63" s="474" t="s">
        <v>488</v>
      </c>
      <c r="D63" s="474" t="s">
        <v>488</v>
      </c>
      <c r="E63" s="475" t="s">
        <v>488</v>
      </c>
    </row>
    <row r="64" spans="1:5" ht="14.25" customHeight="1" x14ac:dyDescent="0.2">
      <c r="A64" s="476" t="s">
        <v>44</v>
      </c>
      <c r="B64" s="477">
        <f>1/12</f>
        <v>8.3333333333333329E-2</v>
      </c>
      <c r="C64" s="484">
        <f t="shared" ref="C64:E67" si="1">$B64*(C$19+C$49+C$60)</f>
        <v>0</v>
      </c>
      <c r="D64" s="484">
        <f t="shared" si="1"/>
        <v>0</v>
      </c>
      <c r="E64" s="485">
        <f t="shared" si="1"/>
        <v>0</v>
      </c>
    </row>
    <row r="65" spans="1:5" ht="14.25" customHeight="1" x14ac:dyDescent="0.2">
      <c r="A65" s="476" t="s">
        <v>531</v>
      </c>
      <c r="B65" s="477">
        <f>MC!E54/30/12</f>
        <v>1.3538888888888885E-2</v>
      </c>
      <c r="C65" s="484">
        <f t="shared" si="1"/>
        <v>0</v>
      </c>
      <c r="D65" s="484">
        <f t="shared" si="1"/>
        <v>0</v>
      </c>
      <c r="E65" s="485">
        <f t="shared" si="1"/>
        <v>0</v>
      </c>
    </row>
    <row r="66" spans="1:5" ht="14.25" customHeight="1" x14ac:dyDescent="0.2">
      <c r="A66" s="476" t="s">
        <v>532</v>
      </c>
      <c r="B66" s="502">
        <f>(5/30)/12*MC!F56*MC!C57</f>
        <v>1.0764583333333333E-4</v>
      </c>
      <c r="C66" s="484">
        <f t="shared" si="1"/>
        <v>0</v>
      </c>
      <c r="D66" s="484">
        <f t="shared" si="1"/>
        <v>0</v>
      </c>
      <c r="E66" s="485">
        <f t="shared" si="1"/>
        <v>0</v>
      </c>
    </row>
    <row r="67" spans="1:5" ht="14.25" customHeight="1" x14ac:dyDescent="0.2">
      <c r="A67" s="476" t="s">
        <v>533</v>
      </c>
      <c r="B67" s="502">
        <f>MC!C59/30/12</f>
        <v>2.6830555555555553E-3</v>
      </c>
      <c r="C67" s="484">
        <f t="shared" si="1"/>
        <v>0</v>
      </c>
      <c r="D67" s="484">
        <f t="shared" si="1"/>
        <v>0</v>
      </c>
      <c r="E67" s="485">
        <f t="shared" si="1"/>
        <v>0</v>
      </c>
    </row>
    <row r="68" spans="1:5" ht="14.25" customHeight="1" x14ac:dyDescent="0.2">
      <c r="A68" s="476" t="s">
        <v>495</v>
      </c>
      <c r="B68" s="477"/>
      <c r="C68" s="484"/>
      <c r="D68" s="484"/>
      <c r="E68" s="485"/>
    </row>
    <row r="69" spans="1:5" ht="14.25" customHeight="1" x14ac:dyDescent="0.2">
      <c r="A69" s="503" t="s">
        <v>534</v>
      </c>
      <c r="B69" s="504">
        <f>SUM(B64:B68)</f>
        <v>9.9662923611111107E-2</v>
      </c>
      <c r="C69" s="505">
        <f>SUM(C64:C68)</f>
        <v>0</v>
      </c>
      <c r="D69" s="505">
        <f>SUM(D64:D68)</f>
        <v>0</v>
      </c>
      <c r="E69" s="506">
        <f>SUM(E64:E68)</f>
        <v>0</v>
      </c>
    </row>
    <row r="70" spans="1:5" ht="14.25" customHeight="1" x14ac:dyDescent="0.2">
      <c r="A70" s="473" t="s">
        <v>535</v>
      </c>
      <c r="B70" s="474" t="s">
        <v>487</v>
      </c>
      <c r="C70" s="474" t="s">
        <v>488</v>
      </c>
      <c r="D70" s="474" t="s">
        <v>488</v>
      </c>
      <c r="E70" s="475" t="s">
        <v>488</v>
      </c>
    </row>
    <row r="71" spans="1:5" ht="14.25" customHeight="1" x14ac:dyDescent="0.2">
      <c r="A71" s="476" t="s">
        <v>536</v>
      </c>
      <c r="B71" s="477"/>
      <c r="C71" s="484"/>
      <c r="D71" s="484"/>
      <c r="E71" s="485"/>
    </row>
    <row r="72" spans="1:5" ht="14.25" customHeight="1" x14ac:dyDescent="0.2">
      <c r="A72" s="503" t="s">
        <v>534</v>
      </c>
      <c r="B72" s="504"/>
      <c r="C72" s="505">
        <f>C71</f>
        <v>0</v>
      </c>
      <c r="D72" s="505"/>
      <c r="E72" s="506"/>
    </row>
    <row r="73" spans="1:5" ht="14.25" customHeight="1" x14ac:dyDescent="0.2">
      <c r="A73" s="473" t="s">
        <v>65</v>
      </c>
      <c r="B73" s="474" t="s">
        <v>487</v>
      </c>
      <c r="C73" s="474" t="s">
        <v>488</v>
      </c>
      <c r="D73" s="474" t="s">
        <v>488</v>
      </c>
      <c r="E73" s="475" t="s">
        <v>488</v>
      </c>
    </row>
    <row r="74" spans="1:5" ht="14.25" customHeight="1" x14ac:dyDescent="0.2">
      <c r="A74" s="476" t="s">
        <v>66</v>
      </c>
      <c r="B74" s="477">
        <f>120/30*MC!C62*MC!C63</f>
        <v>6.18624E-3</v>
      </c>
      <c r="C74" s="484">
        <f>(((C19*2)+ (C19*1/3))+(C36)+(C44-C38-C39))*$B$74</f>
        <v>0</v>
      </c>
      <c r="D74" s="484">
        <f>(((D19*2)+ (D19*1/3))+(D36)+(D44-D38-D39))*$B$74</f>
        <v>0</v>
      </c>
      <c r="E74" s="485">
        <f>(((E19*2)+ (E19*1/3))+(E36)+(E44-E38-E39))*$B$74</f>
        <v>0</v>
      </c>
    </row>
    <row r="75" spans="1:5" ht="14.25" customHeight="1" x14ac:dyDescent="0.2">
      <c r="A75" s="503" t="s">
        <v>496</v>
      </c>
      <c r="B75" s="504"/>
      <c r="C75" s="505"/>
      <c r="D75" s="505"/>
      <c r="E75" s="506"/>
    </row>
    <row r="76" spans="1:5" ht="14.25" customHeight="1" x14ac:dyDescent="0.2">
      <c r="A76" s="450" t="s">
        <v>537</v>
      </c>
      <c r="B76" s="451" t="s">
        <v>487</v>
      </c>
      <c r="C76" s="451" t="s">
        <v>488</v>
      </c>
      <c r="D76" s="451" t="s">
        <v>488</v>
      </c>
      <c r="E76" s="452" t="s">
        <v>488</v>
      </c>
    </row>
    <row r="77" spans="1:5" ht="14.25" customHeight="1" x14ac:dyDescent="0.2">
      <c r="A77" s="476" t="s">
        <v>43</v>
      </c>
      <c r="B77" s="493">
        <f>B69</f>
        <v>9.9662923611111107E-2</v>
      </c>
      <c r="C77" s="494">
        <f>C69</f>
        <v>0</v>
      </c>
      <c r="D77" s="494">
        <f>D69</f>
        <v>0</v>
      </c>
      <c r="E77" s="495">
        <f>E69</f>
        <v>0</v>
      </c>
    </row>
    <row r="78" spans="1:5" ht="14.25" customHeight="1" x14ac:dyDescent="0.2">
      <c r="A78" s="476" t="s">
        <v>535</v>
      </c>
      <c r="B78" s="493">
        <f>B72</f>
        <v>0</v>
      </c>
      <c r="C78" s="494">
        <f>C72</f>
        <v>0</v>
      </c>
      <c r="D78" s="494">
        <f>D72</f>
        <v>0</v>
      </c>
      <c r="E78" s="495">
        <f>E72</f>
        <v>0</v>
      </c>
    </row>
    <row r="79" spans="1:5" ht="14.25" customHeight="1" x14ac:dyDescent="0.2">
      <c r="A79" s="476" t="s">
        <v>65</v>
      </c>
      <c r="B79" s="493">
        <f>B74</f>
        <v>6.18624E-3</v>
      </c>
      <c r="C79" s="494">
        <f>C74</f>
        <v>0</v>
      </c>
      <c r="D79" s="494">
        <f>D74</f>
        <v>0</v>
      </c>
      <c r="E79" s="495">
        <f>E74</f>
        <v>0</v>
      </c>
    </row>
    <row r="80" spans="1:5" ht="14.25" customHeight="1" x14ac:dyDescent="0.2">
      <c r="A80" s="464" t="s">
        <v>496</v>
      </c>
      <c r="B80" s="465"/>
      <c r="C80" s="479">
        <f>SUM(C77:C79)</f>
        <v>0</v>
      </c>
      <c r="D80" s="708">
        <f>SUM(D77:D79)</f>
        <v>0</v>
      </c>
      <c r="E80" s="635">
        <f>SUM(E77:E79)</f>
        <v>0</v>
      </c>
    </row>
    <row r="81" spans="1:5" ht="14.25" customHeight="1" x14ac:dyDescent="0.2">
      <c r="A81" s="860"/>
      <c r="B81" s="860"/>
      <c r="C81" s="860"/>
      <c r="D81" s="860"/>
      <c r="E81" s="860"/>
    </row>
    <row r="82" spans="1:5" ht="14.25" customHeight="1" x14ac:dyDescent="0.2">
      <c r="A82" s="881" t="s">
        <v>538</v>
      </c>
      <c r="B82" s="881"/>
      <c r="C82" s="881"/>
      <c r="D82" s="881"/>
      <c r="E82" s="881"/>
    </row>
    <row r="83" spans="1:5" ht="14.25" customHeight="1" x14ac:dyDescent="0.2">
      <c r="A83" s="450" t="s">
        <v>539</v>
      </c>
      <c r="B83" s="451" t="s">
        <v>512</v>
      </c>
      <c r="C83" s="451" t="s">
        <v>488</v>
      </c>
      <c r="D83" s="451" t="s">
        <v>488</v>
      </c>
      <c r="E83" s="452" t="s">
        <v>488</v>
      </c>
    </row>
    <row r="84" spans="1:5" ht="14.25" customHeight="1" x14ac:dyDescent="0.2">
      <c r="A84" s="476" t="s">
        <v>541</v>
      </c>
      <c r="B84" s="654"/>
      <c r="C84" s="633">
        <f>Insumos!$K119</f>
        <v>0</v>
      </c>
      <c r="D84" s="455">
        <f>Insumos!$K119</f>
        <v>0</v>
      </c>
      <c r="E84" s="457">
        <f>Insumos!$K119</f>
        <v>0</v>
      </c>
    </row>
    <row r="85" spans="1:5" ht="14.25" customHeight="1" x14ac:dyDescent="0.2">
      <c r="A85" s="513" t="s">
        <v>542</v>
      </c>
      <c r="B85" s="654"/>
      <c r="C85" s="633">
        <f>Insumos!$G70</f>
        <v>0</v>
      </c>
      <c r="D85" s="455">
        <f>Insumos!$G70</f>
        <v>0</v>
      </c>
      <c r="E85" s="457">
        <f>Insumos!$G70</f>
        <v>0</v>
      </c>
    </row>
    <row r="86" spans="1:5" ht="14.25" customHeight="1" x14ac:dyDescent="0.2">
      <c r="A86" s="513" t="s">
        <v>543</v>
      </c>
      <c r="B86" s="655"/>
      <c r="C86" s="633">
        <f>$B86</f>
        <v>0</v>
      </c>
      <c r="D86" s="455">
        <f>$B86</f>
        <v>0</v>
      </c>
      <c r="E86" s="457">
        <f>$B86</f>
        <v>0</v>
      </c>
    </row>
    <row r="87" spans="1:5" ht="14.25" customHeight="1" x14ac:dyDescent="0.2">
      <c r="A87" s="513" t="s">
        <v>544</v>
      </c>
      <c r="B87" s="656"/>
      <c r="C87" s="633">
        <f>Insumos!$I123</f>
        <v>0</v>
      </c>
      <c r="D87" s="455">
        <f>Insumos!$H123</f>
        <v>0</v>
      </c>
      <c r="E87" s="457">
        <f>Insumos!$H123</f>
        <v>0</v>
      </c>
    </row>
    <row r="88" spans="1:5" ht="14.25" customHeight="1" x14ac:dyDescent="0.2">
      <c r="A88" s="503" t="s">
        <v>496</v>
      </c>
      <c r="B88" s="520"/>
      <c r="C88" s="505">
        <f>SUM(C84:C87)</f>
        <v>0</v>
      </c>
      <c r="D88" s="651">
        <f>SUM(D84:D87)</f>
        <v>0</v>
      </c>
      <c r="E88" s="652">
        <f>SUM(E84:E87)</f>
        <v>0</v>
      </c>
    </row>
    <row r="89" spans="1:5" ht="14.25" customHeight="1" x14ac:dyDescent="0.2">
      <c r="A89" s="860"/>
      <c r="B89" s="860"/>
      <c r="C89" s="860"/>
      <c r="D89" s="860"/>
      <c r="E89" s="860"/>
    </row>
    <row r="90" spans="1:5" ht="14.25" customHeight="1" x14ac:dyDescent="0.2">
      <c r="A90" s="881" t="s">
        <v>548</v>
      </c>
      <c r="B90" s="881"/>
      <c r="C90" s="881"/>
      <c r="D90" s="881"/>
      <c r="E90" s="881"/>
    </row>
    <row r="91" spans="1:5" ht="14.25" customHeight="1" x14ac:dyDescent="0.2">
      <c r="A91" s="450" t="s">
        <v>549</v>
      </c>
      <c r="B91" s="451" t="s">
        <v>487</v>
      </c>
      <c r="C91" s="451" t="s">
        <v>488</v>
      </c>
      <c r="D91" s="451" t="s">
        <v>488</v>
      </c>
      <c r="E91" s="452" t="s">
        <v>488</v>
      </c>
    </row>
    <row r="92" spans="1:5" ht="14.25" customHeight="1" x14ac:dyDescent="0.2">
      <c r="A92" s="453" t="s">
        <v>71</v>
      </c>
      <c r="B92" s="477">
        <v>0.03</v>
      </c>
      <c r="C92" s="484">
        <f>($C$19+$C$49+$C$60+$C$80+$C$88)*$B$92</f>
        <v>0</v>
      </c>
      <c r="D92" s="484">
        <f>(D$19+D$49+D$60+D$80+D$88)*$B$92</f>
        <v>0</v>
      </c>
      <c r="E92" s="485">
        <f>(E$19+E$49+E$60+E$80+E$88)*$B$92</f>
        <v>0</v>
      </c>
    </row>
    <row r="93" spans="1:5" ht="14.25" customHeight="1" x14ac:dyDescent="0.2">
      <c r="A93" s="453" t="s">
        <v>72</v>
      </c>
      <c r="B93" s="477">
        <v>6.7900000000000002E-2</v>
      </c>
      <c r="C93" s="484">
        <f>($C$19+$C$49+$C$60+$C$80+$C$88+C92)*B93</f>
        <v>0</v>
      </c>
      <c r="D93" s="484">
        <f>(D$19+D$49+D$60+D$80+D$88+D$92)*$B$93</f>
        <v>0</v>
      </c>
      <c r="E93" s="485">
        <f>(E$19+E$49+E$60+E$80+E$88+E$92)*$B$93</f>
        <v>0</v>
      </c>
    </row>
    <row r="94" spans="1:5" ht="14.25" customHeight="1" x14ac:dyDescent="0.2">
      <c r="A94" s="524" t="s">
        <v>550</v>
      </c>
      <c r="B94" s="525">
        <f>B95+B96</f>
        <v>0.1125</v>
      </c>
      <c r="C94" s="526">
        <f>((C19+C49+C60+C80+C88+C92+C93)/(1-($B$94)))*$B$94</f>
        <v>0</v>
      </c>
      <c r="D94" s="526">
        <f>((D19+D49+D60+D80+D88+D92+D93)/(1-($B$94)))*$B$94</f>
        <v>0</v>
      </c>
      <c r="E94" s="527">
        <f>((E19+E49+E60+E80+E88+E92+E93)/(1-($B$94)))*$B$94</f>
        <v>0</v>
      </c>
    </row>
    <row r="95" spans="1:5" ht="14.25" customHeight="1" x14ac:dyDescent="0.2">
      <c r="A95" s="453" t="s">
        <v>551</v>
      </c>
      <c r="B95" s="477">
        <f>0.0165+0.076</f>
        <v>9.2499999999999999E-2</v>
      </c>
      <c r="C95" s="533">
        <f>((C$19+C$49+C$60+C$80+C$88+C$92+C$93)/(1-($B$94)))*$B$95</f>
        <v>0</v>
      </c>
      <c r="D95" s="533">
        <f>((D$19+D$49+D$60+D$80+D$88+D$92+D$93)/(1-($B$94)))*$B$95</f>
        <v>0</v>
      </c>
      <c r="E95" s="534">
        <f>((E$19+E$49+E$60+E$80+E$88+E$92+E$93)/(1-($B$94)))*$B$95</f>
        <v>0</v>
      </c>
    </row>
    <row r="96" spans="1:5" ht="14.25" customHeight="1" x14ac:dyDescent="0.2">
      <c r="A96" s="453" t="s">
        <v>552</v>
      </c>
      <c r="B96" s="477">
        <v>0.02</v>
      </c>
      <c r="C96" s="533">
        <f>((C$19+C$49+C$60+C$80+C$88+C$92+C$93)/(1-($B$94)))*$B$96</f>
        <v>0</v>
      </c>
      <c r="D96" s="533">
        <f>((D$19+D$49+D$60+D$80+D$88+D$92+D$93)/(1-($B$94)))*$B$96</f>
        <v>0</v>
      </c>
      <c r="E96" s="534">
        <f>((E$19+E$49+E$60+E$80+E$88+E$92+E$93)/(1-($B$94)))*$B$96</f>
        <v>0</v>
      </c>
    </row>
    <row r="97" spans="1:6" ht="14.25" customHeight="1" x14ac:dyDescent="0.2">
      <c r="A97" s="524" t="s">
        <v>553</v>
      </c>
      <c r="B97" s="525">
        <f>B98+B99</f>
        <v>0.11749999999999999</v>
      </c>
      <c r="C97" s="526">
        <f>((C19+C49+C60+C80+C88+C92+C93)/(1-($B$97)))*$B$97</f>
        <v>0</v>
      </c>
      <c r="D97" s="526">
        <f>((D19+D49+D60+D80+D88+D92+D93)/(1-($B$97)))*$B$97</f>
        <v>0</v>
      </c>
      <c r="E97" s="527">
        <f>((E19+E49+E60+E80+E88+E92+E93)/(1-($B$97)))*$B$97</f>
        <v>0</v>
      </c>
    </row>
    <row r="98" spans="1:6" ht="14.25" customHeight="1" x14ac:dyDescent="0.2">
      <c r="A98" s="453" t="s">
        <v>551</v>
      </c>
      <c r="B98" s="477">
        <f>0.0165+0.076</f>
        <v>9.2499999999999999E-2</v>
      </c>
      <c r="C98" s="528">
        <f>((C19+C49+C60+C80+C88+C92+C93)/(1-($B$97)))*$B$98</f>
        <v>0</v>
      </c>
      <c r="D98" s="528">
        <f>((D19+D49+D60+D80+D88+D92+D93)/(1-($B$97)))*$B$98</f>
        <v>0</v>
      </c>
      <c r="E98" s="529">
        <f>((E19+E49+E60+E80+E88+E92+E93)/(1-($B$97)))*$B$98</f>
        <v>0</v>
      </c>
    </row>
    <row r="99" spans="1:6" ht="14.25" customHeight="1" x14ac:dyDescent="0.2">
      <c r="A99" s="453" t="s">
        <v>552</v>
      </c>
      <c r="B99" s="477">
        <v>2.5000000000000001E-2</v>
      </c>
      <c r="C99" s="528">
        <f>((C$19+C$49+C$60+C$80+C$88+C$92+C$93)/(1-($B$97)))*$B$99</f>
        <v>0</v>
      </c>
      <c r="D99" s="528">
        <f>((D$19+D$49+D$60+D$80+D$88+D$92+D$93)/(1-($B$97)))*$B$99</f>
        <v>0</v>
      </c>
      <c r="E99" s="529">
        <f>((E$19+E$49+E$60+E$80+E$88+E$92+E$93)/(1-($B$97)))*$B$99</f>
        <v>0</v>
      </c>
    </row>
    <row r="100" spans="1:6" ht="14.25" customHeight="1" x14ac:dyDescent="0.2">
      <c r="A100" s="524" t="s">
        <v>554</v>
      </c>
      <c r="B100" s="525">
        <f>B101+B102</f>
        <v>0.1225</v>
      </c>
      <c r="C100" s="526">
        <f>((C19+C49+C60+C80+C88+C92+C93)/(1-($B$100)))*$B$100</f>
        <v>0</v>
      </c>
      <c r="D100" s="526">
        <f>((D19+D49+D60+D80+D88+D92+D93)/(1-($B$100)))*$B$100</f>
        <v>0</v>
      </c>
      <c r="E100" s="527">
        <f>((E19+E49+E60+E80+E88+E92+E93)/(1-($B$100)))*$B$100</f>
        <v>0</v>
      </c>
    </row>
    <row r="101" spans="1:6" ht="14.25" customHeight="1" x14ac:dyDescent="0.2">
      <c r="A101" s="453" t="s">
        <v>551</v>
      </c>
      <c r="B101" s="477">
        <f>0.0165+0.076</f>
        <v>9.2499999999999999E-2</v>
      </c>
      <c r="C101" s="528">
        <f>((C19+C49+C60+C80+C88+C92+C93)/(1-($B$100)))*$B$101</f>
        <v>0</v>
      </c>
      <c r="D101" s="528">
        <f>((D19+D49+D60+D80+D88+D92+D93)/(1-($B$100)))*$B$101</f>
        <v>0</v>
      </c>
      <c r="E101" s="529">
        <f>((E19+E49+E60+E80+E88+E92+E93)/(1-($B$100)))*$B$101</f>
        <v>0</v>
      </c>
    </row>
    <row r="102" spans="1:6" ht="14.25" customHeight="1" x14ac:dyDescent="0.2">
      <c r="A102" s="453" t="s">
        <v>552</v>
      </c>
      <c r="B102" s="477">
        <v>0.03</v>
      </c>
      <c r="C102" s="528">
        <f>((C19+C49+C60+C80+C88+C92+C93)/(1-($B$100)))*$B$102</f>
        <v>0</v>
      </c>
      <c r="D102" s="528">
        <f>((D19+D49+D60+D80+D88+D92+D93)/(1-($B$100)))*$B$102</f>
        <v>0</v>
      </c>
      <c r="E102" s="529">
        <f>((E19+E49+E60+E80+E88+E92+E93)/(1-($B$100)))*$B$102</f>
        <v>0</v>
      </c>
      <c r="F102" s="532"/>
    </row>
    <row r="103" spans="1:6" ht="14.25" customHeight="1" x14ac:dyDescent="0.2">
      <c r="A103" s="524" t="s">
        <v>555</v>
      </c>
      <c r="B103" s="525">
        <f>B104+B105</f>
        <v>0.13250000000000001</v>
      </c>
      <c r="C103" s="526">
        <f>((C19+C49+C60+C80+C88+C92+C93)/(1-($B$103)))*$B$103</f>
        <v>0</v>
      </c>
      <c r="D103" s="526">
        <f>((D19+D49+D60+D80+D88+D92+D93)/(1-($B$103)))*$B$103</f>
        <v>0</v>
      </c>
      <c r="E103" s="527">
        <f>((E19+E49+E60+E80+E88+E92+E93)/(1-($B$103)))*$B$103</f>
        <v>0</v>
      </c>
    </row>
    <row r="104" spans="1:6" ht="14.25" customHeight="1" x14ac:dyDescent="0.2">
      <c r="A104" s="453" t="s">
        <v>551</v>
      </c>
      <c r="B104" s="477">
        <f>0.0165+0.076</f>
        <v>9.2499999999999999E-2</v>
      </c>
      <c r="C104" s="528">
        <f>((C19+C49+C60+C80+C88+C92+C93)/(1-($B$103)))*$B$104</f>
        <v>0</v>
      </c>
      <c r="D104" s="528">
        <f>((D19+D49+D60+D80+D88+D92+D93)/(1-($B$103)))*$B$104</f>
        <v>0</v>
      </c>
      <c r="E104" s="529">
        <f>((E19+E49+E60+E80+E88+E92+E93)/(1-($B$103)))*$B$104</f>
        <v>0</v>
      </c>
    </row>
    <row r="105" spans="1:6" ht="14.25" customHeight="1" x14ac:dyDescent="0.2">
      <c r="A105" s="453" t="s">
        <v>552</v>
      </c>
      <c r="B105" s="477">
        <v>0.04</v>
      </c>
      <c r="C105" s="528">
        <f>((C19+C49+C60+C80+C88+C92+C93)/(1-($B$103)))*$B$105</f>
        <v>0</v>
      </c>
      <c r="D105" s="528">
        <f>((D19+D49+D60+D80+D88+D92+D93)/(1-($B$103)))*$B$105</f>
        <v>0</v>
      </c>
      <c r="E105" s="529">
        <f>((E19+E49+E60+E80+E88+E92+E93)/(1-($B$103)))*$B$105</f>
        <v>0</v>
      </c>
    </row>
    <row r="106" spans="1:6" ht="14.25" customHeight="1" x14ac:dyDescent="0.2">
      <c r="A106" s="524" t="s">
        <v>556</v>
      </c>
      <c r="B106" s="525">
        <f>B107+B108</f>
        <v>0.14250000000000002</v>
      </c>
      <c r="C106" s="526">
        <f>((C19+C49+C60+C80+C88+C92+C93)/(1-($B$106)))*$B$106</f>
        <v>0</v>
      </c>
      <c r="D106" s="526">
        <f>((D19+D49+D60+D80+D88+D92+D93)/(1-($B$106)))*$B$106</f>
        <v>0</v>
      </c>
      <c r="E106" s="527">
        <f>((E19+E49+E60+E80+E88+E92+E93)/(1-($B$106)))*$B$106</f>
        <v>0</v>
      </c>
    </row>
    <row r="107" spans="1:6" ht="14.25" customHeight="1" x14ac:dyDescent="0.2">
      <c r="A107" s="453" t="s">
        <v>551</v>
      </c>
      <c r="B107" s="477">
        <f>0.0165+0.076</f>
        <v>9.2499999999999999E-2</v>
      </c>
      <c r="C107" s="533">
        <f>((C19+C49+C60+C80+C88+C92+C93)/(1-($B$106)))*$B$107</f>
        <v>0</v>
      </c>
      <c r="D107" s="533">
        <f>((D19+D49+D60+D80+D88+D92+D93)/(1-($B$106)))*$B$107</f>
        <v>0</v>
      </c>
      <c r="E107" s="534">
        <f>((E19+E49+E60+E80+E88+E92+E93)/(1-($B$106)))*$B$107</f>
        <v>0</v>
      </c>
    </row>
    <row r="108" spans="1:6" ht="14.25" customHeight="1" x14ac:dyDescent="0.2">
      <c r="A108" s="453" t="s">
        <v>552</v>
      </c>
      <c r="B108" s="535">
        <v>0.05</v>
      </c>
      <c r="C108" s="533">
        <f>((C19+C49+C60+C80+C88+C92+C93)/(1-($B$106)))*$B$108</f>
        <v>0</v>
      </c>
      <c r="D108" s="533">
        <f>((D19+D49+D60+D80+D88+D92+D93)/(1-($B$106)))*$B$108</f>
        <v>0</v>
      </c>
      <c r="E108" s="534">
        <f>((E19+E49+E60+E80+E88+E92+E93)/(1-($B$106)))*$B$108</f>
        <v>0</v>
      </c>
    </row>
    <row r="109" spans="1:6" ht="14.25" customHeight="1" x14ac:dyDescent="0.2">
      <c r="A109" s="861" t="s">
        <v>557</v>
      </c>
      <c r="B109" s="538">
        <v>0.02</v>
      </c>
      <c r="C109" s="542">
        <f>C92+C93+C94</f>
        <v>0</v>
      </c>
      <c r="D109" s="542">
        <f>D92+D93+D94</f>
        <v>0</v>
      </c>
      <c r="E109" s="543">
        <f>E92+E93+E94</f>
        <v>0</v>
      </c>
    </row>
    <row r="110" spans="1:6" ht="14.25" customHeight="1" x14ac:dyDescent="0.2">
      <c r="A110" s="861"/>
      <c r="B110" s="541">
        <v>2.5000000000000001E-2</v>
      </c>
      <c r="C110" s="542">
        <f>C92+C93+C97</f>
        <v>0</v>
      </c>
      <c r="D110" s="542">
        <f>D92+D93+D97</f>
        <v>0</v>
      </c>
      <c r="E110" s="543">
        <f>E92+E93+E97</f>
        <v>0</v>
      </c>
    </row>
    <row r="111" spans="1:6" ht="14.25" customHeight="1" x14ac:dyDescent="0.2">
      <c r="A111" s="861"/>
      <c r="B111" s="541">
        <v>0.03</v>
      </c>
      <c r="C111" s="542">
        <f>C92+C93+C100</f>
        <v>0</v>
      </c>
      <c r="D111" s="542">
        <f>D92+D93+D100</f>
        <v>0</v>
      </c>
      <c r="E111" s="543">
        <f>E92+E93+E100</f>
        <v>0</v>
      </c>
      <c r="F111" s="532"/>
    </row>
    <row r="112" spans="1:6" ht="14.25" customHeight="1" x14ac:dyDescent="0.2">
      <c r="A112" s="861"/>
      <c r="B112" s="541">
        <v>0.04</v>
      </c>
      <c r="C112" s="542">
        <f>C92+C93+C103</f>
        <v>0</v>
      </c>
      <c r="D112" s="542">
        <f>D92+D93+D103</f>
        <v>0</v>
      </c>
      <c r="E112" s="543">
        <f>E92+E93+E103</f>
        <v>0</v>
      </c>
    </row>
    <row r="113" spans="1:5" ht="14.25" customHeight="1" x14ac:dyDescent="0.2">
      <c r="A113" s="861"/>
      <c r="B113" s="544">
        <v>0.05</v>
      </c>
      <c r="C113" s="545">
        <f>C92+C93+C106</f>
        <v>0</v>
      </c>
      <c r="D113" s="545">
        <f>D92+D93+D106</f>
        <v>0</v>
      </c>
      <c r="E113" s="546">
        <f>E92+E93+E106</f>
        <v>0</v>
      </c>
    </row>
    <row r="114" spans="1:5" ht="7.5" customHeight="1" x14ac:dyDescent="0.2">
      <c r="A114" s="862"/>
      <c r="B114" s="862"/>
      <c r="C114" s="862"/>
      <c r="D114" s="862"/>
      <c r="E114" s="862"/>
    </row>
    <row r="115" spans="1:5" ht="7.5" customHeight="1" x14ac:dyDescent="0.2">
      <c r="A115" s="863"/>
      <c r="B115" s="863"/>
      <c r="C115" s="863"/>
      <c r="D115" s="863"/>
      <c r="E115" s="863"/>
    </row>
    <row r="116" spans="1:5" ht="54.75" customHeight="1" x14ac:dyDescent="0.2">
      <c r="A116" s="864" t="s">
        <v>559</v>
      </c>
      <c r="B116" s="864"/>
      <c r="C116" s="556" t="str">
        <f>C10</f>
        <v>Servente 40h
COVID</v>
      </c>
      <c r="D116" s="556" t="str">
        <f>D10</f>
        <v>Servente 30h
COVID</v>
      </c>
      <c r="E116" s="558" t="str">
        <f>E10</f>
        <v>Servente 20h
COVID</v>
      </c>
    </row>
    <row r="117" spans="1:5" ht="15.75" customHeight="1" x14ac:dyDescent="0.2">
      <c r="A117" s="865" t="s">
        <v>560</v>
      </c>
      <c r="B117" s="865"/>
      <c r="C117" s="746" t="s">
        <v>488</v>
      </c>
      <c r="D117" s="746" t="s">
        <v>488</v>
      </c>
      <c r="E117" s="747" t="s">
        <v>488</v>
      </c>
    </row>
    <row r="118" spans="1:5" ht="14.25" customHeight="1" x14ac:dyDescent="0.2">
      <c r="A118" s="866" t="s">
        <v>561</v>
      </c>
      <c r="B118" s="866"/>
      <c r="C118" s="563">
        <f>C19</f>
        <v>0</v>
      </c>
      <c r="D118" s="563">
        <f>D19</f>
        <v>0</v>
      </c>
      <c r="E118" s="564">
        <f>E19</f>
        <v>0</v>
      </c>
    </row>
    <row r="119" spans="1:5" ht="14.25" customHeight="1" x14ac:dyDescent="0.2">
      <c r="A119" s="867" t="s">
        <v>562</v>
      </c>
      <c r="B119" s="867"/>
      <c r="C119" s="563">
        <f>C49</f>
        <v>0</v>
      </c>
      <c r="D119" s="563">
        <f>D49</f>
        <v>0</v>
      </c>
      <c r="E119" s="564">
        <f>E49</f>
        <v>0</v>
      </c>
    </row>
    <row r="120" spans="1:5" ht="14.25" customHeight="1" x14ac:dyDescent="0.2">
      <c r="A120" s="867" t="s">
        <v>563</v>
      </c>
      <c r="B120" s="867"/>
      <c r="C120" s="563">
        <f>C60</f>
        <v>0</v>
      </c>
      <c r="D120" s="563">
        <f>D60</f>
        <v>0</v>
      </c>
      <c r="E120" s="564">
        <f>E60</f>
        <v>0</v>
      </c>
    </row>
    <row r="121" spans="1:5" ht="14.25" customHeight="1" x14ac:dyDescent="0.2">
      <c r="A121" s="867" t="s">
        <v>564</v>
      </c>
      <c r="B121" s="867"/>
      <c r="C121" s="563">
        <f>C80</f>
        <v>0</v>
      </c>
      <c r="D121" s="563">
        <f>D80</f>
        <v>0</v>
      </c>
      <c r="E121" s="564">
        <f>E80</f>
        <v>0</v>
      </c>
    </row>
    <row r="122" spans="1:5" ht="15.75" customHeight="1" x14ac:dyDescent="0.2">
      <c r="A122" s="867" t="s">
        <v>565</v>
      </c>
      <c r="B122" s="867"/>
      <c r="C122" s="563">
        <f>C88</f>
        <v>0</v>
      </c>
      <c r="D122" s="563">
        <f>D88</f>
        <v>0</v>
      </c>
      <c r="E122" s="564">
        <f>E88</f>
        <v>0</v>
      </c>
    </row>
    <row r="123" spans="1:5" ht="15.75" customHeight="1" x14ac:dyDescent="0.2">
      <c r="A123" s="868" t="s">
        <v>566</v>
      </c>
      <c r="B123" s="868"/>
      <c r="C123" s="565">
        <f>SUM(C118:C122)</f>
        <v>0</v>
      </c>
      <c r="D123" s="565">
        <f>SUM(D118:D122)</f>
        <v>0</v>
      </c>
      <c r="E123" s="567">
        <f>SUM(E118:E122)</f>
        <v>0</v>
      </c>
    </row>
    <row r="124" spans="1:5" ht="15.75" customHeight="1" x14ac:dyDescent="0.2">
      <c r="A124" s="869" t="s">
        <v>567</v>
      </c>
      <c r="B124" s="869"/>
      <c r="C124" s="565">
        <f t="shared" ref="C124:E128" si="2">C109</f>
        <v>0</v>
      </c>
      <c r="D124" s="565">
        <f t="shared" si="2"/>
        <v>0</v>
      </c>
      <c r="E124" s="567">
        <f t="shared" si="2"/>
        <v>0</v>
      </c>
    </row>
    <row r="125" spans="1:5" ht="15.75" customHeight="1" x14ac:dyDescent="0.2">
      <c r="A125" s="867" t="s">
        <v>568</v>
      </c>
      <c r="B125" s="867"/>
      <c r="C125" s="718">
        <f t="shared" si="2"/>
        <v>0</v>
      </c>
      <c r="D125" s="565">
        <f t="shared" si="2"/>
        <v>0</v>
      </c>
      <c r="E125" s="567">
        <f t="shared" si="2"/>
        <v>0</v>
      </c>
    </row>
    <row r="126" spans="1:5" ht="15.75" customHeight="1" x14ac:dyDescent="0.2">
      <c r="A126" s="867" t="s">
        <v>569</v>
      </c>
      <c r="B126" s="867"/>
      <c r="C126" s="718">
        <f t="shared" si="2"/>
        <v>0</v>
      </c>
      <c r="D126" s="565">
        <f t="shared" si="2"/>
        <v>0</v>
      </c>
      <c r="E126" s="567">
        <f t="shared" si="2"/>
        <v>0</v>
      </c>
    </row>
    <row r="127" spans="1:5" ht="15.75" customHeight="1" x14ac:dyDescent="0.2">
      <c r="A127" s="867" t="s">
        <v>570</v>
      </c>
      <c r="B127" s="867"/>
      <c r="C127" s="718">
        <f t="shared" si="2"/>
        <v>0</v>
      </c>
      <c r="D127" s="565">
        <f t="shared" si="2"/>
        <v>0</v>
      </c>
      <c r="E127" s="567">
        <f t="shared" si="2"/>
        <v>0</v>
      </c>
    </row>
    <row r="128" spans="1:5" ht="15.75" customHeight="1" x14ac:dyDescent="0.2">
      <c r="A128" s="869" t="s">
        <v>571</v>
      </c>
      <c r="B128" s="869"/>
      <c r="C128" s="570">
        <f t="shared" si="2"/>
        <v>0</v>
      </c>
      <c r="D128" s="719">
        <f t="shared" si="2"/>
        <v>0</v>
      </c>
      <c r="E128" s="672">
        <f t="shared" si="2"/>
        <v>0</v>
      </c>
    </row>
    <row r="129" spans="1:5" ht="15.75" customHeight="1" x14ac:dyDescent="0.2">
      <c r="A129" s="572" t="s">
        <v>572</v>
      </c>
      <c r="B129" s="573"/>
      <c r="C129" s="574">
        <f>C123+C124</f>
        <v>0</v>
      </c>
      <c r="D129" s="574">
        <f>D123+D124</f>
        <v>0</v>
      </c>
      <c r="E129" s="575">
        <f>E123+E124</f>
        <v>0</v>
      </c>
    </row>
    <row r="130" spans="1:5" ht="15.75" customHeight="1" x14ac:dyDescent="0.2">
      <c r="A130" s="576" t="s">
        <v>573</v>
      </c>
      <c r="B130" s="577"/>
      <c r="C130" s="578">
        <f>C123+C125</f>
        <v>0</v>
      </c>
      <c r="D130" s="578">
        <f>D123+D125</f>
        <v>0</v>
      </c>
      <c r="E130" s="579">
        <f>E123+E125</f>
        <v>0</v>
      </c>
    </row>
    <row r="131" spans="1:5" ht="15.75" customHeight="1" x14ac:dyDescent="0.2">
      <c r="A131" s="576" t="s">
        <v>574</v>
      </c>
      <c r="B131" s="577"/>
      <c r="C131" s="578">
        <f>C123+C126</f>
        <v>0</v>
      </c>
      <c r="D131" s="578">
        <f>D123+D126</f>
        <v>0</v>
      </c>
      <c r="E131" s="579">
        <f>E123+E126</f>
        <v>0</v>
      </c>
    </row>
    <row r="132" spans="1:5" ht="15.75" customHeight="1" x14ac:dyDescent="0.2">
      <c r="A132" s="576" t="s">
        <v>575</v>
      </c>
      <c r="B132" s="577"/>
      <c r="C132" s="578">
        <f>C123+C127</f>
        <v>0</v>
      </c>
      <c r="D132" s="578">
        <f>D123+D127</f>
        <v>0</v>
      </c>
      <c r="E132" s="579">
        <f>E123+E127</f>
        <v>0</v>
      </c>
    </row>
    <row r="133" spans="1:5" ht="15.75" customHeight="1" x14ac:dyDescent="0.2">
      <c r="A133" s="576" t="s">
        <v>576</v>
      </c>
      <c r="B133" s="577"/>
      <c r="C133" s="578">
        <f>C123+C128</f>
        <v>0</v>
      </c>
      <c r="D133" s="673">
        <f>D123+D128</f>
        <v>0</v>
      </c>
      <c r="E133" s="674">
        <f>E123+E128</f>
        <v>0</v>
      </c>
    </row>
    <row r="134" spans="1:5" ht="15.75" customHeight="1" x14ac:dyDescent="0.2">
      <c r="A134" s="580" t="s">
        <v>577</v>
      </c>
      <c r="B134" s="581"/>
      <c r="C134" s="582">
        <f>C129/200</f>
        <v>0</v>
      </c>
      <c r="D134" s="582"/>
      <c r="E134" s="675"/>
    </row>
    <row r="135" spans="1:5" ht="15.75" customHeight="1" x14ac:dyDescent="0.2">
      <c r="A135" s="585" t="s">
        <v>578</v>
      </c>
      <c r="B135" s="586"/>
      <c r="C135" s="587">
        <f>C130/200</f>
        <v>0</v>
      </c>
      <c r="D135" s="587"/>
      <c r="E135" s="676"/>
    </row>
    <row r="136" spans="1:5" ht="15.75" customHeight="1" x14ac:dyDescent="0.2">
      <c r="A136" s="585" t="s">
        <v>579</v>
      </c>
      <c r="B136" s="586"/>
      <c r="C136" s="587">
        <f>C131/200</f>
        <v>0</v>
      </c>
      <c r="D136" s="587"/>
      <c r="E136" s="676"/>
    </row>
    <row r="137" spans="1:5" ht="15.75" customHeight="1" x14ac:dyDescent="0.2">
      <c r="A137" s="585" t="s">
        <v>580</v>
      </c>
      <c r="B137" s="586"/>
      <c r="C137" s="587">
        <f>C132/200</f>
        <v>0</v>
      </c>
      <c r="D137" s="587"/>
      <c r="E137" s="676"/>
    </row>
    <row r="138" spans="1:5" ht="15.75" customHeight="1" x14ac:dyDescent="0.2">
      <c r="A138" s="590" t="s">
        <v>581</v>
      </c>
      <c r="B138" s="591"/>
      <c r="C138" s="592">
        <f>C133/200</f>
        <v>0</v>
      </c>
      <c r="D138" s="592"/>
      <c r="E138" s="677"/>
    </row>
    <row r="139" spans="1:5" x14ac:dyDescent="0.2">
      <c r="A139" s="595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LZ1048502"/>
  <sheetViews>
    <sheetView topLeftCell="A55" zoomScale="75" zoomScaleNormal="75" workbookViewId="0">
      <selection activeCell="O87" sqref="O87"/>
    </sheetView>
  </sheetViews>
  <sheetFormatPr defaultRowHeight="14.25" x14ac:dyDescent="0.2"/>
  <cols>
    <col min="1" max="1" width="4.375" style="1" customWidth="1"/>
    <col min="2" max="2" width="41.875" style="1" customWidth="1"/>
    <col min="3" max="4" width="11.875" style="1" customWidth="1"/>
    <col min="5" max="7" width="11.875" style="2" customWidth="1"/>
    <col min="8" max="8" width="12.5" style="2" customWidth="1"/>
    <col min="9" max="9" width="13" style="2" customWidth="1"/>
    <col min="10" max="13" width="11.875" style="2" customWidth="1"/>
    <col min="14" max="14" width="27.125" style="2" customWidth="1"/>
    <col min="15" max="15" width="10.75" style="2" customWidth="1"/>
    <col min="16" max="16" width="8.875" style="1" customWidth="1"/>
    <col min="17" max="17" width="10.375" style="1" customWidth="1"/>
    <col min="18" max="18" width="6.625" style="1" customWidth="1"/>
    <col min="19" max="19" width="6.25" style="1" customWidth="1"/>
    <col min="20" max="21" width="11.125" style="1" customWidth="1"/>
    <col min="22" max="22" width="12.5" style="1" customWidth="1"/>
    <col min="23" max="23" width="3.75" style="1" customWidth="1"/>
    <col min="24" max="24" width="8.125" style="1" customWidth="1"/>
    <col min="25" max="25" width="8" style="1" customWidth="1"/>
    <col min="26" max="1014" width="10.5" style="1" customWidth="1"/>
    <col min="1015" max="1025" width="10.5" customWidth="1"/>
  </cols>
  <sheetData>
    <row r="1" spans="1:13" ht="23.25" x14ac:dyDescent="0.2">
      <c r="A1" s="3"/>
      <c r="B1" s="772" t="s">
        <v>0</v>
      </c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</row>
    <row r="2" spans="1:13" x14ac:dyDescent="0.2">
      <c r="B2" s="5"/>
      <c r="C2" s="5"/>
      <c r="D2" s="5"/>
      <c r="E2" s="5"/>
    </row>
    <row r="3" spans="1:13" ht="26.1" customHeight="1" x14ac:dyDescent="0.2">
      <c r="B3" s="6" t="s">
        <v>1</v>
      </c>
      <c r="C3" s="773" t="s">
        <v>2</v>
      </c>
      <c r="D3" s="773"/>
      <c r="E3" s="7">
        <v>22</v>
      </c>
    </row>
    <row r="4" spans="1:13" x14ac:dyDescent="0.2">
      <c r="C4" s="774" t="s">
        <v>3</v>
      </c>
      <c r="D4" s="774"/>
      <c r="E4" s="8">
        <v>30</v>
      </c>
    </row>
    <row r="6" spans="1:13" ht="17.100000000000001" customHeight="1" x14ac:dyDescent="0.2">
      <c r="A6" s="3"/>
      <c r="B6" s="775" t="s">
        <v>4</v>
      </c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</row>
    <row r="7" spans="1:13" x14ac:dyDescent="0.2">
      <c r="B7" s="9" t="s">
        <v>5</v>
      </c>
      <c r="C7" s="776" t="s">
        <v>6</v>
      </c>
      <c r="D7" s="776"/>
      <c r="E7" s="11" t="s">
        <v>7</v>
      </c>
      <c r="F7" s="10" t="s">
        <v>8</v>
      </c>
      <c r="H7" s="2" t="s">
        <v>9</v>
      </c>
    </row>
    <row r="8" spans="1:13" x14ac:dyDescent="0.2">
      <c r="C8" s="777" t="s">
        <v>10</v>
      </c>
      <c r="D8" s="777"/>
      <c r="E8" s="13">
        <v>44562</v>
      </c>
      <c r="F8" s="14" t="s">
        <v>11</v>
      </c>
    </row>
    <row r="9" spans="1:13" x14ac:dyDescent="0.2">
      <c r="C9" s="778" t="s">
        <v>12</v>
      </c>
      <c r="D9" s="778"/>
      <c r="E9" s="778"/>
      <c r="F9" s="778"/>
    </row>
    <row r="10" spans="1:13" x14ac:dyDescent="0.2">
      <c r="B10" s="779" t="s">
        <v>13</v>
      </c>
      <c r="C10" s="7">
        <v>44</v>
      </c>
      <c r="D10" s="7">
        <v>40</v>
      </c>
      <c r="E10" s="7">
        <v>30</v>
      </c>
      <c r="F10" s="7">
        <v>20</v>
      </c>
    </row>
    <row r="11" spans="1:13" x14ac:dyDescent="0.2">
      <c r="B11" s="779"/>
      <c r="C11" s="15"/>
      <c r="D11" s="16">
        <f>C11/C10*D10</f>
        <v>0</v>
      </c>
      <c r="E11" s="16">
        <f>C11/C10*E10</f>
        <v>0</v>
      </c>
      <c r="F11" s="16">
        <f>C11/C10*F10</f>
        <v>0</v>
      </c>
    </row>
    <row r="12" spans="1:13" x14ac:dyDescent="0.2">
      <c r="B12" s="9" t="s">
        <v>14</v>
      </c>
      <c r="C12" s="17"/>
      <c r="D12" s="16">
        <f>C12/C10*D10</f>
        <v>0</v>
      </c>
      <c r="E12" s="16">
        <f>C12/C10*E10</f>
        <v>0</v>
      </c>
      <c r="F12" s="16">
        <f>C12/C10*F10</f>
        <v>0</v>
      </c>
    </row>
    <row r="13" spans="1:13" x14ac:dyDescent="0.2">
      <c r="B13" s="9" t="s">
        <v>15</v>
      </c>
      <c r="C13" s="17"/>
      <c r="D13" s="16">
        <f>C13/C10*D10</f>
        <v>0</v>
      </c>
      <c r="E13" s="16">
        <f>C13/C10*E10</f>
        <v>0</v>
      </c>
      <c r="F13" s="16">
        <f>C13/C10*F10</f>
        <v>0</v>
      </c>
    </row>
    <row r="15" spans="1:13" x14ac:dyDescent="0.2">
      <c r="B15" s="18" t="s">
        <v>16</v>
      </c>
      <c r="C15" s="19"/>
      <c r="D15" s="20"/>
    </row>
    <row r="16" spans="1:13" x14ac:dyDescent="0.2">
      <c r="B16" s="21" t="s">
        <v>17</v>
      </c>
    </row>
    <row r="17" spans="1:15" ht="15.75" x14ac:dyDescent="0.2">
      <c r="A17" s="3"/>
      <c r="B17" s="775" t="s">
        <v>18</v>
      </c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</row>
    <row r="18" spans="1:15" x14ac:dyDescent="0.2">
      <c r="B18" s="22" t="s">
        <v>19</v>
      </c>
      <c r="C18" s="23" t="s">
        <v>20</v>
      </c>
      <c r="D18" s="24" t="s">
        <v>21</v>
      </c>
      <c r="E18" s="25" t="s">
        <v>22</v>
      </c>
    </row>
    <row r="19" spans="1:15" x14ac:dyDescent="0.2">
      <c r="B19" s="26" t="s">
        <v>23</v>
      </c>
      <c r="C19" s="27"/>
      <c r="D19" s="28">
        <v>0.19</v>
      </c>
      <c r="E19" s="29">
        <f>ROUND(C19*(1-D19),2)</f>
        <v>0</v>
      </c>
    </row>
    <row r="20" spans="1:15" ht="17.100000000000001" customHeight="1" x14ac:dyDescent="0.2">
      <c r="B20" s="6" t="s">
        <v>24</v>
      </c>
      <c r="C20" s="12"/>
      <c r="D20" s="30">
        <f>D19</f>
        <v>0.19</v>
      </c>
      <c r="E20" s="29">
        <f>ROUND(C20*(1-D20),2)</f>
        <v>0</v>
      </c>
    </row>
    <row r="21" spans="1:15" x14ac:dyDescent="0.2">
      <c r="B21" s="6" t="s">
        <v>25</v>
      </c>
      <c r="C21" s="12"/>
      <c r="D21" s="30">
        <v>0.06</v>
      </c>
      <c r="E21" s="12"/>
    </row>
    <row r="22" spans="1:15" ht="12.95" customHeight="1" x14ac:dyDescent="0.2">
      <c r="B22" s="6" t="s">
        <v>26</v>
      </c>
      <c r="C22" s="12"/>
      <c r="D22" s="30"/>
      <c r="E22" s="12"/>
    </row>
    <row r="23" spans="1:15" x14ac:dyDescent="0.2">
      <c r="B23" s="6" t="s">
        <v>27</v>
      </c>
      <c r="C23" s="16"/>
      <c r="D23" s="12"/>
      <c r="E23" s="16"/>
    </row>
    <row r="24" spans="1:15" x14ac:dyDescent="0.2">
      <c r="B24" s="31" t="s">
        <v>28</v>
      </c>
      <c r="C24" s="32"/>
      <c r="D24" s="16"/>
      <c r="E24" s="16"/>
    </row>
    <row r="25" spans="1:15" x14ac:dyDescent="0.2">
      <c r="B25" s="31"/>
      <c r="C25" s="33"/>
      <c r="D25" s="12"/>
      <c r="E25" s="16"/>
    </row>
    <row r="26" spans="1:15" ht="12.95" customHeight="1" x14ac:dyDescent="0.2">
      <c r="B26" s="34" t="s">
        <v>29</v>
      </c>
      <c r="C26" s="35"/>
      <c r="D26" s="30"/>
      <c r="E26" s="35"/>
    </row>
    <row r="27" spans="1:15" ht="12.95" customHeight="1" x14ac:dyDescent="0.2">
      <c r="B27" s="6" t="s">
        <v>30</v>
      </c>
      <c r="C27" s="36"/>
      <c r="D27" s="30"/>
      <c r="E27" s="35">
        <f>C27</f>
        <v>0</v>
      </c>
    </row>
    <row r="29" spans="1:15" x14ac:dyDescent="0.2">
      <c r="D29" s="2"/>
      <c r="K29" s="37"/>
    </row>
    <row r="30" spans="1:15" ht="15.75" x14ac:dyDescent="0.2">
      <c r="A30" s="3"/>
      <c r="B30" s="775" t="s">
        <v>31</v>
      </c>
      <c r="C30" s="775"/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1"/>
      <c r="O30" s="1"/>
    </row>
    <row r="31" spans="1:15" x14ac:dyDescent="0.2">
      <c r="B31" s="780" t="s">
        <v>32</v>
      </c>
      <c r="C31" s="780"/>
      <c r="D31" s="780"/>
      <c r="E31" s="780"/>
      <c r="F31" s="780"/>
      <c r="G31" s="780"/>
      <c r="H31" s="780"/>
      <c r="I31" s="780"/>
      <c r="J31" s="780"/>
      <c r="K31" s="780"/>
      <c r="L31" s="780"/>
      <c r="M31" s="780"/>
    </row>
    <row r="32" spans="1:15" x14ac:dyDescent="0.2">
      <c r="B32" s="781" t="s">
        <v>33</v>
      </c>
      <c r="C32" s="781"/>
      <c r="D32" s="781"/>
      <c r="E32" s="781"/>
      <c r="F32" s="781"/>
      <c r="G32" s="781"/>
      <c r="H32" s="781"/>
      <c r="I32" s="781"/>
      <c r="J32" s="781"/>
      <c r="K32" s="781"/>
      <c r="L32" s="781"/>
      <c r="M32" s="781"/>
    </row>
    <row r="33" spans="1:15" x14ac:dyDescent="0.2">
      <c r="B33" s="780" t="s">
        <v>34</v>
      </c>
      <c r="C33" s="780"/>
      <c r="D33" s="780"/>
      <c r="E33" s="780"/>
      <c r="F33" s="780"/>
      <c r="G33" s="780"/>
      <c r="H33" s="780"/>
      <c r="I33" s="780"/>
      <c r="J33" s="780"/>
      <c r="K33" s="780"/>
      <c r="L33" s="780"/>
      <c r="M33" s="780"/>
    </row>
    <row r="34" spans="1:15" x14ac:dyDescent="0.2">
      <c r="B34" s="782" t="s">
        <v>35</v>
      </c>
      <c r="C34" s="782"/>
      <c r="D34" s="782"/>
      <c r="E34" s="782"/>
      <c r="F34" s="782"/>
      <c r="G34" s="782"/>
      <c r="H34" s="782"/>
      <c r="I34" s="782"/>
      <c r="J34" s="782"/>
      <c r="K34" s="782"/>
      <c r="L34" s="782"/>
      <c r="M34" s="782"/>
    </row>
    <row r="35" spans="1:15" x14ac:dyDescent="0.2">
      <c r="B35" s="780" t="s">
        <v>36</v>
      </c>
      <c r="C35" s="780"/>
      <c r="D35" s="780"/>
      <c r="E35" s="780"/>
      <c r="F35" s="780"/>
      <c r="G35" s="780"/>
      <c r="H35" s="780"/>
      <c r="I35" s="780"/>
      <c r="J35" s="780"/>
      <c r="K35" s="780"/>
      <c r="L35" s="780"/>
      <c r="M35" s="780"/>
    </row>
    <row r="36" spans="1:15" x14ac:dyDescent="0.2">
      <c r="B36" s="783" t="s">
        <v>37</v>
      </c>
      <c r="C36" s="783"/>
      <c r="D36" s="783"/>
      <c r="E36" s="783"/>
      <c r="F36" s="783"/>
      <c r="G36" s="783"/>
      <c r="H36" s="783"/>
      <c r="I36" s="783"/>
      <c r="J36" s="783"/>
      <c r="K36" s="783"/>
      <c r="L36" s="783"/>
      <c r="M36" s="783"/>
    </row>
    <row r="37" spans="1:15" x14ac:dyDescent="0.2">
      <c r="B37" s="782" t="s">
        <v>38</v>
      </c>
      <c r="C37" s="782"/>
      <c r="D37" s="782"/>
      <c r="E37" s="782"/>
      <c r="F37" s="782"/>
      <c r="G37" s="782"/>
      <c r="H37" s="782"/>
      <c r="I37" s="782"/>
      <c r="J37" s="782"/>
      <c r="K37" s="782"/>
      <c r="L37" s="782"/>
      <c r="M37" s="782"/>
    </row>
    <row r="38" spans="1:15" ht="26.1" customHeight="1" x14ac:dyDescent="0.2">
      <c r="B38" s="784" t="s">
        <v>39</v>
      </c>
      <c r="C38" s="784"/>
      <c r="D38" s="784"/>
      <c r="E38" s="784"/>
      <c r="F38" s="784"/>
      <c r="G38" s="784"/>
      <c r="H38" s="784"/>
      <c r="I38" s="784"/>
      <c r="J38" s="784"/>
      <c r="K38" s="784"/>
      <c r="L38" s="784"/>
      <c r="M38" s="784"/>
    </row>
    <row r="39" spans="1:15" x14ac:dyDescent="0.2">
      <c r="B39" s="780" t="s">
        <v>40</v>
      </c>
      <c r="C39" s="780"/>
      <c r="D39" s="780"/>
      <c r="E39" s="780"/>
      <c r="F39" s="780"/>
      <c r="G39" s="780"/>
      <c r="H39" s="780"/>
      <c r="I39" s="780"/>
      <c r="J39" s="780"/>
      <c r="K39" s="780"/>
      <c r="L39" s="780"/>
      <c r="M39" s="780"/>
    </row>
    <row r="40" spans="1:15" x14ac:dyDescent="0.2">
      <c r="B40" s="782" t="s">
        <v>41</v>
      </c>
      <c r="C40" s="782"/>
      <c r="D40" s="782"/>
      <c r="E40" s="782"/>
      <c r="F40" s="782"/>
      <c r="G40" s="782"/>
      <c r="H40" s="782"/>
      <c r="I40" s="782"/>
      <c r="J40" s="782"/>
      <c r="K40" s="782"/>
      <c r="L40" s="782"/>
      <c r="M40" s="782"/>
      <c r="O40" s="37"/>
    </row>
    <row r="41" spans="1:15" x14ac:dyDescent="0.2">
      <c r="D41" s="2"/>
      <c r="O41" s="37"/>
    </row>
    <row r="42" spans="1:15" ht="15.75" x14ac:dyDescent="0.2">
      <c r="A42" s="3"/>
      <c r="B42" s="775" t="s">
        <v>42</v>
      </c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37"/>
      <c r="O42" s="37"/>
    </row>
    <row r="43" spans="1:15" x14ac:dyDescent="0.2">
      <c r="B43" s="780" t="s">
        <v>43</v>
      </c>
      <c r="C43" s="780"/>
      <c r="D43" s="780"/>
      <c r="E43" s="780"/>
      <c r="F43" s="780"/>
      <c r="G43" s="780"/>
      <c r="H43" s="780"/>
      <c r="I43" s="780"/>
      <c r="J43" s="780"/>
      <c r="K43" s="780"/>
      <c r="L43" s="780"/>
      <c r="M43" s="780"/>
      <c r="N43" s="37"/>
      <c r="O43" s="37"/>
    </row>
    <row r="44" spans="1:15" ht="26.1" customHeight="1" x14ac:dyDescent="0.2">
      <c r="B44" s="38" t="s">
        <v>44</v>
      </c>
      <c r="C44" s="785" t="s">
        <v>45</v>
      </c>
      <c r="D44" s="785"/>
      <c r="E44" s="785"/>
      <c r="F44" s="785"/>
      <c r="G44" s="785"/>
      <c r="H44" s="785"/>
      <c r="I44" s="785"/>
      <c r="J44" s="785"/>
      <c r="K44" s="785"/>
      <c r="L44" s="785"/>
      <c r="M44" s="785"/>
      <c r="N44" s="37"/>
      <c r="O44" s="37"/>
    </row>
    <row r="45" spans="1:15" ht="26.1" customHeight="1" x14ac:dyDescent="0.2">
      <c r="B45" s="39" t="s">
        <v>46</v>
      </c>
      <c r="C45" s="786" t="s">
        <v>47</v>
      </c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N45" s="37"/>
      <c r="O45" s="37"/>
    </row>
    <row r="46" spans="1:15" x14ac:dyDescent="0.2">
      <c r="B46" s="40"/>
      <c r="C46" s="787" t="s">
        <v>48</v>
      </c>
      <c r="D46" s="787"/>
      <c r="E46" s="41">
        <v>1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x14ac:dyDescent="0.2">
      <c r="C47" s="787" t="s">
        <v>49</v>
      </c>
      <c r="D47" s="787"/>
      <c r="E47" s="41">
        <v>3.4931999999999999</v>
      </c>
      <c r="F47" s="37"/>
      <c r="G47" s="37" t="s">
        <v>50</v>
      </c>
      <c r="H47" s="37"/>
      <c r="I47" s="37"/>
      <c r="J47" s="37"/>
      <c r="K47" s="37"/>
      <c r="L47" s="37"/>
      <c r="M47" s="37"/>
      <c r="N47" s="37"/>
      <c r="O47" s="37"/>
    </row>
    <row r="48" spans="1:15" x14ac:dyDescent="0.2">
      <c r="C48" s="787" t="s">
        <v>51</v>
      </c>
      <c r="D48" s="787"/>
      <c r="E48" s="41">
        <v>0.26879999999999998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2:15" x14ac:dyDescent="0.2">
      <c r="C49" s="787" t="s">
        <v>52</v>
      </c>
      <c r="D49" s="787"/>
      <c r="E49" s="41">
        <v>4.2700000000000002E-2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2:15" x14ac:dyDescent="0.2">
      <c r="C50" s="787" t="s">
        <v>53</v>
      </c>
      <c r="D50" s="787"/>
      <c r="E50" s="41">
        <v>3.5499999999999997E-2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2:15" x14ac:dyDescent="0.2">
      <c r="C51" s="787" t="s">
        <v>54</v>
      </c>
      <c r="D51" s="787"/>
      <c r="E51" s="42">
        <v>0.02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2:15" x14ac:dyDescent="0.2">
      <c r="C52" s="787" t="s">
        <v>55</v>
      </c>
      <c r="D52" s="787"/>
      <c r="E52" s="42">
        <v>4.0000000000000001E-3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2:15" x14ac:dyDescent="0.2">
      <c r="C53" s="787" t="s">
        <v>56</v>
      </c>
      <c r="D53" s="787"/>
      <c r="E53" s="41">
        <v>9.7999999999999997E-3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2:15" x14ac:dyDescent="0.2">
      <c r="C54" s="788" t="s">
        <v>57</v>
      </c>
      <c r="D54" s="788"/>
      <c r="E54" s="43">
        <f>SUM(E46:E53)</f>
        <v>4.8739999999999988</v>
      </c>
      <c r="F54" s="1"/>
      <c r="G54" s="1"/>
      <c r="H54" s="1"/>
      <c r="I54" s="1"/>
      <c r="J54" s="1"/>
      <c r="K54" s="1"/>
      <c r="L54" s="1"/>
      <c r="M54" s="1"/>
      <c r="N54" s="37"/>
      <c r="O54" s="37"/>
    </row>
    <row r="55" spans="2:15" x14ac:dyDescent="0.2">
      <c r="B55" s="44" t="s">
        <v>58</v>
      </c>
      <c r="C55" s="789" t="s">
        <v>59</v>
      </c>
      <c r="D55" s="789"/>
      <c r="E55" s="789"/>
      <c r="F55" s="789"/>
      <c r="G55" s="789"/>
      <c r="H55" s="789"/>
      <c r="I55" s="789"/>
      <c r="J55" s="789"/>
      <c r="K55" s="789"/>
      <c r="L55" s="789"/>
      <c r="M55" s="789"/>
      <c r="N55" s="37"/>
      <c r="O55" s="37"/>
    </row>
    <row r="56" spans="2:15" x14ac:dyDescent="0.2">
      <c r="B56" s="782" t="s">
        <v>60</v>
      </c>
      <c r="C56" s="782"/>
      <c r="D56" s="782"/>
      <c r="E56" s="782"/>
      <c r="F56" s="45">
        <v>1.4999999999999999E-2</v>
      </c>
      <c r="G56" s="46"/>
      <c r="H56" s="46"/>
      <c r="I56" s="46"/>
      <c r="J56" s="46"/>
      <c r="K56" s="46"/>
      <c r="L56" s="46"/>
      <c r="M56" s="47"/>
      <c r="N56" s="37"/>
      <c r="O56" s="37"/>
    </row>
    <row r="57" spans="2:15" ht="12.75" customHeight="1" x14ac:dyDescent="0.2">
      <c r="B57" s="48" t="s">
        <v>61</v>
      </c>
      <c r="C57" s="49">
        <v>0.51670000000000005</v>
      </c>
      <c r="D57" s="46"/>
      <c r="E57" s="46"/>
      <c r="F57" s="46"/>
      <c r="G57" s="46"/>
      <c r="H57" s="46"/>
      <c r="I57" s="46"/>
      <c r="J57" s="46"/>
      <c r="K57" s="46"/>
      <c r="L57" s="46"/>
      <c r="M57" s="47"/>
      <c r="N57" s="37"/>
      <c r="O57" s="37"/>
    </row>
    <row r="58" spans="2:15" ht="26.1" customHeight="1" x14ac:dyDescent="0.2">
      <c r="B58" s="50" t="s">
        <v>62</v>
      </c>
      <c r="C58" s="790" t="s">
        <v>63</v>
      </c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37"/>
      <c r="O58" s="37"/>
    </row>
    <row r="59" spans="2:15" ht="12.75" customHeight="1" x14ac:dyDescent="0.2">
      <c r="B59" s="51" t="s">
        <v>64</v>
      </c>
      <c r="C59" s="52">
        <v>0.96589999999999998</v>
      </c>
      <c r="D59" s="53"/>
      <c r="E59" s="53"/>
      <c r="F59" s="53"/>
      <c r="G59" s="53"/>
      <c r="H59" s="53"/>
      <c r="I59" s="53"/>
      <c r="J59" s="53"/>
      <c r="K59" s="53"/>
      <c r="L59" s="53"/>
      <c r="M59" s="54"/>
      <c r="N59" s="37"/>
      <c r="O59" s="37"/>
    </row>
    <row r="60" spans="2:15" x14ac:dyDescent="0.2">
      <c r="B60" s="791" t="s">
        <v>65</v>
      </c>
      <c r="C60" s="791"/>
      <c r="D60" s="791"/>
      <c r="E60" s="791"/>
      <c r="F60" s="791"/>
      <c r="G60" s="791"/>
      <c r="H60" s="791"/>
      <c r="I60" s="791"/>
      <c r="J60" s="791"/>
      <c r="K60" s="791"/>
      <c r="L60" s="791"/>
      <c r="M60" s="791"/>
      <c r="N60" s="37"/>
      <c r="O60" s="37"/>
    </row>
    <row r="61" spans="2:15" ht="33" customHeight="1" x14ac:dyDescent="0.2">
      <c r="B61" s="55" t="s">
        <v>66</v>
      </c>
      <c r="C61" s="792" t="s">
        <v>67</v>
      </c>
      <c r="D61" s="792"/>
      <c r="E61" s="792"/>
      <c r="F61" s="792"/>
      <c r="G61" s="792"/>
      <c r="H61" s="792"/>
      <c r="I61" s="792"/>
      <c r="J61" s="792"/>
      <c r="K61" s="792"/>
      <c r="L61" s="792"/>
      <c r="M61" s="792"/>
      <c r="N61" s="37"/>
      <c r="O61" s="37"/>
    </row>
    <row r="62" spans="2:15" ht="12.75" customHeight="1" x14ac:dyDescent="0.2">
      <c r="B62" s="56" t="s">
        <v>68</v>
      </c>
      <c r="C62" s="57">
        <v>0.48330000000000001</v>
      </c>
      <c r="D62" s="58"/>
      <c r="E62" s="58"/>
      <c r="F62" s="58"/>
      <c r="G62" s="58"/>
      <c r="H62" s="58"/>
      <c r="I62" s="58"/>
      <c r="J62" s="58"/>
      <c r="K62" s="58"/>
      <c r="L62" s="58"/>
      <c r="M62" s="59"/>
      <c r="N62" s="37"/>
      <c r="O62" s="37"/>
    </row>
    <row r="63" spans="2:15" ht="12.75" customHeight="1" x14ac:dyDescent="0.2">
      <c r="B63" s="51" t="s">
        <v>69</v>
      </c>
      <c r="C63" s="52">
        <v>3.2000000000000002E-3</v>
      </c>
      <c r="D63" s="60"/>
      <c r="E63" s="53"/>
      <c r="F63" s="53"/>
      <c r="G63" s="53"/>
      <c r="H63" s="53"/>
      <c r="I63" s="53"/>
      <c r="J63" s="53"/>
      <c r="K63" s="53"/>
      <c r="L63" s="53"/>
      <c r="M63" s="54"/>
      <c r="N63" s="37"/>
      <c r="O63" s="37"/>
    </row>
    <row r="64" spans="2:15" ht="12.75" customHeight="1" x14ac:dyDescent="0.2">
      <c r="B64" s="61"/>
      <c r="C64" s="62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37"/>
      <c r="O64" s="37"/>
    </row>
    <row r="65" spans="1:15" ht="12.75" customHeight="1" x14ac:dyDescent="0.2">
      <c r="A65" s="3"/>
      <c r="B65" s="793" t="s">
        <v>70</v>
      </c>
      <c r="C65" s="793"/>
      <c r="D65" s="793"/>
      <c r="E65" s="793"/>
      <c r="F65" s="793"/>
      <c r="G65" s="793"/>
      <c r="H65" s="793"/>
      <c r="I65" s="793"/>
      <c r="J65" s="793"/>
      <c r="K65" s="793"/>
      <c r="L65" s="793"/>
      <c r="M65" s="793"/>
      <c r="N65" s="37"/>
      <c r="O65" s="37"/>
    </row>
    <row r="66" spans="1:15" ht="12.75" customHeight="1" x14ac:dyDescent="0.2">
      <c r="B66" s="63" t="s">
        <v>71</v>
      </c>
      <c r="C66" s="64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37"/>
      <c r="O66" s="37"/>
    </row>
    <row r="67" spans="1:15" ht="12.75" customHeight="1" x14ac:dyDescent="0.2">
      <c r="B67" s="39" t="s">
        <v>72</v>
      </c>
      <c r="C67" s="64"/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37"/>
      <c r="O67" s="37"/>
    </row>
    <row r="68" spans="1:15" x14ac:dyDescent="0.2">
      <c r="N68" s="37"/>
      <c r="O68" s="37"/>
    </row>
    <row r="69" spans="1:15" ht="15.75" x14ac:dyDescent="0.2">
      <c r="A69" s="3"/>
      <c r="B69" s="775" t="s">
        <v>73</v>
      </c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</row>
    <row r="70" spans="1:15" x14ac:dyDescent="0.2">
      <c r="B70" s="65" t="s">
        <v>74</v>
      </c>
      <c r="C70" s="66" t="s">
        <v>75</v>
      </c>
      <c r="D70" s="66" t="s">
        <v>76</v>
      </c>
      <c r="E70" s="67" t="s">
        <v>77</v>
      </c>
      <c r="F70" s="68" t="s">
        <v>78</v>
      </c>
      <c r="H70" s="794" t="s">
        <v>79</v>
      </c>
      <c r="I70" s="794"/>
      <c r="J70" s="66" t="s">
        <v>75</v>
      </c>
      <c r="K70" s="66" t="s">
        <v>76</v>
      </c>
      <c r="L70" s="67" t="s">
        <v>77</v>
      </c>
      <c r="M70" s="68" t="s">
        <v>78</v>
      </c>
    </row>
    <row r="71" spans="1:15" ht="13.9" customHeight="1" x14ac:dyDescent="0.2">
      <c r="B71" s="69" t="s">
        <v>80</v>
      </c>
      <c r="C71" s="70"/>
      <c r="D71" s="71"/>
      <c r="E71" s="72">
        <f>SUM('Prod. GEXCAN'!P4:U4,'Prod. GEXCAN'!Y4)</f>
        <v>2</v>
      </c>
      <c r="F71" s="73">
        <f t="shared" ref="F71:F83" si="0">E71*D71</f>
        <v>0</v>
      </c>
      <c r="H71" s="795" t="s">
        <v>81</v>
      </c>
      <c r="I71" s="795"/>
      <c r="J71" s="70"/>
      <c r="K71" s="71"/>
      <c r="L71" s="72">
        <f>SUM('Prod. GEXNHB'!P4:W4,'Prod. GEXNHB'!AA4)</f>
        <v>2</v>
      </c>
      <c r="M71" s="73">
        <f t="shared" ref="M71:M86" si="1">L71*K71</f>
        <v>0</v>
      </c>
    </row>
    <row r="72" spans="1:15" ht="13.9" customHeight="1" x14ac:dyDescent="0.2">
      <c r="B72" s="74" t="s">
        <v>82</v>
      </c>
      <c r="C72" s="70"/>
      <c r="D72" s="71"/>
      <c r="E72" s="72">
        <f>SUM('Prod. GEXCAN'!P5:U5)</f>
        <v>0</v>
      </c>
      <c r="F72" s="73">
        <f t="shared" si="0"/>
        <v>0</v>
      </c>
      <c r="H72" s="795" t="s">
        <v>83</v>
      </c>
      <c r="I72" s="795"/>
      <c r="J72" s="70"/>
      <c r="K72" s="71"/>
      <c r="L72" s="72">
        <f>SUM('Prod. GEXNHB'!P5:W5)</f>
        <v>1</v>
      </c>
      <c r="M72" s="73">
        <f t="shared" si="1"/>
        <v>0</v>
      </c>
    </row>
    <row r="73" spans="1:15" ht="13.9" customHeight="1" x14ac:dyDescent="0.2">
      <c r="B73" s="74" t="s">
        <v>84</v>
      </c>
      <c r="C73" s="70"/>
      <c r="D73" s="71"/>
      <c r="E73" s="72">
        <f>SUM('Prod. GEXCAN'!P6:U6)</f>
        <v>0</v>
      </c>
      <c r="F73" s="73">
        <f t="shared" si="0"/>
        <v>0</v>
      </c>
      <c r="H73" s="795" t="s">
        <v>85</v>
      </c>
      <c r="I73" s="795"/>
      <c r="J73" s="70"/>
      <c r="K73" s="71"/>
      <c r="L73" s="72">
        <f>SUM('Prod. GEXNHB'!P6:W6)</f>
        <v>1</v>
      </c>
      <c r="M73" s="73">
        <f t="shared" si="1"/>
        <v>0</v>
      </c>
    </row>
    <row r="74" spans="1:15" ht="13.9" customHeight="1" x14ac:dyDescent="0.2">
      <c r="B74" s="74" t="s">
        <v>86</v>
      </c>
      <c r="C74" s="70"/>
      <c r="D74" s="71"/>
      <c r="E74" s="72">
        <f>SUM('Prod. GEXCAN'!P7:U7)</f>
        <v>1</v>
      </c>
      <c r="F74" s="73">
        <f t="shared" si="0"/>
        <v>0</v>
      </c>
      <c r="H74" s="795" t="s">
        <v>87</v>
      </c>
      <c r="I74" s="795"/>
      <c r="J74" s="70"/>
      <c r="K74" s="71"/>
      <c r="L74" s="72">
        <f>SUM('Prod. GEXNHB'!P7:W7)</f>
        <v>1</v>
      </c>
      <c r="M74" s="73">
        <f t="shared" si="1"/>
        <v>0</v>
      </c>
    </row>
    <row r="75" spans="1:15" ht="13.9" customHeight="1" x14ac:dyDescent="0.2">
      <c r="B75" s="74" t="s">
        <v>88</v>
      </c>
      <c r="C75" s="70"/>
      <c r="D75" s="71"/>
      <c r="E75" s="72">
        <f>SUM('Prod. GEXCAN'!P8:U8)</f>
        <v>5</v>
      </c>
      <c r="F75" s="73">
        <f t="shared" si="0"/>
        <v>0</v>
      </c>
      <c r="H75" s="795" t="s">
        <v>89</v>
      </c>
      <c r="I75" s="795"/>
      <c r="J75" s="70"/>
      <c r="K75" s="71"/>
      <c r="L75" s="72">
        <f>SUM('Prod. GEXNHB'!P8:W8)</f>
        <v>2</v>
      </c>
      <c r="M75" s="73">
        <f t="shared" si="1"/>
        <v>0</v>
      </c>
    </row>
    <row r="76" spans="1:15" ht="13.9" customHeight="1" x14ac:dyDescent="0.2">
      <c r="B76" s="74" t="s">
        <v>90</v>
      </c>
      <c r="C76" s="70"/>
      <c r="D76" s="71"/>
      <c r="E76" s="72">
        <f>SUM('Prod. GEXCAN'!P9:U9)</f>
        <v>3</v>
      </c>
      <c r="F76" s="73">
        <f t="shared" si="0"/>
        <v>0</v>
      </c>
      <c r="H76" s="795" t="s">
        <v>91</v>
      </c>
      <c r="I76" s="795"/>
      <c r="J76" s="70"/>
      <c r="K76" s="71"/>
      <c r="L76" s="72">
        <f>SUM('Prod. GEXNHB'!P9:W9)</f>
        <v>1</v>
      </c>
      <c r="M76" s="73">
        <f t="shared" si="1"/>
        <v>0</v>
      </c>
    </row>
    <row r="77" spans="1:15" ht="13.9" customHeight="1" x14ac:dyDescent="0.2">
      <c r="B77" s="74" t="s">
        <v>92</v>
      </c>
      <c r="C77" s="70"/>
      <c r="D77" s="71"/>
      <c r="E77" s="72">
        <f>SUM('Prod. GEXCAN'!P10:U10)</f>
        <v>4</v>
      </c>
      <c r="F77" s="73">
        <f t="shared" si="0"/>
        <v>0</v>
      </c>
      <c r="H77" s="795" t="s">
        <v>93</v>
      </c>
      <c r="I77" s="795"/>
      <c r="J77" s="70"/>
      <c r="K77" s="71"/>
      <c r="L77" s="72">
        <f>SUM('Prod. GEXNHB'!P10:W10)</f>
        <v>3</v>
      </c>
      <c r="M77" s="73">
        <f t="shared" si="1"/>
        <v>0</v>
      </c>
    </row>
    <row r="78" spans="1:15" ht="13.9" customHeight="1" x14ac:dyDescent="0.2">
      <c r="B78" s="74" t="s">
        <v>94</v>
      </c>
      <c r="C78" s="70"/>
      <c r="D78" s="71"/>
      <c r="E78" s="72">
        <f>SUM('Prod. GEXCAN'!P11:U11)</f>
        <v>3</v>
      </c>
      <c r="F78" s="73">
        <f t="shared" si="0"/>
        <v>0</v>
      </c>
      <c r="H78" s="795" t="s">
        <v>95</v>
      </c>
      <c r="I78" s="795"/>
      <c r="J78" s="70"/>
      <c r="K78" s="71"/>
      <c r="L78" s="72">
        <f>SUM('Prod. GEXNHB'!P11:W11)</f>
        <v>3</v>
      </c>
      <c r="M78" s="73">
        <f t="shared" si="1"/>
        <v>0</v>
      </c>
    </row>
    <row r="79" spans="1:15" ht="13.9" customHeight="1" x14ac:dyDescent="0.2">
      <c r="B79" s="74" t="s">
        <v>96</v>
      </c>
      <c r="C79" s="70"/>
      <c r="D79" s="71"/>
      <c r="E79" s="72">
        <f>SUM('Prod. GEXCAN'!P12:U12)</f>
        <v>3</v>
      </c>
      <c r="F79" s="73">
        <f t="shared" si="0"/>
        <v>0</v>
      </c>
      <c r="H79" s="795" t="s">
        <v>97</v>
      </c>
      <c r="I79" s="795"/>
      <c r="J79" s="70"/>
      <c r="K79" s="71"/>
      <c r="L79" s="72">
        <f>SUM('Prod. GEXNHB'!P12:W12)</f>
        <v>3</v>
      </c>
      <c r="M79" s="73">
        <f t="shared" si="1"/>
        <v>0</v>
      </c>
    </row>
    <row r="80" spans="1:15" ht="13.9" customHeight="1" x14ac:dyDescent="0.2">
      <c r="B80" s="74" t="s">
        <v>98</v>
      </c>
      <c r="C80" s="70"/>
      <c r="D80" s="71"/>
      <c r="E80" s="72">
        <f>SUM('Prod. GEXCAN'!P13:U13)</f>
        <v>1</v>
      </c>
      <c r="F80" s="73">
        <f t="shared" si="0"/>
        <v>0</v>
      </c>
      <c r="H80" s="795" t="s">
        <v>99</v>
      </c>
      <c r="I80" s="795"/>
      <c r="J80" s="70"/>
      <c r="K80" s="71"/>
      <c r="L80" s="72">
        <f>SUM('Prod. GEXNHB'!P13:W13)</f>
        <v>4</v>
      </c>
      <c r="M80" s="73">
        <f t="shared" si="1"/>
        <v>0</v>
      </c>
    </row>
    <row r="81" spans="2:13" ht="13.9" customHeight="1" x14ac:dyDescent="0.2">
      <c r="B81" s="74" t="s">
        <v>100</v>
      </c>
      <c r="C81" s="70"/>
      <c r="D81" s="71"/>
      <c r="E81" s="72">
        <f>SUM('Prod. GEXCAN'!P15:U15)</f>
        <v>1</v>
      </c>
      <c r="F81" s="73">
        <f t="shared" si="0"/>
        <v>0</v>
      </c>
      <c r="H81" s="795" t="s">
        <v>101</v>
      </c>
      <c r="I81" s="795"/>
      <c r="J81" s="70"/>
      <c r="K81" s="71"/>
      <c r="L81" s="72">
        <f>SUM('Prod. GEXNHB'!P14:W14)</f>
        <v>2</v>
      </c>
      <c r="M81" s="73">
        <f t="shared" si="1"/>
        <v>0</v>
      </c>
    </row>
    <row r="82" spans="2:13" ht="13.9" customHeight="1" x14ac:dyDescent="0.2">
      <c r="B82" s="74" t="s">
        <v>102</v>
      </c>
      <c r="C82" s="70"/>
      <c r="D82" s="71"/>
      <c r="E82" s="72">
        <f>SUM('Prod. GEXCAN'!P16:U16)</f>
        <v>1</v>
      </c>
      <c r="F82" s="73">
        <f t="shared" si="0"/>
        <v>0</v>
      </c>
      <c r="H82" s="795" t="s">
        <v>103</v>
      </c>
      <c r="I82" s="795"/>
      <c r="J82" s="70"/>
      <c r="K82" s="71"/>
      <c r="L82" s="72">
        <f>SUM('Prod. GEXNHB'!P15:W15)</f>
        <v>2</v>
      </c>
      <c r="M82" s="73">
        <f t="shared" si="1"/>
        <v>0</v>
      </c>
    </row>
    <row r="83" spans="2:13" ht="13.9" customHeight="1" x14ac:dyDescent="0.2">
      <c r="B83" s="74" t="s">
        <v>104</v>
      </c>
      <c r="C83" s="70"/>
      <c r="D83" s="71"/>
      <c r="E83" s="72">
        <f>SUM('Prod. GEXCAN'!P16:U16)</f>
        <v>1</v>
      </c>
      <c r="F83" s="73">
        <f t="shared" si="0"/>
        <v>0</v>
      </c>
      <c r="H83" s="795" t="s">
        <v>105</v>
      </c>
      <c r="I83" s="795"/>
      <c r="J83" s="70"/>
      <c r="K83" s="71"/>
      <c r="L83" s="72">
        <f>SUM('Prod. GEXNHB'!P16:W16)</f>
        <v>3</v>
      </c>
      <c r="M83" s="73">
        <f t="shared" si="1"/>
        <v>0</v>
      </c>
    </row>
    <row r="84" spans="2:13" ht="13.9" customHeight="1" x14ac:dyDescent="0.2">
      <c r="B84" s="75" t="s">
        <v>106</v>
      </c>
      <c r="D84" s="76" t="e">
        <f>AVERAGE(D71:D83)</f>
        <v>#DIV/0!</v>
      </c>
      <c r="E84" s="72">
        <f>SUM(E71:E83)</f>
        <v>25</v>
      </c>
      <c r="F84" s="73">
        <f>SUM(F71:F83)</f>
        <v>0</v>
      </c>
      <c r="H84" s="795" t="s">
        <v>107</v>
      </c>
      <c r="I84" s="795"/>
      <c r="J84" s="70"/>
      <c r="K84" s="71"/>
      <c r="L84" s="72">
        <f>SUM('Prod. GEXNHB'!P17:W17)</f>
        <v>1</v>
      </c>
      <c r="M84" s="73">
        <f t="shared" si="1"/>
        <v>0</v>
      </c>
    </row>
    <row r="85" spans="2:13" ht="13.9" customHeight="1" x14ac:dyDescent="0.2">
      <c r="B85" s="77" t="s">
        <v>108</v>
      </c>
      <c r="C85" s="78"/>
      <c r="D85" s="79">
        <f>F84/E84</f>
        <v>0</v>
      </c>
      <c r="E85" s="80"/>
      <c r="F85" s="80"/>
      <c r="H85" s="795" t="s">
        <v>109</v>
      </c>
      <c r="I85" s="795"/>
      <c r="J85" s="70"/>
      <c r="K85" s="71"/>
      <c r="L85" s="72">
        <f>SUM('Prod. GEXNHB'!P18:W18)</f>
        <v>1</v>
      </c>
      <c r="M85" s="73">
        <f t="shared" si="1"/>
        <v>0</v>
      </c>
    </row>
    <row r="86" spans="2:13" ht="13.9" customHeight="1" x14ac:dyDescent="0.2">
      <c r="E86" s="81"/>
      <c r="F86" s="82"/>
      <c r="H86" s="795" t="s">
        <v>110</v>
      </c>
      <c r="I86" s="795"/>
      <c r="J86" s="70"/>
      <c r="K86" s="71"/>
      <c r="L86" s="72">
        <f>SUM('Prod. GEXNHB'!P19:W19)</f>
        <v>1</v>
      </c>
      <c r="M86" s="73">
        <f t="shared" si="1"/>
        <v>0</v>
      </c>
    </row>
    <row r="87" spans="2:13" ht="13.9" customHeight="1" x14ac:dyDescent="0.2">
      <c r="E87" s="81"/>
      <c r="F87" s="82"/>
      <c r="H87" s="795" t="s">
        <v>111</v>
      </c>
      <c r="I87" s="795"/>
      <c r="J87" s="70"/>
      <c r="K87" s="71"/>
      <c r="L87" s="72">
        <f>SUM('Prod. GEXNHB'!P20:W20)</f>
        <v>0</v>
      </c>
      <c r="M87" s="73" t="s">
        <v>112</v>
      </c>
    </row>
    <row r="88" spans="2:13" ht="13.9" customHeight="1" x14ac:dyDescent="0.2">
      <c r="B88" s="65" t="s">
        <v>113</v>
      </c>
      <c r="C88" s="66" t="s">
        <v>75</v>
      </c>
      <c r="D88" s="66" t="s">
        <v>76</v>
      </c>
      <c r="E88" s="67" t="s">
        <v>77</v>
      </c>
      <c r="F88" s="68" t="s">
        <v>78</v>
      </c>
      <c r="H88" s="795" t="s">
        <v>114</v>
      </c>
      <c r="I88" s="795"/>
      <c r="J88" s="70"/>
      <c r="K88" s="71"/>
      <c r="L88" s="72">
        <f>SUM('Prod. GEXNHB'!P21:W21)</f>
        <v>1</v>
      </c>
      <c r="M88" s="73">
        <f>L88*K88</f>
        <v>0</v>
      </c>
    </row>
    <row r="89" spans="2:13" x14ac:dyDescent="0.2">
      <c r="B89" s="83" t="s">
        <v>115</v>
      </c>
      <c r="C89" s="70"/>
      <c r="D89" s="71"/>
      <c r="E89" s="72">
        <f>SUM('Prod. GEXPOA'!P4:U4,'Prod. GEXPOA'!Y4)</f>
        <v>19</v>
      </c>
      <c r="F89" s="73">
        <f t="shared" ref="F89:F94" si="2">E89*D89</f>
        <v>0</v>
      </c>
      <c r="H89" s="797" t="s">
        <v>106</v>
      </c>
      <c r="I89" s="797"/>
      <c r="K89" s="76" t="e">
        <f>AVERAGE(K71:K88)</f>
        <v>#DIV/0!</v>
      </c>
      <c r="L89" s="72">
        <f>SUM(L71:L88)</f>
        <v>32</v>
      </c>
      <c r="M89" s="73">
        <f>SUM(M71:M88)</f>
        <v>0</v>
      </c>
    </row>
    <row r="90" spans="2:13" x14ac:dyDescent="0.2">
      <c r="B90" s="83" t="s">
        <v>116</v>
      </c>
      <c r="C90" s="70"/>
      <c r="D90" s="71"/>
      <c r="E90" s="72">
        <f>SUM('Prod. GEXPOA'!P5:U5)</f>
        <v>2</v>
      </c>
      <c r="F90" s="73">
        <f t="shared" si="2"/>
        <v>0</v>
      </c>
      <c r="H90" s="796" t="s">
        <v>108</v>
      </c>
      <c r="I90" s="796"/>
      <c r="J90" s="78"/>
      <c r="K90" s="79">
        <f>M89/L89</f>
        <v>0</v>
      </c>
      <c r="L90" s="84"/>
      <c r="M90" s="85"/>
    </row>
    <row r="91" spans="2:13" x14ac:dyDescent="0.2">
      <c r="B91" s="83" t="s">
        <v>117</v>
      </c>
      <c r="C91" s="70"/>
      <c r="D91" s="71"/>
      <c r="E91" s="72">
        <f>SUM('Prod. GEXPOA'!P6:U6)</f>
        <v>20</v>
      </c>
      <c r="F91" s="73">
        <f t="shared" si="2"/>
        <v>0</v>
      </c>
    </row>
    <row r="92" spans="2:13" x14ac:dyDescent="0.2">
      <c r="B92" s="83" t="s">
        <v>118</v>
      </c>
      <c r="C92" s="70"/>
      <c r="D92" s="71"/>
      <c r="E92" s="72">
        <f>SUM('Prod. GEXPOA'!P7:U7)</f>
        <v>2</v>
      </c>
      <c r="F92" s="73">
        <f t="shared" si="2"/>
        <v>0</v>
      </c>
    </row>
    <row r="93" spans="2:13" x14ac:dyDescent="0.2">
      <c r="B93" s="83" t="s">
        <v>119</v>
      </c>
      <c r="C93" s="70"/>
      <c r="D93" s="71"/>
      <c r="E93" s="72">
        <f>SUM('Prod. GEXPOA'!P8:U8)</f>
        <v>2</v>
      </c>
      <c r="F93" s="73">
        <f t="shared" si="2"/>
        <v>0</v>
      </c>
    </row>
    <row r="94" spans="2:13" x14ac:dyDescent="0.2">
      <c r="B94" s="83" t="s">
        <v>120</v>
      </c>
      <c r="C94" s="70"/>
      <c r="D94" s="71"/>
      <c r="E94" s="72">
        <f>SUM('Prod. GEXPOA'!P9:U9)</f>
        <v>3</v>
      </c>
      <c r="F94" s="73">
        <f t="shared" si="2"/>
        <v>0</v>
      </c>
    </row>
    <row r="95" spans="2:13" x14ac:dyDescent="0.2">
      <c r="B95" s="75" t="s">
        <v>106</v>
      </c>
      <c r="D95" s="76" t="e">
        <f>AVERAGE(D89:D94)</f>
        <v>#DIV/0!</v>
      </c>
      <c r="E95" s="72">
        <f>SUM(E89:E94)</f>
        <v>48</v>
      </c>
      <c r="F95" s="73">
        <f>SUM(F89:F94)</f>
        <v>0</v>
      </c>
    </row>
    <row r="96" spans="2:13" x14ac:dyDescent="0.2">
      <c r="B96" s="77" t="s">
        <v>108</v>
      </c>
      <c r="C96" s="78"/>
      <c r="D96" s="79">
        <f>F95/E95</f>
        <v>0</v>
      </c>
      <c r="E96" s="84"/>
      <c r="F96" s="85"/>
    </row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1048488" ht="12.75" customHeight="1" x14ac:dyDescent="0.2"/>
    <row r="1048489" ht="12.75" customHeight="1" x14ac:dyDescent="0.2"/>
    <row r="1048490" ht="12.75" customHeight="1" x14ac:dyDescent="0.2"/>
    <row r="1048491" ht="12.75" customHeight="1" x14ac:dyDescent="0.2"/>
    <row r="1048492" ht="12.75" customHeight="1" x14ac:dyDescent="0.2"/>
    <row r="104849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</sheetData>
  <mergeCells count="61">
    <mergeCell ref="H90:I90"/>
    <mergeCell ref="H85:I85"/>
    <mergeCell ref="H86:I86"/>
    <mergeCell ref="H87:I87"/>
    <mergeCell ref="H88:I88"/>
    <mergeCell ref="H89:I89"/>
    <mergeCell ref="H80:I80"/>
    <mergeCell ref="H81:I81"/>
    <mergeCell ref="H82:I82"/>
    <mergeCell ref="H83:I83"/>
    <mergeCell ref="H84:I84"/>
    <mergeCell ref="H75:I75"/>
    <mergeCell ref="H76:I76"/>
    <mergeCell ref="H77:I77"/>
    <mergeCell ref="H78:I78"/>
    <mergeCell ref="H79:I79"/>
    <mergeCell ref="H70:I70"/>
    <mergeCell ref="H71:I71"/>
    <mergeCell ref="H72:I72"/>
    <mergeCell ref="H73:I73"/>
    <mergeCell ref="H74:I74"/>
    <mergeCell ref="C58:M58"/>
    <mergeCell ref="B60:M60"/>
    <mergeCell ref="C61:M61"/>
    <mergeCell ref="B65:M65"/>
    <mergeCell ref="B69:M69"/>
    <mergeCell ref="C52:D52"/>
    <mergeCell ref="C53:D53"/>
    <mergeCell ref="C54:D54"/>
    <mergeCell ref="C55:M55"/>
    <mergeCell ref="B56:E56"/>
    <mergeCell ref="C47:D47"/>
    <mergeCell ref="C48:D48"/>
    <mergeCell ref="C49:D49"/>
    <mergeCell ref="C50:D50"/>
    <mergeCell ref="C51:D51"/>
    <mergeCell ref="B42:M42"/>
    <mergeCell ref="B43:M43"/>
    <mergeCell ref="C44:M44"/>
    <mergeCell ref="C45:M45"/>
    <mergeCell ref="C46:D46"/>
    <mergeCell ref="B36:M36"/>
    <mergeCell ref="B37:M37"/>
    <mergeCell ref="B38:M38"/>
    <mergeCell ref="B39:M39"/>
    <mergeCell ref="B40:M40"/>
    <mergeCell ref="B31:M31"/>
    <mergeCell ref="B32:M32"/>
    <mergeCell ref="B33:M33"/>
    <mergeCell ref="B34:M34"/>
    <mergeCell ref="B35:M35"/>
    <mergeCell ref="C8:D8"/>
    <mergeCell ref="C9:F9"/>
    <mergeCell ref="B10:B11"/>
    <mergeCell ref="B17:M17"/>
    <mergeCell ref="B30:M30"/>
    <mergeCell ref="B1:M1"/>
    <mergeCell ref="C3:D3"/>
    <mergeCell ref="C4:D4"/>
    <mergeCell ref="B6:M6"/>
    <mergeCell ref="C7:D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K147"/>
  <sheetViews>
    <sheetView showGridLines="0" topLeftCell="A117" zoomScale="75" zoomScaleNormal="75" workbookViewId="0">
      <pane xSplit="2" topLeftCell="C1" activePane="topRight" state="frozen"/>
      <selection pane="topRight" activeCell="K151" sqref="K151"/>
    </sheetView>
  </sheetViews>
  <sheetFormatPr defaultRowHeight="14.25" x14ac:dyDescent="0.2"/>
  <cols>
    <col min="1" max="1" width="51.125" style="86" customWidth="1"/>
    <col min="2" max="2" width="15.5" style="86" customWidth="1"/>
    <col min="3" max="4" width="15.625" style="86" customWidth="1"/>
    <col min="5" max="5" width="16" style="86" customWidth="1"/>
    <col min="6" max="6" width="17.375" style="86" customWidth="1"/>
    <col min="7" max="7" width="16.5" style="86" customWidth="1"/>
    <col min="8" max="9" width="15.25" style="86" customWidth="1"/>
    <col min="10" max="11" width="16" style="86" customWidth="1"/>
    <col min="12" max="12" width="10.5" style="86" customWidth="1"/>
    <col min="13" max="1025" width="9" style="86" customWidth="1"/>
  </cols>
  <sheetData>
    <row r="1" spans="1:19" s="87" customFormat="1" ht="20.25" customHeight="1" x14ac:dyDescent="0.2">
      <c r="A1" s="798" t="s">
        <v>121</v>
      </c>
      <c r="B1" s="798"/>
      <c r="C1" s="798"/>
      <c r="D1" s="798"/>
      <c r="E1" s="798"/>
      <c r="F1" s="798"/>
      <c r="G1" s="798"/>
      <c r="H1" s="798"/>
      <c r="J1" s="88" t="s">
        <v>122</v>
      </c>
      <c r="K1" s="89"/>
      <c r="L1" s="90"/>
      <c r="M1" s="89"/>
      <c r="N1" s="89"/>
      <c r="O1" s="89"/>
      <c r="P1" s="89"/>
      <c r="Q1" s="89"/>
      <c r="R1" s="89"/>
      <c r="S1" s="91"/>
    </row>
    <row r="2" spans="1:19" ht="52.5" customHeight="1" x14ac:dyDescent="0.2">
      <c r="A2" s="92" t="s">
        <v>123</v>
      </c>
      <c r="B2" s="93" t="s">
        <v>124</v>
      </c>
      <c r="C2" s="93" t="s">
        <v>125</v>
      </c>
      <c r="D2" s="93" t="s">
        <v>126</v>
      </c>
      <c r="E2" s="93" t="s">
        <v>127</v>
      </c>
      <c r="F2" s="94" t="s">
        <v>128</v>
      </c>
      <c r="G2" s="95" t="s">
        <v>129</v>
      </c>
      <c r="H2" s="96" t="s">
        <v>130</v>
      </c>
      <c r="J2" s="97" t="s">
        <v>131</v>
      </c>
      <c r="K2" s="98"/>
      <c r="L2" s="98"/>
      <c r="M2" s="98"/>
      <c r="N2" s="98"/>
      <c r="O2" s="98"/>
      <c r="P2" s="98"/>
      <c r="Q2" s="98"/>
      <c r="R2" s="98"/>
      <c r="S2" s="99"/>
    </row>
    <row r="3" spans="1:19" ht="15" customHeight="1" x14ac:dyDescent="0.2">
      <c r="A3" s="100" t="s">
        <v>132</v>
      </c>
      <c r="B3" s="101" t="s">
        <v>133</v>
      </c>
      <c r="C3" s="102">
        <v>0.31</v>
      </c>
      <c r="D3" s="103"/>
      <c r="E3" s="103"/>
      <c r="F3" s="104">
        <f t="shared" ref="F3:F36" si="0">(D3+E3)/2</f>
        <v>0</v>
      </c>
      <c r="G3" s="105">
        <f t="shared" ref="G3:G36" si="1">C3*F3</f>
        <v>0</v>
      </c>
      <c r="H3" s="106" t="s">
        <v>134</v>
      </c>
      <c r="J3" s="107" t="s">
        <v>135</v>
      </c>
      <c r="K3" s="108"/>
      <c r="L3" s="108"/>
      <c r="M3" s="108"/>
      <c r="N3" s="108"/>
      <c r="O3" s="108"/>
      <c r="P3" s="108"/>
      <c r="Q3" s="108"/>
      <c r="R3" s="108"/>
      <c r="S3" s="109"/>
    </row>
    <row r="4" spans="1:19" ht="15" customHeight="1" x14ac:dyDescent="0.2">
      <c r="A4" s="100" t="s">
        <v>136</v>
      </c>
      <c r="B4" s="101" t="s">
        <v>133</v>
      </c>
      <c r="C4" s="102">
        <v>4.74</v>
      </c>
      <c r="D4" s="103"/>
      <c r="E4" s="103"/>
      <c r="F4" s="104">
        <f t="shared" si="0"/>
        <v>0</v>
      </c>
      <c r="G4" s="105">
        <f t="shared" si="1"/>
        <v>0</v>
      </c>
      <c r="H4" s="110" t="s">
        <v>137</v>
      </c>
      <c r="J4" s="107" t="s">
        <v>138</v>
      </c>
      <c r="K4" s="108"/>
      <c r="L4" s="108"/>
      <c r="M4" s="108"/>
      <c r="N4" s="108"/>
      <c r="O4" s="108"/>
      <c r="P4" s="108"/>
      <c r="Q4" s="108"/>
      <c r="R4" s="108"/>
      <c r="S4" s="109"/>
    </row>
    <row r="5" spans="1:19" ht="15" customHeight="1" x14ac:dyDescent="0.2">
      <c r="A5" s="100" t="s">
        <v>139</v>
      </c>
      <c r="B5" s="101" t="s">
        <v>140</v>
      </c>
      <c r="C5" s="102">
        <v>2.02</v>
      </c>
      <c r="D5" s="103"/>
      <c r="E5" s="103"/>
      <c r="F5" s="104">
        <f t="shared" si="0"/>
        <v>0</v>
      </c>
      <c r="G5" s="105">
        <f t="shared" si="1"/>
        <v>0</v>
      </c>
      <c r="H5" s="110" t="s">
        <v>141</v>
      </c>
      <c r="J5" s="107" t="s">
        <v>142</v>
      </c>
      <c r="K5" s="108"/>
      <c r="L5" s="108"/>
      <c r="M5" s="108"/>
      <c r="N5" s="108"/>
      <c r="O5" s="108"/>
      <c r="P5" s="108"/>
      <c r="Q5" s="108"/>
      <c r="R5" s="108"/>
      <c r="S5" s="109"/>
    </row>
    <row r="6" spans="1:19" ht="15" customHeight="1" x14ac:dyDescent="0.2">
      <c r="A6" s="100" t="s">
        <v>143</v>
      </c>
      <c r="B6" s="101" t="s">
        <v>133</v>
      </c>
      <c r="C6" s="102">
        <v>2.52</v>
      </c>
      <c r="D6" s="103"/>
      <c r="E6" s="103"/>
      <c r="F6" s="104">
        <f t="shared" si="0"/>
        <v>0</v>
      </c>
      <c r="G6" s="105">
        <f t="shared" si="1"/>
        <v>0</v>
      </c>
      <c r="H6" s="110" t="s">
        <v>141</v>
      </c>
      <c r="J6" s="111" t="s">
        <v>144</v>
      </c>
      <c r="K6" s="112"/>
      <c r="L6" s="112"/>
      <c r="M6" s="112"/>
      <c r="N6" s="112"/>
      <c r="O6" s="112"/>
      <c r="P6" s="112"/>
      <c r="Q6" s="112"/>
      <c r="R6" s="112"/>
      <c r="S6" s="113"/>
    </row>
    <row r="7" spans="1:19" ht="15" customHeight="1" x14ac:dyDescent="0.2">
      <c r="A7" s="100" t="s">
        <v>145</v>
      </c>
      <c r="B7" s="101" t="s">
        <v>146</v>
      </c>
      <c r="C7" s="102">
        <v>0.3</v>
      </c>
      <c r="D7" s="103"/>
      <c r="E7" s="103"/>
      <c r="F7" s="104">
        <f t="shared" si="0"/>
        <v>0</v>
      </c>
      <c r="G7" s="105">
        <f t="shared" si="1"/>
        <v>0</v>
      </c>
      <c r="H7" s="110" t="s">
        <v>147</v>
      </c>
    </row>
    <row r="8" spans="1:19" ht="15" customHeight="1" x14ac:dyDescent="0.2">
      <c r="A8" s="100" t="s">
        <v>148</v>
      </c>
      <c r="B8" s="101" t="s">
        <v>146</v>
      </c>
      <c r="C8" s="102">
        <v>1.35</v>
      </c>
      <c r="D8" s="103"/>
      <c r="E8" s="103"/>
      <c r="F8" s="104">
        <f t="shared" si="0"/>
        <v>0</v>
      </c>
      <c r="G8" s="105">
        <f t="shared" si="1"/>
        <v>0</v>
      </c>
      <c r="H8" s="110" t="s">
        <v>149</v>
      </c>
    </row>
    <row r="9" spans="1:19" ht="15" customHeight="1" x14ac:dyDescent="0.2">
      <c r="A9" s="100" t="s">
        <v>150</v>
      </c>
      <c r="B9" s="101" t="s">
        <v>146</v>
      </c>
      <c r="C9" s="102">
        <v>0.2</v>
      </c>
      <c r="D9" s="103"/>
      <c r="E9" s="103"/>
      <c r="F9" s="104">
        <f t="shared" si="0"/>
        <v>0</v>
      </c>
      <c r="G9" s="105">
        <f t="shared" si="1"/>
        <v>0</v>
      </c>
      <c r="H9" s="110" t="s">
        <v>151</v>
      </c>
    </row>
    <row r="10" spans="1:19" ht="15" customHeight="1" x14ac:dyDescent="0.2">
      <c r="A10" s="100" t="s">
        <v>152</v>
      </c>
      <c r="B10" s="101" t="s">
        <v>146</v>
      </c>
      <c r="C10" s="102">
        <v>0.5</v>
      </c>
      <c r="D10" s="103"/>
      <c r="E10" s="103"/>
      <c r="F10" s="104">
        <f t="shared" si="0"/>
        <v>0</v>
      </c>
      <c r="G10" s="105">
        <f t="shared" si="1"/>
        <v>0</v>
      </c>
      <c r="H10" s="110" t="s">
        <v>153</v>
      </c>
    </row>
    <row r="11" spans="1:19" ht="15" customHeight="1" x14ac:dyDescent="0.2">
      <c r="A11" s="100" t="s">
        <v>154</v>
      </c>
      <c r="B11" s="101" t="s">
        <v>140</v>
      </c>
      <c r="C11" s="102">
        <v>1.43</v>
      </c>
      <c r="D11" s="103"/>
      <c r="E11" s="103"/>
      <c r="F11" s="104">
        <f t="shared" si="0"/>
        <v>0</v>
      </c>
      <c r="G11" s="105">
        <f t="shared" si="1"/>
        <v>0</v>
      </c>
      <c r="H11" s="110" t="s">
        <v>155</v>
      </c>
    </row>
    <row r="12" spans="1:19" ht="15" customHeight="1" x14ac:dyDescent="0.2">
      <c r="A12" s="100" t="s">
        <v>156</v>
      </c>
      <c r="B12" s="101" t="s">
        <v>157</v>
      </c>
      <c r="C12" s="102">
        <v>1.0900000000000001</v>
      </c>
      <c r="D12" s="103"/>
      <c r="E12" s="103"/>
      <c r="F12" s="104">
        <f t="shared" si="0"/>
        <v>0</v>
      </c>
      <c r="G12" s="105">
        <f t="shared" si="1"/>
        <v>0</v>
      </c>
      <c r="H12" s="110" t="s">
        <v>158</v>
      </c>
    </row>
    <row r="13" spans="1:19" ht="15" customHeight="1" x14ac:dyDescent="0.2">
      <c r="A13" s="100" t="s">
        <v>159</v>
      </c>
      <c r="B13" s="101" t="s">
        <v>157</v>
      </c>
      <c r="C13" s="102">
        <v>1.27</v>
      </c>
      <c r="D13" s="103"/>
      <c r="E13" s="103"/>
      <c r="F13" s="104">
        <f t="shared" si="0"/>
        <v>0</v>
      </c>
      <c r="G13" s="105">
        <f t="shared" si="1"/>
        <v>0</v>
      </c>
      <c r="H13" s="110" t="s">
        <v>160</v>
      </c>
    </row>
    <row r="14" spans="1:19" ht="15" customHeight="1" x14ac:dyDescent="0.2">
      <c r="A14" s="100" t="s">
        <v>161</v>
      </c>
      <c r="B14" s="101" t="s">
        <v>157</v>
      </c>
      <c r="C14" s="102">
        <v>2.2200000000000002</v>
      </c>
      <c r="D14" s="103"/>
      <c r="E14" s="103"/>
      <c r="F14" s="104">
        <f t="shared" si="0"/>
        <v>0</v>
      </c>
      <c r="G14" s="105">
        <f t="shared" si="1"/>
        <v>0</v>
      </c>
      <c r="H14" s="110" t="s">
        <v>149</v>
      </c>
    </row>
    <row r="15" spans="1:19" ht="15" customHeight="1" x14ac:dyDescent="0.2">
      <c r="A15" s="100" t="s">
        <v>162</v>
      </c>
      <c r="B15" s="101" t="s">
        <v>157</v>
      </c>
      <c r="C15" s="102">
        <v>2.41</v>
      </c>
      <c r="D15" s="103"/>
      <c r="E15" s="103"/>
      <c r="F15" s="104">
        <f t="shared" si="0"/>
        <v>0</v>
      </c>
      <c r="G15" s="105">
        <f t="shared" si="1"/>
        <v>0</v>
      </c>
      <c r="H15" s="110" t="s">
        <v>163</v>
      </c>
    </row>
    <row r="16" spans="1:19" ht="15" customHeight="1" x14ac:dyDescent="0.2">
      <c r="A16" s="100" t="s">
        <v>164</v>
      </c>
      <c r="B16" s="101" t="s">
        <v>157</v>
      </c>
      <c r="C16" s="102">
        <v>0.25</v>
      </c>
      <c r="D16" s="103"/>
      <c r="E16" s="103"/>
      <c r="F16" s="104">
        <f t="shared" si="0"/>
        <v>0</v>
      </c>
      <c r="G16" s="105">
        <f t="shared" si="1"/>
        <v>0</v>
      </c>
      <c r="H16" s="110" t="s">
        <v>165</v>
      </c>
    </row>
    <row r="17" spans="1:8" ht="15" customHeight="1" x14ac:dyDescent="0.2">
      <c r="A17" s="100" t="s">
        <v>166</v>
      </c>
      <c r="B17" s="101" t="s">
        <v>167</v>
      </c>
      <c r="C17" s="102">
        <v>0.65</v>
      </c>
      <c r="D17" s="103"/>
      <c r="E17" s="103"/>
      <c r="F17" s="104">
        <f t="shared" si="0"/>
        <v>0</v>
      </c>
      <c r="G17" s="105">
        <f t="shared" si="1"/>
        <v>0</v>
      </c>
      <c r="H17" s="110" t="s">
        <v>155</v>
      </c>
    </row>
    <row r="18" spans="1:8" ht="15" customHeight="1" x14ac:dyDescent="0.2">
      <c r="A18" s="100" t="s">
        <v>168</v>
      </c>
      <c r="B18" s="101" t="s">
        <v>140</v>
      </c>
      <c r="C18" s="102">
        <v>0.22</v>
      </c>
      <c r="D18" s="103"/>
      <c r="E18" s="103"/>
      <c r="F18" s="104">
        <f t="shared" si="0"/>
        <v>0</v>
      </c>
      <c r="G18" s="105">
        <f t="shared" si="1"/>
        <v>0</v>
      </c>
      <c r="H18" s="110" t="s">
        <v>169</v>
      </c>
    </row>
    <row r="19" spans="1:8" ht="15" customHeight="1" x14ac:dyDescent="0.2">
      <c r="A19" s="100" t="s">
        <v>170</v>
      </c>
      <c r="B19" s="101" t="s">
        <v>171</v>
      </c>
      <c r="C19" s="102">
        <v>1.61</v>
      </c>
      <c r="D19" s="103"/>
      <c r="E19" s="103"/>
      <c r="F19" s="104">
        <f t="shared" si="0"/>
        <v>0</v>
      </c>
      <c r="G19" s="105">
        <f t="shared" si="1"/>
        <v>0</v>
      </c>
      <c r="H19" s="110" t="s">
        <v>172</v>
      </c>
    </row>
    <row r="20" spans="1:8" ht="15" customHeight="1" x14ac:dyDescent="0.2">
      <c r="A20" s="100" t="s">
        <v>173</v>
      </c>
      <c r="B20" s="101" t="s">
        <v>140</v>
      </c>
      <c r="C20" s="102">
        <v>2.2000000000000002</v>
      </c>
      <c r="D20" s="103"/>
      <c r="E20" s="103"/>
      <c r="F20" s="104">
        <f t="shared" si="0"/>
        <v>0</v>
      </c>
      <c r="G20" s="105">
        <f t="shared" si="1"/>
        <v>0</v>
      </c>
      <c r="H20" s="110" t="s">
        <v>153</v>
      </c>
    </row>
    <row r="21" spans="1:8" ht="15" customHeight="1" x14ac:dyDescent="0.2">
      <c r="A21" s="100" t="s">
        <v>174</v>
      </c>
      <c r="B21" s="101" t="s">
        <v>175</v>
      </c>
      <c r="C21" s="102">
        <v>0.3</v>
      </c>
      <c r="D21" s="103"/>
      <c r="E21" s="103"/>
      <c r="F21" s="104">
        <f t="shared" si="0"/>
        <v>0</v>
      </c>
      <c r="G21" s="105">
        <f t="shared" si="1"/>
        <v>0</v>
      </c>
      <c r="H21" s="110" t="s">
        <v>141</v>
      </c>
    </row>
    <row r="22" spans="1:8" ht="15" customHeight="1" x14ac:dyDescent="0.2">
      <c r="A22" s="100" t="s">
        <v>176</v>
      </c>
      <c r="B22" s="101" t="s">
        <v>177</v>
      </c>
      <c r="C22" s="102">
        <v>2.2999999999999998</v>
      </c>
      <c r="D22" s="103"/>
      <c r="E22" s="103"/>
      <c r="F22" s="104">
        <f t="shared" si="0"/>
        <v>0</v>
      </c>
      <c r="G22" s="105">
        <f t="shared" si="1"/>
        <v>0</v>
      </c>
      <c r="H22" s="110" t="s">
        <v>153</v>
      </c>
    </row>
    <row r="23" spans="1:8" ht="15" customHeight="1" x14ac:dyDescent="0.2">
      <c r="A23" s="100" t="s">
        <v>178</v>
      </c>
      <c r="B23" s="101" t="s">
        <v>157</v>
      </c>
      <c r="C23" s="102">
        <v>1.48</v>
      </c>
      <c r="D23" s="103"/>
      <c r="E23" s="103"/>
      <c r="F23" s="104">
        <f t="shared" si="0"/>
        <v>0</v>
      </c>
      <c r="G23" s="105">
        <f t="shared" si="1"/>
        <v>0</v>
      </c>
      <c r="H23" s="110" t="s">
        <v>155</v>
      </c>
    </row>
    <row r="24" spans="1:8" ht="15" customHeight="1" x14ac:dyDescent="0.2">
      <c r="A24" s="100" t="s">
        <v>179</v>
      </c>
      <c r="B24" s="101" t="s">
        <v>157</v>
      </c>
      <c r="C24" s="102">
        <v>2.58</v>
      </c>
      <c r="D24" s="103"/>
      <c r="E24" s="103"/>
      <c r="F24" s="104">
        <f t="shared" si="0"/>
        <v>0</v>
      </c>
      <c r="G24" s="105">
        <f t="shared" si="1"/>
        <v>0</v>
      </c>
      <c r="H24" s="110" t="s">
        <v>153</v>
      </c>
    </row>
    <row r="25" spans="1:8" ht="15" customHeight="1" x14ac:dyDescent="0.2">
      <c r="A25" s="100" t="s">
        <v>180</v>
      </c>
      <c r="B25" s="101" t="s">
        <v>181</v>
      </c>
      <c r="C25" s="102">
        <v>0.62</v>
      </c>
      <c r="D25" s="103"/>
      <c r="E25" s="103"/>
      <c r="F25" s="104">
        <f t="shared" si="0"/>
        <v>0</v>
      </c>
      <c r="G25" s="105">
        <f t="shared" si="1"/>
        <v>0</v>
      </c>
      <c r="H25" s="110" t="s">
        <v>155</v>
      </c>
    </row>
    <row r="26" spans="1:8" ht="15" customHeight="1" x14ac:dyDescent="0.2">
      <c r="A26" s="100" t="s">
        <v>182</v>
      </c>
      <c r="B26" s="101" t="s">
        <v>183</v>
      </c>
      <c r="C26" s="102">
        <v>2.41</v>
      </c>
      <c r="D26" s="103"/>
      <c r="E26" s="103"/>
      <c r="F26" s="104">
        <f t="shared" si="0"/>
        <v>0</v>
      </c>
      <c r="G26" s="105">
        <f t="shared" si="1"/>
        <v>0</v>
      </c>
      <c r="H26" s="110" t="s">
        <v>155</v>
      </c>
    </row>
    <row r="27" spans="1:8" ht="15" customHeight="1" x14ac:dyDescent="0.2">
      <c r="A27" s="100" t="s">
        <v>184</v>
      </c>
      <c r="B27" s="101" t="s">
        <v>185</v>
      </c>
      <c r="C27" s="102">
        <v>5.88</v>
      </c>
      <c r="D27" s="103"/>
      <c r="E27" s="103"/>
      <c r="F27" s="104">
        <f t="shared" si="0"/>
        <v>0</v>
      </c>
      <c r="G27" s="105">
        <f t="shared" si="1"/>
        <v>0</v>
      </c>
      <c r="H27" s="110" t="s">
        <v>155</v>
      </c>
    </row>
    <row r="28" spans="1:8" ht="15" customHeight="1" x14ac:dyDescent="0.2">
      <c r="A28" s="100" t="s">
        <v>186</v>
      </c>
      <c r="B28" s="101" t="s">
        <v>187</v>
      </c>
      <c r="C28" s="102">
        <v>2.75</v>
      </c>
      <c r="D28" s="103"/>
      <c r="E28" s="103"/>
      <c r="F28" s="104">
        <f t="shared" si="0"/>
        <v>0</v>
      </c>
      <c r="G28" s="105">
        <f t="shared" si="1"/>
        <v>0</v>
      </c>
      <c r="H28" s="110" t="s">
        <v>155</v>
      </c>
    </row>
    <row r="29" spans="1:8" ht="15" customHeight="1" x14ac:dyDescent="0.2">
      <c r="A29" s="100" t="s">
        <v>188</v>
      </c>
      <c r="B29" s="101" t="s">
        <v>146</v>
      </c>
      <c r="C29" s="102">
        <v>0.67</v>
      </c>
      <c r="D29" s="103"/>
      <c r="E29" s="103"/>
      <c r="F29" s="104">
        <f t="shared" si="0"/>
        <v>0</v>
      </c>
      <c r="G29" s="105">
        <f t="shared" si="1"/>
        <v>0</v>
      </c>
      <c r="H29" s="110" t="s">
        <v>153</v>
      </c>
    </row>
    <row r="30" spans="1:8" ht="15" customHeight="1" x14ac:dyDescent="0.2">
      <c r="A30" s="100" t="s">
        <v>189</v>
      </c>
      <c r="B30" s="101" t="s">
        <v>157</v>
      </c>
      <c r="C30" s="102">
        <v>1.2</v>
      </c>
      <c r="D30" s="103"/>
      <c r="E30" s="103"/>
      <c r="F30" s="104">
        <f t="shared" si="0"/>
        <v>0</v>
      </c>
      <c r="G30" s="105">
        <f t="shared" si="1"/>
        <v>0</v>
      </c>
      <c r="H30" s="110" t="s">
        <v>153</v>
      </c>
    </row>
    <row r="31" spans="1:8" ht="15" customHeight="1" x14ac:dyDescent="0.2">
      <c r="A31" s="100" t="s">
        <v>190</v>
      </c>
      <c r="B31" s="101" t="s">
        <v>191</v>
      </c>
      <c r="C31" s="102">
        <v>0.79</v>
      </c>
      <c r="D31" s="103"/>
      <c r="E31" s="103"/>
      <c r="F31" s="104">
        <f t="shared" si="0"/>
        <v>0</v>
      </c>
      <c r="G31" s="105">
        <f t="shared" si="1"/>
        <v>0</v>
      </c>
      <c r="H31" s="110" t="s">
        <v>153</v>
      </c>
    </row>
    <row r="32" spans="1:8" ht="15" customHeight="1" x14ac:dyDescent="0.2">
      <c r="A32" s="100" t="s">
        <v>192</v>
      </c>
      <c r="B32" s="101" t="s">
        <v>146</v>
      </c>
      <c r="C32" s="102">
        <v>0.77</v>
      </c>
      <c r="D32" s="103"/>
      <c r="E32" s="103"/>
      <c r="F32" s="104">
        <f t="shared" si="0"/>
        <v>0</v>
      </c>
      <c r="G32" s="105">
        <f t="shared" si="1"/>
        <v>0</v>
      </c>
      <c r="H32" s="110" t="s">
        <v>155</v>
      </c>
    </row>
    <row r="33" spans="1:8" ht="15" customHeight="1" x14ac:dyDescent="0.2">
      <c r="A33" s="100" t="s">
        <v>193</v>
      </c>
      <c r="B33" s="101" t="s">
        <v>157</v>
      </c>
      <c r="C33" s="102">
        <v>1.53</v>
      </c>
      <c r="D33" s="103"/>
      <c r="E33" s="103"/>
      <c r="F33" s="104">
        <f t="shared" si="0"/>
        <v>0</v>
      </c>
      <c r="G33" s="105">
        <f t="shared" si="1"/>
        <v>0</v>
      </c>
      <c r="H33" s="110" t="s">
        <v>194</v>
      </c>
    </row>
    <row r="34" spans="1:8" ht="15" customHeight="1" x14ac:dyDescent="0.2">
      <c r="A34" s="100" t="s">
        <v>195</v>
      </c>
      <c r="B34" s="101" t="s">
        <v>196</v>
      </c>
      <c r="C34" s="102">
        <v>0.68</v>
      </c>
      <c r="D34" s="103"/>
      <c r="E34" s="103"/>
      <c r="F34" s="104">
        <f t="shared" si="0"/>
        <v>0</v>
      </c>
      <c r="G34" s="105">
        <f t="shared" si="1"/>
        <v>0</v>
      </c>
      <c r="H34" s="110" t="s">
        <v>197</v>
      </c>
    </row>
    <row r="35" spans="1:8" ht="15" customHeight="1" x14ac:dyDescent="0.2">
      <c r="A35" s="100" t="s">
        <v>198</v>
      </c>
      <c r="B35" s="101" t="s">
        <v>196</v>
      </c>
      <c r="C35" s="102">
        <v>0.65</v>
      </c>
      <c r="D35" s="103"/>
      <c r="E35" s="103"/>
      <c r="F35" s="104">
        <f t="shared" si="0"/>
        <v>0</v>
      </c>
      <c r="G35" s="105">
        <f t="shared" si="1"/>
        <v>0</v>
      </c>
      <c r="H35" s="110" t="s">
        <v>197</v>
      </c>
    </row>
    <row r="36" spans="1:8" ht="15" customHeight="1" x14ac:dyDescent="0.2">
      <c r="A36" s="114" t="s">
        <v>199</v>
      </c>
      <c r="B36" s="115" t="s">
        <v>196</v>
      </c>
      <c r="C36" s="116">
        <v>1.02</v>
      </c>
      <c r="D36" s="117"/>
      <c r="E36" s="117"/>
      <c r="F36" s="118">
        <f t="shared" si="0"/>
        <v>0</v>
      </c>
      <c r="G36" s="119">
        <f t="shared" si="1"/>
        <v>0</v>
      </c>
      <c r="H36" s="120" t="s">
        <v>153</v>
      </c>
    </row>
    <row r="37" spans="1:8" ht="20.25" customHeight="1" x14ac:dyDescent="0.2">
      <c r="A37" s="799" t="s">
        <v>200</v>
      </c>
      <c r="B37" s="799"/>
      <c r="C37" s="799"/>
      <c r="D37" s="799"/>
      <c r="E37" s="799"/>
      <c r="F37" s="799"/>
      <c r="G37" s="121">
        <f>SUM(G3:G36)</f>
        <v>0</v>
      </c>
    </row>
    <row r="38" spans="1:8" ht="20.25" customHeight="1" x14ac:dyDescent="0.2">
      <c r="A38" s="798" t="s">
        <v>201</v>
      </c>
      <c r="B38" s="798"/>
      <c r="C38" s="798"/>
      <c r="D38" s="798"/>
      <c r="E38" s="798"/>
      <c r="F38" s="798"/>
      <c r="G38" s="798"/>
      <c r="H38" s="798"/>
    </row>
    <row r="39" spans="1:8" ht="45.75" customHeight="1" x14ac:dyDescent="0.2">
      <c r="A39" s="92" t="s">
        <v>123</v>
      </c>
      <c r="B39" s="93" t="s">
        <v>124</v>
      </c>
      <c r="C39" s="93" t="s">
        <v>202</v>
      </c>
      <c r="D39" s="93" t="s">
        <v>126</v>
      </c>
      <c r="E39" s="93" t="s">
        <v>127</v>
      </c>
      <c r="F39" s="94" t="s">
        <v>128</v>
      </c>
      <c r="G39" s="122" t="s">
        <v>203</v>
      </c>
      <c r="H39" s="123" t="s">
        <v>130</v>
      </c>
    </row>
    <row r="40" spans="1:8" ht="15" customHeight="1" x14ac:dyDescent="0.2">
      <c r="A40" s="124" t="s">
        <v>204</v>
      </c>
      <c r="B40" s="125" t="s">
        <v>157</v>
      </c>
      <c r="C40" s="102">
        <v>3.19</v>
      </c>
      <c r="D40" s="126"/>
      <c r="E40" s="126"/>
      <c r="F40" s="104">
        <f t="shared" ref="F40:F58" si="2">(D40+E40)/2</f>
        <v>0</v>
      </c>
      <c r="G40" s="127">
        <f t="shared" ref="G40:G58" si="3">C40*F40/12</f>
        <v>0</v>
      </c>
      <c r="H40" s="128" t="s">
        <v>153</v>
      </c>
    </row>
    <row r="41" spans="1:8" ht="15" customHeight="1" x14ac:dyDescent="0.2">
      <c r="A41" s="129" t="s">
        <v>205</v>
      </c>
      <c r="B41" s="130" t="s">
        <v>157</v>
      </c>
      <c r="C41" s="102">
        <v>0.75</v>
      </c>
      <c r="D41" s="126"/>
      <c r="E41" s="126"/>
      <c r="F41" s="104">
        <f t="shared" si="2"/>
        <v>0</v>
      </c>
      <c r="G41" s="127">
        <f t="shared" si="3"/>
        <v>0</v>
      </c>
      <c r="H41" s="131" t="s">
        <v>155</v>
      </c>
    </row>
    <row r="42" spans="1:8" ht="15" customHeight="1" x14ac:dyDescent="0.2">
      <c r="A42" s="129" t="s">
        <v>206</v>
      </c>
      <c r="B42" s="130" t="s">
        <v>157</v>
      </c>
      <c r="C42" s="102">
        <v>0.75</v>
      </c>
      <c r="D42" s="126"/>
      <c r="E42" s="126"/>
      <c r="F42" s="104">
        <f t="shared" si="2"/>
        <v>0</v>
      </c>
      <c r="G42" s="127">
        <f t="shared" si="3"/>
        <v>0</v>
      </c>
      <c r="H42" s="131" t="s">
        <v>155</v>
      </c>
    </row>
    <row r="43" spans="1:8" ht="15" customHeight="1" x14ac:dyDescent="0.2">
      <c r="A43" s="129" t="s">
        <v>207</v>
      </c>
      <c r="B43" s="130" t="s">
        <v>157</v>
      </c>
      <c r="C43" s="102">
        <v>1.94</v>
      </c>
      <c r="D43" s="126"/>
      <c r="E43" s="126"/>
      <c r="F43" s="104">
        <f t="shared" si="2"/>
        <v>0</v>
      </c>
      <c r="G43" s="127">
        <f t="shared" si="3"/>
        <v>0</v>
      </c>
      <c r="H43" s="131" t="s">
        <v>153</v>
      </c>
    </row>
    <row r="44" spans="1:8" ht="15" customHeight="1" x14ac:dyDescent="0.2">
      <c r="A44" s="129" t="s">
        <v>208</v>
      </c>
      <c r="B44" s="130" t="s">
        <v>157</v>
      </c>
      <c r="C44" s="102">
        <v>2.85</v>
      </c>
      <c r="D44" s="126"/>
      <c r="E44" s="126"/>
      <c r="F44" s="104">
        <f t="shared" si="2"/>
        <v>0</v>
      </c>
      <c r="G44" s="127">
        <f t="shared" si="3"/>
        <v>0</v>
      </c>
      <c r="H44" s="131" t="s">
        <v>155</v>
      </c>
    </row>
    <row r="45" spans="1:8" ht="15" customHeight="1" x14ac:dyDescent="0.2">
      <c r="A45" s="129" t="s">
        <v>209</v>
      </c>
      <c r="B45" s="130" t="s">
        <v>157</v>
      </c>
      <c r="C45" s="102">
        <v>0.64</v>
      </c>
      <c r="D45" s="126"/>
      <c r="E45" s="126"/>
      <c r="F45" s="104">
        <f t="shared" si="2"/>
        <v>0</v>
      </c>
      <c r="G45" s="127">
        <f t="shared" si="3"/>
        <v>0</v>
      </c>
      <c r="H45" s="131" t="s">
        <v>153</v>
      </c>
    </row>
    <row r="46" spans="1:8" ht="15" customHeight="1" x14ac:dyDescent="0.2">
      <c r="A46" s="129" t="s">
        <v>210</v>
      </c>
      <c r="B46" s="130" t="s">
        <v>157</v>
      </c>
      <c r="C46" s="102">
        <v>1.6</v>
      </c>
      <c r="D46" s="126"/>
      <c r="E46" s="126"/>
      <c r="F46" s="104">
        <f t="shared" si="2"/>
        <v>0</v>
      </c>
      <c r="G46" s="127">
        <f t="shared" si="3"/>
        <v>0</v>
      </c>
      <c r="H46" s="131" t="s">
        <v>194</v>
      </c>
    </row>
    <row r="47" spans="1:8" ht="15" customHeight="1" x14ac:dyDescent="0.2">
      <c r="A47" s="129" t="s">
        <v>211</v>
      </c>
      <c r="B47" s="130" t="s">
        <v>157</v>
      </c>
      <c r="C47" s="102">
        <v>0.92</v>
      </c>
      <c r="D47" s="126"/>
      <c r="E47" s="126"/>
      <c r="F47" s="104">
        <f t="shared" si="2"/>
        <v>0</v>
      </c>
      <c r="G47" s="127">
        <f t="shared" si="3"/>
        <v>0</v>
      </c>
      <c r="H47" s="131" t="s">
        <v>153</v>
      </c>
    </row>
    <row r="48" spans="1:8" ht="15" customHeight="1" x14ac:dyDescent="0.2">
      <c r="A48" s="129" t="s">
        <v>212</v>
      </c>
      <c r="B48" s="130" t="s">
        <v>157</v>
      </c>
      <c r="C48" s="102">
        <v>1</v>
      </c>
      <c r="D48" s="126"/>
      <c r="E48" s="126"/>
      <c r="F48" s="104">
        <f t="shared" si="2"/>
        <v>0</v>
      </c>
      <c r="G48" s="127">
        <f t="shared" si="3"/>
        <v>0</v>
      </c>
      <c r="H48" s="131" t="s">
        <v>197</v>
      </c>
    </row>
    <row r="49" spans="1:8" ht="15" customHeight="1" x14ac:dyDescent="0.2">
      <c r="A49" s="129" t="s">
        <v>213</v>
      </c>
      <c r="B49" s="130" t="s">
        <v>157</v>
      </c>
      <c r="C49" s="102">
        <v>2.6</v>
      </c>
      <c r="D49" s="126"/>
      <c r="E49" s="126"/>
      <c r="F49" s="104">
        <f t="shared" si="2"/>
        <v>0</v>
      </c>
      <c r="G49" s="127">
        <f t="shared" si="3"/>
        <v>0</v>
      </c>
      <c r="H49" s="131" t="s">
        <v>197</v>
      </c>
    </row>
    <row r="50" spans="1:8" ht="15" customHeight="1" x14ac:dyDescent="0.25">
      <c r="A50" s="132" t="s">
        <v>214</v>
      </c>
      <c r="B50" s="133" t="s">
        <v>157</v>
      </c>
      <c r="C50" s="102">
        <v>4</v>
      </c>
      <c r="D50" s="126"/>
      <c r="E50" s="126"/>
      <c r="F50" s="104">
        <f t="shared" si="2"/>
        <v>0</v>
      </c>
      <c r="G50" s="127">
        <f t="shared" si="3"/>
        <v>0</v>
      </c>
      <c r="H50" s="134" t="s">
        <v>197</v>
      </c>
    </row>
    <row r="51" spans="1:8" ht="15" customHeight="1" x14ac:dyDescent="0.2">
      <c r="A51" s="129" t="s">
        <v>215</v>
      </c>
      <c r="B51" s="130" t="s">
        <v>157</v>
      </c>
      <c r="C51" s="102">
        <v>1</v>
      </c>
      <c r="D51" s="126"/>
      <c r="E51" s="126"/>
      <c r="F51" s="104">
        <f t="shared" si="2"/>
        <v>0</v>
      </c>
      <c r="G51" s="127">
        <f t="shared" si="3"/>
        <v>0</v>
      </c>
      <c r="H51" s="131" t="s">
        <v>153</v>
      </c>
    </row>
    <row r="52" spans="1:8" ht="15" customHeight="1" x14ac:dyDescent="0.2">
      <c r="A52" s="129" t="s">
        <v>216</v>
      </c>
      <c r="B52" s="130" t="s">
        <v>157</v>
      </c>
      <c r="C52" s="102">
        <v>1.24</v>
      </c>
      <c r="D52" s="126"/>
      <c r="E52" s="126"/>
      <c r="F52" s="104">
        <f t="shared" si="2"/>
        <v>0</v>
      </c>
      <c r="G52" s="127">
        <f t="shared" si="3"/>
        <v>0</v>
      </c>
      <c r="H52" s="131" t="s">
        <v>172</v>
      </c>
    </row>
    <row r="53" spans="1:8" ht="15" customHeight="1" x14ac:dyDescent="0.2">
      <c r="A53" s="129" t="s">
        <v>217</v>
      </c>
      <c r="B53" s="130" t="s">
        <v>157</v>
      </c>
      <c r="C53" s="102">
        <v>3.85</v>
      </c>
      <c r="D53" s="126"/>
      <c r="E53" s="126"/>
      <c r="F53" s="104">
        <f t="shared" si="2"/>
        <v>0</v>
      </c>
      <c r="G53" s="127">
        <f t="shared" si="3"/>
        <v>0</v>
      </c>
      <c r="H53" s="131" t="s">
        <v>197</v>
      </c>
    </row>
    <row r="54" spans="1:8" ht="15" customHeight="1" x14ac:dyDescent="0.2">
      <c r="A54" s="129" t="s">
        <v>218</v>
      </c>
      <c r="B54" s="130" t="s">
        <v>219</v>
      </c>
      <c r="C54" s="102">
        <v>0.64</v>
      </c>
      <c r="D54" s="126"/>
      <c r="E54" s="126"/>
      <c r="F54" s="104">
        <f t="shared" si="2"/>
        <v>0</v>
      </c>
      <c r="G54" s="127">
        <f t="shared" si="3"/>
        <v>0</v>
      </c>
      <c r="H54" s="131" t="s">
        <v>153</v>
      </c>
    </row>
    <row r="55" spans="1:8" ht="15" customHeight="1" x14ac:dyDescent="0.2">
      <c r="A55" s="129" t="s">
        <v>220</v>
      </c>
      <c r="B55" s="130" t="s">
        <v>157</v>
      </c>
      <c r="C55" s="102">
        <v>1.28</v>
      </c>
      <c r="D55" s="126"/>
      <c r="E55" s="126"/>
      <c r="F55" s="104">
        <f t="shared" si="2"/>
        <v>0</v>
      </c>
      <c r="G55" s="127">
        <f t="shared" si="3"/>
        <v>0</v>
      </c>
      <c r="H55" s="131" t="s">
        <v>221</v>
      </c>
    </row>
    <row r="56" spans="1:8" ht="15" customHeight="1" x14ac:dyDescent="0.2">
      <c r="A56" s="129" t="s">
        <v>222</v>
      </c>
      <c r="B56" s="130" t="s">
        <v>157</v>
      </c>
      <c r="C56" s="102">
        <v>0.99</v>
      </c>
      <c r="D56" s="126"/>
      <c r="E56" s="126"/>
      <c r="F56" s="104">
        <f t="shared" si="2"/>
        <v>0</v>
      </c>
      <c r="G56" s="127">
        <f t="shared" si="3"/>
        <v>0</v>
      </c>
      <c r="H56" s="131" t="s">
        <v>223</v>
      </c>
    </row>
    <row r="57" spans="1:8" ht="15" customHeight="1" x14ac:dyDescent="0.2">
      <c r="A57" s="129" t="s">
        <v>224</v>
      </c>
      <c r="B57" s="130" t="s">
        <v>157</v>
      </c>
      <c r="C57" s="102">
        <v>3.9</v>
      </c>
      <c r="D57" s="126"/>
      <c r="E57" s="126"/>
      <c r="F57" s="104">
        <f t="shared" si="2"/>
        <v>0</v>
      </c>
      <c r="G57" s="127">
        <f t="shared" si="3"/>
        <v>0</v>
      </c>
      <c r="H57" s="131" t="s">
        <v>225</v>
      </c>
    </row>
    <row r="58" spans="1:8" ht="15" customHeight="1" x14ac:dyDescent="0.2">
      <c r="A58" s="135" t="s">
        <v>226</v>
      </c>
      <c r="B58" s="136" t="s">
        <v>157</v>
      </c>
      <c r="C58" s="102">
        <v>1.48</v>
      </c>
      <c r="D58" s="137"/>
      <c r="E58" s="137"/>
      <c r="F58" s="118">
        <f t="shared" si="2"/>
        <v>0</v>
      </c>
      <c r="G58" s="138">
        <f t="shared" si="3"/>
        <v>0</v>
      </c>
      <c r="H58" s="139" t="s">
        <v>153</v>
      </c>
    </row>
    <row r="59" spans="1:8" ht="20.25" customHeight="1" x14ac:dyDescent="0.2">
      <c r="A59" s="799" t="s">
        <v>227</v>
      </c>
      <c r="B59" s="799"/>
      <c r="C59" s="799"/>
      <c r="D59" s="799"/>
      <c r="E59" s="799"/>
      <c r="F59" s="799"/>
      <c r="G59" s="121">
        <f>SUM(G40:G58)</f>
        <v>0</v>
      </c>
    </row>
    <row r="60" spans="1:8" ht="20.25" customHeight="1" x14ac:dyDescent="0.2">
      <c r="A60" s="799" t="s">
        <v>228</v>
      </c>
      <c r="B60" s="799"/>
      <c r="C60" s="799"/>
      <c r="D60" s="799"/>
      <c r="E60" s="799"/>
      <c r="F60" s="799"/>
      <c r="G60" s="140">
        <f>G59+G37</f>
        <v>0</v>
      </c>
    </row>
    <row r="61" spans="1:8" x14ac:dyDescent="0.2">
      <c r="A61" s="141"/>
      <c r="B61" s="142"/>
      <c r="C61" s="142"/>
      <c r="D61" s="142"/>
      <c r="E61" s="142"/>
      <c r="F61" s="142"/>
      <c r="G61" s="142"/>
      <c r="H61" s="143"/>
    </row>
    <row r="62" spans="1:8" ht="20.25" customHeight="1" x14ac:dyDescent="0.2">
      <c r="A62" s="798" t="s">
        <v>229</v>
      </c>
      <c r="B62" s="798"/>
      <c r="C62" s="798"/>
      <c r="D62" s="798"/>
      <c r="E62" s="798"/>
      <c r="F62" s="798"/>
      <c r="G62" s="798"/>
      <c r="H62" s="798"/>
    </row>
    <row r="63" spans="1:8" ht="54.75" customHeight="1" x14ac:dyDescent="0.2">
      <c r="A63" s="144" t="s">
        <v>123</v>
      </c>
      <c r="B63" s="145" t="s">
        <v>124</v>
      </c>
      <c r="C63" s="145" t="s">
        <v>230</v>
      </c>
      <c r="D63" s="93" t="s">
        <v>231</v>
      </c>
      <c r="E63" s="93" t="s">
        <v>127</v>
      </c>
      <c r="F63" s="94" t="s">
        <v>128</v>
      </c>
      <c r="G63" s="95" t="s">
        <v>232</v>
      </c>
      <c r="H63" s="146" t="s">
        <v>130</v>
      </c>
    </row>
    <row r="64" spans="1:8" ht="15" customHeight="1" x14ac:dyDescent="0.2">
      <c r="A64" s="132" t="s">
        <v>233</v>
      </c>
      <c r="B64" s="130" t="s">
        <v>133</v>
      </c>
      <c r="C64" s="147">
        <f>0.1*22</f>
        <v>2.2000000000000002</v>
      </c>
      <c r="D64" s="126"/>
      <c r="E64" s="126"/>
      <c r="F64" s="104">
        <f>(D64+E64)/2</f>
        <v>0</v>
      </c>
      <c r="G64" s="105">
        <f>C64*F64</f>
        <v>0</v>
      </c>
      <c r="H64" s="110" t="s">
        <v>234</v>
      </c>
    </row>
    <row r="65" spans="1:9" ht="15" customHeight="1" x14ac:dyDescent="0.2">
      <c r="A65" s="148" t="s">
        <v>143</v>
      </c>
      <c r="B65" s="130" t="s">
        <v>133</v>
      </c>
      <c r="C65" s="147">
        <f>0.5*22</f>
        <v>11</v>
      </c>
      <c r="D65" s="126"/>
      <c r="E65" s="126"/>
      <c r="F65" s="104">
        <f>(D65+E65)/2</f>
        <v>0</v>
      </c>
      <c r="G65" s="105">
        <f>C65*F65</f>
        <v>0</v>
      </c>
      <c r="H65" s="110" t="s">
        <v>141</v>
      </c>
    </row>
    <row r="66" spans="1:9" ht="15" customHeight="1" x14ac:dyDescent="0.2">
      <c r="A66" s="149" t="s">
        <v>162</v>
      </c>
      <c r="B66" s="136" t="s">
        <v>157</v>
      </c>
      <c r="C66" s="147">
        <v>4</v>
      </c>
      <c r="D66" s="126"/>
      <c r="E66" s="126"/>
      <c r="F66" s="104">
        <f>(D66+E66)/2</f>
        <v>0</v>
      </c>
      <c r="G66" s="105">
        <f>C66*F66</f>
        <v>0</v>
      </c>
      <c r="H66" s="150" t="s">
        <v>235</v>
      </c>
    </row>
    <row r="67" spans="1:9" ht="15" customHeight="1" x14ac:dyDescent="0.2">
      <c r="A67" s="151" t="s">
        <v>236</v>
      </c>
      <c r="B67" s="130" t="s">
        <v>196</v>
      </c>
      <c r="C67" s="147">
        <f>4*2*22</f>
        <v>176</v>
      </c>
      <c r="D67" s="137"/>
      <c r="E67" s="137"/>
      <c r="F67" s="104">
        <f>(D67+E67)/2</f>
        <v>0</v>
      </c>
      <c r="G67" s="105">
        <f>C67*F67</f>
        <v>0</v>
      </c>
      <c r="H67" s="150" t="s">
        <v>237</v>
      </c>
    </row>
    <row r="68" spans="1:9" ht="35.25" customHeight="1" x14ac:dyDescent="0.2">
      <c r="A68" s="144" t="s">
        <v>123</v>
      </c>
      <c r="B68" s="145" t="s">
        <v>124</v>
      </c>
      <c r="C68" s="145" t="s">
        <v>238</v>
      </c>
      <c r="D68" s="145" t="s">
        <v>231</v>
      </c>
      <c r="E68" s="145" t="s">
        <v>127</v>
      </c>
      <c r="F68" s="152" t="s">
        <v>128</v>
      </c>
      <c r="G68" s="95" t="s">
        <v>232</v>
      </c>
      <c r="H68" s="146" t="s">
        <v>130</v>
      </c>
    </row>
    <row r="69" spans="1:9" ht="15" customHeight="1" x14ac:dyDescent="0.2">
      <c r="A69" s="124" t="s">
        <v>239</v>
      </c>
      <c r="B69" s="125" t="s">
        <v>157</v>
      </c>
      <c r="C69" s="147">
        <f>2*4</f>
        <v>8</v>
      </c>
      <c r="D69" s="126"/>
      <c r="E69" s="126"/>
      <c r="F69" s="104">
        <f>(D69+E69)/2</f>
        <v>0</v>
      </c>
      <c r="G69" s="138">
        <f>C69*F69/12</f>
        <v>0</v>
      </c>
      <c r="H69" s="139" t="s">
        <v>237</v>
      </c>
    </row>
    <row r="70" spans="1:9" ht="20.25" customHeight="1" x14ac:dyDescent="0.2">
      <c r="A70" s="800" t="s">
        <v>240</v>
      </c>
      <c r="B70" s="800"/>
      <c r="C70" s="800"/>
      <c r="D70" s="800"/>
      <c r="E70" s="800"/>
      <c r="F70" s="800"/>
      <c r="G70" s="153">
        <f>G64+G65+G66+G67+G69</f>
        <v>0</v>
      </c>
    </row>
    <row r="71" spans="1:9" x14ac:dyDescent="0.2">
      <c r="A71" s="141"/>
      <c r="B71" s="142"/>
      <c r="C71" s="142"/>
      <c r="D71" s="142"/>
      <c r="E71" s="142"/>
      <c r="F71" s="142"/>
      <c r="G71" s="142"/>
      <c r="H71" s="142"/>
      <c r="I71" s="142"/>
    </row>
    <row r="72" spans="1:9" x14ac:dyDescent="0.2">
      <c r="A72" s="142" t="s">
        <v>241</v>
      </c>
      <c r="B72" s="142"/>
      <c r="C72" s="142"/>
      <c r="D72" s="142"/>
      <c r="E72" s="154"/>
      <c r="F72" s="142"/>
      <c r="G72" s="142"/>
      <c r="H72" s="143"/>
      <c r="I72" s="143"/>
    </row>
    <row r="73" spans="1:9" x14ac:dyDescent="0.2">
      <c r="A73" s="142"/>
      <c r="B73" s="142"/>
      <c r="C73" s="142"/>
      <c r="D73" s="142"/>
      <c r="E73" s="154"/>
      <c r="F73" s="142"/>
      <c r="G73" s="154"/>
      <c r="H73" s="143"/>
      <c r="I73" s="143"/>
    </row>
    <row r="74" spans="1:9" x14ac:dyDescent="0.2">
      <c r="A74" s="142" t="s">
        <v>242</v>
      </c>
      <c r="B74" s="142"/>
      <c r="C74" s="142"/>
      <c r="D74" s="142"/>
      <c r="E74" s="142"/>
      <c r="F74" s="142"/>
      <c r="G74" s="142"/>
      <c r="H74" s="142"/>
      <c r="I74" s="142"/>
    </row>
    <row r="75" spans="1:9" x14ac:dyDescent="0.2">
      <c r="A75" s="142" t="s">
        <v>243</v>
      </c>
      <c r="B75" s="142"/>
      <c r="C75" s="142"/>
      <c r="D75" s="142"/>
      <c r="E75" s="142"/>
      <c r="F75" s="142"/>
      <c r="G75" s="142"/>
      <c r="H75" s="154"/>
      <c r="I75" s="154"/>
    </row>
    <row r="76" spans="1:9" x14ac:dyDescent="0.2">
      <c r="A76" s="142" t="s">
        <v>244</v>
      </c>
      <c r="B76" s="142"/>
      <c r="C76" s="142"/>
      <c r="D76" s="142"/>
      <c r="E76" s="142"/>
      <c r="F76" s="142"/>
      <c r="G76" s="142"/>
      <c r="H76" s="155"/>
      <c r="I76" s="155"/>
    </row>
    <row r="77" spans="1:9" x14ac:dyDescent="0.2">
      <c r="A77" s="142" t="s">
        <v>245</v>
      </c>
      <c r="B77" s="142"/>
      <c r="C77" s="142"/>
      <c r="D77" s="142"/>
      <c r="E77" s="142"/>
      <c r="F77" s="142"/>
      <c r="G77" s="142"/>
      <c r="H77" s="154"/>
      <c r="I77" s="154"/>
    </row>
    <row r="78" spans="1:9" x14ac:dyDescent="0.2">
      <c r="A78" s="142" t="s">
        <v>246</v>
      </c>
      <c r="B78" s="142"/>
      <c r="C78" s="142"/>
      <c r="D78" s="142"/>
      <c r="E78" s="142"/>
      <c r="F78" s="142"/>
      <c r="G78" s="142"/>
      <c r="H78" s="142"/>
      <c r="I78" s="142"/>
    </row>
    <row r="79" spans="1:9" x14ac:dyDescent="0.2">
      <c r="A79" s="142" t="s">
        <v>247</v>
      </c>
      <c r="B79" s="142"/>
      <c r="C79" s="142"/>
      <c r="D79" s="142"/>
      <c r="E79" s="142"/>
      <c r="F79" s="142"/>
      <c r="G79" s="142"/>
      <c r="H79" s="142"/>
      <c r="I79" s="142"/>
    </row>
    <row r="80" spans="1:9" x14ac:dyDescent="0.2">
      <c r="A80" s="142" t="s">
        <v>248</v>
      </c>
      <c r="B80" s="142"/>
      <c r="C80" s="142"/>
      <c r="D80" s="142"/>
      <c r="E80" s="142"/>
      <c r="F80" s="142"/>
      <c r="G80" s="142"/>
      <c r="H80" s="142"/>
      <c r="I80" s="142"/>
    </row>
    <row r="81" spans="1:11" x14ac:dyDescent="0.2">
      <c r="A81" s="142" t="s">
        <v>249</v>
      </c>
      <c r="B81" s="142"/>
      <c r="C81" s="142"/>
      <c r="D81" s="142"/>
      <c r="E81" s="142"/>
      <c r="F81" s="142"/>
      <c r="G81" s="142"/>
      <c r="H81" s="142"/>
      <c r="I81" s="142"/>
    </row>
    <row r="82" spans="1:11" x14ac:dyDescent="0.2">
      <c r="A82" s="142" t="s">
        <v>250</v>
      </c>
      <c r="B82" s="142"/>
      <c r="C82" s="142"/>
      <c r="D82" s="142"/>
      <c r="E82" s="142"/>
      <c r="F82" s="142"/>
      <c r="G82" s="142"/>
      <c r="H82" s="142"/>
      <c r="I82" s="142"/>
    </row>
    <row r="83" spans="1:11" x14ac:dyDescent="0.2">
      <c r="A83" s="142" t="s">
        <v>251</v>
      </c>
      <c r="B83" s="142"/>
      <c r="C83" s="142"/>
      <c r="D83" s="142"/>
      <c r="E83" s="142"/>
      <c r="F83" s="142"/>
      <c r="G83" s="142"/>
      <c r="H83" s="142"/>
      <c r="I83" s="142"/>
    </row>
    <row r="84" spans="1:11" x14ac:dyDescent="0.2">
      <c r="A84" s="141"/>
      <c r="B84" s="142"/>
      <c r="C84" s="142"/>
      <c r="D84" s="142"/>
      <c r="E84" s="142"/>
      <c r="F84" s="142"/>
      <c r="G84" s="142"/>
      <c r="H84" s="142"/>
      <c r="I84" s="142"/>
    </row>
    <row r="85" spans="1:11" x14ac:dyDescent="0.2">
      <c r="A85" s="141"/>
      <c r="B85" s="142"/>
      <c r="C85" s="142"/>
      <c r="D85" s="142"/>
      <c r="E85" s="142"/>
      <c r="F85" s="142"/>
      <c r="G85" s="142"/>
      <c r="H85" s="142"/>
      <c r="I85" s="142"/>
    </row>
    <row r="86" spans="1:11" ht="20.25" customHeight="1" x14ac:dyDescent="0.2">
      <c r="A86" s="801" t="s">
        <v>252</v>
      </c>
      <c r="B86" s="801"/>
      <c r="C86" s="801"/>
      <c r="D86" s="801"/>
      <c r="E86" s="801"/>
      <c r="F86" s="801"/>
      <c r="G86" s="801"/>
      <c r="H86" s="801"/>
      <c r="I86" s="801"/>
      <c r="J86" s="801"/>
      <c r="K86" s="801"/>
    </row>
    <row r="87" spans="1:11" s="160" customFormat="1" ht="36" x14ac:dyDescent="0.2">
      <c r="A87" s="156" t="s">
        <v>123</v>
      </c>
      <c r="B87" s="157" t="s">
        <v>124</v>
      </c>
      <c r="C87" s="157" t="s">
        <v>253</v>
      </c>
      <c r="D87" s="157" t="s">
        <v>254</v>
      </c>
      <c r="E87" s="157" t="s">
        <v>255</v>
      </c>
      <c r="F87" s="157" t="s">
        <v>231</v>
      </c>
      <c r="G87" s="158" t="s">
        <v>127</v>
      </c>
      <c r="H87" s="158" t="s">
        <v>128</v>
      </c>
      <c r="I87" s="159" t="s">
        <v>256</v>
      </c>
      <c r="J87" s="159" t="s">
        <v>257</v>
      </c>
      <c r="K87" s="159" t="s">
        <v>258</v>
      </c>
    </row>
    <row r="88" spans="1:11" ht="15" customHeight="1" x14ac:dyDescent="0.2">
      <c r="A88" s="148" t="s">
        <v>259</v>
      </c>
      <c r="B88" s="125" t="s">
        <v>157</v>
      </c>
      <c r="C88" s="125">
        <v>13</v>
      </c>
      <c r="D88" s="125">
        <v>17</v>
      </c>
      <c r="E88" s="125">
        <v>9</v>
      </c>
      <c r="F88" s="126"/>
      <c r="G88" s="161"/>
      <c r="H88" s="104">
        <f t="shared" ref="H88:H97" si="4">(F88+G88)/2</f>
        <v>0</v>
      </c>
      <c r="I88" s="105">
        <f t="shared" ref="I88:I97" si="5">(C88*H88)</f>
        <v>0</v>
      </c>
      <c r="J88" s="105">
        <f t="shared" ref="J88:J97" si="6">(D88*H88)</f>
        <v>0</v>
      </c>
      <c r="K88" s="105">
        <f t="shared" ref="K88:K97" si="7">(E88*H88)</f>
        <v>0</v>
      </c>
    </row>
    <row r="89" spans="1:11" ht="15" customHeight="1" x14ac:dyDescent="0.2">
      <c r="A89" s="148" t="s">
        <v>260</v>
      </c>
      <c r="B89" s="130" t="s">
        <v>157</v>
      </c>
      <c r="C89" s="125">
        <f>C88</f>
        <v>13</v>
      </c>
      <c r="D89" s="125">
        <f>D88</f>
        <v>17</v>
      </c>
      <c r="E89" s="125">
        <f>E88</f>
        <v>9</v>
      </c>
      <c r="F89" s="126"/>
      <c r="G89" s="161"/>
      <c r="H89" s="104">
        <f t="shared" si="4"/>
        <v>0</v>
      </c>
      <c r="I89" s="105">
        <f t="shared" si="5"/>
        <v>0</v>
      </c>
      <c r="J89" s="105">
        <f t="shared" si="6"/>
        <v>0</v>
      </c>
      <c r="K89" s="105">
        <f t="shared" si="7"/>
        <v>0</v>
      </c>
    </row>
    <row r="90" spans="1:11" ht="15" customHeight="1" x14ac:dyDescent="0.2">
      <c r="A90" s="148" t="s">
        <v>261</v>
      </c>
      <c r="B90" s="130" t="s">
        <v>157</v>
      </c>
      <c r="C90" s="125">
        <f>C88</f>
        <v>13</v>
      </c>
      <c r="D90" s="125">
        <f>D88</f>
        <v>17</v>
      </c>
      <c r="E90" s="125">
        <f>E88</f>
        <v>9</v>
      </c>
      <c r="F90" s="126"/>
      <c r="G90" s="161"/>
      <c r="H90" s="104">
        <f t="shared" si="4"/>
        <v>0</v>
      </c>
      <c r="I90" s="105">
        <f t="shared" si="5"/>
        <v>0</v>
      </c>
      <c r="J90" s="105">
        <f t="shared" si="6"/>
        <v>0</v>
      </c>
      <c r="K90" s="105">
        <f t="shared" si="7"/>
        <v>0</v>
      </c>
    </row>
    <row r="91" spans="1:11" ht="15" customHeight="1" x14ac:dyDescent="0.2">
      <c r="A91" s="148" t="s">
        <v>262</v>
      </c>
      <c r="B91" s="130" t="s">
        <v>157</v>
      </c>
      <c r="C91" s="125">
        <f>C88</f>
        <v>13</v>
      </c>
      <c r="D91" s="125">
        <f>D88</f>
        <v>17</v>
      </c>
      <c r="E91" s="125">
        <f>E88</f>
        <v>9</v>
      </c>
      <c r="F91" s="126"/>
      <c r="G91" s="161"/>
      <c r="H91" s="104">
        <f t="shared" si="4"/>
        <v>0</v>
      </c>
      <c r="I91" s="105">
        <f t="shared" si="5"/>
        <v>0</v>
      </c>
      <c r="J91" s="105">
        <f t="shared" si="6"/>
        <v>0</v>
      </c>
      <c r="K91" s="105">
        <f t="shared" si="7"/>
        <v>0</v>
      </c>
    </row>
    <row r="92" spans="1:11" ht="15" customHeight="1" x14ac:dyDescent="0.2">
      <c r="A92" s="148" t="s">
        <v>263</v>
      </c>
      <c r="B92" s="130" t="s">
        <v>157</v>
      </c>
      <c r="C92" s="125">
        <f>C88</f>
        <v>13</v>
      </c>
      <c r="D92" s="125">
        <f>D88</f>
        <v>17</v>
      </c>
      <c r="E92" s="125">
        <f>E88</f>
        <v>9</v>
      </c>
      <c r="F92" s="126"/>
      <c r="G92" s="161"/>
      <c r="H92" s="104">
        <f t="shared" si="4"/>
        <v>0</v>
      </c>
      <c r="I92" s="105">
        <f t="shared" si="5"/>
        <v>0</v>
      </c>
      <c r="J92" s="105">
        <f t="shared" si="6"/>
        <v>0</v>
      </c>
      <c r="K92" s="105">
        <f t="shared" si="7"/>
        <v>0</v>
      </c>
    </row>
    <row r="93" spans="1:11" ht="15" customHeight="1" x14ac:dyDescent="0.2">
      <c r="A93" s="148" t="s">
        <v>264</v>
      </c>
      <c r="B93" s="130" t="s">
        <v>157</v>
      </c>
      <c r="C93" s="125">
        <f>C88</f>
        <v>13</v>
      </c>
      <c r="D93" s="125">
        <f>D88</f>
        <v>17</v>
      </c>
      <c r="E93" s="125">
        <f>E88</f>
        <v>9</v>
      </c>
      <c r="F93" s="126"/>
      <c r="G93" s="161"/>
      <c r="H93" s="104">
        <f t="shared" si="4"/>
        <v>0</v>
      </c>
      <c r="I93" s="105">
        <f t="shared" si="5"/>
        <v>0</v>
      </c>
      <c r="J93" s="105">
        <f t="shared" si="6"/>
        <v>0</v>
      </c>
      <c r="K93" s="105">
        <f t="shared" si="7"/>
        <v>0</v>
      </c>
    </row>
    <row r="94" spans="1:11" ht="15" customHeight="1" x14ac:dyDescent="0.2">
      <c r="A94" s="148" t="s">
        <v>265</v>
      </c>
      <c r="B94" s="130" t="s">
        <v>157</v>
      </c>
      <c r="C94" s="125">
        <f>C88</f>
        <v>13</v>
      </c>
      <c r="D94" s="125">
        <f>D88</f>
        <v>17</v>
      </c>
      <c r="E94" s="125">
        <v>6</v>
      </c>
      <c r="F94" s="126"/>
      <c r="G94" s="161"/>
      <c r="H94" s="104">
        <f t="shared" si="4"/>
        <v>0</v>
      </c>
      <c r="I94" s="105">
        <f t="shared" si="5"/>
        <v>0</v>
      </c>
      <c r="J94" s="105">
        <f t="shared" si="6"/>
        <v>0</v>
      </c>
      <c r="K94" s="105">
        <f t="shared" si="7"/>
        <v>0</v>
      </c>
    </row>
    <row r="95" spans="1:11" ht="15" customHeight="1" x14ac:dyDescent="0.2">
      <c r="A95" s="148" t="s">
        <v>266</v>
      </c>
      <c r="B95" s="130" t="s">
        <v>157</v>
      </c>
      <c r="C95" s="125">
        <f>C88</f>
        <v>13</v>
      </c>
      <c r="D95" s="125">
        <f>D88</f>
        <v>17</v>
      </c>
      <c r="E95" s="125">
        <v>6</v>
      </c>
      <c r="F95" s="126"/>
      <c r="G95" s="161"/>
      <c r="H95" s="104">
        <f t="shared" si="4"/>
        <v>0</v>
      </c>
      <c r="I95" s="105">
        <f t="shared" si="5"/>
        <v>0</v>
      </c>
      <c r="J95" s="105">
        <f t="shared" si="6"/>
        <v>0</v>
      </c>
      <c r="K95" s="105">
        <f t="shared" si="7"/>
        <v>0</v>
      </c>
    </row>
    <row r="96" spans="1:11" ht="15" customHeight="1" x14ac:dyDescent="0.2">
      <c r="A96" s="148" t="s">
        <v>267</v>
      </c>
      <c r="B96" s="130" t="s">
        <v>157</v>
      </c>
      <c r="C96" s="125">
        <f>C88*2</f>
        <v>26</v>
      </c>
      <c r="D96" s="125">
        <f>D88*2</f>
        <v>34</v>
      </c>
      <c r="E96" s="125">
        <f>E88*2</f>
        <v>18</v>
      </c>
      <c r="F96" s="126"/>
      <c r="G96" s="161"/>
      <c r="H96" s="104">
        <f t="shared" si="4"/>
        <v>0</v>
      </c>
      <c r="I96" s="105">
        <f t="shared" si="5"/>
        <v>0</v>
      </c>
      <c r="J96" s="105">
        <f t="shared" si="6"/>
        <v>0</v>
      </c>
      <c r="K96" s="105">
        <f t="shared" si="7"/>
        <v>0</v>
      </c>
    </row>
    <row r="97" spans="1:11" ht="15" customHeight="1" x14ac:dyDescent="0.2">
      <c r="A97" s="162" t="s">
        <v>268</v>
      </c>
      <c r="B97" s="130" t="s">
        <v>157</v>
      </c>
      <c r="C97" s="125">
        <v>7</v>
      </c>
      <c r="D97" s="125">
        <v>0</v>
      </c>
      <c r="E97" s="125">
        <v>0</v>
      </c>
      <c r="F97" s="163"/>
      <c r="G97" s="164"/>
      <c r="H97" s="104">
        <f t="shared" si="4"/>
        <v>0</v>
      </c>
      <c r="I97" s="105">
        <f t="shared" si="5"/>
        <v>0</v>
      </c>
      <c r="J97" s="105">
        <f t="shared" si="6"/>
        <v>0</v>
      </c>
      <c r="K97" s="105">
        <f t="shared" si="7"/>
        <v>0</v>
      </c>
    </row>
    <row r="98" spans="1:11" ht="20.25" customHeight="1" x14ac:dyDescent="0.2">
      <c r="A98" s="802" t="s">
        <v>269</v>
      </c>
      <c r="B98" s="802"/>
      <c r="C98" s="802"/>
      <c r="D98" s="802"/>
      <c r="E98" s="802"/>
      <c r="F98" s="802"/>
      <c r="G98" s="802"/>
      <c r="H98" s="802"/>
      <c r="I98" s="165">
        <f>SUM(I88:I97)</f>
        <v>0</v>
      </c>
      <c r="J98" s="165">
        <f>SUM(J88:J97)</f>
        <v>0</v>
      </c>
      <c r="K98" s="165">
        <f>SUM(K88:K97)</f>
        <v>0</v>
      </c>
    </row>
    <row r="99" spans="1:11" ht="20.25" customHeight="1" x14ac:dyDescent="0.2">
      <c r="A99" s="802" t="s">
        <v>270</v>
      </c>
      <c r="B99" s="802"/>
      <c r="C99" s="802"/>
      <c r="D99" s="802"/>
      <c r="E99" s="802"/>
      <c r="F99" s="802"/>
      <c r="G99" s="802"/>
      <c r="H99" s="802"/>
      <c r="I99" s="166">
        <f>I98/120</f>
        <v>0</v>
      </c>
      <c r="J99" s="166">
        <f>J98/120</f>
        <v>0</v>
      </c>
      <c r="K99" s="166">
        <f>K98/120</f>
        <v>0</v>
      </c>
    </row>
    <row r="100" spans="1:11" ht="20.25" customHeight="1" x14ac:dyDescent="0.2">
      <c r="A100" s="803" t="s">
        <v>271</v>
      </c>
      <c r="B100" s="803"/>
      <c r="C100" s="803"/>
      <c r="D100" s="803"/>
      <c r="E100" s="803"/>
      <c r="F100" s="803"/>
      <c r="G100" s="803"/>
      <c r="H100" s="803"/>
      <c r="I100" s="165">
        <f>I99/'Prod. GEXCAN'!Q18</f>
        <v>0</v>
      </c>
      <c r="J100" s="165">
        <f>J99/'Prod. GEXNHB'!Q23</f>
        <v>0</v>
      </c>
      <c r="K100" s="165">
        <f>K99/'Prod. GEXPOA'!Q11</f>
        <v>0</v>
      </c>
    </row>
    <row r="101" spans="1:11" x14ac:dyDescent="0.2">
      <c r="A101" s="141"/>
      <c r="B101" s="142"/>
      <c r="E101" s="167" t="s">
        <v>272</v>
      </c>
      <c r="F101" s="167"/>
      <c r="G101" s="167"/>
      <c r="H101" s="142"/>
      <c r="I101" s="142"/>
      <c r="J101" s="142"/>
    </row>
    <row r="102" spans="1:11" x14ac:dyDescent="0.2">
      <c r="A102" s="141"/>
      <c r="B102" s="142"/>
      <c r="E102" s="167" t="s">
        <v>273</v>
      </c>
      <c r="F102" s="167"/>
      <c r="G102" s="167"/>
      <c r="H102" s="142"/>
      <c r="I102" s="142"/>
      <c r="J102" s="142"/>
    </row>
    <row r="103" spans="1:11" x14ac:dyDescent="0.2">
      <c r="A103" s="141"/>
      <c r="B103" s="142"/>
      <c r="E103" s="167" t="s">
        <v>274</v>
      </c>
      <c r="F103" s="167"/>
      <c r="G103" s="167"/>
      <c r="H103" s="142"/>
      <c r="I103" s="142"/>
      <c r="J103" s="142"/>
    </row>
    <row r="104" spans="1:11" ht="20.25" customHeight="1" x14ac:dyDescent="0.2">
      <c r="A104" s="804" t="s">
        <v>275</v>
      </c>
      <c r="B104" s="804"/>
      <c r="C104" s="804"/>
      <c r="D104" s="804"/>
      <c r="E104" s="804"/>
      <c r="F104" s="804"/>
      <c r="G104" s="804"/>
      <c r="H104" s="804"/>
      <c r="I104" s="804"/>
      <c r="J104" s="804"/>
      <c r="K104" s="804"/>
    </row>
    <row r="105" spans="1:11" s="160" customFormat="1" ht="47.25" customHeight="1" x14ac:dyDescent="0.2">
      <c r="A105" s="168" t="s">
        <v>123</v>
      </c>
      <c r="B105" s="169" t="s">
        <v>124</v>
      </c>
      <c r="C105" s="169" t="s">
        <v>276</v>
      </c>
      <c r="D105" s="169" t="s">
        <v>277</v>
      </c>
      <c r="E105" s="169" t="s">
        <v>278</v>
      </c>
      <c r="F105" s="169" t="s">
        <v>279</v>
      </c>
      <c r="G105" s="170" t="s">
        <v>280</v>
      </c>
      <c r="H105" s="170" t="s">
        <v>281</v>
      </c>
      <c r="I105" s="171" t="s">
        <v>282</v>
      </c>
      <c r="J105" s="171" t="s">
        <v>283</v>
      </c>
      <c r="K105" s="171" t="s">
        <v>284</v>
      </c>
    </row>
    <row r="106" spans="1:11" ht="20.25" customHeight="1" x14ac:dyDescent="0.2">
      <c r="A106" s="805" t="s">
        <v>285</v>
      </c>
      <c r="B106" s="805"/>
      <c r="C106" s="805"/>
      <c r="D106" s="805"/>
      <c r="E106" s="805"/>
      <c r="F106" s="805"/>
      <c r="G106" s="805"/>
      <c r="H106" s="805"/>
      <c r="I106" s="172">
        <f>SUM(I107:I112)</f>
        <v>0</v>
      </c>
      <c r="J106" s="172">
        <f>SUM(J107:J112)</f>
        <v>0</v>
      </c>
      <c r="K106" s="172">
        <f>SUM(K107:K112)</f>
        <v>0</v>
      </c>
    </row>
    <row r="107" spans="1:11" ht="15" customHeight="1" x14ac:dyDescent="0.2">
      <c r="A107" s="124" t="s">
        <v>286</v>
      </c>
      <c r="B107" s="125" t="s">
        <v>157</v>
      </c>
      <c r="C107" s="125">
        <v>2</v>
      </c>
      <c r="D107" s="125">
        <v>2</v>
      </c>
      <c r="E107" s="125">
        <v>2</v>
      </c>
      <c r="F107" s="163"/>
      <c r="G107" s="173"/>
      <c r="H107" s="104">
        <f t="shared" ref="H107:H112" si="8">(F107+G107)/2</f>
        <v>0</v>
      </c>
      <c r="I107" s="105">
        <f t="shared" ref="I107:K112" si="9">(C107*$H107)/12</f>
        <v>0</v>
      </c>
      <c r="J107" s="105">
        <f t="shared" si="9"/>
        <v>0</v>
      </c>
      <c r="K107" s="105">
        <f t="shared" si="9"/>
        <v>0</v>
      </c>
    </row>
    <row r="108" spans="1:11" ht="15" customHeight="1" x14ac:dyDescent="0.2">
      <c r="A108" s="129" t="s">
        <v>287</v>
      </c>
      <c r="B108" s="130" t="s">
        <v>157</v>
      </c>
      <c r="C108" s="130">
        <v>1</v>
      </c>
      <c r="D108" s="130">
        <v>1</v>
      </c>
      <c r="E108" s="130">
        <v>1</v>
      </c>
      <c r="F108" s="163"/>
      <c r="G108" s="173"/>
      <c r="H108" s="104">
        <f t="shared" si="8"/>
        <v>0</v>
      </c>
      <c r="I108" s="105">
        <f t="shared" si="9"/>
        <v>0</v>
      </c>
      <c r="J108" s="105">
        <f t="shared" si="9"/>
        <v>0</v>
      </c>
      <c r="K108" s="105">
        <f t="shared" si="9"/>
        <v>0</v>
      </c>
    </row>
    <row r="109" spans="1:11" ht="15" customHeight="1" x14ac:dyDescent="0.2">
      <c r="A109" s="129" t="s">
        <v>288</v>
      </c>
      <c r="B109" s="130" t="s">
        <v>157</v>
      </c>
      <c r="C109" s="130">
        <v>2</v>
      </c>
      <c r="D109" s="130">
        <v>2</v>
      </c>
      <c r="E109" s="130">
        <v>2</v>
      </c>
      <c r="F109" s="163"/>
      <c r="G109" s="173"/>
      <c r="H109" s="104">
        <f t="shared" si="8"/>
        <v>0</v>
      </c>
      <c r="I109" s="105">
        <f t="shared" si="9"/>
        <v>0</v>
      </c>
      <c r="J109" s="105">
        <f t="shared" si="9"/>
        <v>0</v>
      </c>
      <c r="K109" s="105">
        <f t="shared" si="9"/>
        <v>0</v>
      </c>
    </row>
    <row r="110" spans="1:11" ht="15" customHeight="1" x14ac:dyDescent="0.2">
      <c r="A110" s="129" t="s">
        <v>289</v>
      </c>
      <c r="B110" s="130" t="s">
        <v>157</v>
      </c>
      <c r="C110" s="130">
        <v>2</v>
      </c>
      <c r="D110" s="130">
        <v>2</v>
      </c>
      <c r="E110" s="130">
        <v>2</v>
      </c>
      <c r="F110" s="163"/>
      <c r="G110" s="173"/>
      <c r="H110" s="104">
        <f t="shared" si="8"/>
        <v>0</v>
      </c>
      <c r="I110" s="105">
        <f t="shared" si="9"/>
        <v>0</v>
      </c>
      <c r="J110" s="105">
        <f t="shared" si="9"/>
        <v>0</v>
      </c>
      <c r="K110" s="105">
        <f t="shared" si="9"/>
        <v>0</v>
      </c>
    </row>
    <row r="111" spans="1:11" ht="15" customHeight="1" x14ac:dyDescent="0.2">
      <c r="A111" s="135" t="s">
        <v>290</v>
      </c>
      <c r="B111" s="136" t="s">
        <v>157</v>
      </c>
      <c r="C111" s="136">
        <v>1</v>
      </c>
      <c r="D111" s="136">
        <v>1</v>
      </c>
      <c r="E111" s="136">
        <v>1</v>
      </c>
      <c r="F111" s="174"/>
      <c r="G111" s="175"/>
      <c r="H111" s="104">
        <f t="shared" si="8"/>
        <v>0</v>
      </c>
      <c r="I111" s="105">
        <f t="shared" si="9"/>
        <v>0</v>
      </c>
      <c r="J111" s="105">
        <f t="shared" si="9"/>
        <v>0</v>
      </c>
      <c r="K111" s="105">
        <f t="shared" si="9"/>
        <v>0</v>
      </c>
    </row>
    <row r="112" spans="1:11" ht="15" customHeight="1" x14ac:dyDescent="0.2">
      <c r="A112" s="176" t="s">
        <v>291</v>
      </c>
      <c r="B112" s="177" t="s">
        <v>177</v>
      </c>
      <c r="C112" s="177">
        <v>2</v>
      </c>
      <c r="D112" s="177">
        <v>2</v>
      </c>
      <c r="E112" s="177">
        <v>2</v>
      </c>
      <c r="F112" s="178"/>
      <c r="G112" s="179"/>
      <c r="H112" s="180">
        <f t="shared" si="8"/>
        <v>0</v>
      </c>
      <c r="I112" s="105">
        <f t="shared" si="9"/>
        <v>0</v>
      </c>
      <c r="J112" s="105">
        <f t="shared" si="9"/>
        <v>0</v>
      </c>
      <c r="K112" s="105">
        <f t="shared" si="9"/>
        <v>0</v>
      </c>
    </row>
    <row r="113" spans="1:11" ht="20.25" customHeight="1" x14ac:dyDescent="0.2">
      <c r="A113" s="805" t="s">
        <v>292</v>
      </c>
      <c r="B113" s="805"/>
      <c r="C113" s="805"/>
      <c r="D113" s="805"/>
      <c r="E113" s="805"/>
      <c r="F113" s="805"/>
      <c r="G113" s="805"/>
      <c r="H113" s="805"/>
      <c r="I113" s="172">
        <f>SUM(I114:I117)</f>
        <v>0</v>
      </c>
      <c r="J113" s="172">
        <f>SUM(J114:J117)</f>
        <v>0</v>
      </c>
      <c r="K113" s="172">
        <f>SUM(K114:K117)</f>
        <v>0</v>
      </c>
    </row>
    <row r="114" spans="1:11" ht="15" customHeight="1" x14ac:dyDescent="0.2">
      <c r="A114" s="148" t="s">
        <v>293</v>
      </c>
      <c r="B114" s="125" t="s">
        <v>157</v>
      </c>
      <c r="C114" s="125">
        <v>2</v>
      </c>
      <c r="D114" s="125">
        <v>2</v>
      </c>
      <c r="E114" s="125">
        <v>2</v>
      </c>
      <c r="F114" s="163"/>
      <c r="G114" s="173"/>
      <c r="H114" s="104">
        <f>(F114+G114)/2</f>
        <v>0</v>
      </c>
      <c r="I114" s="105">
        <f t="shared" ref="I114:K117" si="10">(C114*$H114)/12</f>
        <v>0</v>
      </c>
      <c r="J114" s="105">
        <f t="shared" si="10"/>
        <v>0</v>
      </c>
      <c r="K114" s="105">
        <f t="shared" si="10"/>
        <v>0</v>
      </c>
    </row>
    <row r="115" spans="1:11" ht="15" customHeight="1" x14ac:dyDescent="0.2">
      <c r="A115" s="148" t="s">
        <v>294</v>
      </c>
      <c r="B115" s="130" t="s">
        <v>157</v>
      </c>
      <c r="C115" s="130">
        <v>2</v>
      </c>
      <c r="D115" s="130">
        <v>2</v>
      </c>
      <c r="E115" s="130">
        <v>2</v>
      </c>
      <c r="F115" s="163"/>
      <c r="G115" s="173"/>
      <c r="H115" s="104">
        <f>(F115+G115)/2</f>
        <v>0</v>
      </c>
      <c r="I115" s="105">
        <f t="shared" si="10"/>
        <v>0</v>
      </c>
      <c r="J115" s="105">
        <f t="shared" si="10"/>
        <v>0</v>
      </c>
      <c r="K115" s="105">
        <f t="shared" si="10"/>
        <v>0</v>
      </c>
    </row>
    <row r="116" spans="1:11" ht="15" customHeight="1" x14ac:dyDescent="0.2">
      <c r="A116" s="148" t="s">
        <v>295</v>
      </c>
      <c r="B116" s="130" t="s">
        <v>157</v>
      </c>
      <c r="C116" s="130">
        <v>1</v>
      </c>
      <c r="D116" s="130">
        <v>1</v>
      </c>
      <c r="E116" s="130">
        <v>1</v>
      </c>
      <c r="F116" s="163"/>
      <c r="G116" s="173"/>
      <c r="H116" s="104">
        <f>(F116+G116)/2</f>
        <v>0</v>
      </c>
      <c r="I116" s="105">
        <f t="shared" si="10"/>
        <v>0</v>
      </c>
      <c r="J116" s="105">
        <f t="shared" si="10"/>
        <v>0</v>
      </c>
      <c r="K116" s="105">
        <f t="shared" si="10"/>
        <v>0</v>
      </c>
    </row>
    <row r="117" spans="1:11" ht="15" customHeight="1" x14ac:dyDescent="0.2">
      <c r="A117" s="149" t="s">
        <v>296</v>
      </c>
      <c r="B117" s="136" t="s">
        <v>177</v>
      </c>
      <c r="C117" s="136">
        <v>2</v>
      </c>
      <c r="D117" s="136">
        <v>2</v>
      </c>
      <c r="E117" s="136">
        <v>2</v>
      </c>
      <c r="F117" s="174"/>
      <c r="G117" s="175"/>
      <c r="H117" s="104">
        <f>(F117+G117)/2</f>
        <v>0</v>
      </c>
      <c r="I117" s="105">
        <f t="shared" si="10"/>
        <v>0</v>
      </c>
      <c r="J117" s="105">
        <f t="shared" si="10"/>
        <v>0</v>
      </c>
      <c r="K117" s="105">
        <f t="shared" si="10"/>
        <v>0</v>
      </c>
    </row>
    <row r="118" spans="1:11" ht="20.25" customHeight="1" x14ac:dyDescent="0.2">
      <c r="A118" s="806" t="s">
        <v>297</v>
      </c>
      <c r="B118" s="806"/>
      <c r="C118" s="806"/>
      <c r="D118" s="806"/>
      <c r="E118" s="806"/>
      <c r="F118" s="806"/>
      <c r="G118" s="806"/>
      <c r="H118" s="806"/>
      <c r="I118" s="181">
        <f>I106</f>
        <v>0</v>
      </c>
      <c r="J118" s="181">
        <f>J106</f>
        <v>0</v>
      </c>
      <c r="K118" s="181">
        <f>K106</f>
        <v>0</v>
      </c>
    </row>
    <row r="119" spans="1:11" ht="20.25" customHeight="1" x14ac:dyDescent="0.2">
      <c r="A119" s="806" t="s">
        <v>298</v>
      </c>
      <c r="B119" s="806"/>
      <c r="C119" s="806"/>
      <c r="D119" s="806"/>
      <c r="E119" s="806"/>
      <c r="F119" s="806"/>
      <c r="G119" s="806"/>
      <c r="H119" s="806"/>
      <c r="I119" s="181">
        <f>I113</f>
        <v>0</v>
      </c>
      <c r="J119" s="181">
        <f>J113</f>
        <v>0</v>
      </c>
      <c r="K119" s="181">
        <f>K113</f>
        <v>0</v>
      </c>
    </row>
    <row r="120" spans="1:11" x14ac:dyDescent="0.2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</row>
    <row r="121" spans="1:11" ht="20.25" customHeight="1" x14ac:dyDescent="0.2">
      <c r="A121" s="807" t="s">
        <v>299</v>
      </c>
      <c r="B121" s="807"/>
      <c r="C121" s="807"/>
      <c r="D121" s="807"/>
      <c r="E121" s="807"/>
      <c r="F121" s="807"/>
      <c r="G121" s="807"/>
      <c r="H121" s="807"/>
      <c r="I121" s="807"/>
    </row>
    <row r="122" spans="1:11" s="160" customFormat="1" ht="59.25" customHeight="1" x14ac:dyDescent="0.2">
      <c r="A122" s="182" t="s">
        <v>123</v>
      </c>
      <c r="B122" s="183" t="s">
        <v>124</v>
      </c>
      <c r="C122" s="183" t="s">
        <v>300</v>
      </c>
      <c r="D122" s="183" t="s">
        <v>301</v>
      </c>
      <c r="E122" s="183" t="s">
        <v>231</v>
      </c>
      <c r="F122" s="184" t="s">
        <v>302</v>
      </c>
      <c r="G122" s="184" t="s">
        <v>281</v>
      </c>
      <c r="H122" s="185" t="s">
        <v>303</v>
      </c>
      <c r="I122" s="185" t="s">
        <v>304</v>
      </c>
    </row>
    <row r="123" spans="1:11" ht="20.25" customHeight="1" x14ac:dyDescent="0.2">
      <c r="A123" s="808" t="s">
        <v>305</v>
      </c>
      <c r="B123" s="808"/>
      <c r="C123" s="808"/>
      <c r="D123" s="808"/>
      <c r="E123" s="808"/>
      <c r="F123" s="808"/>
      <c r="G123" s="808"/>
      <c r="H123" s="186">
        <f>SUM(H124:H128)</f>
        <v>0</v>
      </c>
      <c r="I123" s="186">
        <f>SUM(I124:I128)</f>
        <v>0</v>
      </c>
    </row>
    <row r="124" spans="1:11" ht="15" customHeight="1" x14ac:dyDescent="0.2">
      <c r="A124" s="148" t="s">
        <v>306</v>
      </c>
      <c r="B124" s="187" t="s">
        <v>157</v>
      </c>
      <c r="C124" s="125">
        <f>22</f>
        <v>22</v>
      </c>
      <c r="D124" s="125">
        <f>22</f>
        <v>22</v>
      </c>
      <c r="E124" s="163"/>
      <c r="F124" s="126"/>
      <c r="G124" s="104">
        <f>(E124+F124)/2</f>
        <v>0</v>
      </c>
      <c r="H124" s="188">
        <f>C124*G124</f>
        <v>0</v>
      </c>
      <c r="I124" s="189">
        <f>D124*G124</f>
        <v>0</v>
      </c>
    </row>
    <row r="125" spans="1:11" ht="15" customHeight="1" x14ac:dyDescent="0.2">
      <c r="A125" s="148" t="s">
        <v>307</v>
      </c>
      <c r="B125" s="190" t="s">
        <v>157</v>
      </c>
      <c r="C125" s="191">
        <f>1/6</f>
        <v>0.16666666666666666</v>
      </c>
      <c r="D125" s="192">
        <f>1/6</f>
        <v>0.16666666666666666</v>
      </c>
      <c r="E125" s="163"/>
      <c r="F125" s="126"/>
      <c r="G125" s="193">
        <f>(E125+F125)/2</f>
        <v>0</v>
      </c>
      <c r="H125" s="194">
        <f>C125*G125</f>
        <v>0</v>
      </c>
      <c r="I125" s="189">
        <f>D125*G125</f>
        <v>0</v>
      </c>
    </row>
    <row r="126" spans="1:11" ht="15" customHeight="1" x14ac:dyDescent="0.2">
      <c r="A126" s="148" t="s">
        <v>308</v>
      </c>
      <c r="B126" s="190" t="s">
        <v>177</v>
      </c>
      <c r="C126" s="130">
        <f>2*22</f>
        <v>44</v>
      </c>
      <c r="D126" s="125">
        <f>3*22</f>
        <v>66</v>
      </c>
      <c r="E126" s="163"/>
      <c r="F126" s="126"/>
      <c r="G126" s="193">
        <f>(E126+F126)/2</f>
        <v>0</v>
      </c>
      <c r="H126" s="194">
        <f>C126*G126</f>
        <v>0</v>
      </c>
      <c r="I126" s="189">
        <f>D126*G126</f>
        <v>0</v>
      </c>
    </row>
    <row r="127" spans="1:11" ht="15" customHeight="1" x14ac:dyDescent="0.2">
      <c r="A127" s="148" t="s">
        <v>309</v>
      </c>
      <c r="B127" s="190" t="s">
        <v>157</v>
      </c>
      <c r="C127" s="136">
        <f>2*22</f>
        <v>44</v>
      </c>
      <c r="D127" s="195">
        <f>3*22</f>
        <v>66</v>
      </c>
      <c r="E127" s="174"/>
      <c r="F127" s="126"/>
      <c r="G127" s="193">
        <f>(E127+F127)/2</f>
        <v>0</v>
      </c>
      <c r="H127" s="194">
        <f>C127*G127</f>
        <v>0</v>
      </c>
      <c r="I127" s="189">
        <f>D127*G127</f>
        <v>0</v>
      </c>
    </row>
    <row r="128" spans="1:11" ht="15" customHeight="1" x14ac:dyDescent="0.2">
      <c r="A128" s="149" t="s">
        <v>310</v>
      </c>
      <c r="B128" s="196" t="s">
        <v>157</v>
      </c>
      <c r="C128" s="136">
        <f>22</f>
        <v>22</v>
      </c>
      <c r="D128" s="136">
        <f>22</f>
        <v>22</v>
      </c>
      <c r="E128" s="197"/>
      <c r="F128" s="137"/>
      <c r="G128" s="198">
        <f>(E128+F128)/2</f>
        <v>0</v>
      </c>
      <c r="H128" s="199">
        <f>C128*G128</f>
        <v>0</v>
      </c>
      <c r="I128" s="189">
        <f>D128*G128</f>
        <v>0</v>
      </c>
    </row>
    <row r="129" spans="1:9" s="160" customFormat="1" ht="56.25" customHeight="1" x14ac:dyDescent="0.2">
      <c r="A129" s="200" t="s">
        <v>123</v>
      </c>
      <c r="B129" s="201" t="s">
        <v>124</v>
      </c>
      <c r="C129" s="201" t="s">
        <v>311</v>
      </c>
      <c r="D129" s="201" t="s">
        <v>312</v>
      </c>
      <c r="E129" s="201" t="s">
        <v>313</v>
      </c>
      <c r="F129" s="202" t="s">
        <v>302</v>
      </c>
      <c r="G129" s="202" t="s">
        <v>281</v>
      </c>
      <c r="H129" s="203" t="s">
        <v>303</v>
      </c>
      <c r="I129" s="203" t="s">
        <v>304</v>
      </c>
    </row>
    <row r="130" spans="1:9" ht="20.25" customHeight="1" x14ac:dyDescent="0.2">
      <c r="A130" s="809" t="s">
        <v>314</v>
      </c>
      <c r="B130" s="809"/>
      <c r="C130" s="809"/>
      <c r="D130" s="809"/>
      <c r="E130" s="809"/>
      <c r="F130" s="809"/>
      <c r="G130" s="809"/>
      <c r="H130" s="204">
        <f>SUM(H131:H134)</f>
        <v>0</v>
      </c>
      <c r="I130" s="204">
        <f>SUM(I131:I134)</f>
        <v>0</v>
      </c>
    </row>
    <row r="131" spans="1:9" ht="15" customHeight="1" x14ac:dyDescent="0.2">
      <c r="A131" s="148" t="s">
        <v>315</v>
      </c>
      <c r="B131" s="125" t="s">
        <v>157</v>
      </c>
      <c r="C131" s="192">
        <v>1</v>
      </c>
      <c r="D131" s="192">
        <v>1</v>
      </c>
      <c r="E131" s="163"/>
      <c r="F131" s="126"/>
      <c r="G131" s="104">
        <f>(E131+F131)/2</f>
        <v>0</v>
      </c>
      <c r="H131" s="188">
        <f>(C131*G131)/12</f>
        <v>0</v>
      </c>
      <c r="I131" s="188">
        <f>(D131*G131)/12</f>
        <v>0</v>
      </c>
    </row>
    <row r="132" spans="1:9" ht="15" customHeight="1" x14ac:dyDescent="0.2">
      <c r="A132" s="148" t="s">
        <v>316</v>
      </c>
      <c r="B132" s="130" t="s">
        <v>177</v>
      </c>
      <c r="C132" s="191">
        <v>2</v>
      </c>
      <c r="D132" s="191">
        <v>2</v>
      </c>
      <c r="E132" s="163"/>
      <c r="F132" s="126"/>
      <c r="G132" s="193">
        <f>(E132+F132)/2</f>
        <v>0</v>
      </c>
      <c r="H132" s="188">
        <f>(C132*G132)/12</f>
        <v>0</v>
      </c>
      <c r="I132" s="188">
        <f>(D132*G132)/12</f>
        <v>0</v>
      </c>
    </row>
    <row r="133" spans="1:9" ht="15" customHeight="1" x14ac:dyDescent="0.2">
      <c r="A133" s="148" t="s">
        <v>309</v>
      </c>
      <c r="B133" s="130" t="s">
        <v>157</v>
      </c>
      <c r="C133" s="130">
        <f>2*22*12</f>
        <v>528</v>
      </c>
      <c r="D133" s="130">
        <f>3*22*12</f>
        <v>792</v>
      </c>
      <c r="E133" s="163"/>
      <c r="F133" s="126"/>
      <c r="G133" s="193">
        <f>(E133+F133)/2</f>
        <v>0</v>
      </c>
      <c r="H133" s="188">
        <f>(C133*G133)/12</f>
        <v>0</v>
      </c>
      <c r="I133" s="188">
        <f>(D133*G133)/12</f>
        <v>0</v>
      </c>
    </row>
    <row r="134" spans="1:9" ht="15" customHeight="1" x14ac:dyDescent="0.2">
      <c r="A134" s="148" t="s">
        <v>317</v>
      </c>
      <c r="B134" s="130" t="s">
        <v>157</v>
      </c>
      <c r="C134" s="191">
        <v>1</v>
      </c>
      <c r="D134" s="191">
        <v>1</v>
      </c>
      <c r="E134" s="163"/>
      <c r="F134" s="126"/>
      <c r="G134" s="193">
        <f>(E134+F134)/2</f>
        <v>0</v>
      </c>
      <c r="H134" s="188">
        <f>(C134*G134)/12</f>
        <v>0</v>
      </c>
      <c r="I134" s="188">
        <f>(D134*G134)/12</f>
        <v>0</v>
      </c>
    </row>
    <row r="135" spans="1:9" x14ac:dyDescent="0.2">
      <c r="A135" s="141"/>
      <c r="B135" s="142"/>
      <c r="C135" s="142"/>
      <c r="D135" s="142"/>
      <c r="E135" s="142"/>
      <c r="F135" s="142"/>
      <c r="G135" s="142"/>
    </row>
    <row r="136" spans="1:9" ht="12.75" customHeight="1" x14ac:dyDescent="0.2">
      <c r="A136" s="810" t="s">
        <v>318</v>
      </c>
      <c r="B136" s="810"/>
      <c r="C136" s="810"/>
      <c r="D136" s="810"/>
      <c r="E136" s="810"/>
      <c r="F136" s="810"/>
      <c r="G136" s="142"/>
    </row>
    <row r="137" spans="1:9" ht="12.75" customHeight="1" x14ac:dyDescent="0.2">
      <c r="A137" s="205" t="s">
        <v>306</v>
      </c>
      <c r="B137" s="811" t="s">
        <v>319</v>
      </c>
      <c r="C137" s="811"/>
      <c r="D137" s="811"/>
      <c r="E137" s="811"/>
      <c r="F137" s="811"/>
      <c r="G137" s="142"/>
    </row>
    <row r="138" spans="1:9" ht="12.75" customHeight="1" x14ac:dyDescent="0.2">
      <c r="A138" s="205" t="s">
        <v>307</v>
      </c>
      <c r="B138" s="811" t="s">
        <v>320</v>
      </c>
      <c r="C138" s="811"/>
      <c r="D138" s="811"/>
      <c r="E138" s="811"/>
      <c r="F138" s="811"/>
      <c r="G138" s="142"/>
    </row>
    <row r="139" spans="1:9" ht="12.75" customHeight="1" x14ac:dyDescent="0.2">
      <c r="A139" s="205" t="s">
        <v>308</v>
      </c>
      <c r="B139" s="811" t="s">
        <v>321</v>
      </c>
      <c r="C139" s="811"/>
      <c r="D139" s="811"/>
      <c r="E139" s="811"/>
      <c r="F139" s="811"/>
      <c r="G139" s="142"/>
    </row>
    <row r="140" spans="1:9" ht="12.75" customHeight="1" x14ac:dyDescent="0.2">
      <c r="A140" s="205" t="s">
        <v>309</v>
      </c>
      <c r="B140" s="811" t="s">
        <v>322</v>
      </c>
      <c r="C140" s="811"/>
      <c r="D140" s="811"/>
      <c r="E140" s="811"/>
      <c r="F140" s="811"/>
      <c r="G140" s="142"/>
    </row>
    <row r="141" spans="1:9" ht="12.75" customHeight="1" x14ac:dyDescent="0.2">
      <c r="A141" s="205" t="s">
        <v>310</v>
      </c>
      <c r="B141" s="811" t="s">
        <v>319</v>
      </c>
      <c r="C141" s="811"/>
      <c r="D141" s="811"/>
      <c r="E141" s="811"/>
      <c r="F141" s="811"/>
      <c r="G141" s="142"/>
    </row>
    <row r="142" spans="1:9" ht="12.75" customHeight="1" x14ac:dyDescent="0.2">
      <c r="A142" s="205" t="s">
        <v>323</v>
      </c>
      <c r="B142" s="811" t="s">
        <v>324</v>
      </c>
      <c r="C142" s="811"/>
      <c r="D142" s="811"/>
      <c r="E142" s="811"/>
      <c r="F142" s="811"/>
      <c r="G142" s="142"/>
    </row>
    <row r="143" spans="1:9" ht="12.75" customHeight="1" x14ac:dyDescent="0.2">
      <c r="A143" s="205" t="s">
        <v>325</v>
      </c>
      <c r="B143" s="811" t="s">
        <v>326</v>
      </c>
      <c r="C143" s="811"/>
      <c r="D143" s="811"/>
      <c r="E143" s="811"/>
      <c r="F143" s="811"/>
      <c r="G143" s="142"/>
      <c r="H143" s="142"/>
    </row>
    <row r="144" spans="1:9" ht="12.75" customHeight="1" x14ac:dyDescent="0.2">
      <c r="A144" s="205" t="s">
        <v>327</v>
      </c>
      <c r="B144" s="811" t="s">
        <v>328</v>
      </c>
      <c r="C144" s="811"/>
      <c r="D144" s="811"/>
      <c r="E144" s="811"/>
      <c r="F144" s="811"/>
      <c r="G144" s="142"/>
      <c r="H144" s="142"/>
    </row>
    <row r="145" spans="1:8" x14ac:dyDescent="0.2">
      <c r="A145" s="141"/>
      <c r="B145" s="142"/>
      <c r="C145" s="142"/>
      <c r="D145" s="142"/>
      <c r="E145" s="142"/>
      <c r="F145" s="142"/>
      <c r="G145" s="142"/>
      <c r="H145" s="142"/>
    </row>
    <row r="146" spans="1:8" ht="20.25" customHeight="1" x14ac:dyDescent="0.2">
      <c r="A146" s="812" t="s">
        <v>329</v>
      </c>
      <c r="B146" s="812"/>
      <c r="C146" s="812"/>
      <c r="D146" s="812"/>
      <c r="E146" s="812"/>
      <c r="F146" s="812"/>
      <c r="G146" s="812"/>
      <c r="H146" s="206">
        <f>SUM(H147:H147)</f>
        <v>0</v>
      </c>
    </row>
    <row r="147" spans="1:8" ht="15" customHeight="1" x14ac:dyDescent="0.2">
      <c r="A147" s="207" t="s">
        <v>330</v>
      </c>
      <c r="B147" s="208" t="s">
        <v>157</v>
      </c>
      <c r="C147" s="208">
        <v>1</v>
      </c>
      <c r="D147" s="813"/>
      <c r="E147" s="813"/>
      <c r="F147" s="813"/>
      <c r="G147" s="813"/>
      <c r="H147" s="209">
        <f>D147</f>
        <v>0</v>
      </c>
    </row>
  </sheetData>
  <mergeCells count="30">
    <mergeCell ref="B142:F142"/>
    <mergeCell ref="B143:F143"/>
    <mergeCell ref="B144:F144"/>
    <mergeCell ref="A146:G146"/>
    <mergeCell ref="D147:G147"/>
    <mergeCell ref="B137:F137"/>
    <mergeCell ref="B138:F138"/>
    <mergeCell ref="B139:F139"/>
    <mergeCell ref="B140:F140"/>
    <mergeCell ref="B141:F141"/>
    <mergeCell ref="A119:H119"/>
    <mergeCell ref="A121:I121"/>
    <mergeCell ref="A123:G123"/>
    <mergeCell ref="A130:G130"/>
    <mergeCell ref="A136:F136"/>
    <mergeCell ref="A100:H100"/>
    <mergeCell ref="A104:K104"/>
    <mergeCell ref="A106:H106"/>
    <mergeCell ref="A113:H113"/>
    <mergeCell ref="A118:H118"/>
    <mergeCell ref="A62:H62"/>
    <mergeCell ref="A70:F70"/>
    <mergeCell ref="A86:K86"/>
    <mergeCell ref="A98:H98"/>
    <mergeCell ref="A99:H99"/>
    <mergeCell ref="A1:H1"/>
    <mergeCell ref="A37:F37"/>
    <mergeCell ref="A38:H38"/>
    <mergeCell ref="A59:F59"/>
    <mergeCell ref="A60:F6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MJ51"/>
  <sheetViews>
    <sheetView showGridLines="0" topLeftCell="D10" zoomScale="80" zoomScaleNormal="80" workbookViewId="0">
      <selection activeCell="AE47" sqref="AE47"/>
    </sheetView>
  </sheetViews>
  <sheetFormatPr defaultRowHeight="15" x14ac:dyDescent="0.25"/>
  <cols>
    <col min="1" max="1" width="31" customWidth="1"/>
    <col min="2" max="2" width="30.375" customWidth="1"/>
    <col min="3" max="3" width="24.5" customWidth="1"/>
    <col min="4" max="5" width="8.625" customWidth="1"/>
    <col min="6" max="6" width="8" customWidth="1"/>
    <col min="7" max="7" width="9.125" style="210" customWidth="1"/>
    <col min="8" max="8" width="8.5" customWidth="1"/>
    <col min="9" max="9" width="8.5" style="210" customWidth="1"/>
    <col min="10" max="10" width="6.625" customWidth="1"/>
    <col min="11" max="11" width="7.875" style="210" customWidth="1"/>
    <col min="12" max="12" width="7.375" customWidth="1"/>
    <col min="13" max="13" width="9.25" style="210" customWidth="1"/>
    <col min="14" max="14" width="7" customWidth="1"/>
    <col min="15" max="15" width="8.25" style="210" customWidth="1"/>
    <col min="16" max="16" width="7.375" customWidth="1"/>
    <col min="17" max="17" width="7.5" style="210" customWidth="1"/>
    <col min="18" max="18" width="7.375" customWidth="1"/>
    <col min="19" max="19" width="8.625" style="210" customWidth="1"/>
    <col min="20" max="20" width="6.875" customWidth="1"/>
    <col min="21" max="21" width="7.5" style="210" customWidth="1"/>
    <col min="22" max="22" width="7.375" customWidth="1"/>
    <col min="23" max="23" width="7.5" style="210" customWidth="1"/>
    <col min="24" max="24" width="7.375" customWidth="1"/>
    <col min="25" max="25" width="8.875" style="210" customWidth="1"/>
    <col min="26" max="26" width="7.25" customWidth="1"/>
    <col min="27" max="27" width="12.375" customWidth="1"/>
    <col min="28" max="29" width="11.5"/>
    <col min="30" max="30" width="13.375" customWidth="1"/>
    <col min="31" max="31" width="12.625" customWidth="1"/>
    <col min="32" max="1013" width="10.625" customWidth="1"/>
    <col min="1014" max="1025" width="10.5" customWidth="1"/>
  </cols>
  <sheetData>
    <row r="1" spans="1:1024" ht="23.25" x14ac:dyDescent="0.2">
      <c r="A1" s="211"/>
      <c r="B1" s="211"/>
      <c r="C1" s="211"/>
      <c r="D1" s="211"/>
      <c r="E1" s="212"/>
      <c r="F1" s="212"/>
      <c r="G1" s="4"/>
      <c r="H1" s="212"/>
      <c r="I1" s="4"/>
      <c r="J1" s="212"/>
      <c r="K1" s="4"/>
      <c r="L1" s="212"/>
      <c r="M1" s="4"/>
      <c r="N1" s="212"/>
      <c r="O1" s="4"/>
      <c r="P1" s="212"/>
      <c r="Q1" s="4"/>
      <c r="R1" s="212"/>
      <c r="S1" s="4"/>
      <c r="T1" s="212"/>
      <c r="U1" s="4"/>
      <c r="V1" s="212"/>
      <c r="W1" s="4"/>
      <c r="X1" s="212"/>
      <c r="Y1" s="4"/>
      <c r="Z1" s="212"/>
      <c r="AA1" s="212"/>
      <c r="AB1" s="212"/>
      <c r="AC1" s="212"/>
      <c r="AD1" s="212"/>
      <c r="AE1" s="212"/>
    </row>
    <row r="2" spans="1:1024" ht="15" customHeight="1" x14ac:dyDescent="0.2">
      <c r="A2" s="213"/>
      <c r="B2" s="213"/>
      <c r="C2" s="213"/>
      <c r="D2" s="213"/>
      <c r="E2" s="814" t="s">
        <v>331</v>
      </c>
      <c r="F2" s="814"/>
      <c r="G2" s="814"/>
      <c r="H2" s="814"/>
      <c r="I2" s="814"/>
      <c r="J2" s="814"/>
      <c r="K2" s="814"/>
      <c r="L2" s="814"/>
      <c r="M2" s="814"/>
      <c r="N2" s="814"/>
      <c r="O2" s="815" t="s">
        <v>332</v>
      </c>
      <c r="P2" s="815"/>
      <c r="Q2" s="815"/>
      <c r="R2" s="815"/>
      <c r="S2" s="815"/>
      <c r="T2" s="815"/>
      <c r="U2" s="816" t="s">
        <v>333</v>
      </c>
      <c r="V2" s="816"/>
      <c r="W2" s="816"/>
      <c r="X2" s="816"/>
      <c r="Y2" s="816"/>
      <c r="Z2" s="816"/>
      <c r="AA2" s="214" t="s">
        <v>334</v>
      </c>
      <c r="AB2" s="214" t="s">
        <v>335</v>
      </c>
      <c r="AC2" s="214" t="s">
        <v>336</v>
      </c>
      <c r="AD2" s="214" t="s">
        <v>337</v>
      </c>
      <c r="AE2" s="214" t="s">
        <v>338</v>
      </c>
    </row>
    <row r="3" spans="1:1024" ht="59.25" customHeight="1" x14ac:dyDescent="0.2">
      <c r="A3" s="817" t="s">
        <v>339</v>
      </c>
      <c r="B3" s="817"/>
      <c r="C3" s="817"/>
      <c r="D3" s="818" t="s">
        <v>340</v>
      </c>
      <c r="E3" s="819" t="s">
        <v>341</v>
      </c>
      <c r="F3" s="819"/>
      <c r="G3" s="820" t="s">
        <v>342</v>
      </c>
      <c r="H3" s="820"/>
      <c r="I3" s="821" t="s">
        <v>343</v>
      </c>
      <c r="J3" s="821"/>
      <c r="K3" s="821" t="s">
        <v>344</v>
      </c>
      <c r="L3" s="821"/>
      <c r="M3" s="821" t="s">
        <v>345</v>
      </c>
      <c r="N3" s="821"/>
      <c r="O3" s="822" t="s">
        <v>346</v>
      </c>
      <c r="P3" s="822"/>
      <c r="Q3" s="823" t="s">
        <v>347</v>
      </c>
      <c r="R3" s="823"/>
      <c r="S3" s="822" t="s">
        <v>348</v>
      </c>
      <c r="T3" s="822"/>
      <c r="U3" s="824" t="s">
        <v>349</v>
      </c>
      <c r="V3" s="824"/>
      <c r="W3" s="824" t="s">
        <v>350</v>
      </c>
      <c r="X3" s="824"/>
      <c r="Y3" s="825" t="s">
        <v>351</v>
      </c>
      <c r="Z3" s="825"/>
      <c r="AA3" s="826" t="s">
        <v>352</v>
      </c>
      <c r="AB3" s="827" t="s">
        <v>353</v>
      </c>
      <c r="AC3" s="828" t="s">
        <v>354</v>
      </c>
      <c r="AD3" s="829" t="s">
        <v>355</v>
      </c>
      <c r="AE3" s="830" t="s">
        <v>356</v>
      </c>
    </row>
    <row r="4" spans="1:1024" ht="33.6" customHeight="1" x14ac:dyDescent="0.2">
      <c r="A4" s="817"/>
      <c r="B4" s="817"/>
      <c r="C4" s="817"/>
      <c r="D4" s="818"/>
      <c r="E4" s="819"/>
      <c r="F4" s="819"/>
      <c r="G4" s="820"/>
      <c r="H4" s="820"/>
      <c r="I4" s="821"/>
      <c r="J4" s="821"/>
      <c r="K4" s="821"/>
      <c r="L4" s="821"/>
      <c r="M4" s="821"/>
      <c r="N4" s="821"/>
      <c r="O4" s="822"/>
      <c r="P4" s="822"/>
      <c r="Q4" s="823"/>
      <c r="R4" s="823"/>
      <c r="S4" s="822"/>
      <c r="T4" s="822"/>
      <c r="U4" s="824"/>
      <c r="V4" s="824"/>
      <c r="W4" s="824"/>
      <c r="X4" s="824"/>
      <c r="Y4" s="825"/>
      <c r="Z4" s="825"/>
      <c r="AA4" s="826"/>
      <c r="AB4" s="827"/>
      <c r="AC4" s="828"/>
      <c r="AD4" s="829"/>
      <c r="AE4" s="830"/>
    </row>
    <row r="5" spans="1:1024" ht="31.7" customHeight="1" x14ac:dyDescent="0.2">
      <c r="A5" s="817"/>
      <c r="B5" s="817"/>
      <c r="C5" s="817"/>
      <c r="D5" s="818"/>
      <c r="E5" s="215" t="s">
        <v>357</v>
      </c>
      <c r="F5" s="216" t="s">
        <v>358</v>
      </c>
      <c r="G5" s="215" t="s">
        <v>357</v>
      </c>
      <c r="H5" s="216" t="s">
        <v>358</v>
      </c>
      <c r="I5" s="215" t="s">
        <v>357</v>
      </c>
      <c r="J5" s="216" t="s">
        <v>358</v>
      </c>
      <c r="K5" s="215" t="s">
        <v>357</v>
      </c>
      <c r="L5" s="216" t="s">
        <v>358</v>
      </c>
      <c r="M5" s="215" t="s">
        <v>357</v>
      </c>
      <c r="N5" s="216" t="s">
        <v>358</v>
      </c>
      <c r="O5" s="217" t="s">
        <v>357</v>
      </c>
      <c r="P5" s="217" t="s">
        <v>358</v>
      </c>
      <c r="Q5" s="217" t="s">
        <v>357</v>
      </c>
      <c r="R5" s="217" t="s">
        <v>358</v>
      </c>
      <c r="S5" s="217" t="s">
        <v>357</v>
      </c>
      <c r="T5" s="217" t="s">
        <v>358</v>
      </c>
      <c r="U5" s="218" t="s">
        <v>357</v>
      </c>
      <c r="V5" s="218" t="s">
        <v>358</v>
      </c>
      <c r="W5" s="218" t="s">
        <v>357</v>
      </c>
      <c r="X5" s="218" t="s">
        <v>358</v>
      </c>
      <c r="Y5" s="218" t="s">
        <v>357</v>
      </c>
      <c r="Z5" s="219" t="s">
        <v>358</v>
      </c>
      <c r="AA5" s="220" t="s">
        <v>359</v>
      </c>
      <c r="AB5" s="221" t="s">
        <v>359</v>
      </c>
      <c r="AC5" s="222" t="s">
        <v>359</v>
      </c>
      <c r="AD5" s="223" t="s">
        <v>359</v>
      </c>
      <c r="AE5" s="224" t="s">
        <v>359</v>
      </c>
    </row>
    <row r="6" spans="1:1024" ht="14.25" x14ac:dyDescent="0.2">
      <c r="A6" s="225" t="s">
        <v>360</v>
      </c>
      <c r="B6" s="226" t="s">
        <v>361</v>
      </c>
      <c r="C6" s="227" t="s">
        <v>362</v>
      </c>
      <c r="D6" s="228">
        <f>MC!C71</f>
        <v>0</v>
      </c>
      <c r="E6" s="229">
        <f>'Prod. GEXCAN'!D4</f>
        <v>887.45399999999995</v>
      </c>
      <c r="F6" s="230">
        <f>'GEXCAN Limp.Ord.'!H$149</f>
        <v>0</v>
      </c>
      <c r="G6" s="229">
        <f>'Prod. GEXCAN'!E4</f>
        <v>602.89599999999996</v>
      </c>
      <c r="H6" s="230">
        <f>'GEXCAN Limp.Ord.'!H$155</f>
        <v>0</v>
      </c>
      <c r="I6" s="229">
        <f>'Prod. GEXCAN'!F4</f>
        <v>31.9</v>
      </c>
      <c r="J6" s="230">
        <f>'GEXCAN Limp.Ord.'!H$161</f>
        <v>0</v>
      </c>
      <c r="K6" s="229">
        <f>'Prod. GEXCAN'!G4</f>
        <v>44</v>
      </c>
      <c r="L6" s="230">
        <f>'GEXCAN Limp.Ord.'!H$167</f>
        <v>0</v>
      </c>
      <c r="M6" s="229">
        <f>'Prod. GEXCAN'!H4</f>
        <v>96.2</v>
      </c>
      <c r="N6" s="230">
        <f>'GEXCAN Limp.Ord.'!H$173</f>
        <v>0</v>
      </c>
      <c r="O6" s="229">
        <f>'Prod. GEXCAN'!I4</f>
        <v>81.72</v>
      </c>
      <c r="P6" s="230">
        <f>'GEXCAN Limp.Ord.'!H$179</f>
        <v>0</v>
      </c>
      <c r="Q6" s="229">
        <f>'Prod. GEXCAN'!J4</f>
        <v>333.78</v>
      </c>
      <c r="R6" s="230">
        <f>'GEXCAN Limp.Ord.'!H$182</f>
        <v>0</v>
      </c>
      <c r="S6" s="229">
        <f>'Prod. GEXCAN'!K4</f>
        <v>1116.3499999999999</v>
      </c>
      <c r="T6" s="230">
        <f>'GEXCAN Limp.Ord.'!H$185</f>
        <v>0</v>
      </c>
      <c r="U6" s="229">
        <f>'Prod. GEXCAN'!L4</f>
        <v>0</v>
      </c>
      <c r="V6" s="230">
        <f>'GEXCAN Limp.Ord.'!H$191</f>
        <v>0</v>
      </c>
      <c r="W6" s="229">
        <f>'Prod. GEXCAN'!M4</f>
        <v>150.505</v>
      </c>
      <c r="X6" s="230">
        <f>'GEXCAN Limp.Ord.'!H$194</f>
        <v>0</v>
      </c>
      <c r="Y6" s="229">
        <f>'Prod. GEXCAN'!N4</f>
        <v>150.505</v>
      </c>
      <c r="Z6" s="230">
        <f>'GEXCAN Limp.Ord.'!H$197</f>
        <v>0</v>
      </c>
      <c r="AA6" s="231">
        <f t="shared" ref="AA6:AA18" si="0">(E6*F6)+(G6*H6)+(I6*J6)+(K6*L6)+(M6*N6)+(O6*P6)+(Q6*R6)+(S6*T6)+(U6*V6)+(W6*X6)+(Y6*Z6)</f>
        <v>0</v>
      </c>
      <c r="AB6" s="232">
        <f>('GEXCAN Covid'!C$131*'Prod. GEXCAN'!T4)+('GEXCAN Covid'!D$131*'Prod. GEXCAN'!U4)</f>
        <v>0</v>
      </c>
      <c r="AC6" s="233">
        <f>'GEXCAN Limp.Ord.'!C$141*'Prod. GEXCAN'!V4</f>
        <v>0</v>
      </c>
      <c r="AD6" s="234">
        <f>'GEXCAN Covid'!C$136*'Prod. GEXCAN'!W4</f>
        <v>0</v>
      </c>
      <c r="AE6" s="235">
        <f>'Prod. GEXCAN'!X4*MC!C15</f>
        <v>0</v>
      </c>
    </row>
    <row r="7" spans="1:1024" ht="14.25" x14ac:dyDescent="0.2">
      <c r="A7" s="236" t="s">
        <v>82</v>
      </c>
      <c r="B7" s="237" t="s">
        <v>363</v>
      </c>
      <c r="C7" s="238" t="s">
        <v>362</v>
      </c>
      <c r="D7" s="239">
        <f>MC!C72</f>
        <v>0</v>
      </c>
      <c r="E7" s="240">
        <f>'Prod. GEXCAN'!D5</f>
        <v>0</v>
      </c>
      <c r="F7" s="241">
        <f>'GEXCAN Limp.Ord.'!H$149</f>
        <v>0</v>
      </c>
      <c r="G7" s="240">
        <f>'Prod. GEXCAN'!E5</f>
        <v>980</v>
      </c>
      <c r="H7" s="241">
        <f>'GEXCAN Limp.Ord.'!H$155</f>
        <v>0</v>
      </c>
      <c r="I7" s="240">
        <f>'Prod. GEXCAN'!F5</f>
        <v>0</v>
      </c>
      <c r="J7" s="241">
        <f>'GEXCAN Limp.Ord.'!H$161</f>
        <v>0</v>
      </c>
      <c r="K7" s="240">
        <f>'Prod. GEXCAN'!G5</f>
        <v>0</v>
      </c>
      <c r="L7" s="241">
        <f>'GEXCAN Limp.Ord.'!H$167</f>
        <v>0</v>
      </c>
      <c r="M7" s="240">
        <f>'Prod. GEXCAN'!H5</f>
        <v>0</v>
      </c>
      <c r="N7" s="241">
        <f>'GEXCAN Limp.Ord.'!H$173</f>
        <v>0</v>
      </c>
      <c r="O7" s="240">
        <f>'Prod. GEXCAN'!I5</f>
        <v>0</v>
      </c>
      <c r="P7" s="241">
        <f>'GEXCAN Limp.Ord.'!H$179</f>
        <v>0</v>
      </c>
      <c r="Q7" s="240">
        <f>'Prod. GEXCAN'!J5</f>
        <v>0</v>
      </c>
      <c r="R7" s="241">
        <f>'GEXCAN Limp.Ord.'!H$182</f>
        <v>0</v>
      </c>
      <c r="S7" s="240">
        <f>'Prod. GEXCAN'!K5</f>
        <v>0</v>
      </c>
      <c r="T7" s="241">
        <f>'GEXCAN Limp.Ord.'!H$185</f>
        <v>0</v>
      </c>
      <c r="U7" s="240">
        <f>'Prod. GEXCAN'!L5</f>
        <v>0</v>
      </c>
      <c r="V7" s="241">
        <f>'GEXCAN Limp.Ord.'!H$191</f>
        <v>0</v>
      </c>
      <c r="W7" s="240">
        <f>'Prod. GEXCAN'!M5</f>
        <v>0</v>
      </c>
      <c r="X7" s="241">
        <f>'GEXCAN Limp.Ord.'!H$194</f>
        <v>0</v>
      </c>
      <c r="Y7" s="240">
        <f>'Prod. GEXCAN'!N5</f>
        <v>0</v>
      </c>
      <c r="Z7" s="241">
        <f>'GEXCAN Limp.Ord.'!H$197</f>
        <v>0</v>
      </c>
      <c r="AA7" s="242">
        <f t="shared" si="0"/>
        <v>0</v>
      </c>
      <c r="AB7" s="243">
        <f>('GEXCAN Covid'!C$131*'Prod. GEXCAN'!T5)+('GEXCAN Covid'!D$131*'Prod. GEXCAN'!U5)</f>
        <v>0</v>
      </c>
      <c r="AC7" s="244">
        <f>'GEXCAN Limp.Ord.'!C$141*'Prod. GEXCAN'!V5</f>
        <v>0</v>
      </c>
      <c r="AD7" s="245">
        <f>'GEXCAN Covid'!C$136*'Prod. GEXCAN'!W5</f>
        <v>0</v>
      </c>
      <c r="AE7" s="246"/>
    </row>
    <row r="8" spans="1:1024" ht="14.25" x14ac:dyDescent="0.2">
      <c r="A8" s="236" t="s">
        <v>84</v>
      </c>
      <c r="B8" s="237" t="s">
        <v>364</v>
      </c>
      <c r="C8" s="238" t="s">
        <v>365</v>
      </c>
      <c r="D8" s="239">
        <f>MC!C73</f>
        <v>0</v>
      </c>
      <c r="E8" s="240">
        <f>'Prod. GEXCAN'!D6</f>
        <v>0</v>
      </c>
      <c r="F8" s="241">
        <f>'GEXCAN Limp.Ord.'!H$149</f>
        <v>0</v>
      </c>
      <c r="G8" s="240">
        <f>'Prod. GEXCAN'!E6</f>
        <v>980</v>
      </c>
      <c r="H8" s="241">
        <f>'GEXCAN Limp.Ord.'!H$155</f>
        <v>0</v>
      </c>
      <c r="I8" s="240">
        <f>'Prod. GEXCAN'!F6</f>
        <v>0</v>
      </c>
      <c r="J8" s="241">
        <f>'GEXCAN Limp.Ord.'!H$161</f>
        <v>0</v>
      </c>
      <c r="K8" s="240">
        <f>'Prod. GEXCAN'!G6</f>
        <v>0</v>
      </c>
      <c r="L8" s="241">
        <f>'GEXCAN Limp.Ord.'!H$167</f>
        <v>0</v>
      </c>
      <c r="M8" s="240">
        <f>'Prod. GEXCAN'!H6</f>
        <v>0</v>
      </c>
      <c r="N8" s="241">
        <f>'GEXCAN Limp.Ord.'!H$173</f>
        <v>0</v>
      </c>
      <c r="O8" s="240">
        <f>'Prod. GEXCAN'!I6</f>
        <v>0</v>
      </c>
      <c r="P8" s="241">
        <f>'GEXCAN Limp.Ord.'!H$179</f>
        <v>0</v>
      </c>
      <c r="Q8" s="240">
        <f>'Prod. GEXCAN'!J6</f>
        <v>0</v>
      </c>
      <c r="R8" s="241">
        <f>'GEXCAN Limp.Ord.'!H$182</f>
        <v>0</v>
      </c>
      <c r="S8" s="240">
        <f>'Prod. GEXCAN'!K6</f>
        <v>0</v>
      </c>
      <c r="T8" s="241">
        <f>'GEXCAN Limp.Ord.'!H$185</f>
        <v>0</v>
      </c>
      <c r="U8" s="240">
        <f>'Prod. GEXCAN'!L6</f>
        <v>0</v>
      </c>
      <c r="V8" s="241">
        <f>'GEXCAN Limp.Ord.'!H$191</f>
        <v>0</v>
      </c>
      <c r="W8" s="240">
        <f>'Prod. GEXCAN'!M6</f>
        <v>0</v>
      </c>
      <c r="X8" s="241">
        <f>'GEXCAN Limp.Ord.'!H$194</f>
        <v>0</v>
      </c>
      <c r="Y8" s="240">
        <f>'Prod. GEXCAN'!N6</f>
        <v>0</v>
      </c>
      <c r="Z8" s="241">
        <f>'GEXCAN Limp.Ord.'!H$197</f>
        <v>0</v>
      </c>
      <c r="AA8" s="242">
        <f t="shared" si="0"/>
        <v>0</v>
      </c>
      <c r="AB8" s="243">
        <f>('GEXCAN Covid'!C$131*'Prod. GEXCAN'!T6)+('GEXCAN Covid'!D$131*'Prod. GEXCAN'!U6)</f>
        <v>0</v>
      </c>
      <c r="AC8" s="244">
        <f>'GEXCAN Limp.Ord.'!C$141*'Prod. GEXCAN'!V6</f>
        <v>0</v>
      </c>
      <c r="AD8" s="245">
        <f>'GEXCAN Covid'!C$136*'Prod. GEXCAN'!W6</f>
        <v>0</v>
      </c>
      <c r="AE8" s="246"/>
    </row>
    <row r="9" spans="1:1024" s="210" customFormat="1" x14ac:dyDescent="0.25">
      <c r="A9" s="236" t="s">
        <v>86</v>
      </c>
      <c r="B9" s="237" t="s">
        <v>366</v>
      </c>
      <c r="C9" s="238" t="s">
        <v>367</v>
      </c>
      <c r="D9" s="239">
        <f>MC!C74</f>
        <v>0</v>
      </c>
      <c r="E9" s="240">
        <f>'Prod. GEXCAN'!D7</f>
        <v>0</v>
      </c>
      <c r="F9" s="241">
        <f>'GEXCAN Limp.Ord.'!F$149</f>
        <v>0</v>
      </c>
      <c r="G9" s="240">
        <f>'Prod. GEXCAN'!E7</f>
        <v>980</v>
      </c>
      <c r="H9" s="241">
        <f>'GEXCAN Limp.Ord.'!F$155</f>
        <v>0</v>
      </c>
      <c r="I9" s="240">
        <f>'Prod. GEXCAN'!F7</f>
        <v>0</v>
      </c>
      <c r="J9" s="241">
        <f>'GEXCAN Limp.Ord.'!F$161</f>
        <v>0</v>
      </c>
      <c r="K9" s="240">
        <f>'Prod. GEXCAN'!G7</f>
        <v>0</v>
      </c>
      <c r="L9" s="241">
        <f>'GEXCAN Limp.Ord.'!F$167</f>
        <v>0</v>
      </c>
      <c r="M9" s="240">
        <f>'Prod. GEXCAN'!H7</f>
        <v>0</v>
      </c>
      <c r="N9" s="241">
        <f>'GEXCAN Limp.Ord.'!F$173</f>
        <v>0</v>
      </c>
      <c r="O9" s="240">
        <f>'Prod. GEXCAN'!I7</f>
        <v>0</v>
      </c>
      <c r="P9" s="241">
        <f>'GEXCAN Limp.Ord.'!F$179</f>
        <v>0</v>
      </c>
      <c r="Q9" s="240">
        <f>'Prod. GEXCAN'!J7</f>
        <v>0</v>
      </c>
      <c r="R9" s="241">
        <f>'GEXCAN Limp.Ord.'!F$182</f>
        <v>0</v>
      </c>
      <c r="S9" s="240">
        <f>'Prod. GEXCAN'!K7</f>
        <v>0</v>
      </c>
      <c r="T9" s="241">
        <f>'GEXCAN Limp.Ord.'!F$185</f>
        <v>0</v>
      </c>
      <c r="U9" s="240">
        <f>'Prod. GEXCAN'!L7</f>
        <v>91.656000000000006</v>
      </c>
      <c r="V9" s="241">
        <f>'GEXCAN Limp.Ord.'!F$191</f>
        <v>0</v>
      </c>
      <c r="W9" s="240">
        <f>'Prod. GEXCAN'!M7</f>
        <v>0</v>
      </c>
      <c r="X9" s="241">
        <f>'GEXCAN Limp.Ord.'!F$194</f>
        <v>0</v>
      </c>
      <c r="Y9" s="240">
        <f>'Prod. GEXCAN'!N7</f>
        <v>0</v>
      </c>
      <c r="Z9" s="241">
        <f>'GEXCAN Limp.Ord.'!F$197</f>
        <v>0</v>
      </c>
      <c r="AA9" s="242">
        <f t="shared" si="0"/>
        <v>0</v>
      </c>
      <c r="AB9" s="247">
        <f>('GEXCAN Covid'!C$130*'Prod. GEXCAN'!T7)+('GEXCAN Covid'!D$130*'Prod. GEXCAN'!U7)</f>
        <v>0</v>
      </c>
      <c r="AC9" s="248">
        <f>'GEXCAN Limp.Ord.'!C140*'Prod. GEXCAN'!V7</f>
        <v>0</v>
      </c>
      <c r="AD9" s="249">
        <f>'GEXCAN Covid'!C$135*'Prod. GEXCAN'!W7</f>
        <v>0</v>
      </c>
      <c r="AE9" s="250"/>
      <c r="ALZ9"/>
      <c r="AMA9"/>
      <c r="AMB9"/>
      <c r="AMC9"/>
      <c r="AMD9"/>
      <c r="AME9"/>
      <c r="AMF9"/>
      <c r="AMG9"/>
      <c r="AMH9"/>
      <c r="AMI9"/>
      <c r="AMJ9"/>
    </row>
    <row r="10" spans="1:1024" ht="14.25" x14ac:dyDescent="0.2">
      <c r="A10" s="236" t="s">
        <v>88</v>
      </c>
      <c r="B10" s="237" t="s">
        <v>361</v>
      </c>
      <c r="C10" s="238" t="s">
        <v>362</v>
      </c>
      <c r="D10" s="239">
        <f>MC!C75</f>
        <v>0</v>
      </c>
      <c r="E10" s="240">
        <f>'Prod. GEXCAN'!D8</f>
        <v>887.45399999999995</v>
      </c>
      <c r="F10" s="241">
        <f>'GEXCAN Limp.Ord.'!H$149</f>
        <v>0</v>
      </c>
      <c r="G10" s="240">
        <f>'Prod. GEXCAN'!E8</f>
        <v>602.89599999999996</v>
      </c>
      <c r="H10" s="241">
        <f>'GEXCAN Limp.Ord.'!H$155</f>
        <v>0</v>
      </c>
      <c r="I10" s="240">
        <f>'Prod. GEXCAN'!F8</f>
        <v>31.9</v>
      </c>
      <c r="J10" s="241">
        <f>'GEXCAN Limp.Ord.'!H$161</f>
        <v>0</v>
      </c>
      <c r="K10" s="240">
        <f>'Prod. GEXCAN'!G8</f>
        <v>44</v>
      </c>
      <c r="L10" s="241">
        <f>'GEXCAN Limp.Ord.'!H$167</f>
        <v>0</v>
      </c>
      <c r="M10" s="240">
        <f>'Prod. GEXCAN'!H8</f>
        <v>96.2</v>
      </c>
      <c r="N10" s="241">
        <f>'GEXCAN Limp.Ord.'!H$173</f>
        <v>0</v>
      </c>
      <c r="O10" s="240">
        <f>'Prod. GEXCAN'!I8</f>
        <v>0</v>
      </c>
      <c r="P10" s="241">
        <f>'GEXCAN Limp.Ord.'!H$179</f>
        <v>0</v>
      </c>
      <c r="Q10" s="240">
        <f>'Prod. GEXCAN'!J8</f>
        <v>0</v>
      </c>
      <c r="R10" s="241">
        <f>'GEXCAN Limp.Ord.'!H$182</f>
        <v>0</v>
      </c>
      <c r="S10" s="240">
        <f>'Prod. GEXCAN'!K8</f>
        <v>0</v>
      </c>
      <c r="T10" s="241">
        <f>'GEXCAN Limp.Ord.'!H$185</f>
        <v>0</v>
      </c>
      <c r="U10" s="240">
        <f>'Prod. GEXCAN'!L8</f>
        <v>0</v>
      </c>
      <c r="V10" s="241">
        <f>'GEXCAN Limp.Ord.'!H$191</f>
        <v>0</v>
      </c>
      <c r="W10" s="240">
        <f>'Prod. GEXCAN'!M8</f>
        <v>150.505</v>
      </c>
      <c r="X10" s="241">
        <f>'GEXCAN Limp.Ord.'!H$194</f>
        <v>0</v>
      </c>
      <c r="Y10" s="240">
        <f>'Prod. GEXCAN'!N8</f>
        <v>150.505</v>
      </c>
      <c r="Z10" s="241">
        <f>'GEXCAN Limp.Ord.'!H$197</f>
        <v>0</v>
      </c>
      <c r="AA10" s="242">
        <f t="shared" si="0"/>
        <v>0</v>
      </c>
      <c r="AB10" s="243">
        <f>('GEXCAN Covid'!C$131*'Prod. GEXCAN'!T8)+('GEXCAN Covid'!D$131*'Prod. GEXCAN'!U8)</f>
        <v>0</v>
      </c>
      <c r="AC10" s="244">
        <f>'GEXCAN Limp.Ord.'!C$141*'Prod. GEXCAN'!V8</f>
        <v>0</v>
      </c>
      <c r="AD10" s="245">
        <f>'GEXCAN Covid'!C$136*'Prod. GEXCAN'!W8</f>
        <v>0</v>
      </c>
      <c r="AE10" s="246"/>
    </row>
    <row r="11" spans="1:1024" ht="14.25" x14ac:dyDescent="0.2">
      <c r="A11" s="236" t="s">
        <v>90</v>
      </c>
      <c r="B11" s="237" t="s">
        <v>368</v>
      </c>
      <c r="C11" s="238" t="s">
        <v>365</v>
      </c>
      <c r="D11" s="239">
        <f>MC!C76</f>
        <v>0</v>
      </c>
      <c r="E11" s="240">
        <f>'Prod. GEXCAN'!D9</f>
        <v>50.995999999999952</v>
      </c>
      <c r="F11" s="241">
        <f>'GEXCAN Limp.Ord.'!H$149</f>
        <v>0</v>
      </c>
      <c r="G11" s="240">
        <f>'Prod. GEXCAN'!E9</f>
        <v>747.54399999999998</v>
      </c>
      <c r="H11" s="241">
        <f>'GEXCAN Limp.Ord.'!H$155</f>
        <v>0</v>
      </c>
      <c r="I11" s="240">
        <f>'Prod. GEXCAN'!F9</f>
        <v>215.5</v>
      </c>
      <c r="J11" s="241">
        <f>'GEXCAN Limp.Ord.'!H$161</f>
        <v>0</v>
      </c>
      <c r="K11" s="240">
        <f>'Prod. GEXCAN'!G9</f>
        <v>19.739999999999998</v>
      </c>
      <c r="L11" s="241">
        <f>'GEXCAN Limp.Ord.'!H$167</f>
        <v>0</v>
      </c>
      <c r="M11" s="240">
        <f>'Prod. GEXCAN'!H9</f>
        <v>59.3</v>
      </c>
      <c r="N11" s="241">
        <f>'GEXCAN Limp.Ord.'!H$173</f>
        <v>0</v>
      </c>
      <c r="O11" s="240">
        <f>'Prod. GEXCAN'!I9</f>
        <v>503.12</v>
      </c>
      <c r="P11" s="241">
        <f>'GEXCAN Limp.Ord.'!H$179</f>
        <v>0</v>
      </c>
      <c r="Q11" s="240">
        <f>'Prod. GEXCAN'!J9</f>
        <v>574</v>
      </c>
      <c r="R11" s="241">
        <f>'GEXCAN Limp.Ord.'!H$182</f>
        <v>0</v>
      </c>
      <c r="S11" s="240">
        <f>'Prod. GEXCAN'!K9</f>
        <v>708</v>
      </c>
      <c r="T11" s="241">
        <f>'GEXCAN Limp.Ord.'!H$185</f>
        <v>0</v>
      </c>
      <c r="U11" s="240">
        <f>'Prod. GEXCAN'!L9</f>
        <v>0</v>
      </c>
      <c r="V11" s="241">
        <f>'GEXCAN Limp.Ord.'!H$191</f>
        <v>0</v>
      </c>
      <c r="W11" s="240">
        <f>'Prod. GEXCAN'!M9</f>
        <v>79.59</v>
      </c>
      <c r="X11" s="241">
        <f>'GEXCAN Limp.Ord.'!H$194</f>
        <v>0</v>
      </c>
      <c r="Y11" s="240">
        <f>'Prod. GEXCAN'!N9</f>
        <v>79.59</v>
      </c>
      <c r="Z11" s="241">
        <f>'GEXCAN Limp.Ord.'!H$197</f>
        <v>0</v>
      </c>
      <c r="AA11" s="242">
        <f t="shared" si="0"/>
        <v>0</v>
      </c>
      <c r="AB11" s="243">
        <f>('GEXCAN Covid'!C$131*'Prod. GEXCAN'!T9)+('GEXCAN Covid'!D$131*'Prod. GEXCAN'!U9)</f>
        <v>0</v>
      </c>
      <c r="AC11" s="244">
        <f>'GEXCAN Limp.Ord.'!C$141*'Prod. GEXCAN'!V9</f>
        <v>0</v>
      </c>
      <c r="AD11" s="245">
        <f>'GEXCAN Covid'!C$136*'Prod. GEXCAN'!W9</f>
        <v>0</v>
      </c>
      <c r="AE11" s="246"/>
    </row>
    <row r="12" spans="1:1024" ht="14.25" x14ac:dyDescent="0.2">
      <c r="A12" s="236" t="s">
        <v>92</v>
      </c>
      <c r="B12" s="237" t="s">
        <v>369</v>
      </c>
      <c r="C12" s="238" t="s">
        <v>370</v>
      </c>
      <c r="D12" s="239">
        <f>MC!C77</f>
        <v>0</v>
      </c>
      <c r="E12" s="240">
        <f>'Prod. GEXCAN'!D10</f>
        <v>593.49600000000009</v>
      </c>
      <c r="F12" s="241">
        <f>'GEXCAN Limp.Ord.'!H$149</f>
        <v>0</v>
      </c>
      <c r="G12" s="240">
        <f>'Prod. GEXCAN'!E10</f>
        <v>778.904</v>
      </c>
      <c r="H12" s="241">
        <f>'GEXCAN Limp.Ord.'!H$155</f>
        <v>0</v>
      </c>
      <c r="I12" s="240">
        <f>'Prod. GEXCAN'!F10</f>
        <v>231.55</v>
      </c>
      <c r="J12" s="241">
        <f>'GEXCAN Limp.Ord.'!H$161</f>
        <v>0</v>
      </c>
      <c r="K12" s="240">
        <f>'Prod. GEXCAN'!G10</f>
        <v>50.55</v>
      </c>
      <c r="L12" s="241">
        <f>'GEXCAN Limp.Ord.'!H$167</f>
        <v>0</v>
      </c>
      <c r="M12" s="240">
        <f>'Prod. GEXCAN'!H10</f>
        <v>51.3</v>
      </c>
      <c r="N12" s="241">
        <f>'GEXCAN Limp.Ord.'!H$173</f>
        <v>0</v>
      </c>
      <c r="O12" s="240">
        <f>'Prod. GEXCAN'!I10</f>
        <v>124.13</v>
      </c>
      <c r="P12" s="241">
        <f>'GEXCAN Limp.Ord.'!H$179</f>
        <v>0</v>
      </c>
      <c r="Q12" s="240">
        <f>'Prod. GEXCAN'!J10</f>
        <v>786</v>
      </c>
      <c r="R12" s="241">
        <f>'GEXCAN Limp.Ord.'!H$182</f>
        <v>0</v>
      </c>
      <c r="S12" s="240">
        <f>'Prod. GEXCAN'!K10</f>
        <v>234</v>
      </c>
      <c r="T12" s="241">
        <f>'GEXCAN Limp.Ord.'!H$185</f>
        <v>0</v>
      </c>
      <c r="U12" s="240">
        <f>'Prod. GEXCAN'!L10</f>
        <v>0</v>
      </c>
      <c r="V12" s="241">
        <f>'GEXCAN Limp.Ord.'!H$191</f>
        <v>0</v>
      </c>
      <c r="W12" s="240">
        <f>'Prod. GEXCAN'!M10</f>
        <v>133.22999999999999</v>
      </c>
      <c r="X12" s="241">
        <f>'GEXCAN Limp.Ord.'!H$194</f>
        <v>0</v>
      </c>
      <c r="Y12" s="240">
        <f>'Prod. GEXCAN'!N10</f>
        <v>133.22999999999999</v>
      </c>
      <c r="Z12" s="241">
        <f>'GEXCAN Limp.Ord.'!H$197</f>
        <v>0</v>
      </c>
      <c r="AA12" s="242">
        <f t="shared" si="0"/>
        <v>0</v>
      </c>
      <c r="AB12" s="243">
        <f>('GEXCAN Covid'!C$131*'Prod. GEXCAN'!T10)+('GEXCAN Covid'!D$131*'Prod. GEXCAN'!U10)</f>
        <v>0</v>
      </c>
      <c r="AC12" s="244">
        <f>'GEXCAN Limp.Ord.'!C$141*'Prod. GEXCAN'!V10</f>
        <v>0</v>
      </c>
      <c r="AD12" s="245">
        <f>'GEXCAN Covid'!C$136*'Prod. GEXCAN'!W10</f>
        <v>0</v>
      </c>
      <c r="AE12" s="246"/>
    </row>
    <row r="13" spans="1:1024" s="210" customFormat="1" x14ac:dyDescent="0.25">
      <c r="A13" s="236" t="s">
        <v>94</v>
      </c>
      <c r="B13" s="237" t="s">
        <v>371</v>
      </c>
      <c r="C13" s="238" t="s">
        <v>372</v>
      </c>
      <c r="D13" s="239">
        <f>MC!C78</f>
        <v>0</v>
      </c>
      <c r="E13" s="240">
        <f>'Prod. GEXCAN'!D11</f>
        <v>436.71599999999984</v>
      </c>
      <c r="F13" s="241">
        <f>'GEXCAN Limp.Ord.'!D$149</f>
        <v>0</v>
      </c>
      <c r="G13" s="240">
        <f>'Prod. GEXCAN'!E11</f>
        <v>892.58400000000006</v>
      </c>
      <c r="H13" s="241">
        <f>'GEXCAN Limp.Ord.'!D$155</f>
        <v>0</v>
      </c>
      <c r="I13" s="240">
        <f>'Prod. GEXCAN'!F11</f>
        <v>50</v>
      </c>
      <c r="J13" s="241">
        <f>'GEXCAN Limp.Ord.'!D$161</f>
        <v>0</v>
      </c>
      <c r="K13" s="240">
        <f>'Prod. GEXCAN'!G11</f>
        <v>30</v>
      </c>
      <c r="L13" s="241">
        <f>'GEXCAN Limp.Ord.'!D$167</f>
        <v>0</v>
      </c>
      <c r="M13" s="240">
        <f>'Prod. GEXCAN'!H11</f>
        <v>22.3</v>
      </c>
      <c r="N13" s="241">
        <f>'GEXCAN Limp.Ord.'!D$173</f>
        <v>0</v>
      </c>
      <c r="O13" s="240">
        <f>'Prod. GEXCAN'!I11</f>
        <v>37.83</v>
      </c>
      <c r="P13" s="241">
        <f>'GEXCAN Limp.Ord.'!D$179</f>
        <v>0</v>
      </c>
      <c r="Q13" s="240">
        <f>'Prod. GEXCAN'!J11</f>
        <v>0</v>
      </c>
      <c r="R13" s="241">
        <f>'GEXCAN Limp.Ord.'!D$182</f>
        <v>0</v>
      </c>
      <c r="S13" s="240">
        <f>'Prod. GEXCAN'!K11</f>
        <v>210.17000000000002</v>
      </c>
      <c r="T13" s="241">
        <f>'GEXCAN Limp.Ord.'!D$185</f>
        <v>0</v>
      </c>
      <c r="U13" s="240">
        <f>'Prod. GEXCAN'!L11</f>
        <v>0</v>
      </c>
      <c r="V13" s="241">
        <f>'GEXCAN Limp.Ord.'!D$191</f>
        <v>0</v>
      </c>
      <c r="W13" s="240">
        <f>'Prod. GEXCAN'!M11</f>
        <v>152.55000000000001</v>
      </c>
      <c r="X13" s="241">
        <f>'GEXCAN Limp.Ord.'!D$194</f>
        <v>0</v>
      </c>
      <c r="Y13" s="240">
        <f>'Prod. GEXCAN'!N11</f>
        <v>152.55000000000001</v>
      </c>
      <c r="Z13" s="241">
        <f>'GEXCAN Limp.Ord.'!D$197</f>
        <v>0</v>
      </c>
      <c r="AA13" s="242">
        <f t="shared" si="0"/>
        <v>0</v>
      </c>
      <c r="AB13" s="247">
        <f>('GEXCAN Covid'!C$129*'Prod. GEXCAN'!T11)+('GEXCAN Covid'!D$129*'Prod. GEXCAN'!U11)</f>
        <v>0</v>
      </c>
      <c r="AC13" s="248">
        <f>'GEXCAN Limp.Ord.'!C$139*'Prod. GEXCAN'!V11</f>
        <v>0</v>
      </c>
      <c r="AD13" s="249">
        <f>'GEXCAN Covid'!C$134*'Prod. GEXCAN'!W11</f>
        <v>0</v>
      </c>
      <c r="AE13" s="250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210" customFormat="1" x14ac:dyDescent="0.25">
      <c r="A14" s="236" t="s">
        <v>96</v>
      </c>
      <c r="B14" s="237" t="s">
        <v>373</v>
      </c>
      <c r="C14" s="238" t="s">
        <v>374</v>
      </c>
      <c r="D14" s="239">
        <f>MC!C79</f>
        <v>0</v>
      </c>
      <c r="E14" s="240">
        <f>'Prod. GEXCAN'!D12</f>
        <v>715.51200000000017</v>
      </c>
      <c r="F14" s="241">
        <f>'GEXCAN Limp.Ord.'!D$149</f>
        <v>0</v>
      </c>
      <c r="G14" s="240">
        <f>'Prod. GEXCAN'!E12</f>
        <v>305.36799999999999</v>
      </c>
      <c r="H14" s="241">
        <f>'GEXCAN Limp.Ord.'!D$155</f>
        <v>0</v>
      </c>
      <c r="I14" s="240">
        <f>'Prod. GEXCAN'!F12</f>
        <v>48.75</v>
      </c>
      <c r="J14" s="241">
        <f>'GEXCAN Limp.Ord.'!D$161</f>
        <v>0</v>
      </c>
      <c r="K14" s="240">
        <f>'Prod. GEXCAN'!G12</f>
        <v>29.67</v>
      </c>
      <c r="L14" s="241">
        <f>'GEXCAN Limp.Ord.'!D$167</f>
        <v>0</v>
      </c>
      <c r="M14" s="240">
        <f>'Prod. GEXCAN'!H12</f>
        <v>172.1</v>
      </c>
      <c r="N14" s="241">
        <f>'GEXCAN Limp.Ord.'!D$173</f>
        <v>0</v>
      </c>
      <c r="O14" s="240">
        <f>'Prod. GEXCAN'!I12</f>
        <v>0</v>
      </c>
      <c r="P14" s="241">
        <f>'GEXCAN Limp.Ord.'!D$179</f>
        <v>0</v>
      </c>
      <c r="Q14" s="240">
        <f>'Prod. GEXCAN'!J12</f>
        <v>195</v>
      </c>
      <c r="R14" s="241">
        <f>'GEXCAN Limp.Ord.'!D$182</f>
        <v>0</v>
      </c>
      <c r="S14" s="240">
        <f>'Prod. GEXCAN'!K12</f>
        <v>233</v>
      </c>
      <c r="T14" s="241">
        <f>'GEXCAN Limp.Ord.'!D$185</f>
        <v>0</v>
      </c>
      <c r="U14" s="240">
        <f>'Prod. GEXCAN'!L12</f>
        <v>0</v>
      </c>
      <c r="V14" s="241">
        <f>'GEXCAN Limp.Ord.'!D$191</f>
        <v>0</v>
      </c>
      <c r="W14" s="240">
        <f>'Prod. GEXCAN'!M12</f>
        <v>138</v>
      </c>
      <c r="X14" s="241">
        <f>'GEXCAN Limp.Ord.'!D$194</f>
        <v>0</v>
      </c>
      <c r="Y14" s="240">
        <f>'Prod. GEXCAN'!N12</f>
        <v>138</v>
      </c>
      <c r="Z14" s="241">
        <f>'GEXCAN Limp.Ord.'!D$197</f>
        <v>0</v>
      </c>
      <c r="AA14" s="242">
        <f t="shared" si="0"/>
        <v>0</v>
      </c>
      <c r="AB14" s="247">
        <f>('GEXCAN Covid'!C$129*'Prod. GEXCAN'!T12)+('GEXCAN Covid'!D$129*'Prod. GEXCAN'!U12)</f>
        <v>0</v>
      </c>
      <c r="AC14" s="248">
        <f>'GEXCAN Limp.Ord.'!C$139*'Prod. GEXCAN'!V12</f>
        <v>0</v>
      </c>
      <c r="AD14" s="249">
        <f>'GEXCAN Covid'!C$134*'Prod. GEXCAN'!W12</f>
        <v>0</v>
      </c>
      <c r="AE14" s="250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10" customFormat="1" x14ac:dyDescent="0.25">
      <c r="A15" s="236" t="s">
        <v>98</v>
      </c>
      <c r="B15" s="237" t="s">
        <v>375</v>
      </c>
      <c r="C15" s="238" t="s">
        <v>376</v>
      </c>
      <c r="D15" s="239">
        <f>MC!C80</f>
        <v>0</v>
      </c>
      <c r="E15" s="240">
        <f>'Prod. GEXCAN'!D13</f>
        <v>0</v>
      </c>
      <c r="F15" s="241">
        <f>'GEXCAN Limp.Ord.'!D$149</f>
        <v>0</v>
      </c>
      <c r="G15" s="240">
        <f>'Prod. GEXCAN'!E13</f>
        <v>980</v>
      </c>
      <c r="H15" s="241">
        <f>'GEXCAN Limp.Ord.'!D$155</f>
        <v>0</v>
      </c>
      <c r="I15" s="240">
        <f>'Prod. GEXCAN'!F13</f>
        <v>0</v>
      </c>
      <c r="J15" s="241">
        <f>'GEXCAN Limp.Ord.'!D$161</f>
        <v>0</v>
      </c>
      <c r="K15" s="240">
        <f>'Prod. GEXCAN'!G13</f>
        <v>0</v>
      </c>
      <c r="L15" s="241">
        <f>'GEXCAN Limp.Ord.'!D$167</f>
        <v>0</v>
      </c>
      <c r="M15" s="240">
        <f>'Prod. GEXCAN'!H13</f>
        <v>0</v>
      </c>
      <c r="N15" s="241">
        <f>'GEXCAN Limp.Ord.'!D$173</f>
        <v>0</v>
      </c>
      <c r="O15" s="240">
        <f>'Prod. GEXCAN'!I13</f>
        <v>0</v>
      </c>
      <c r="P15" s="241">
        <f>'GEXCAN Limp.Ord.'!D$179</f>
        <v>0</v>
      </c>
      <c r="Q15" s="240">
        <f>'Prod. GEXCAN'!J13</f>
        <v>0</v>
      </c>
      <c r="R15" s="241">
        <f>'GEXCAN Limp.Ord.'!D$182</f>
        <v>0</v>
      </c>
      <c r="S15" s="240">
        <f>'Prod. GEXCAN'!K13</f>
        <v>0</v>
      </c>
      <c r="T15" s="241">
        <f>'GEXCAN Limp.Ord.'!D$185</f>
        <v>0</v>
      </c>
      <c r="U15" s="240">
        <f>'Prod. GEXCAN'!L13</f>
        <v>0</v>
      </c>
      <c r="V15" s="241">
        <f>'GEXCAN Limp.Ord.'!D$191</f>
        <v>0</v>
      </c>
      <c r="W15" s="240">
        <f>'Prod. GEXCAN'!M13</f>
        <v>0</v>
      </c>
      <c r="X15" s="241">
        <f>'GEXCAN Limp.Ord.'!D$194</f>
        <v>0</v>
      </c>
      <c r="Y15" s="240">
        <f>'Prod. GEXCAN'!N13</f>
        <v>0</v>
      </c>
      <c r="Z15" s="241">
        <f>'GEXCAN Limp.Ord.'!D$197</f>
        <v>0</v>
      </c>
      <c r="AA15" s="242">
        <f t="shared" si="0"/>
        <v>0</v>
      </c>
      <c r="AB15" s="247">
        <f>('GEXCAN Covid'!C$129*'Prod. GEXCAN'!T13)+('GEXCAN Covid'!D$129*'Prod. GEXCAN'!U13)</f>
        <v>0</v>
      </c>
      <c r="AC15" s="248">
        <f>'GEXCAN Limp.Ord.'!C$139*'Prod. GEXCAN'!V13</f>
        <v>0</v>
      </c>
      <c r="AD15" s="249">
        <f>'GEXCAN Covid'!C$134*'Prod. GEXCAN'!W13</f>
        <v>0</v>
      </c>
      <c r="AE15" s="250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4.25" x14ac:dyDescent="0.2">
      <c r="A16" s="236" t="s">
        <v>100</v>
      </c>
      <c r="B16" s="237" t="s">
        <v>377</v>
      </c>
      <c r="C16" s="238" t="s">
        <v>378</v>
      </c>
      <c r="D16" s="239">
        <f>MC!C81</f>
        <v>0</v>
      </c>
      <c r="E16" s="240">
        <f>'Prod. GEXCAN'!D14</f>
        <v>-468.58199999999999</v>
      </c>
      <c r="F16" s="241">
        <f>'GEXCAN Limp.Ord.'!H$149</f>
        <v>0</v>
      </c>
      <c r="G16" s="240">
        <f>'Prod. GEXCAN'!E14</f>
        <v>813.79200000000003</v>
      </c>
      <c r="H16" s="241">
        <f>'GEXCAN Limp.Ord.'!H$155</f>
        <v>0</v>
      </c>
      <c r="I16" s="240">
        <f>'Prod. GEXCAN'!F14</f>
        <v>42.85</v>
      </c>
      <c r="J16" s="241">
        <f>'GEXCAN Limp.Ord.'!H$161</f>
        <v>0</v>
      </c>
      <c r="K16" s="240">
        <f>'Prod. GEXCAN'!G14</f>
        <v>49.96</v>
      </c>
      <c r="L16" s="241">
        <f>'GEXCAN Limp.Ord.'!H$167</f>
        <v>0</v>
      </c>
      <c r="M16" s="240">
        <f>'Prod. GEXCAN'!H14</f>
        <v>42.4</v>
      </c>
      <c r="N16" s="241">
        <f>'GEXCAN Limp.Ord.'!H$173</f>
        <v>0</v>
      </c>
      <c r="O16" s="240">
        <f>'Prod. GEXCAN'!I14</f>
        <v>74</v>
      </c>
      <c r="P16" s="241">
        <f>'GEXCAN Limp.Ord.'!H$179</f>
        <v>0</v>
      </c>
      <c r="Q16" s="240">
        <f>'Prod. GEXCAN'!J14</f>
        <v>579</v>
      </c>
      <c r="R16" s="241">
        <f>'GEXCAN Limp.Ord.'!H$182</f>
        <v>0</v>
      </c>
      <c r="S16" s="240">
        <f>'Prod. GEXCAN'!K14</f>
        <v>681</v>
      </c>
      <c r="T16" s="241">
        <f>'GEXCAN Limp.Ord.'!H$185</f>
        <v>0</v>
      </c>
      <c r="U16" s="240">
        <f>'Prod. GEXCAN'!L14</f>
        <v>0</v>
      </c>
      <c r="V16" s="241">
        <f>'GEXCAN Limp.Ord.'!H$191</f>
        <v>0</v>
      </c>
      <c r="W16" s="240">
        <f>'Prod. GEXCAN'!M14</f>
        <v>42.1</v>
      </c>
      <c r="X16" s="241">
        <f>'GEXCAN Limp.Ord.'!H$194</f>
        <v>0</v>
      </c>
      <c r="Y16" s="240">
        <f>'Prod. GEXCAN'!N14</f>
        <v>42.1</v>
      </c>
      <c r="Z16" s="241">
        <f>'GEXCAN Limp.Ord.'!H$197</f>
        <v>0</v>
      </c>
      <c r="AA16" s="242">
        <f t="shared" si="0"/>
        <v>0</v>
      </c>
      <c r="AB16" s="243">
        <f>('GEXCAN Covid'!C$131*'Prod. GEXCAN'!T14)+('GEXCAN Covid'!D$131*'Prod. GEXCAN'!U14)</f>
        <v>0</v>
      </c>
      <c r="AC16" s="244">
        <f>'GEXCAN Limp.Ord.'!C$141*'Prod. GEXCAN'!V14</f>
        <v>0</v>
      </c>
      <c r="AD16" s="245">
        <f>'GEXCAN Covid'!C$136*'Prod. GEXCAN'!W14</f>
        <v>0</v>
      </c>
      <c r="AE16" s="246"/>
    </row>
    <row r="17" spans="1:1012" ht="14.25" x14ac:dyDescent="0.2">
      <c r="A17" s="236" t="s">
        <v>102</v>
      </c>
      <c r="B17" s="237" t="s">
        <v>379</v>
      </c>
      <c r="C17" s="238" t="s">
        <v>380</v>
      </c>
      <c r="D17" s="239">
        <f>MC!C82</f>
        <v>0</v>
      </c>
      <c r="E17" s="240">
        <f>'Prod. GEXCAN'!D15</f>
        <v>0</v>
      </c>
      <c r="F17" s="241">
        <f>'GEXCAN Limp.Ord.'!H$149</f>
        <v>0</v>
      </c>
      <c r="G17" s="240">
        <f>'Prod. GEXCAN'!E15</f>
        <v>980</v>
      </c>
      <c r="H17" s="241">
        <f>'GEXCAN Limp.Ord.'!H$155</f>
        <v>0</v>
      </c>
      <c r="I17" s="240">
        <f>'Prod. GEXCAN'!F15</f>
        <v>0</v>
      </c>
      <c r="J17" s="241">
        <f>'GEXCAN Limp.Ord.'!H$161</f>
        <v>0</v>
      </c>
      <c r="K17" s="240">
        <f>'Prod. GEXCAN'!G15</f>
        <v>0</v>
      </c>
      <c r="L17" s="241">
        <f>'GEXCAN Limp.Ord.'!H$167</f>
        <v>0</v>
      </c>
      <c r="M17" s="240">
        <f>'Prod. GEXCAN'!H15</f>
        <v>0</v>
      </c>
      <c r="N17" s="241">
        <f>'GEXCAN Limp.Ord.'!H$173</f>
        <v>0</v>
      </c>
      <c r="O17" s="240">
        <f>'Prod. GEXCAN'!I15</f>
        <v>0</v>
      </c>
      <c r="P17" s="241">
        <f>'GEXCAN Limp.Ord.'!H$179</f>
        <v>0</v>
      </c>
      <c r="Q17" s="240">
        <f>'Prod. GEXCAN'!J15</f>
        <v>0</v>
      </c>
      <c r="R17" s="241">
        <f>'GEXCAN Limp.Ord.'!H$182</f>
        <v>0</v>
      </c>
      <c r="S17" s="240">
        <f>'Prod. GEXCAN'!K15</f>
        <v>0</v>
      </c>
      <c r="T17" s="241">
        <f>'GEXCAN Limp.Ord.'!H$185</f>
        <v>0</v>
      </c>
      <c r="U17" s="240">
        <f>'Prod. GEXCAN'!L15</f>
        <v>0</v>
      </c>
      <c r="V17" s="241">
        <f>'GEXCAN Limp.Ord.'!H$191</f>
        <v>0</v>
      </c>
      <c r="W17" s="240">
        <f>'Prod. GEXCAN'!M15</f>
        <v>0</v>
      </c>
      <c r="X17" s="241">
        <f>'GEXCAN Limp.Ord.'!H$194</f>
        <v>0</v>
      </c>
      <c r="Y17" s="240">
        <f>'Prod. GEXCAN'!N15</f>
        <v>0</v>
      </c>
      <c r="Z17" s="241">
        <f>'GEXCAN Limp.Ord.'!H$197</f>
        <v>0</v>
      </c>
      <c r="AA17" s="242">
        <f t="shared" si="0"/>
        <v>0</v>
      </c>
      <c r="AB17" s="243">
        <f>('GEXCAN Covid'!C$131*'Prod. GEXCAN'!T15)+('GEXCAN Covid'!D$131*'Prod. GEXCAN'!U15)</f>
        <v>0</v>
      </c>
      <c r="AC17" s="244">
        <f>'GEXCAN Limp.Ord.'!C$141*'Prod. GEXCAN'!V15</f>
        <v>0</v>
      </c>
      <c r="AD17" s="245">
        <f>'GEXCAN Covid'!C$136*'Prod. GEXCAN'!W15</f>
        <v>0</v>
      </c>
      <c r="AE17" s="246"/>
    </row>
    <row r="18" spans="1:1012" ht="14.25" x14ac:dyDescent="0.2">
      <c r="A18" s="251" t="s">
        <v>104</v>
      </c>
      <c r="B18" s="252" t="s">
        <v>381</v>
      </c>
      <c r="C18" s="253" t="s">
        <v>382</v>
      </c>
      <c r="D18" s="254">
        <f>MC!C83</f>
        <v>0</v>
      </c>
      <c r="E18" s="255">
        <f>'Prod. GEXCAN'!D16</f>
        <v>0</v>
      </c>
      <c r="F18" s="256">
        <f>'GEXCAN Limp.Ord.'!H$149</f>
        <v>0</v>
      </c>
      <c r="G18" s="255">
        <f>'Prod. GEXCAN'!E16</f>
        <v>980</v>
      </c>
      <c r="H18" s="256">
        <f>'GEXCAN Limp.Ord.'!H$155</f>
        <v>0</v>
      </c>
      <c r="I18" s="255">
        <f>'Prod. GEXCAN'!F16</f>
        <v>0</v>
      </c>
      <c r="J18" s="256">
        <f>'GEXCAN Limp.Ord.'!H$161</f>
        <v>0</v>
      </c>
      <c r="K18" s="255">
        <f>'Prod. GEXCAN'!G16</f>
        <v>0</v>
      </c>
      <c r="L18" s="256">
        <f>'GEXCAN Limp.Ord.'!H$167</f>
        <v>0</v>
      </c>
      <c r="M18" s="255">
        <f>'Prod. GEXCAN'!H16</f>
        <v>0</v>
      </c>
      <c r="N18" s="256">
        <f>'GEXCAN Limp.Ord.'!H$173</f>
        <v>0</v>
      </c>
      <c r="O18" s="255">
        <f>'Prod. GEXCAN'!I16</f>
        <v>0</v>
      </c>
      <c r="P18" s="256">
        <f>'GEXCAN Limp.Ord.'!H$179</f>
        <v>0</v>
      </c>
      <c r="Q18" s="255">
        <f>'Prod. GEXCAN'!J16</f>
        <v>0</v>
      </c>
      <c r="R18" s="256">
        <f>'GEXCAN Limp.Ord.'!H$182</f>
        <v>0</v>
      </c>
      <c r="S18" s="255">
        <f>'Prod. GEXCAN'!K16</f>
        <v>0</v>
      </c>
      <c r="T18" s="256">
        <f>'GEXCAN Limp.Ord.'!H$185</f>
        <v>0</v>
      </c>
      <c r="U18" s="255">
        <f>'Prod. GEXCAN'!L16</f>
        <v>0</v>
      </c>
      <c r="V18" s="256">
        <f>'GEXCAN Limp.Ord.'!H$191</f>
        <v>0</v>
      </c>
      <c r="W18" s="255">
        <f>'Prod. GEXCAN'!M16</f>
        <v>0</v>
      </c>
      <c r="X18" s="256">
        <f>'GEXCAN Limp.Ord.'!H$194</f>
        <v>0</v>
      </c>
      <c r="Y18" s="255">
        <f>'Prod. GEXCAN'!N16</f>
        <v>0</v>
      </c>
      <c r="Z18" s="256">
        <f>'GEXCAN Limp.Ord.'!H$197</f>
        <v>0</v>
      </c>
      <c r="AA18" s="257">
        <f t="shared" si="0"/>
        <v>0</v>
      </c>
      <c r="AB18" s="258">
        <f>('GEXCAN Covid'!C$131*'Prod. GEXCAN'!T16)+('GEXCAN Covid'!D$131*'Prod. GEXCAN'!U16)</f>
        <v>0</v>
      </c>
      <c r="AC18" s="259">
        <f>'GEXCAN Limp.Ord.'!C$141*'Prod. GEXCAN'!V16</f>
        <v>0</v>
      </c>
      <c r="AD18" s="260">
        <f>'GEXCAN Covid'!C$136*'Prod. GEXCAN'!W16</f>
        <v>0</v>
      </c>
      <c r="AE18" s="261"/>
    </row>
    <row r="19" spans="1:1012" ht="14.25" customHeight="1" x14ac:dyDescent="0.2">
      <c r="A19" s="831"/>
      <c r="B19" s="831"/>
      <c r="C19" s="831"/>
      <c r="D19" s="831"/>
      <c r="E19" s="262">
        <f>SUM(E6:E18)</f>
        <v>3103.0459999999998</v>
      </c>
      <c r="F19" s="263"/>
      <c r="G19" s="262">
        <f>SUM(G6:G18)</f>
        <v>10623.984</v>
      </c>
      <c r="H19" s="263"/>
      <c r="I19" s="264">
        <f>SUM(I6:I18)</f>
        <v>652.45000000000005</v>
      </c>
      <c r="J19" s="265"/>
      <c r="K19" s="264">
        <f>SUM(K6:K18)</f>
        <v>267.91999999999996</v>
      </c>
      <c r="L19" s="265"/>
      <c r="M19" s="264">
        <f>SUM(M6:M18)</f>
        <v>539.79999999999995</v>
      </c>
      <c r="N19" s="265"/>
      <c r="O19" s="264">
        <f>SUM(O6:O18)</f>
        <v>820.80000000000007</v>
      </c>
      <c r="P19" s="265"/>
      <c r="Q19" s="266">
        <f>SUM(Q6:Q18)</f>
        <v>2467.7799999999997</v>
      </c>
      <c r="R19" s="265"/>
      <c r="S19" s="264">
        <f>SUM(S6:S18)</f>
        <v>3182.52</v>
      </c>
      <c r="T19" s="265"/>
      <c r="U19" s="264">
        <f>SUM(U6:U18)</f>
        <v>91.656000000000006</v>
      </c>
      <c r="V19" s="267"/>
      <c r="W19" s="266">
        <f>SUM(W6:W18)</f>
        <v>846.48000000000013</v>
      </c>
      <c r="X19" s="265"/>
      <c r="Y19" s="268">
        <f>SUM(Y6:Y18)</f>
        <v>846.48000000000013</v>
      </c>
      <c r="Z19" s="265"/>
      <c r="AA19" s="265">
        <f>SUM(AA6:AA18)</f>
        <v>0</v>
      </c>
      <c r="AB19" s="269">
        <f>SUM(AB6:AB18)</f>
        <v>0</v>
      </c>
      <c r="AC19" s="268">
        <f>SUM(AC6:AC18)</f>
        <v>0</v>
      </c>
      <c r="AD19" s="269">
        <f>SUM(AD6:AD18)</f>
        <v>0</v>
      </c>
      <c r="AE19" s="265">
        <f>SUM(AE6:AE18)</f>
        <v>0</v>
      </c>
      <c r="ALN19" s="270"/>
      <c r="ALO19" s="270"/>
      <c r="ALP19" s="270"/>
      <c r="ALQ19" s="270"/>
      <c r="ALR19" s="270"/>
      <c r="ALS19" s="270"/>
      <c r="ALT19" s="270"/>
      <c r="ALU19" s="270"/>
      <c r="ALV19" s="270"/>
      <c r="ALW19" s="270"/>
      <c r="ALX19" s="270"/>
    </row>
    <row r="20" spans="1:1012" ht="14.25" x14ac:dyDescent="0.2">
      <c r="A20" s="225" t="s">
        <v>81</v>
      </c>
      <c r="B20" s="271" t="s">
        <v>383</v>
      </c>
      <c r="C20" s="272" t="s">
        <v>384</v>
      </c>
      <c r="D20" s="273">
        <f>MC!J71</f>
        <v>0</v>
      </c>
      <c r="E20" s="229">
        <f>'Prod. GEXNHB'!D4</f>
        <v>0</v>
      </c>
      <c r="F20" s="230">
        <f>'GEXNHB Limp.Ord. '!D$156</f>
        <v>0</v>
      </c>
      <c r="G20" s="274">
        <f>'Prod. GEXNHB'!E4</f>
        <v>825</v>
      </c>
      <c r="H20" s="230">
        <f>'GEXNHB Limp.Ord. '!D$162</f>
        <v>0</v>
      </c>
      <c r="I20" s="274">
        <f>'Prod. GEXNHB'!F4</f>
        <v>0</v>
      </c>
      <c r="J20" s="275">
        <f>'GEXNHB Limp.Ord. '!D$168</f>
        <v>0</v>
      </c>
      <c r="K20" s="274">
        <f>'Prod. GEXNHB'!G4</f>
        <v>0</v>
      </c>
      <c r="L20" s="275">
        <f>'GEXNHB Limp.Ord. '!D$174</f>
        <v>0</v>
      </c>
      <c r="M20" s="274">
        <f>'Prod. GEXNHB'!H4</f>
        <v>0</v>
      </c>
      <c r="N20" s="275">
        <f>'GEXNHB Limp.Ord. '!D$180</f>
        <v>0</v>
      </c>
      <c r="O20" s="274">
        <f>'Prod. GEXNHB'!I4</f>
        <v>0</v>
      </c>
      <c r="P20" s="275">
        <f>'GEXNHB Limp.Ord. '!D$186</f>
        <v>0</v>
      </c>
      <c r="Q20" s="274">
        <f>'Prod. GEXNHB'!J4</f>
        <v>0</v>
      </c>
      <c r="R20" s="275">
        <f>'GEXNHB Limp.Ord. '!D$189</f>
        <v>0</v>
      </c>
      <c r="S20" s="274">
        <f>'Prod. GEXNHB'!K4</f>
        <v>0</v>
      </c>
      <c r="T20" s="275">
        <f>'GEXNHB Limp.Ord. '!D$192</f>
        <v>0</v>
      </c>
      <c r="U20" s="276">
        <f>'Prod. GEXNHB'!L4</f>
        <v>82.1</v>
      </c>
      <c r="V20" s="275">
        <f>'GEXNHB Limp.Ord. '!D$198</f>
        <v>0</v>
      </c>
      <c r="W20" s="274">
        <f>'Prod. GEXNHB'!M4</f>
        <v>0</v>
      </c>
      <c r="X20" s="275">
        <f>'GEXNHB Limp.Ord. '!D$201</f>
        <v>0</v>
      </c>
      <c r="Y20" s="274">
        <f>'Prod. GEXNHB'!N4</f>
        <v>0</v>
      </c>
      <c r="Z20" s="275">
        <f>'GEXNHB Limp.Ord. '!H204</f>
        <v>0</v>
      </c>
      <c r="AA20" s="231">
        <f t="shared" ref="AA20:AA37" si="1">(E20*F20)+(G20*H20)+(I20*J20)+(K20*L20)+(M20*N20)+(O20*P20)+(Q20*R20)+(S20*T20)+(U20*V20)+(W20*X20)+(Y20*Z20)</f>
        <v>0</v>
      </c>
      <c r="AB20" s="232">
        <f>('GEXNHB Covid '!C$134*'Prod. GEXNHB'!V4)+('GEXNHB Covid '!D$134*'Prod. GEXNHB'!W4)</f>
        <v>0</v>
      </c>
      <c r="AC20" s="233">
        <f>'GEXNHB Limp.Ord. '!C$145*'Prod. GEXNHB'!X4</f>
        <v>0</v>
      </c>
      <c r="AD20" s="234">
        <f>'GEXNHB Covid '!C$140*'Prod. GEXNHB'!Y4</f>
        <v>0</v>
      </c>
      <c r="AE20" s="235">
        <f>MC!C15*'Prod. GEXNHB'!Z4</f>
        <v>0</v>
      </c>
      <c r="ALN20" s="270"/>
      <c r="ALO20" s="270"/>
      <c r="ALP20" s="270"/>
      <c r="ALQ20" s="270"/>
      <c r="ALR20" s="270"/>
      <c r="ALS20" s="270"/>
      <c r="ALT20" s="270"/>
      <c r="ALU20" s="270"/>
      <c r="ALV20" s="270"/>
      <c r="ALW20" s="270"/>
      <c r="ALX20" s="270"/>
    </row>
    <row r="21" spans="1:1012" ht="14.25" x14ac:dyDescent="0.2">
      <c r="A21" s="236" t="s">
        <v>83</v>
      </c>
      <c r="B21" s="277" t="s">
        <v>385</v>
      </c>
      <c r="C21" s="238" t="s">
        <v>384</v>
      </c>
      <c r="D21" s="278">
        <f>MC!J72</f>
        <v>0</v>
      </c>
      <c r="E21" s="240">
        <f>'Prod. GEXNHB'!D5</f>
        <v>0</v>
      </c>
      <c r="F21" s="241">
        <f>'GEXNHB Limp.Ord. '!D$156</f>
        <v>0</v>
      </c>
      <c r="G21" s="279">
        <f>'Prod. GEXNHB'!E5</f>
        <v>550</v>
      </c>
      <c r="H21" s="241">
        <f>'GEXNHB Limp.Ord. '!D$162</f>
        <v>0</v>
      </c>
      <c r="I21" s="279">
        <f>'Prod. GEXNHB'!F5</f>
        <v>0</v>
      </c>
      <c r="J21" s="280">
        <f>'GEXNHB Limp.Ord. '!D$168</f>
        <v>0</v>
      </c>
      <c r="K21" s="279">
        <f>'Prod. GEXNHB'!G5</f>
        <v>0</v>
      </c>
      <c r="L21" s="280">
        <f>'GEXNHB Limp.Ord. '!D$174</f>
        <v>0</v>
      </c>
      <c r="M21" s="279">
        <f>'Prod. GEXNHB'!H5</f>
        <v>0</v>
      </c>
      <c r="N21" s="280">
        <f>'GEXNHB Limp.Ord. '!D$180</f>
        <v>0</v>
      </c>
      <c r="O21" s="279">
        <f>'Prod. GEXNHB'!I5</f>
        <v>0</v>
      </c>
      <c r="P21" s="280">
        <f>'GEXNHB Limp.Ord. '!D$186</f>
        <v>0</v>
      </c>
      <c r="Q21" s="279">
        <f>'Prod. GEXNHB'!J5</f>
        <v>0</v>
      </c>
      <c r="R21" s="280">
        <f>'GEXNHB Limp.Ord. '!D$189</f>
        <v>0</v>
      </c>
      <c r="S21" s="279">
        <f>'Prod. GEXNHB'!K5</f>
        <v>0</v>
      </c>
      <c r="T21" s="280">
        <f>'GEXNHB Limp.Ord. '!D$192</f>
        <v>0</v>
      </c>
      <c r="U21" s="281">
        <f>'Prod. GEXNHB'!L5</f>
        <v>0</v>
      </c>
      <c r="V21" s="280">
        <f>'GEXNHB Limp.Ord. '!D$198</f>
        <v>0</v>
      </c>
      <c r="W21" s="279">
        <f>'Prod. GEXNHB'!M5</f>
        <v>0</v>
      </c>
      <c r="X21" s="280">
        <f>'GEXNHB Limp.Ord. '!D$201</f>
        <v>0</v>
      </c>
      <c r="Y21" s="279">
        <f>'Prod. GEXNHB'!N5</f>
        <v>0</v>
      </c>
      <c r="Z21" s="280">
        <f>'GEXNHB Limp.Ord. '!H205</f>
        <v>0</v>
      </c>
      <c r="AA21" s="242">
        <f t="shared" si="1"/>
        <v>0</v>
      </c>
      <c r="AB21" s="243">
        <f>('GEXNHB Covid '!C$134*'Prod. GEXNHB'!V5)+('GEXNHB Covid '!D$134*'Prod. GEXNHB'!W5)</f>
        <v>0</v>
      </c>
      <c r="AC21" s="244">
        <f>'GEXNHB Limp.Ord. '!C$145*'Prod. GEXNHB'!X5</f>
        <v>0</v>
      </c>
      <c r="AD21" s="245">
        <f>'GEXNHB Covid '!C$140*'Prod. GEXNHB'!Y5</f>
        <v>0</v>
      </c>
      <c r="AE21" s="246"/>
      <c r="ALN21" s="270"/>
      <c r="ALO21" s="270"/>
      <c r="ALP21" s="270"/>
      <c r="ALQ21" s="270"/>
      <c r="ALR21" s="270"/>
      <c r="ALS21" s="270"/>
      <c r="ALT21" s="270"/>
      <c r="ALU21" s="270"/>
      <c r="ALV21" s="270"/>
      <c r="ALW21" s="270"/>
      <c r="ALX21" s="270"/>
    </row>
    <row r="22" spans="1:1012" ht="14.25" x14ac:dyDescent="0.2">
      <c r="A22" s="236" t="s">
        <v>85</v>
      </c>
      <c r="B22" s="277" t="s">
        <v>386</v>
      </c>
      <c r="C22" s="238" t="s">
        <v>387</v>
      </c>
      <c r="D22" s="278">
        <f>MC!J73</f>
        <v>0</v>
      </c>
      <c r="E22" s="240">
        <f>'Prod. GEXNHB'!D6</f>
        <v>0</v>
      </c>
      <c r="F22" s="241">
        <f>'GEXNHB Limp.Ord. '!D$156</f>
        <v>0</v>
      </c>
      <c r="G22" s="279">
        <f>'Prod. GEXNHB'!E6</f>
        <v>825</v>
      </c>
      <c r="H22" s="241">
        <f>'GEXNHB Limp.Ord. '!D$162</f>
        <v>0</v>
      </c>
      <c r="I22" s="279">
        <f>'Prod. GEXNHB'!F6</f>
        <v>0</v>
      </c>
      <c r="J22" s="280">
        <f>'GEXNHB Limp.Ord. '!D$168</f>
        <v>0</v>
      </c>
      <c r="K22" s="279">
        <f>'Prod. GEXNHB'!G6</f>
        <v>0</v>
      </c>
      <c r="L22" s="280">
        <f>'GEXNHB Limp.Ord. '!D$174</f>
        <v>0</v>
      </c>
      <c r="M22" s="279">
        <f>'Prod. GEXNHB'!H6</f>
        <v>0</v>
      </c>
      <c r="N22" s="280">
        <f>'GEXNHB Limp.Ord. '!D$180</f>
        <v>0</v>
      </c>
      <c r="O22" s="279">
        <f>'Prod. GEXNHB'!I6</f>
        <v>0</v>
      </c>
      <c r="P22" s="280">
        <f>'GEXNHB Limp.Ord. '!D$186</f>
        <v>0</v>
      </c>
      <c r="Q22" s="279">
        <f>'Prod. GEXNHB'!J6</f>
        <v>0</v>
      </c>
      <c r="R22" s="280">
        <f>'GEXNHB Limp.Ord. '!D$189</f>
        <v>0</v>
      </c>
      <c r="S22" s="279">
        <f>'Prod. GEXNHB'!K6</f>
        <v>0</v>
      </c>
      <c r="T22" s="280">
        <f>'GEXNHB Limp.Ord. '!D$192</f>
        <v>0</v>
      </c>
      <c r="U22" s="281">
        <f>'Prod. GEXNHB'!L6</f>
        <v>0</v>
      </c>
      <c r="V22" s="280">
        <f>'GEXNHB Limp.Ord. '!D$198</f>
        <v>0</v>
      </c>
      <c r="W22" s="279">
        <f>'Prod. GEXNHB'!M6</f>
        <v>0</v>
      </c>
      <c r="X22" s="280">
        <f>'GEXNHB Limp.Ord. '!D$201</f>
        <v>0</v>
      </c>
      <c r="Y22" s="279">
        <f>'Prod. GEXNHB'!N6</f>
        <v>0</v>
      </c>
      <c r="Z22" s="280">
        <f>'GEXNHB Limp.Ord. '!H206</f>
        <v>0</v>
      </c>
      <c r="AA22" s="242">
        <f t="shared" si="1"/>
        <v>0</v>
      </c>
      <c r="AB22" s="243">
        <f>('GEXNHB Covid '!C$134*'Prod. GEXNHB'!V6)+('GEXNHB Covid '!D$134*'Prod. GEXNHB'!W6)</f>
        <v>0</v>
      </c>
      <c r="AC22" s="244">
        <f>'GEXNHB Limp.Ord. '!C$145*'Prod. GEXNHB'!X6</f>
        <v>0</v>
      </c>
      <c r="AD22" s="245">
        <f>'GEXNHB Covid '!C$140*'Prod. GEXNHB'!Y6</f>
        <v>0</v>
      </c>
      <c r="AE22" s="246"/>
      <c r="ALN22" s="270"/>
      <c r="ALO22" s="270"/>
      <c r="ALP22" s="270"/>
      <c r="ALQ22" s="270"/>
      <c r="ALR22" s="270"/>
      <c r="ALS22" s="270"/>
      <c r="ALT22" s="270"/>
      <c r="ALU22" s="270"/>
      <c r="ALV22" s="270"/>
      <c r="ALW22" s="270"/>
      <c r="ALX22" s="270"/>
    </row>
    <row r="23" spans="1:1012" ht="14.25" x14ac:dyDescent="0.2">
      <c r="A23" s="236" t="s">
        <v>87</v>
      </c>
      <c r="B23" s="277" t="s">
        <v>388</v>
      </c>
      <c r="C23" s="238" t="s">
        <v>389</v>
      </c>
      <c r="D23" s="278">
        <f>MC!J74</f>
        <v>0</v>
      </c>
      <c r="E23" s="240">
        <f>'Prod. GEXNHB'!D7</f>
        <v>0</v>
      </c>
      <c r="F23" s="241">
        <f>'GEXNHB Limp.Ord. '!D$156</f>
        <v>0</v>
      </c>
      <c r="G23" s="279">
        <f>'Prod. GEXNHB'!E7</f>
        <v>825</v>
      </c>
      <c r="H23" s="241">
        <f>'GEXNHB Limp.Ord. '!D$162</f>
        <v>0</v>
      </c>
      <c r="I23" s="279">
        <f>'Prod. GEXNHB'!F7</f>
        <v>0</v>
      </c>
      <c r="J23" s="280">
        <f>'GEXNHB Limp.Ord. '!D$168</f>
        <v>0</v>
      </c>
      <c r="K23" s="279">
        <f>'Prod. GEXNHB'!G7</f>
        <v>0</v>
      </c>
      <c r="L23" s="280">
        <f>'GEXNHB Limp.Ord. '!D$174</f>
        <v>0</v>
      </c>
      <c r="M23" s="279">
        <f>'Prod. GEXNHB'!H7</f>
        <v>0</v>
      </c>
      <c r="N23" s="280">
        <f>'GEXNHB Limp.Ord. '!D$180</f>
        <v>0</v>
      </c>
      <c r="O23" s="279">
        <f>'Prod. GEXNHB'!I7</f>
        <v>0</v>
      </c>
      <c r="P23" s="280">
        <f>'GEXNHB Limp.Ord. '!D$186</f>
        <v>0</v>
      </c>
      <c r="Q23" s="279">
        <f>'Prod. GEXNHB'!J7</f>
        <v>0</v>
      </c>
      <c r="R23" s="280">
        <f>'GEXNHB Limp.Ord. '!D$189</f>
        <v>0</v>
      </c>
      <c r="S23" s="279">
        <f>'Prod. GEXNHB'!K7</f>
        <v>0</v>
      </c>
      <c r="T23" s="280">
        <f>'GEXNHB Limp.Ord. '!D$192</f>
        <v>0</v>
      </c>
      <c r="U23" s="281">
        <f>'Prod. GEXNHB'!L7</f>
        <v>0</v>
      </c>
      <c r="V23" s="280">
        <f>'GEXNHB Limp.Ord. '!D$198</f>
        <v>0</v>
      </c>
      <c r="W23" s="279">
        <f>'Prod. GEXNHB'!M7</f>
        <v>0</v>
      </c>
      <c r="X23" s="280">
        <f>'GEXNHB Limp.Ord. '!D$201</f>
        <v>0</v>
      </c>
      <c r="Y23" s="279">
        <f>'Prod. GEXNHB'!N7</f>
        <v>0</v>
      </c>
      <c r="Z23" s="280">
        <f>'GEXNHB Limp.Ord. '!H207</f>
        <v>0</v>
      </c>
      <c r="AA23" s="242">
        <f t="shared" si="1"/>
        <v>0</v>
      </c>
      <c r="AB23" s="243">
        <f>('GEXNHB Covid '!C$134*'Prod. GEXNHB'!V7)+('GEXNHB Covid '!D$134*'Prod. GEXNHB'!W7)</f>
        <v>0</v>
      </c>
      <c r="AC23" s="244">
        <f>'GEXNHB Limp.Ord. '!C$145*'Prod. GEXNHB'!X7</f>
        <v>0</v>
      </c>
      <c r="AD23" s="245">
        <f>'GEXNHB Covid '!C$140*'Prod. GEXNHB'!Y7</f>
        <v>0</v>
      </c>
      <c r="AE23" s="246"/>
      <c r="ALN23" s="270"/>
      <c r="ALO23" s="270"/>
      <c r="ALP23" s="270"/>
      <c r="ALQ23" s="270"/>
      <c r="ALR23" s="270"/>
      <c r="ALS23" s="270"/>
      <c r="ALT23" s="270"/>
      <c r="ALU23" s="270"/>
      <c r="ALV23" s="270"/>
      <c r="ALW23" s="270"/>
      <c r="ALX23" s="270"/>
    </row>
    <row r="24" spans="1:1012" ht="14.25" x14ac:dyDescent="0.2">
      <c r="A24" s="236" t="s">
        <v>89</v>
      </c>
      <c r="B24" s="277" t="s">
        <v>390</v>
      </c>
      <c r="C24" s="238" t="s">
        <v>391</v>
      </c>
      <c r="D24" s="278">
        <f>MC!J75</f>
        <v>0</v>
      </c>
      <c r="E24" s="282">
        <f>'Prod. GEXNHB'!D8</f>
        <v>402.19799999999998</v>
      </c>
      <c r="F24" s="241">
        <f>'GEXNHB Limp.Ord. '!F$156</f>
        <v>0</v>
      </c>
      <c r="G24" s="279">
        <f>'Prod. GEXNHB'!E8</f>
        <v>428.25200000000001</v>
      </c>
      <c r="H24" s="241">
        <f>'GEXNHB Limp.Ord. '!F$162</f>
        <v>0</v>
      </c>
      <c r="I24" s="279">
        <f>'Prod. GEXNHB'!F8</f>
        <v>448.99</v>
      </c>
      <c r="J24" s="280">
        <f>'GEXNHB Limp.Ord. '!F$168</f>
        <v>0</v>
      </c>
      <c r="K24" s="279">
        <f>'Prod. GEXNHB'!G8</f>
        <v>89</v>
      </c>
      <c r="L24" s="280">
        <f>'GEXNHB Limp.Ord. '!F$174</f>
        <v>0</v>
      </c>
      <c r="M24" s="279">
        <f>'Prod. GEXNHB'!H8</f>
        <v>152.66999999999999</v>
      </c>
      <c r="N24" s="280">
        <f>'GEXNHB Limp.Ord. '!F$180</f>
        <v>0</v>
      </c>
      <c r="O24" s="279">
        <f>'Prod. GEXNHB'!I8</f>
        <v>0</v>
      </c>
      <c r="P24" s="280">
        <f>'GEXNHB Limp.Ord. '!F$186</f>
        <v>0</v>
      </c>
      <c r="Q24" s="279">
        <f>'Prod. GEXNHB'!J8</f>
        <v>0</v>
      </c>
      <c r="R24" s="280">
        <f>'GEXNHB Limp.Ord. '!F$189</f>
        <v>0</v>
      </c>
      <c r="S24" s="279">
        <f>'Prod. GEXNHB'!K8</f>
        <v>1519.51</v>
      </c>
      <c r="T24" s="280">
        <f>'GEXNHB Limp.Ord. '!F$192</f>
        <v>0</v>
      </c>
      <c r="U24" s="281">
        <f>'Prod. GEXNHB'!L8</f>
        <v>0</v>
      </c>
      <c r="V24" s="280">
        <f>'GEXNHB Limp.Ord. '!F$198</f>
        <v>0</v>
      </c>
      <c r="W24" s="279">
        <f>'Prod. GEXNHB'!M8</f>
        <v>41.39</v>
      </c>
      <c r="X24" s="280">
        <f>'GEXNHB Limp.Ord. '!F$201</f>
        <v>0</v>
      </c>
      <c r="Y24" s="279">
        <f>'Prod. GEXNHB'!N8</f>
        <v>41.39</v>
      </c>
      <c r="Z24" s="280">
        <f>'GEXNHB Limp.Ord. '!F$204</f>
        <v>0</v>
      </c>
      <c r="AA24" s="283">
        <f t="shared" si="1"/>
        <v>0</v>
      </c>
      <c r="AB24" s="243">
        <f>('GEXNHB Covid '!C$135*'Prod. GEXNHB'!V8)+('GEXNHB Covid '!D$135*'Prod. GEXNHB'!W8)</f>
        <v>0</v>
      </c>
      <c r="AC24" s="244">
        <f>'GEXNHB Limp.Ord. '!C$146*'Prod. GEXNHB'!X8</f>
        <v>0</v>
      </c>
      <c r="AD24" s="245">
        <f>'GEXNHB Covid '!C$141*'Prod. GEXNHB'!Y8</f>
        <v>0</v>
      </c>
      <c r="AE24" s="246"/>
      <c r="ALN24" s="270"/>
      <c r="ALO24" s="270"/>
      <c r="ALP24" s="270"/>
      <c r="ALQ24" s="270"/>
      <c r="ALR24" s="270"/>
      <c r="ALS24" s="270"/>
      <c r="ALT24" s="270"/>
      <c r="ALU24" s="270"/>
      <c r="ALV24" s="270"/>
      <c r="ALW24" s="270"/>
      <c r="ALX24" s="270"/>
    </row>
    <row r="25" spans="1:1012" ht="14.25" x14ac:dyDescent="0.2">
      <c r="A25" s="236" t="s">
        <v>91</v>
      </c>
      <c r="B25" s="277" t="s">
        <v>392</v>
      </c>
      <c r="C25" s="238" t="s">
        <v>393</v>
      </c>
      <c r="D25" s="278">
        <f>MC!J76</f>
        <v>0</v>
      </c>
      <c r="E25" s="282">
        <f>'Prod. GEXNHB'!D9</f>
        <v>0</v>
      </c>
      <c r="F25" s="241">
        <f>'GEXNHB Limp.Ord. '!F$156</f>
        <v>0</v>
      </c>
      <c r="G25" s="279">
        <f>'Prod. GEXNHB'!E9</f>
        <v>825</v>
      </c>
      <c r="H25" s="241">
        <f>'GEXNHB Limp.Ord. '!F$162</f>
        <v>0</v>
      </c>
      <c r="I25" s="279">
        <f>'Prod. GEXNHB'!F9</f>
        <v>0</v>
      </c>
      <c r="J25" s="280">
        <f>'GEXNHB Limp.Ord. '!F$168</f>
        <v>0</v>
      </c>
      <c r="K25" s="279">
        <f>'Prod. GEXNHB'!G9</f>
        <v>0</v>
      </c>
      <c r="L25" s="280">
        <f>'GEXNHB Limp.Ord. '!F$174</f>
        <v>0</v>
      </c>
      <c r="M25" s="279">
        <f>'Prod. GEXNHB'!H9</f>
        <v>0</v>
      </c>
      <c r="N25" s="280">
        <f>'GEXNHB Limp.Ord. '!F$180</f>
        <v>0</v>
      </c>
      <c r="O25" s="279">
        <f>'Prod. GEXNHB'!I9</f>
        <v>0</v>
      </c>
      <c r="P25" s="280">
        <f>'GEXNHB Limp.Ord. '!F$186</f>
        <v>0</v>
      </c>
      <c r="Q25" s="279">
        <f>'Prod. GEXNHB'!J9</f>
        <v>0</v>
      </c>
      <c r="R25" s="280">
        <f>'GEXNHB Limp.Ord. '!F$189</f>
        <v>0</v>
      </c>
      <c r="S25" s="279">
        <f>'Prod. GEXNHB'!K9</f>
        <v>0</v>
      </c>
      <c r="T25" s="280">
        <f>'GEXNHB Limp.Ord. '!F$192</f>
        <v>0</v>
      </c>
      <c r="U25" s="281">
        <f>'Prod. GEXNHB'!L9</f>
        <v>0</v>
      </c>
      <c r="V25" s="280">
        <f>'GEXNHB Limp.Ord. '!F$198</f>
        <v>0</v>
      </c>
      <c r="W25" s="279">
        <f>'Prod. GEXNHB'!M9</f>
        <v>0</v>
      </c>
      <c r="X25" s="280">
        <f>'GEXNHB Limp.Ord. '!F$201</f>
        <v>0</v>
      </c>
      <c r="Y25" s="279">
        <f>'Prod. GEXNHB'!N9</f>
        <v>0</v>
      </c>
      <c r="Z25" s="280">
        <f>'GEXNHB Limp.Ord. '!F$204</f>
        <v>0</v>
      </c>
      <c r="AA25" s="283">
        <f t="shared" si="1"/>
        <v>0</v>
      </c>
      <c r="AB25" s="243">
        <f>('GEXNHB Covid '!C$135*'Prod. GEXNHB'!V9)+('GEXNHB Covid '!D$135*'Prod. GEXNHB'!W9)</f>
        <v>0</v>
      </c>
      <c r="AC25" s="244">
        <f>'GEXNHB Limp.Ord. '!C$146*'Prod. GEXNHB'!X9</f>
        <v>0</v>
      </c>
      <c r="AD25" s="245">
        <f>'GEXNHB Covid '!C$141*'Prod. GEXNHB'!Y9</f>
        <v>0</v>
      </c>
      <c r="AE25" s="246"/>
      <c r="ALN25" s="270"/>
      <c r="ALO25" s="270"/>
      <c r="ALP25" s="270"/>
      <c r="ALQ25" s="270"/>
      <c r="ALR25" s="270"/>
      <c r="ALS25" s="270"/>
      <c r="ALT25" s="270"/>
      <c r="ALU25" s="270"/>
      <c r="ALV25" s="270"/>
      <c r="ALW25" s="270"/>
      <c r="ALX25" s="270"/>
    </row>
    <row r="26" spans="1:1012" ht="14.25" x14ac:dyDescent="0.2">
      <c r="A26" s="236" t="s">
        <v>93</v>
      </c>
      <c r="B26" s="277" t="s">
        <v>394</v>
      </c>
      <c r="C26" s="238" t="s">
        <v>395</v>
      </c>
      <c r="D26" s="278">
        <f>MC!J77</f>
        <v>0</v>
      </c>
      <c r="E26" s="282">
        <f>'Prod. GEXNHB'!D10</f>
        <v>543.80600000000004</v>
      </c>
      <c r="F26" s="241">
        <f>'GEXNHB Limp.Ord. '!F$156</f>
        <v>0</v>
      </c>
      <c r="G26" s="279">
        <f>'Prod. GEXNHB'!E10</f>
        <v>782.14400000000001</v>
      </c>
      <c r="H26" s="241">
        <f>'GEXNHB Limp.Ord. '!F$162</f>
        <v>0</v>
      </c>
      <c r="I26" s="279">
        <f>'Prod. GEXNHB'!F10</f>
        <v>350.46</v>
      </c>
      <c r="J26" s="280">
        <f>'GEXNHB Limp.Ord. '!F$168</f>
        <v>0</v>
      </c>
      <c r="K26" s="279">
        <f>'Prod. GEXNHB'!G10</f>
        <v>45</v>
      </c>
      <c r="L26" s="280">
        <f>'GEXNHB Limp.Ord. '!F$174</f>
        <v>0</v>
      </c>
      <c r="M26" s="279">
        <f>'Prod. GEXNHB'!H10</f>
        <v>72.239999999999995</v>
      </c>
      <c r="N26" s="280">
        <f>'GEXNHB Limp.Ord. '!F$180</f>
        <v>0</v>
      </c>
      <c r="O26" s="279">
        <f>'Prod. GEXNHB'!I10</f>
        <v>0</v>
      </c>
      <c r="P26" s="280">
        <f>'GEXNHB Limp.Ord. '!F$186</f>
        <v>0</v>
      </c>
      <c r="Q26" s="279">
        <f>'Prod. GEXNHB'!J10</f>
        <v>0</v>
      </c>
      <c r="R26" s="280">
        <f>'GEXNHB Limp.Ord. '!F$189</f>
        <v>0</v>
      </c>
      <c r="S26" s="279">
        <f>'Prod. GEXNHB'!K10</f>
        <v>603.89</v>
      </c>
      <c r="T26" s="280">
        <f>'GEXNHB Limp.Ord. '!F$192</f>
        <v>0</v>
      </c>
      <c r="U26" s="281">
        <f>'Prod. GEXNHB'!L10</f>
        <v>0</v>
      </c>
      <c r="V26" s="280">
        <f>'GEXNHB Limp.Ord. '!F$198</f>
        <v>0</v>
      </c>
      <c r="W26" s="279">
        <f>'Prod. GEXNHB'!M10</f>
        <v>56.61</v>
      </c>
      <c r="X26" s="280">
        <f>'GEXNHB Limp.Ord. '!F$201</f>
        <v>0</v>
      </c>
      <c r="Y26" s="279">
        <f>'Prod. GEXNHB'!N10</f>
        <v>56.61</v>
      </c>
      <c r="Z26" s="280">
        <f>'GEXNHB Limp.Ord. '!F$204</f>
        <v>0</v>
      </c>
      <c r="AA26" s="283">
        <f t="shared" si="1"/>
        <v>0</v>
      </c>
      <c r="AB26" s="243">
        <f>('GEXNHB Covid '!C$135*'Prod. GEXNHB'!V10)+('GEXNHB Covid '!D$135*'Prod. GEXNHB'!W10)</f>
        <v>0</v>
      </c>
      <c r="AC26" s="244">
        <f>'GEXNHB Limp.Ord. '!C$146*'Prod. GEXNHB'!X10</f>
        <v>0</v>
      </c>
      <c r="AD26" s="245">
        <f>'GEXNHB Covid '!C$141*'Prod. GEXNHB'!Y10</f>
        <v>0</v>
      </c>
      <c r="AE26" s="246"/>
      <c r="ALN26" s="270"/>
      <c r="ALO26" s="270"/>
      <c r="ALP26" s="270"/>
      <c r="ALQ26" s="270"/>
      <c r="ALR26" s="270"/>
      <c r="ALS26" s="270"/>
      <c r="ALT26" s="270"/>
      <c r="ALU26" s="270"/>
      <c r="ALV26" s="270"/>
      <c r="ALW26" s="270"/>
      <c r="ALX26" s="270"/>
    </row>
    <row r="27" spans="1:1012" ht="14.25" x14ac:dyDescent="0.2">
      <c r="A27" s="236" t="s">
        <v>95</v>
      </c>
      <c r="B27" s="277" t="s">
        <v>396</v>
      </c>
      <c r="C27" s="238" t="s">
        <v>397</v>
      </c>
      <c r="D27" s="278">
        <f>MC!J78</f>
        <v>0</v>
      </c>
      <c r="E27" s="282">
        <f>'Prod. GEXNHB'!D11</f>
        <v>-518.63400000000001</v>
      </c>
      <c r="F27" s="241">
        <f>'GEXNHB Limp.Ord. '!J$156</f>
        <v>0</v>
      </c>
      <c r="G27" s="279">
        <f>'Prod. GEXNHB'!E11</f>
        <v>951.98400000000004</v>
      </c>
      <c r="H27" s="241">
        <f>'GEXNHB Limp.Ord. '!J$162</f>
        <v>0</v>
      </c>
      <c r="I27" s="279">
        <f>'Prod. GEXNHB'!F11</f>
        <v>424.45</v>
      </c>
      <c r="J27" s="280">
        <f>'GEXNHB Limp.Ord. '!J$168</f>
        <v>0</v>
      </c>
      <c r="K27" s="279">
        <f>'Prod. GEXNHB'!G11</f>
        <v>998.64</v>
      </c>
      <c r="L27" s="280">
        <f>'GEXNHB Limp.Ord. '!J$174</f>
        <v>0</v>
      </c>
      <c r="M27" s="279">
        <f>'Prod. GEXNHB'!H11</f>
        <v>33.64</v>
      </c>
      <c r="N27" s="280">
        <f>'GEXNHB Limp.Ord. '!J$180</f>
        <v>0</v>
      </c>
      <c r="O27" s="279">
        <f>'Prod. GEXNHB'!I11</f>
        <v>264.85000000000002</v>
      </c>
      <c r="P27" s="280">
        <f>'GEXNHB Limp.Ord. '!J$186</f>
        <v>0</v>
      </c>
      <c r="Q27" s="279">
        <f>'Prod. GEXNHB'!J11</f>
        <v>0</v>
      </c>
      <c r="R27" s="280">
        <f>'GEXNHB Limp.Ord. '!J$189</f>
        <v>0</v>
      </c>
      <c r="S27" s="279">
        <f>'Prod. GEXNHB'!K11</f>
        <v>186.29</v>
      </c>
      <c r="T27" s="280">
        <f>'GEXNHB Limp.Ord. '!J$192</f>
        <v>0</v>
      </c>
      <c r="U27" s="281">
        <f>'Prod. GEXNHB'!L11</f>
        <v>0</v>
      </c>
      <c r="V27" s="280">
        <f>'GEXNHB Limp.Ord. '!J$198</f>
        <v>0</v>
      </c>
      <c r="W27" s="279">
        <f>'Prod. GEXNHB'!M11</f>
        <v>28.83</v>
      </c>
      <c r="X27" s="280">
        <f>'GEXNHB Limp.Ord. '!J$201</f>
        <v>0</v>
      </c>
      <c r="Y27" s="279">
        <f>'Prod. GEXNHB'!N11</f>
        <v>28.83</v>
      </c>
      <c r="Z27" s="280">
        <f>'GEXNHB Limp.Ord. '!J$204</f>
        <v>0</v>
      </c>
      <c r="AA27" s="283">
        <f t="shared" si="1"/>
        <v>0</v>
      </c>
      <c r="AB27" s="243">
        <f>('GEXNHB Covid '!C$137*'Prod. GEXNHB'!V11)+('GEXNHB Covid '!D$137*'Prod. GEXNHB'!W11)</f>
        <v>0</v>
      </c>
      <c r="AC27" s="244">
        <f>'GEXNHB Limp.Ord. '!C$148*'Prod. GEXNHB'!X11</f>
        <v>0</v>
      </c>
      <c r="AD27" s="245">
        <f>'GEXNHB Covid '!C$143*'Prod. GEXNHB'!Y11</f>
        <v>0</v>
      </c>
      <c r="AE27" s="246"/>
      <c r="ALN27" s="270"/>
      <c r="ALO27" s="270"/>
      <c r="ALP27" s="270"/>
      <c r="ALQ27" s="270"/>
      <c r="ALR27" s="270"/>
      <c r="ALS27" s="270"/>
      <c r="ALT27" s="270"/>
      <c r="ALU27" s="270"/>
      <c r="ALV27" s="270"/>
      <c r="ALW27" s="270"/>
      <c r="ALX27" s="270"/>
    </row>
    <row r="28" spans="1:1012" ht="14.25" x14ac:dyDescent="0.2">
      <c r="A28" s="236" t="s">
        <v>97</v>
      </c>
      <c r="B28" s="277" t="s">
        <v>398</v>
      </c>
      <c r="C28" s="238" t="s">
        <v>384</v>
      </c>
      <c r="D28" s="278">
        <f>MC!J79</f>
        <v>0</v>
      </c>
      <c r="E28" s="240">
        <f>'Prod. GEXNHB'!D12</f>
        <v>-58.773999999999944</v>
      </c>
      <c r="F28" s="241">
        <f>'GEXNHB Limp.Ord. '!D$156</f>
        <v>0</v>
      </c>
      <c r="G28" s="279">
        <f>'Prod. GEXNHB'!E12</f>
        <v>737.2639999999999</v>
      </c>
      <c r="H28" s="241">
        <f>'GEXNHB Limp.Ord. '!D$162</f>
        <v>0</v>
      </c>
      <c r="I28" s="279">
        <f>'Prod. GEXNHB'!F12</f>
        <v>0</v>
      </c>
      <c r="J28" s="280">
        <f>'GEXNHB Limp.Ord. '!D$168</f>
        <v>0</v>
      </c>
      <c r="K28" s="279">
        <f>'Prod. GEXNHB'!G12</f>
        <v>0</v>
      </c>
      <c r="L28" s="280">
        <f>'GEXNHB Limp.Ord. '!D$174</f>
        <v>0</v>
      </c>
      <c r="M28" s="279">
        <f>'Prod. GEXNHB'!H12</f>
        <v>82.44</v>
      </c>
      <c r="N28" s="280">
        <f>'GEXNHB Limp.Ord. '!D$180</f>
        <v>0</v>
      </c>
      <c r="O28" s="279">
        <f>'Prod. GEXNHB'!I12</f>
        <v>0</v>
      </c>
      <c r="P28" s="280">
        <f>'GEXNHB Limp.Ord. '!D$186</f>
        <v>0</v>
      </c>
      <c r="Q28" s="279">
        <f>'Prod. GEXNHB'!J12</f>
        <v>0</v>
      </c>
      <c r="R28" s="280">
        <f>'GEXNHB Limp.Ord. '!D$189</f>
        <v>0</v>
      </c>
      <c r="S28" s="279">
        <f>'Prod. GEXNHB'!K12</f>
        <v>82.48</v>
      </c>
      <c r="T28" s="280">
        <f>'GEXNHB Limp.Ord. '!D$192</f>
        <v>0</v>
      </c>
      <c r="U28" s="281">
        <f>'Prod. GEXNHB'!L12</f>
        <v>0</v>
      </c>
      <c r="V28" s="280">
        <f>'GEXNHB Limp.Ord. '!D$198</f>
        <v>0</v>
      </c>
      <c r="W28" s="279">
        <f>'Prod. GEXNHB'!M12</f>
        <v>23.75</v>
      </c>
      <c r="X28" s="280">
        <f>'GEXNHB Limp.Ord. '!D$201</f>
        <v>0</v>
      </c>
      <c r="Y28" s="279">
        <f>'Prod. GEXNHB'!N12</f>
        <v>23.75</v>
      </c>
      <c r="Z28" s="280">
        <f>'GEXNHB Limp.Ord. '!H212</f>
        <v>0</v>
      </c>
      <c r="AA28" s="242">
        <f t="shared" si="1"/>
        <v>0</v>
      </c>
      <c r="AB28" s="243">
        <f>('GEXNHB Covid '!C$134*'Prod. GEXNHB'!V12)+('GEXNHB Covid '!D$134*'Prod. GEXNHB'!W12)</f>
        <v>0</v>
      </c>
      <c r="AC28" s="244">
        <f>'GEXNHB Limp.Ord. '!C$145*'Prod. GEXNHB'!X12</f>
        <v>0</v>
      </c>
      <c r="AD28" s="245">
        <f>'GEXNHB Covid '!C$140*'Prod. GEXNHB'!Y12</f>
        <v>0</v>
      </c>
      <c r="AE28" s="246"/>
      <c r="ALN28" s="270"/>
      <c r="ALO28" s="270"/>
      <c r="ALP28" s="270"/>
      <c r="ALQ28" s="270"/>
      <c r="ALR28" s="270"/>
      <c r="ALS28" s="270"/>
      <c r="ALT28" s="270"/>
      <c r="ALU28" s="270"/>
      <c r="ALV28" s="270"/>
      <c r="ALW28" s="270"/>
      <c r="ALX28" s="270"/>
    </row>
    <row r="29" spans="1:1012" ht="14.25" x14ac:dyDescent="0.2">
      <c r="A29" s="236" t="s">
        <v>99</v>
      </c>
      <c r="B29" s="277" t="s">
        <v>399</v>
      </c>
      <c r="C29" s="238" t="s">
        <v>400</v>
      </c>
      <c r="D29" s="278">
        <f>MC!J80</f>
        <v>0</v>
      </c>
      <c r="E29" s="282">
        <f>'Prod. GEXNHB'!D13</f>
        <v>580.49800000000005</v>
      </c>
      <c r="F29" s="241">
        <f>'GEXNHB Limp.Ord. '!H$156</f>
        <v>0</v>
      </c>
      <c r="G29" s="279">
        <f>'Prod. GEXNHB'!E13</f>
        <v>524.83199999999999</v>
      </c>
      <c r="H29" s="241">
        <f>'GEXNHB Limp.Ord. '!H$162</f>
        <v>0</v>
      </c>
      <c r="I29" s="279">
        <f>'Prod. GEXNHB'!F13</f>
        <v>614.05000000000007</v>
      </c>
      <c r="J29" s="280">
        <f>'GEXNHB Limp.Ord. '!H$168</f>
        <v>0</v>
      </c>
      <c r="K29" s="279">
        <f>'Prod. GEXNHB'!G13</f>
        <v>588.51</v>
      </c>
      <c r="L29" s="280">
        <f>'GEXNHB Limp.Ord. '!H$174</f>
        <v>0</v>
      </c>
      <c r="M29" s="279">
        <f>'Prod. GEXNHB'!H13</f>
        <v>130.72</v>
      </c>
      <c r="N29" s="280">
        <f>'GEXNHB Limp.Ord. '!H$180</f>
        <v>0</v>
      </c>
      <c r="O29" s="279">
        <f>'Prod. GEXNHB'!I13</f>
        <v>493.61</v>
      </c>
      <c r="P29" s="280">
        <f>'GEXNHB Limp.Ord. '!H$186</f>
        <v>0</v>
      </c>
      <c r="Q29" s="279">
        <f>'Prod. GEXNHB'!J13</f>
        <v>0</v>
      </c>
      <c r="R29" s="280">
        <f>'GEXNHB Limp.Ord. '!H$189</f>
        <v>0</v>
      </c>
      <c r="S29" s="279">
        <f>'Prod. GEXNHB'!K13</f>
        <v>369</v>
      </c>
      <c r="T29" s="280">
        <f>'GEXNHB Limp.Ord. '!H$192</f>
        <v>0</v>
      </c>
      <c r="U29" s="281">
        <f>'Prod. GEXNHB'!L13</f>
        <v>0</v>
      </c>
      <c r="V29" s="280">
        <f>'GEXNHB Limp.Ord. '!H$198</f>
        <v>0</v>
      </c>
      <c r="W29" s="279">
        <f>'Prod. GEXNHB'!M13</f>
        <v>79.91</v>
      </c>
      <c r="X29" s="280">
        <f>'GEXNHB Limp.Ord. '!H$201</f>
        <v>0</v>
      </c>
      <c r="Y29" s="279">
        <f>'Prod. GEXNHB'!N13</f>
        <v>79.91</v>
      </c>
      <c r="Z29" s="280">
        <f>'GEXNHB Limp.Ord. '!H$204</f>
        <v>0</v>
      </c>
      <c r="AA29" s="283">
        <f t="shared" si="1"/>
        <v>0</v>
      </c>
      <c r="AB29" s="243">
        <f>('GEXNHB Covid '!C$136*'Prod. GEXNHB'!V13)+('GEXNHB Covid '!D$136*'Prod. GEXNHB'!W13)</f>
        <v>0</v>
      </c>
      <c r="AC29" s="244">
        <f>'GEXNHB Limp.Ord. '!C$147*'Prod. GEXNHB'!X13</f>
        <v>0</v>
      </c>
      <c r="AD29" s="245">
        <f>'GEXNHB Covid '!C$142*'Prod. GEXNHB'!Y13</f>
        <v>0</v>
      </c>
      <c r="AE29" s="246"/>
      <c r="ALN29" s="270"/>
      <c r="ALO29" s="270"/>
      <c r="ALP29" s="270"/>
      <c r="ALQ29" s="270"/>
      <c r="ALR29" s="270"/>
      <c r="ALS29" s="270"/>
      <c r="ALT29" s="270"/>
      <c r="ALU29" s="270"/>
      <c r="ALV29" s="270"/>
      <c r="ALW29" s="270"/>
      <c r="ALX29" s="270"/>
    </row>
    <row r="30" spans="1:1012" ht="14.25" x14ac:dyDescent="0.2">
      <c r="A30" s="236" t="s">
        <v>101</v>
      </c>
      <c r="B30" s="277" t="s">
        <v>401</v>
      </c>
      <c r="C30" s="238" t="s">
        <v>402</v>
      </c>
      <c r="D30" s="278">
        <f>MC!J81</f>
        <v>0</v>
      </c>
      <c r="E30" s="282">
        <f>'Prod. GEXNHB'!D14</f>
        <v>12.119999999999948</v>
      </c>
      <c r="F30" s="241">
        <f>'GEXNHB Limp.Ord. '!H$156</f>
        <v>0</v>
      </c>
      <c r="G30" s="279">
        <f>'Prod. GEXNHB'!E14</f>
        <v>502.04</v>
      </c>
      <c r="H30" s="241">
        <f>'GEXNHB Limp.Ord. '!H$162</f>
        <v>0</v>
      </c>
      <c r="I30" s="279">
        <f>'Prod. GEXNHB'!F14</f>
        <v>40.090000000000003</v>
      </c>
      <c r="J30" s="280">
        <f>'GEXNHB Limp.Ord. '!H$168</f>
        <v>0</v>
      </c>
      <c r="K30" s="279">
        <f>'Prod. GEXNHB'!G14</f>
        <v>44</v>
      </c>
      <c r="L30" s="280">
        <f>'GEXNHB Limp.Ord. '!H$174</f>
        <v>0</v>
      </c>
      <c r="M30" s="279">
        <f>'Prod. GEXNHB'!H14</f>
        <v>135.9</v>
      </c>
      <c r="N30" s="280">
        <f>'GEXNHB Limp.Ord. '!H$180</f>
        <v>0</v>
      </c>
      <c r="O30" s="279">
        <f>'Prod. GEXNHB'!I14</f>
        <v>0</v>
      </c>
      <c r="P30" s="280">
        <f>'GEXNHB Limp.Ord. '!H$186</f>
        <v>0</v>
      </c>
      <c r="Q30" s="279">
        <f>'Prod. GEXNHB'!J14</f>
        <v>0</v>
      </c>
      <c r="R30" s="280">
        <f>'GEXNHB Limp.Ord. '!H$189</f>
        <v>0</v>
      </c>
      <c r="S30" s="279">
        <f>'Prod. GEXNHB'!K14</f>
        <v>1238.5</v>
      </c>
      <c r="T30" s="280">
        <f>'GEXNHB Limp.Ord. '!H$192</f>
        <v>0</v>
      </c>
      <c r="U30" s="281">
        <f>'Prod. GEXNHB'!L14</f>
        <v>0</v>
      </c>
      <c r="V30" s="280">
        <f>'GEXNHB Limp.Ord. '!H$198</f>
        <v>0</v>
      </c>
      <c r="W30" s="279">
        <f>'Prod. GEXNHB'!M14</f>
        <v>47.96</v>
      </c>
      <c r="X30" s="280">
        <f>'GEXNHB Limp.Ord. '!H$201</f>
        <v>0</v>
      </c>
      <c r="Y30" s="279">
        <f>'Prod. GEXNHB'!N14</f>
        <v>47.96</v>
      </c>
      <c r="Z30" s="280">
        <f>'GEXNHB Limp.Ord. '!H$204</f>
        <v>0</v>
      </c>
      <c r="AA30" s="283">
        <f t="shared" si="1"/>
        <v>0</v>
      </c>
      <c r="AB30" s="243">
        <f>('GEXNHB Covid '!C$136*'Prod. GEXNHB'!V14)+('GEXNHB Covid '!D$136*'Prod. GEXNHB'!W14)</f>
        <v>0</v>
      </c>
      <c r="AC30" s="244">
        <f>'GEXNHB Limp.Ord. '!C$147*'Prod. GEXNHB'!X14</f>
        <v>0</v>
      </c>
      <c r="AD30" s="245">
        <f>'GEXNHB Covid '!C$142*'Prod. GEXNHB'!Y14</f>
        <v>0</v>
      </c>
      <c r="AE30" s="246"/>
      <c r="ALN30" s="270"/>
      <c r="ALO30" s="270"/>
      <c r="ALP30" s="270"/>
      <c r="ALQ30" s="270"/>
      <c r="ALR30" s="270"/>
      <c r="ALS30" s="270"/>
      <c r="ALT30" s="270"/>
      <c r="ALU30" s="270"/>
      <c r="ALV30" s="270"/>
      <c r="ALW30" s="270"/>
      <c r="ALX30" s="270"/>
    </row>
    <row r="31" spans="1:1012" ht="14.25" x14ac:dyDescent="0.2">
      <c r="A31" s="236" t="s">
        <v>103</v>
      </c>
      <c r="B31" s="277" t="s">
        <v>403</v>
      </c>
      <c r="C31" s="238" t="s">
        <v>404</v>
      </c>
      <c r="D31" s="278">
        <f>MC!J82</f>
        <v>0</v>
      </c>
      <c r="E31" s="240">
        <f>'Prod. GEXNHB'!D15</f>
        <v>-241.43599999999995</v>
      </c>
      <c r="F31" s="241">
        <f>'GEXNHB Limp.Ord. '!D$156</f>
        <v>0</v>
      </c>
      <c r="G31" s="279">
        <f>'Prod. GEXNHB'!E15</f>
        <v>866.09600000000012</v>
      </c>
      <c r="H31" s="241">
        <f>'GEXNHB Limp.Ord. '!D$162</f>
        <v>0</v>
      </c>
      <c r="I31" s="279">
        <f>'Prod. GEXNHB'!F15</f>
        <v>1052.0899999999999</v>
      </c>
      <c r="J31" s="280">
        <f>'GEXNHB Limp.Ord. '!D$168</f>
        <v>0</v>
      </c>
      <c r="K31" s="279">
        <f>'Prod. GEXNHB'!G15</f>
        <v>71</v>
      </c>
      <c r="L31" s="280">
        <f>'GEXNHB Limp.Ord. '!D$174</f>
        <v>0</v>
      </c>
      <c r="M31" s="279">
        <f>'Prod. GEXNHB'!H15</f>
        <v>53.16</v>
      </c>
      <c r="N31" s="280">
        <f>'GEXNHB Limp.Ord. '!D$180</f>
        <v>0</v>
      </c>
      <c r="O31" s="279">
        <f>'Prod. GEXNHB'!I15</f>
        <v>0</v>
      </c>
      <c r="P31" s="280">
        <f>'GEXNHB Limp.Ord. '!D$186</f>
        <v>0</v>
      </c>
      <c r="Q31" s="279">
        <f>'Prod. GEXNHB'!J15</f>
        <v>0</v>
      </c>
      <c r="R31" s="280">
        <f>'GEXNHB Limp.Ord. '!D$189</f>
        <v>0</v>
      </c>
      <c r="S31" s="279">
        <f>'Prod. GEXNHB'!K15</f>
        <v>1660.66</v>
      </c>
      <c r="T31" s="280">
        <f>'GEXNHB Limp.Ord. '!D$192</f>
        <v>0</v>
      </c>
      <c r="U31" s="281">
        <f>'Prod. GEXNHB'!L15</f>
        <v>0</v>
      </c>
      <c r="V31" s="280">
        <f>'GEXNHB Limp.Ord. '!D$198</f>
        <v>0</v>
      </c>
      <c r="W31" s="279">
        <f>'Prod. GEXNHB'!M15</f>
        <v>47.75</v>
      </c>
      <c r="X31" s="280">
        <f>'GEXNHB Limp.Ord. '!D$201</f>
        <v>0</v>
      </c>
      <c r="Y31" s="279">
        <f>'Prod. GEXNHB'!N15</f>
        <v>47.75</v>
      </c>
      <c r="Z31" s="280">
        <f>'GEXNHB Limp.Ord. '!H215</f>
        <v>0</v>
      </c>
      <c r="AA31" s="242">
        <f t="shared" si="1"/>
        <v>0</v>
      </c>
      <c r="AB31" s="243">
        <f>('GEXNHB Covid '!C$134*'Prod. GEXNHB'!V15)+('GEXNHB Covid '!D$134*'Prod. GEXNHB'!W15)</f>
        <v>0</v>
      </c>
      <c r="AC31" s="244">
        <f>'GEXNHB Limp.Ord. '!C$145*'Prod. GEXNHB'!X15</f>
        <v>0</v>
      </c>
      <c r="AD31" s="245">
        <f>'GEXNHB Covid '!C$140*'Prod. GEXNHB'!Y15</f>
        <v>0</v>
      </c>
      <c r="AE31" s="246"/>
      <c r="ALN31" s="270"/>
      <c r="ALO31" s="270"/>
      <c r="ALP31" s="270"/>
      <c r="ALQ31" s="270"/>
      <c r="ALR31" s="270"/>
      <c r="ALS31" s="270"/>
      <c r="ALT31" s="270"/>
      <c r="ALU31" s="270"/>
      <c r="ALV31" s="270"/>
      <c r="ALW31" s="270"/>
      <c r="ALX31" s="270"/>
    </row>
    <row r="32" spans="1:1012" ht="14.25" x14ac:dyDescent="0.2">
      <c r="A32" s="236" t="s">
        <v>105</v>
      </c>
      <c r="B32" s="277" t="s">
        <v>405</v>
      </c>
      <c r="C32" s="238" t="s">
        <v>406</v>
      </c>
      <c r="D32" s="278">
        <f>MC!J83</f>
        <v>0</v>
      </c>
      <c r="E32" s="282">
        <f>'Prod. GEXNHB'!D16</f>
        <v>696.85200000000009</v>
      </c>
      <c r="F32" s="241">
        <f>'GEXNHB Limp.Ord. '!H$156</f>
        <v>0</v>
      </c>
      <c r="G32" s="279">
        <f>'Prod. GEXNHB'!E16</f>
        <v>232.62800000000001</v>
      </c>
      <c r="H32" s="241">
        <f>'GEXNHB Limp.Ord. '!H$162</f>
        <v>0</v>
      </c>
      <c r="I32" s="279">
        <f>'Prod. GEXNHB'!F16</f>
        <v>548.89</v>
      </c>
      <c r="J32" s="280">
        <f>'GEXNHB Limp.Ord. '!H$168</f>
        <v>0</v>
      </c>
      <c r="K32" s="279">
        <f>'Prod. GEXNHB'!G16</f>
        <v>86</v>
      </c>
      <c r="L32" s="280">
        <f>'GEXNHB Limp.Ord. '!H$174</f>
        <v>0</v>
      </c>
      <c r="M32" s="279">
        <f>'Prod. GEXNHB'!H16</f>
        <v>197.13</v>
      </c>
      <c r="N32" s="280">
        <f>'GEXNHB Limp.Ord. '!H$180</f>
        <v>0</v>
      </c>
      <c r="O32" s="279">
        <f>'Prod. GEXNHB'!I16</f>
        <v>0</v>
      </c>
      <c r="P32" s="280">
        <f>'GEXNHB Limp.Ord. '!H$186</f>
        <v>0</v>
      </c>
      <c r="Q32" s="279">
        <f>'Prod. GEXNHB'!J16</f>
        <v>0</v>
      </c>
      <c r="R32" s="280">
        <f>'GEXNHB Limp.Ord. '!H$189</f>
        <v>0</v>
      </c>
      <c r="S32" s="279">
        <f>'Prod. GEXNHB'!K16</f>
        <v>267.45</v>
      </c>
      <c r="T32" s="280">
        <f>'GEXNHB Limp.Ord. '!H$192</f>
        <v>0</v>
      </c>
      <c r="U32" s="281">
        <f>'Prod. GEXNHB'!L16</f>
        <v>0</v>
      </c>
      <c r="V32" s="280">
        <f>'GEXNHB Limp.Ord. '!H$198</f>
        <v>0</v>
      </c>
      <c r="W32" s="279">
        <f>'Prod. GEXNHB'!M16</f>
        <v>17.75</v>
      </c>
      <c r="X32" s="280">
        <f>'GEXNHB Limp.Ord. '!H$201</f>
        <v>0</v>
      </c>
      <c r="Y32" s="279">
        <f>'Prod. GEXNHB'!N16</f>
        <v>17.75</v>
      </c>
      <c r="Z32" s="280">
        <f>'GEXNHB Limp.Ord. '!H$204</f>
        <v>0</v>
      </c>
      <c r="AA32" s="283">
        <f t="shared" si="1"/>
        <v>0</v>
      </c>
      <c r="AB32" s="243">
        <f>('GEXNHB Covid '!C$136*'Prod. GEXNHB'!V16)+('GEXNHB Covid '!D$136*'Prod. GEXNHB'!W16)</f>
        <v>0</v>
      </c>
      <c r="AC32" s="244">
        <f>'GEXNHB Limp.Ord. '!C$147*'Prod. GEXNHB'!X16</f>
        <v>0</v>
      </c>
      <c r="AD32" s="245">
        <f>'GEXNHB Covid '!C$142*'Prod. GEXNHB'!Y16</f>
        <v>0</v>
      </c>
      <c r="AE32" s="246"/>
      <c r="ALN32" s="270"/>
      <c r="ALO32" s="270"/>
      <c r="ALP32" s="270"/>
      <c r="ALQ32" s="270"/>
      <c r="ALR32" s="270"/>
      <c r="ALS32" s="270"/>
      <c r="ALT32" s="270"/>
      <c r="ALU32" s="270"/>
      <c r="ALV32" s="270"/>
      <c r="ALW32" s="270"/>
      <c r="ALX32" s="270"/>
    </row>
    <row r="33" spans="1:1012" ht="14.25" x14ac:dyDescent="0.2">
      <c r="A33" s="236" t="s">
        <v>107</v>
      </c>
      <c r="B33" s="277" t="s">
        <v>407</v>
      </c>
      <c r="C33" s="238" t="s">
        <v>408</v>
      </c>
      <c r="D33" s="278">
        <f>MC!J84</f>
        <v>0</v>
      </c>
      <c r="E33" s="240">
        <f>'Prod. GEXNHB'!D17</f>
        <v>0</v>
      </c>
      <c r="F33" s="241">
        <f>'GEXNHB Limp.Ord. '!D$156</f>
        <v>0</v>
      </c>
      <c r="G33" s="279">
        <f>'Prod. GEXNHB'!E17</f>
        <v>1100</v>
      </c>
      <c r="H33" s="241">
        <f>'GEXNHB Limp.Ord. '!D$162</f>
        <v>0</v>
      </c>
      <c r="I33" s="279">
        <f>'Prod. GEXNHB'!F17</f>
        <v>0</v>
      </c>
      <c r="J33" s="280">
        <f>'GEXNHB Limp.Ord. '!D$168</f>
        <v>0</v>
      </c>
      <c r="K33" s="279">
        <f>'Prod. GEXNHB'!G17</f>
        <v>0</v>
      </c>
      <c r="L33" s="280">
        <f>'GEXNHB Limp.Ord. '!D$174</f>
        <v>0</v>
      </c>
      <c r="M33" s="279">
        <f>'Prod. GEXNHB'!H17</f>
        <v>0</v>
      </c>
      <c r="N33" s="280">
        <f>'GEXNHB Limp.Ord. '!D$180</f>
        <v>0</v>
      </c>
      <c r="O33" s="279">
        <f>'Prod. GEXNHB'!I17</f>
        <v>0</v>
      </c>
      <c r="P33" s="280">
        <f>'GEXNHB Limp.Ord. '!D$186</f>
        <v>0</v>
      </c>
      <c r="Q33" s="279">
        <f>'Prod. GEXNHB'!J17</f>
        <v>0</v>
      </c>
      <c r="R33" s="280">
        <f>'GEXNHB Limp.Ord. '!D$189</f>
        <v>0</v>
      </c>
      <c r="S33" s="279">
        <f>'Prod. GEXNHB'!K17</f>
        <v>0</v>
      </c>
      <c r="T33" s="280">
        <f>'GEXNHB Limp.Ord. '!D$192</f>
        <v>0</v>
      </c>
      <c r="U33" s="281">
        <f>'Prod. GEXNHB'!L17</f>
        <v>0</v>
      </c>
      <c r="V33" s="280">
        <f>'GEXNHB Limp.Ord. '!D$198</f>
        <v>0</v>
      </c>
      <c r="W33" s="279">
        <f>'Prod. GEXNHB'!M17</f>
        <v>0</v>
      </c>
      <c r="X33" s="280">
        <f>'GEXNHB Limp.Ord. '!D$201</f>
        <v>0</v>
      </c>
      <c r="Y33" s="279">
        <f>'Prod. GEXNHB'!N17</f>
        <v>0</v>
      </c>
      <c r="Z33" s="280">
        <f>'GEXNHB Limp.Ord. '!H217</f>
        <v>0</v>
      </c>
      <c r="AA33" s="242">
        <f t="shared" si="1"/>
        <v>0</v>
      </c>
      <c r="AB33" s="243">
        <f>('GEXNHB Covid '!C$134*'Prod. GEXNHB'!V17)+('GEXNHB Covid '!D$134*'Prod. GEXNHB'!W17)</f>
        <v>0</v>
      </c>
      <c r="AC33" s="244">
        <f>'GEXNHB Limp.Ord. '!C$145*'Prod. GEXNHB'!X17</f>
        <v>0</v>
      </c>
      <c r="AD33" s="245">
        <f>'GEXNHB Covid '!C$140*'Prod. GEXNHB'!Y17</f>
        <v>0</v>
      </c>
      <c r="AE33" s="246"/>
      <c r="ALN33" s="270"/>
      <c r="ALO33" s="270"/>
      <c r="ALP33" s="270"/>
      <c r="ALQ33" s="270"/>
      <c r="ALR33" s="270"/>
      <c r="ALS33" s="270"/>
      <c r="ALT33" s="270"/>
      <c r="ALU33" s="270"/>
      <c r="ALV33" s="270"/>
      <c r="ALW33" s="270"/>
      <c r="ALX33" s="270"/>
    </row>
    <row r="34" spans="1:1012" ht="14.25" x14ac:dyDescent="0.2">
      <c r="A34" s="236" t="s">
        <v>109</v>
      </c>
      <c r="B34" s="277" t="s">
        <v>409</v>
      </c>
      <c r="C34" s="238" t="s">
        <v>410</v>
      </c>
      <c r="D34" s="278">
        <f>MC!J85</f>
        <v>0</v>
      </c>
      <c r="E34" s="282">
        <f>'Prod. GEXNHB'!D18</f>
        <v>0</v>
      </c>
      <c r="F34" s="241">
        <f>'GEXNHB Limp.Ord. '!H$156</f>
        <v>0</v>
      </c>
      <c r="G34" s="279">
        <f>'Prod. GEXNHB'!E18</f>
        <v>825</v>
      </c>
      <c r="H34" s="241">
        <f>'GEXNHB Limp.Ord. '!H$162</f>
        <v>0</v>
      </c>
      <c r="I34" s="279">
        <f>'Prod. GEXNHB'!F18</f>
        <v>0</v>
      </c>
      <c r="J34" s="280">
        <f>'GEXNHB Limp.Ord. '!H$168</f>
        <v>0</v>
      </c>
      <c r="K34" s="279">
        <f>'Prod. GEXNHB'!G18</f>
        <v>0</v>
      </c>
      <c r="L34" s="280">
        <f>'GEXNHB Limp.Ord. '!H$174</f>
        <v>0</v>
      </c>
      <c r="M34" s="279">
        <f>'Prod. GEXNHB'!H18</f>
        <v>0</v>
      </c>
      <c r="N34" s="280">
        <f>'GEXNHB Limp.Ord. '!H$180</f>
        <v>0</v>
      </c>
      <c r="O34" s="279">
        <f>'Prod. GEXNHB'!I18</f>
        <v>0</v>
      </c>
      <c r="P34" s="280">
        <f>'GEXNHB Limp.Ord. '!H$186</f>
        <v>0</v>
      </c>
      <c r="Q34" s="279">
        <f>'Prod. GEXNHB'!J18</f>
        <v>0</v>
      </c>
      <c r="R34" s="280">
        <f>'GEXNHB Limp.Ord. '!H$189</f>
        <v>0</v>
      </c>
      <c r="S34" s="279">
        <f>'Prod. GEXNHB'!K18</f>
        <v>0</v>
      </c>
      <c r="T34" s="280">
        <f>'GEXNHB Limp.Ord. '!H$192</f>
        <v>0</v>
      </c>
      <c r="U34" s="281">
        <f>'Prod. GEXNHB'!L18</f>
        <v>0</v>
      </c>
      <c r="V34" s="280">
        <f>'GEXNHB Limp.Ord. '!H$198</f>
        <v>0</v>
      </c>
      <c r="W34" s="279">
        <f>'Prod. GEXNHB'!M18</f>
        <v>0</v>
      </c>
      <c r="X34" s="280">
        <f>'GEXNHB Limp.Ord. '!H$201</f>
        <v>0</v>
      </c>
      <c r="Y34" s="279">
        <f>'Prod. GEXNHB'!N18</f>
        <v>0</v>
      </c>
      <c r="Z34" s="280">
        <f>'GEXNHB Limp.Ord. '!H$204</f>
        <v>0</v>
      </c>
      <c r="AA34" s="283">
        <f t="shared" si="1"/>
        <v>0</v>
      </c>
      <c r="AB34" s="243">
        <f>('GEXNHB Covid '!C$136*'Prod. GEXNHB'!V18)+('GEXNHB Covid '!D$136*'Prod. GEXNHB'!W18)</f>
        <v>0</v>
      </c>
      <c r="AC34" s="244">
        <f>'GEXNHB Limp.Ord. '!C$147*'Prod. GEXNHB'!X18</f>
        <v>0</v>
      </c>
      <c r="AD34" s="245">
        <f>'GEXNHB Covid '!C$142*'Prod. GEXNHB'!Y18</f>
        <v>0</v>
      </c>
      <c r="AE34" s="246"/>
      <c r="ALN34" s="270"/>
      <c r="ALO34" s="270"/>
      <c r="ALP34" s="270"/>
      <c r="ALQ34" s="270"/>
      <c r="ALR34" s="270"/>
      <c r="ALS34" s="270"/>
      <c r="ALT34" s="270"/>
      <c r="ALU34" s="270"/>
      <c r="ALV34" s="270"/>
      <c r="ALW34" s="270"/>
      <c r="ALX34" s="270"/>
    </row>
    <row r="35" spans="1:1012" ht="14.25" x14ac:dyDescent="0.2">
      <c r="A35" s="236" t="s">
        <v>110</v>
      </c>
      <c r="B35" s="277" t="s">
        <v>411</v>
      </c>
      <c r="C35" s="238" t="s">
        <v>412</v>
      </c>
      <c r="D35" s="278">
        <f>MC!J86</f>
        <v>0</v>
      </c>
      <c r="E35" s="282">
        <f>'Prod. GEXNHB'!D19</f>
        <v>0</v>
      </c>
      <c r="F35" s="241">
        <f>'GEXNHB Limp.Ord. '!F$156</f>
        <v>0</v>
      </c>
      <c r="G35" s="279">
        <f>'Prod. GEXNHB'!E19</f>
        <v>825</v>
      </c>
      <c r="H35" s="241">
        <f>'GEXNHB Limp.Ord. '!F$162</f>
        <v>0</v>
      </c>
      <c r="I35" s="279">
        <f>'Prod. GEXNHB'!F19</f>
        <v>0</v>
      </c>
      <c r="J35" s="280">
        <f>'GEXNHB Limp.Ord. '!F$168</f>
        <v>0</v>
      </c>
      <c r="K35" s="279">
        <f>'Prod. GEXNHB'!G19</f>
        <v>0</v>
      </c>
      <c r="L35" s="280">
        <f>'GEXNHB Limp.Ord. '!F$174</f>
        <v>0</v>
      </c>
      <c r="M35" s="279">
        <f>'Prod. GEXNHB'!H19</f>
        <v>0</v>
      </c>
      <c r="N35" s="280">
        <f>'GEXNHB Limp.Ord. '!F$180</f>
        <v>0</v>
      </c>
      <c r="O35" s="279">
        <f>'Prod. GEXNHB'!I19</f>
        <v>0</v>
      </c>
      <c r="P35" s="280">
        <f>'GEXNHB Limp.Ord. '!F$186</f>
        <v>0</v>
      </c>
      <c r="Q35" s="279">
        <f>'Prod. GEXNHB'!J19</f>
        <v>0</v>
      </c>
      <c r="R35" s="280">
        <f>'GEXNHB Limp.Ord. '!F$189</f>
        <v>0</v>
      </c>
      <c r="S35" s="279">
        <f>'Prod. GEXNHB'!K19</f>
        <v>0</v>
      </c>
      <c r="T35" s="280">
        <f>'GEXNHB Limp.Ord. '!F$192</f>
        <v>0</v>
      </c>
      <c r="U35" s="281">
        <f>'Prod. GEXNHB'!L19</f>
        <v>0</v>
      </c>
      <c r="V35" s="280">
        <f>'GEXNHB Limp.Ord. '!F$198</f>
        <v>0</v>
      </c>
      <c r="W35" s="279">
        <f>'Prod. GEXNHB'!M19</f>
        <v>0</v>
      </c>
      <c r="X35" s="280">
        <f>'GEXNHB Limp.Ord. '!F$201</f>
        <v>0</v>
      </c>
      <c r="Y35" s="279">
        <f>'Prod. GEXNHB'!N19</f>
        <v>0</v>
      </c>
      <c r="Z35" s="280">
        <f>'GEXNHB Limp.Ord. '!F$204</f>
        <v>0</v>
      </c>
      <c r="AA35" s="283">
        <f t="shared" si="1"/>
        <v>0</v>
      </c>
      <c r="AB35" s="243">
        <f>('GEXNHB Covid '!C$135*'Prod. GEXNHB'!V19)+('GEXNHB Covid '!D$135*'Prod. GEXNHB'!W19)</f>
        <v>0</v>
      </c>
      <c r="AC35" s="244">
        <f>'GEXNHB Limp.Ord. '!C$146*'Prod. GEXNHB'!X19</f>
        <v>0</v>
      </c>
      <c r="AD35" s="245">
        <f>'GEXNHB Covid '!C$141*'Prod. GEXNHB'!Y19</f>
        <v>0</v>
      </c>
      <c r="AE35" s="246"/>
      <c r="ALN35" s="270"/>
      <c r="ALO35" s="270"/>
      <c r="ALP35" s="270"/>
      <c r="ALQ35" s="270"/>
      <c r="ALR35" s="270"/>
      <c r="ALS35" s="270"/>
      <c r="ALT35" s="270"/>
      <c r="ALU35" s="270"/>
      <c r="ALV35" s="270"/>
      <c r="ALW35" s="270"/>
      <c r="ALX35" s="270"/>
    </row>
    <row r="36" spans="1:1012" ht="14.25" x14ac:dyDescent="0.2">
      <c r="A36" s="236" t="s">
        <v>111</v>
      </c>
      <c r="B36" s="277" t="s">
        <v>413</v>
      </c>
      <c r="C36" s="238" t="s">
        <v>414</v>
      </c>
      <c r="D36" s="278">
        <f>MC!J87</f>
        <v>0</v>
      </c>
      <c r="E36" s="282">
        <f>'Prod. GEXNHB'!D20</f>
        <v>0</v>
      </c>
      <c r="F36" s="241">
        <f>'GEXNHB Limp.Ord. '!H$156</f>
        <v>0</v>
      </c>
      <c r="G36" s="279">
        <f>'Prod. GEXNHB'!E20</f>
        <v>0</v>
      </c>
      <c r="H36" s="241">
        <f>'GEXNHB Limp.Ord. '!H$162</f>
        <v>0</v>
      </c>
      <c r="I36" s="279">
        <f>'Prod. GEXNHB'!F20</f>
        <v>0</v>
      </c>
      <c r="J36" s="280">
        <f>'GEXNHB Limp.Ord. '!H$168</f>
        <v>0</v>
      </c>
      <c r="K36" s="279">
        <f>'Prod. GEXNHB'!G20</f>
        <v>0</v>
      </c>
      <c r="L36" s="280">
        <f>'GEXNHB Limp.Ord. '!H$174</f>
        <v>0</v>
      </c>
      <c r="M36" s="279">
        <f>'Prod. GEXNHB'!H20</f>
        <v>0</v>
      </c>
      <c r="N36" s="280">
        <f>'GEXNHB Limp.Ord. '!H$180</f>
        <v>0</v>
      </c>
      <c r="O36" s="279">
        <f>'Prod. GEXNHB'!I20</f>
        <v>0</v>
      </c>
      <c r="P36" s="280">
        <f>'GEXNHB Limp.Ord. '!H$186</f>
        <v>0</v>
      </c>
      <c r="Q36" s="279">
        <f>'Prod. GEXNHB'!J20</f>
        <v>0</v>
      </c>
      <c r="R36" s="280">
        <f>'GEXNHB Limp.Ord. '!H$189</f>
        <v>0</v>
      </c>
      <c r="S36" s="279">
        <f>'Prod. GEXNHB'!K20</f>
        <v>0</v>
      </c>
      <c r="T36" s="280">
        <f>'GEXNHB Limp.Ord. '!H$192</f>
        <v>0</v>
      </c>
      <c r="U36" s="281">
        <f>'Prod. GEXNHB'!L20</f>
        <v>0</v>
      </c>
      <c r="V36" s="280">
        <f>'GEXNHB Limp.Ord. '!H$198</f>
        <v>0</v>
      </c>
      <c r="W36" s="279">
        <f>'Prod. GEXNHB'!M20</f>
        <v>0</v>
      </c>
      <c r="X36" s="280">
        <f>'GEXNHB Limp.Ord. '!H$201</f>
        <v>0</v>
      </c>
      <c r="Y36" s="279">
        <f>'Prod. GEXNHB'!N20</f>
        <v>0</v>
      </c>
      <c r="Z36" s="280">
        <f>'GEXNHB Limp.Ord. '!H$204</f>
        <v>0</v>
      </c>
      <c r="AA36" s="283">
        <f t="shared" si="1"/>
        <v>0</v>
      </c>
      <c r="AB36" s="243">
        <f>('GEXNHB Covid '!C$136*'Prod. GEXNHB'!V20)+('GEXNHB Covid '!D$136*'Prod. GEXNHB'!W20)</f>
        <v>0</v>
      </c>
      <c r="AC36" s="244">
        <f>'GEXNHB Limp.Ord. '!C$147*'Prod. GEXNHB'!X20</f>
        <v>0</v>
      </c>
      <c r="AD36" s="245">
        <f>'GEXNHB Covid '!C$142*'Prod. GEXNHB'!Y20</f>
        <v>0</v>
      </c>
      <c r="AE36" s="246"/>
      <c r="ALN36" s="270"/>
      <c r="ALO36" s="270"/>
      <c r="ALP36" s="270"/>
      <c r="ALQ36" s="270"/>
      <c r="ALR36" s="270"/>
      <c r="ALS36" s="270"/>
      <c r="ALT36" s="270"/>
      <c r="ALU36" s="270"/>
      <c r="ALV36" s="270"/>
      <c r="ALW36" s="270"/>
      <c r="ALX36" s="270"/>
    </row>
    <row r="37" spans="1:1012" ht="14.25" x14ac:dyDescent="0.2">
      <c r="A37" s="251" t="s">
        <v>114</v>
      </c>
      <c r="B37" s="284" t="s">
        <v>415</v>
      </c>
      <c r="C37" s="253" t="s">
        <v>416</v>
      </c>
      <c r="D37" s="285">
        <f>MC!J88</f>
        <v>0</v>
      </c>
      <c r="E37" s="255">
        <f>'Prod. GEXNHB'!D21</f>
        <v>0</v>
      </c>
      <c r="F37" s="256">
        <f>'GEXNHB Limp.Ord. '!D$156</f>
        <v>0</v>
      </c>
      <c r="G37" s="286">
        <f>'Prod. GEXNHB'!E21</f>
        <v>825</v>
      </c>
      <c r="H37" s="256">
        <f>'GEXNHB Limp.Ord. '!D$162</f>
        <v>0</v>
      </c>
      <c r="I37" s="286">
        <f>'Prod. GEXNHB'!F21</f>
        <v>0</v>
      </c>
      <c r="J37" s="287">
        <f>'GEXNHB Limp.Ord. '!D$168</f>
        <v>0</v>
      </c>
      <c r="K37" s="286">
        <f>'Prod. GEXNHB'!G21</f>
        <v>0</v>
      </c>
      <c r="L37" s="287">
        <f>'GEXNHB Limp.Ord. '!D$174</f>
        <v>0</v>
      </c>
      <c r="M37" s="286">
        <f>'Prod. GEXNHB'!H21</f>
        <v>0</v>
      </c>
      <c r="N37" s="287">
        <f>'GEXNHB Limp.Ord. '!D$180</f>
        <v>0</v>
      </c>
      <c r="O37" s="286">
        <f>'Prod. GEXNHB'!I21</f>
        <v>0</v>
      </c>
      <c r="P37" s="287">
        <f>'GEXNHB Limp.Ord. '!D$186</f>
        <v>0</v>
      </c>
      <c r="Q37" s="286">
        <f>'Prod. GEXNHB'!J21</f>
        <v>0</v>
      </c>
      <c r="R37" s="287">
        <f>'GEXNHB Limp.Ord. '!D$189</f>
        <v>0</v>
      </c>
      <c r="S37" s="286">
        <f>'Prod. GEXNHB'!K21</f>
        <v>0</v>
      </c>
      <c r="T37" s="287">
        <f>'GEXNHB Limp.Ord. '!D$192</f>
        <v>0</v>
      </c>
      <c r="U37" s="288">
        <f>'Prod. GEXNHB'!L21</f>
        <v>0</v>
      </c>
      <c r="V37" s="287">
        <f>'GEXNHB Limp.Ord. '!D$198</f>
        <v>0</v>
      </c>
      <c r="W37" s="286">
        <f>'Prod. GEXNHB'!M21</f>
        <v>0</v>
      </c>
      <c r="X37" s="287">
        <f>'GEXNHB Limp.Ord. '!D$201</f>
        <v>0</v>
      </c>
      <c r="Y37" s="286">
        <f>'Prod. GEXNHB'!N21</f>
        <v>0</v>
      </c>
      <c r="Z37" s="287">
        <f>'GEXNHB Limp.Ord. '!H221</f>
        <v>0</v>
      </c>
      <c r="AA37" s="257">
        <f t="shared" si="1"/>
        <v>0</v>
      </c>
      <c r="AB37" s="258">
        <f>('GEXNHB Covid '!C$134*'Prod. GEXNHB'!V21)+('GEXNHB Covid '!D$134*'Prod. GEXNHB'!W21)</f>
        <v>0</v>
      </c>
      <c r="AC37" s="259">
        <f>'GEXNHB Limp.Ord. '!C$145*'Prod. GEXNHB'!X21</f>
        <v>0</v>
      </c>
      <c r="AD37" s="260">
        <f>'GEXNHB Covid '!C$140*'Prod. GEXNHB'!Y21</f>
        <v>0</v>
      </c>
      <c r="AE37" s="261"/>
      <c r="ALN37" s="270"/>
      <c r="ALO37" s="270"/>
      <c r="ALP37" s="270"/>
      <c r="ALQ37" s="270"/>
      <c r="ALR37" s="270"/>
      <c r="ALS37" s="270"/>
      <c r="ALT37" s="270"/>
      <c r="ALU37" s="270"/>
      <c r="ALV37" s="270"/>
      <c r="ALW37" s="270"/>
      <c r="ALX37" s="270"/>
    </row>
    <row r="38" spans="1:1012" ht="14.25" x14ac:dyDescent="0.2">
      <c r="A38" s="831"/>
      <c r="B38" s="831"/>
      <c r="C38" s="831"/>
      <c r="D38" s="831"/>
      <c r="E38" s="262">
        <f>SUM(E20:E37)</f>
        <v>1416.63</v>
      </c>
      <c r="F38" s="263"/>
      <c r="G38" s="289">
        <f>SUM(G20:G37)</f>
        <v>12450.240000000002</v>
      </c>
      <c r="H38" s="263"/>
      <c r="I38" s="290">
        <f>SUM(I20:I37)</f>
        <v>3479.02</v>
      </c>
      <c r="J38" s="265"/>
      <c r="K38" s="290">
        <f>SUM(K20:K37)</f>
        <v>1922.1499999999999</v>
      </c>
      <c r="L38" s="265"/>
      <c r="M38" s="290">
        <f>SUM(M20:M37)</f>
        <v>857.89999999999986</v>
      </c>
      <c r="N38" s="265"/>
      <c r="O38" s="290">
        <f>SUM(O20:O37)</f>
        <v>758.46</v>
      </c>
      <c r="P38" s="291"/>
      <c r="Q38" s="290">
        <f>SUM(Q20:Q37)</f>
        <v>0</v>
      </c>
      <c r="R38" s="265"/>
      <c r="S38" s="290">
        <f>SUM(S20:S37)</f>
        <v>5927.78</v>
      </c>
      <c r="T38" s="265"/>
      <c r="U38" s="290">
        <f>SUM(U20:U37)</f>
        <v>82.1</v>
      </c>
      <c r="V38" s="267"/>
      <c r="W38" s="290">
        <f>SUM(W20:W37)</f>
        <v>343.95</v>
      </c>
      <c r="X38" s="265"/>
      <c r="Y38" s="292">
        <f>SUM(Y20:Y37)</f>
        <v>343.95</v>
      </c>
      <c r="Z38" s="265"/>
      <c r="AA38" s="265">
        <f>SUM(AA20:AA37)</f>
        <v>0</v>
      </c>
      <c r="AB38" s="269">
        <f>SUM(AB20:AB37)</f>
        <v>0</v>
      </c>
      <c r="AC38" s="268">
        <f>SUM(AC20:AC37)</f>
        <v>0</v>
      </c>
      <c r="AD38" s="269">
        <f>SUM(AD20:AD37)</f>
        <v>0</v>
      </c>
      <c r="AE38" s="265">
        <f>SUM(AE20:AE37)</f>
        <v>0</v>
      </c>
      <c r="ALN38" s="270"/>
      <c r="ALO38" s="270"/>
      <c r="ALP38" s="270"/>
      <c r="ALQ38" s="270"/>
      <c r="ALR38" s="270"/>
      <c r="ALS38" s="270"/>
      <c r="ALT38" s="270"/>
      <c r="ALU38" s="270"/>
      <c r="ALV38" s="270"/>
      <c r="ALW38" s="270"/>
      <c r="ALX38" s="270"/>
    </row>
    <row r="39" spans="1:1012" ht="14.25" x14ac:dyDescent="0.2">
      <c r="A39" s="225" t="s">
        <v>417</v>
      </c>
      <c r="B39" s="272" t="s">
        <v>418</v>
      </c>
      <c r="C39" s="272" t="s">
        <v>419</v>
      </c>
      <c r="D39" s="228">
        <f>MC!C89</f>
        <v>0</v>
      </c>
      <c r="E39" s="229">
        <f>'Prod. GEXPOA'!D4</f>
        <v>14874.542307692309</v>
      </c>
      <c r="F39" s="293">
        <f>'GEXPOA Limp. Ord.'!$F$149</f>
        <v>0</v>
      </c>
      <c r="G39" s="274">
        <f>'Prod. GEXPOA'!E4</f>
        <v>-2560.1923076923076</v>
      </c>
      <c r="H39" s="293">
        <f>'GEXPOA Limp. Ord.'!$F$155</f>
        <v>0</v>
      </c>
      <c r="I39" s="274">
        <f>'Prod. GEXPOA'!F4</f>
        <v>0</v>
      </c>
      <c r="J39" s="293">
        <f>'GEXPOA Limp. Ord.'!$F$161</f>
        <v>0</v>
      </c>
      <c r="K39" s="274">
        <f>'Prod. GEXPOA'!G4</f>
        <v>265</v>
      </c>
      <c r="L39" s="293">
        <f>'GEXPOA Limp. Ord.'!$F$167</f>
        <v>0</v>
      </c>
      <c r="M39" s="274">
        <f>'Prod. GEXPOA'!H4</f>
        <v>925.65</v>
      </c>
      <c r="N39" s="293">
        <f>'GEXPOA Limp. Ord.'!$F$173</f>
        <v>0</v>
      </c>
      <c r="O39" s="274">
        <f>'Prod. GEXPOA'!I4</f>
        <v>229</v>
      </c>
      <c r="P39" s="293">
        <f>'GEXPOA Limp. Ord.'!$F$179</f>
        <v>0</v>
      </c>
      <c r="Q39" s="274">
        <f>'Prod. GEXPOA'!J4</f>
        <v>0</v>
      </c>
      <c r="R39" s="293">
        <f>'GEXPOA Limp. Ord.'!$F$182</f>
        <v>0</v>
      </c>
      <c r="S39" s="274">
        <f>'Prod. GEXPOA'!K4</f>
        <v>0</v>
      </c>
      <c r="T39" s="293">
        <f>'GEXPOA Limp. Ord.'!$F$185</f>
        <v>0</v>
      </c>
      <c r="U39" s="276">
        <f>'Prod. GEXPOA'!L4</f>
        <v>3572.1</v>
      </c>
      <c r="V39" s="293">
        <f>'GEXPOA Limp. Ord.'!$F$191</f>
        <v>0</v>
      </c>
      <c r="W39" s="274">
        <f>'Prod. GEXPOA'!M4</f>
        <v>0</v>
      </c>
      <c r="X39" s="293">
        <f>'GEXPOA Limp. Ord.'!$F$194</f>
        <v>0</v>
      </c>
      <c r="Y39" s="274">
        <f>'Prod. GEXPOA'!N4</f>
        <v>4291</v>
      </c>
      <c r="Z39" s="293">
        <f>'GEXPOA Limp. Ord.'!$F$197</f>
        <v>0</v>
      </c>
      <c r="AA39" s="231">
        <f t="shared" ref="AA39:AA44" si="2">(E39*F39)+(G39*H39)+(I39*J39)+(K39*L39)+(M39*N39)+(O39*P39)+(Q39*R39)+(S39*T39)+(U39*V39)+(W39*X39)+(Y39*Z39)</f>
        <v>0</v>
      </c>
      <c r="AB39" s="232">
        <f>('GEX POA Covid'!C$130*'Prod. GEXPOA'!T4)+('GEX POA Covid'!D$130*'Prod. GEXPOA'!U4)</f>
        <v>0</v>
      </c>
      <c r="AC39" s="233">
        <f>'GEXPOA Limp. Ord.'!C$140*'Prod. GEXPOA'!W4</f>
        <v>0</v>
      </c>
      <c r="AD39" s="234">
        <f>'GEX POA Covid'!C$135*'Prod. GEXPOA'!W4</f>
        <v>0</v>
      </c>
      <c r="AE39" s="235">
        <f>MC!C15*'Prod. GEXPOA'!X4</f>
        <v>0</v>
      </c>
      <c r="ALN39" s="270"/>
      <c r="ALO39" s="270"/>
      <c r="ALP39" s="270"/>
      <c r="ALQ39" s="270"/>
      <c r="ALR39" s="270"/>
      <c r="ALS39" s="270"/>
      <c r="ALT39" s="270"/>
      <c r="ALU39" s="270"/>
      <c r="ALV39" s="270"/>
      <c r="ALW39" s="270"/>
      <c r="ALX39" s="270"/>
    </row>
    <row r="40" spans="1:1012" ht="14.25" x14ac:dyDescent="0.2">
      <c r="A40" s="294" t="s">
        <v>116</v>
      </c>
      <c r="B40" s="295" t="s">
        <v>420</v>
      </c>
      <c r="C40" s="238" t="s">
        <v>419</v>
      </c>
      <c r="D40" s="239">
        <f>MC!C90</f>
        <v>0</v>
      </c>
      <c r="E40" s="240">
        <f>'Prod. GEXPOA'!D5</f>
        <v>441.35076923076929</v>
      </c>
      <c r="F40" s="296">
        <f>'GEXPOA Limp. Ord.'!$F$149</f>
        <v>0</v>
      </c>
      <c r="G40" s="279">
        <f>'Prod. GEXPOA'!E5</f>
        <v>230.76923076923072</v>
      </c>
      <c r="H40" s="296">
        <f>'GEXPOA Limp. Ord.'!$F$155</f>
        <v>0</v>
      </c>
      <c r="I40" s="279">
        <f>'Prod. GEXPOA'!F5</f>
        <v>0</v>
      </c>
      <c r="J40" s="296">
        <f>'GEXPOA Limp. Ord.'!$F$161</f>
        <v>0</v>
      </c>
      <c r="K40" s="279">
        <f>'Prod. GEXPOA'!G5</f>
        <v>0</v>
      </c>
      <c r="L40" s="296">
        <f>'GEXPOA Limp. Ord.'!$F$167</f>
        <v>0</v>
      </c>
      <c r="M40" s="279">
        <f>'Prod. GEXPOA'!H5</f>
        <v>200</v>
      </c>
      <c r="N40" s="296">
        <f>'GEXPOA Limp. Ord.'!$F$173</f>
        <v>0</v>
      </c>
      <c r="O40" s="279">
        <f>'Prod. GEXPOA'!I5</f>
        <v>0</v>
      </c>
      <c r="P40" s="296">
        <f>'GEXPOA Limp. Ord.'!$F$179</f>
        <v>0</v>
      </c>
      <c r="Q40" s="279">
        <f>'Prod. GEXPOA'!J5</f>
        <v>0</v>
      </c>
      <c r="R40" s="296">
        <f>'GEXPOA Limp. Ord.'!$F$182</f>
        <v>0</v>
      </c>
      <c r="S40" s="279">
        <f>'Prod. GEXPOA'!K5</f>
        <v>0</v>
      </c>
      <c r="T40" s="296">
        <f>'GEXPOA Limp. Ord.'!$F$185</f>
        <v>0</v>
      </c>
      <c r="U40" s="281">
        <f>'Prod. GEXPOA'!L5</f>
        <v>0</v>
      </c>
      <c r="V40" s="296">
        <f>'GEXPOA Limp. Ord.'!$F$191</f>
        <v>0</v>
      </c>
      <c r="W40" s="279">
        <f>'Prod. GEXPOA'!M5</f>
        <v>0</v>
      </c>
      <c r="X40" s="296">
        <f>'GEXPOA Limp. Ord.'!$F$194</f>
        <v>0</v>
      </c>
      <c r="Y40" s="279">
        <f>'Prod. GEXPOA'!N5</f>
        <v>0</v>
      </c>
      <c r="Z40" s="296">
        <f>'GEXPOA Limp. Ord.'!$F$197</f>
        <v>0</v>
      </c>
      <c r="AA40" s="242">
        <f t="shared" si="2"/>
        <v>0</v>
      </c>
      <c r="AB40" s="243">
        <f>('GEX POA Covid'!C$130*'Prod. GEXPOA'!T5)+('GEX POA Covid'!D$130*'Prod. GEXPOA'!U5)</f>
        <v>0</v>
      </c>
      <c r="AC40" s="244">
        <f>'GEXPOA Limp. Ord.'!C$140*'Prod. GEXPOA'!W5</f>
        <v>0</v>
      </c>
      <c r="AD40" s="245">
        <f>'GEX POA Covid'!C$135*'Prod. GEXPOA'!W5</f>
        <v>0</v>
      </c>
      <c r="AE40" s="246"/>
      <c r="ALN40" s="270"/>
      <c r="ALO40" s="270"/>
      <c r="ALP40" s="270"/>
      <c r="ALQ40" s="270"/>
      <c r="ALR40" s="270"/>
      <c r="ALS40" s="270"/>
      <c r="ALT40" s="270"/>
      <c r="ALU40" s="270"/>
      <c r="ALV40" s="270"/>
      <c r="ALW40" s="270"/>
      <c r="ALX40" s="270"/>
    </row>
    <row r="41" spans="1:1012" ht="15.75" customHeight="1" x14ac:dyDescent="0.2">
      <c r="A41" s="297" t="s">
        <v>117</v>
      </c>
      <c r="B41" s="298" t="s">
        <v>421</v>
      </c>
      <c r="C41" s="238" t="s">
        <v>419</v>
      </c>
      <c r="D41" s="239">
        <f>MC!C91</f>
        <v>0</v>
      </c>
      <c r="E41" s="240">
        <f>'Prod. GEXPOA'!D6</f>
        <v>5167.1446153846155</v>
      </c>
      <c r="F41" s="296">
        <f>'GEXPOA Limp. Ord.'!$F$149</f>
        <v>0</v>
      </c>
      <c r="G41" s="279">
        <f>'Prod. GEXPOA'!E6</f>
        <v>60.615384615384627</v>
      </c>
      <c r="H41" s="296">
        <f>'GEXPOA Limp. Ord.'!$F$155</f>
        <v>0</v>
      </c>
      <c r="I41" s="279">
        <f>'Prod. GEXPOA'!F6</f>
        <v>0</v>
      </c>
      <c r="J41" s="296">
        <f>'GEXPOA Limp. Ord.'!$F$161</f>
        <v>0</v>
      </c>
      <c r="K41" s="279">
        <f>'Prod. GEXPOA'!G6</f>
        <v>770</v>
      </c>
      <c r="L41" s="296">
        <f>'GEXPOA Limp. Ord.'!$F$167</f>
        <v>0</v>
      </c>
      <c r="M41" s="279">
        <f>'Prod. GEXPOA'!H6</f>
        <v>244.24</v>
      </c>
      <c r="N41" s="296">
        <f>'GEXPOA Limp. Ord.'!$F$173</f>
        <v>0</v>
      </c>
      <c r="O41" s="279">
        <f>'Prod. GEXPOA'!I6</f>
        <v>2045</v>
      </c>
      <c r="P41" s="296">
        <f>'GEXPOA Limp. Ord.'!$F$179</f>
        <v>0</v>
      </c>
      <c r="Q41" s="279">
        <f>'Prod. GEXPOA'!J6</f>
        <v>0</v>
      </c>
      <c r="R41" s="296">
        <f>'GEXPOA Limp. Ord.'!$F$182</f>
        <v>0</v>
      </c>
      <c r="S41" s="279">
        <f>'Prod. GEXPOA'!K6</f>
        <v>0</v>
      </c>
      <c r="T41" s="296">
        <f>'GEXPOA Limp. Ord.'!$F$185</f>
        <v>0</v>
      </c>
      <c r="U41" s="281">
        <f>'Prod. GEXPOA'!L6</f>
        <v>0</v>
      </c>
      <c r="V41" s="296">
        <f>'GEXPOA Limp. Ord.'!$F$191</f>
        <v>0</v>
      </c>
      <c r="W41" s="279">
        <f>'Prod. GEXPOA'!M6</f>
        <v>0</v>
      </c>
      <c r="X41" s="296">
        <f>'GEXPOA Limp. Ord.'!$F$194</f>
        <v>0</v>
      </c>
      <c r="Y41" s="279">
        <f>'Prod. GEXPOA'!N6</f>
        <v>4627</v>
      </c>
      <c r="Z41" s="296">
        <f>'GEXPOA Limp. Ord.'!$F$197</f>
        <v>0</v>
      </c>
      <c r="AA41" s="242">
        <f t="shared" si="2"/>
        <v>0</v>
      </c>
      <c r="AB41" s="243">
        <f>('GEX POA Covid'!C$130*'Prod. GEXPOA'!T6)+('GEX POA Covid'!D$130*'Prod. GEXPOA'!U6)</f>
        <v>0</v>
      </c>
      <c r="AC41" s="244">
        <f>'GEXPOA Limp. Ord.'!C$140*'Prod. GEXPOA'!W6</f>
        <v>0</v>
      </c>
      <c r="AD41" s="245">
        <f>'GEX POA Covid'!C$135*'Prod. GEXPOA'!W6</f>
        <v>0</v>
      </c>
      <c r="AE41" s="246"/>
      <c r="ALN41" s="270"/>
      <c r="ALO41" s="270"/>
      <c r="ALP41" s="270"/>
      <c r="ALQ41" s="270"/>
      <c r="ALR41" s="270"/>
      <c r="ALS41" s="270"/>
      <c r="ALT41" s="270"/>
      <c r="ALU41" s="270"/>
      <c r="ALV41" s="270"/>
      <c r="ALW41" s="270"/>
      <c r="ALX41" s="270"/>
    </row>
    <row r="42" spans="1:1012" ht="14.25" x14ac:dyDescent="0.2">
      <c r="A42" s="294" t="s">
        <v>118</v>
      </c>
      <c r="B42" s="295" t="s">
        <v>422</v>
      </c>
      <c r="C42" s="238" t="s">
        <v>419</v>
      </c>
      <c r="D42" s="239">
        <f>MC!C92</f>
        <v>0</v>
      </c>
      <c r="E42" s="240">
        <f>'Prod. GEXPOA'!D7</f>
        <v>49.230769230769283</v>
      </c>
      <c r="F42" s="296">
        <f>'GEXPOA Limp. Ord.'!$F$149</f>
        <v>0</v>
      </c>
      <c r="G42" s="279">
        <f>'Prod. GEXPOA'!E7</f>
        <v>230.76923076923072</v>
      </c>
      <c r="H42" s="296">
        <f>'GEXPOA Limp. Ord.'!$F$155</f>
        <v>0</v>
      </c>
      <c r="I42" s="279">
        <f>'Prod. GEXPOA'!F7</f>
        <v>0</v>
      </c>
      <c r="J42" s="296">
        <f>'GEXPOA Limp. Ord.'!$F$161</f>
        <v>0</v>
      </c>
      <c r="K42" s="279">
        <f>'Prod. GEXPOA'!G7</f>
        <v>345</v>
      </c>
      <c r="L42" s="296">
        <f>'GEXPOA Limp. Ord.'!$F$167</f>
        <v>0</v>
      </c>
      <c r="M42" s="279">
        <f>'Prod. GEXPOA'!H7</f>
        <v>200</v>
      </c>
      <c r="N42" s="296">
        <f>'GEXPOA Limp. Ord.'!$F$173</f>
        <v>0</v>
      </c>
      <c r="O42" s="279">
        <f>'Prod. GEXPOA'!I7</f>
        <v>945</v>
      </c>
      <c r="P42" s="296">
        <f>'GEXPOA Limp. Ord.'!$F$179</f>
        <v>0</v>
      </c>
      <c r="Q42" s="279">
        <f>'Prod. GEXPOA'!J7</f>
        <v>0</v>
      </c>
      <c r="R42" s="296">
        <f>'GEXPOA Limp. Ord.'!$F$182</f>
        <v>0</v>
      </c>
      <c r="S42" s="279">
        <f>'Prod. GEXPOA'!K7</f>
        <v>0</v>
      </c>
      <c r="T42" s="296">
        <f>'GEXPOA Limp. Ord.'!$F$185</f>
        <v>0</v>
      </c>
      <c r="U42" s="281">
        <f>'Prod. GEXPOA'!L7</f>
        <v>0</v>
      </c>
      <c r="V42" s="296">
        <f>'GEXPOA Limp. Ord.'!$F$191</f>
        <v>0</v>
      </c>
      <c r="W42" s="279">
        <f>'Prod. GEXPOA'!M7</f>
        <v>0</v>
      </c>
      <c r="X42" s="296">
        <f>'GEXPOA Limp. Ord.'!$F$194</f>
        <v>0</v>
      </c>
      <c r="Y42" s="279">
        <f>'Prod. GEXPOA'!N7</f>
        <v>176</v>
      </c>
      <c r="Z42" s="296">
        <f>'GEXPOA Limp. Ord.'!$F$197</f>
        <v>0</v>
      </c>
      <c r="AA42" s="242">
        <f t="shared" si="2"/>
        <v>0</v>
      </c>
      <c r="AB42" s="243">
        <f>('GEX POA Covid'!C$130*'Prod. GEXPOA'!T7)+('GEX POA Covid'!D$130*'Prod. GEXPOA'!U7)</f>
        <v>0</v>
      </c>
      <c r="AC42" s="244">
        <f>'GEXPOA Limp. Ord.'!C$140*'Prod. GEXPOA'!W7</f>
        <v>0</v>
      </c>
      <c r="AD42" s="245">
        <f>'GEX POA Covid'!C$135*'Prod. GEXPOA'!W7</f>
        <v>0</v>
      </c>
      <c r="AE42" s="246"/>
      <c r="ALN42" s="270"/>
      <c r="ALO42" s="270"/>
      <c r="ALP42" s="270"/>
      <c r="ALQ42" s="270"/>
      <c r="ALR42" s="270"/>
      <c r="ALS42" s="270"/>
      <c r="ALT42" s="270"/>
      <c r="ALU42" s="270"/>
      <c r="ALV42" s="270"/>
      <c r="ALW42" s="270"/>
      <c r="ALX42" s="270"/>
    </row>
    <row r="43" spans="1:1012" ht="14.25" x14ac:dyDescent="0.2">
      <c r="A43" s="294" t="s">
        <v>119</v>
      </c>
      <c r="B43" s="295" t="s">
        <v>423</v>
      </c>
      <c r="C43" s="238" t="s">
        <v>424</v>
      </c>
      <c r="D43" s="239">
        <f>MC!C93</f>
        <v>0</v>
      </c>
      <c r="E43" s="240">
        <f>'Prod. GEXPOA'!D8</f>
        <v>0</v>
      </c>
      <c r="F43" s="296">
        <f>'GEXPOA Limp. Ord.'!$H$149</f>
        <v>0</v>
      </c>
      <c r="G43" s="279">
        <f>'Prod. GEXPOA'!E8</f>
        <v>1000</v>
      </c>
      <c r="H43" s="296">
        <f>'GEXPOA Limp. Ord.'!$H$155</f>
        <v>0</v>
      </c>
      <c r="I43" s="279">
        <f>'Prod. GEXPOA'!F8</f>
        <v>0</v>
      </c>
      <c r="J43" s="296">
        <f>'GEXPOA Limp. Ord.'!$H$161</f>
        <v>0</v>
      </c>
      <c r="K43" s="279">
        <f>'Prod. GEXPOA'!G8</f>
        <v>0</v>
      </c>
      <c r="L43" s="296">
        <f>'GEXPOA Limp. Ord.'!$H$167</f>
        <v>0</v>
      </c>
      <c r="M43" s="279">
        <f>'Prod. GEXPOA'!H8</f>
        <v>0</v>
      </c>
      <c r="N43" s="296">
        <f>'GEXPOA Limp. Ord.'!$H$173</f>
        <v>0</v>
      </c>
      <c r="O43" s="279">
        <f>'Prod. GEXPOA'!I8</f>
        <v>0</v>
      </c>
      <c r="P43" s="296">
        <f>'GEXPOA Limp. Ord.'!$H$179</f>
        <v>0</v>
      </c>
      <c r="Q43" s="279">
        <f>'Prod. GEXPOA'!J8</f>
        <v>0</v>
      </c>
      <c r="R43" s="296">
        <f>'GEXPOA Limp. Ord.'!$H$182</f>
        <v>0</v>
      </c>
      <c r="S43" s="279">
        <f>'Prod. GEXPOA'!K8</f>
        <v>0</v>
      </c>
      <c r="T43" s="296">
        <f>'GEXPOA Limp. Ord.'!$H$185</f>
        <v>0</v>
      </c>
      <c r="U43" s="281">
        <f>'Prod. GEXPOA'!L8</f>
        <v>0</v>
      </c>
      <c r="V43" s="296">
        <f>'GEXPOA Limp. Ord.'!$H$191</f>
        <v>0</v>
      </c>
      <c r="W43" s="279">
        <f>'Prod. GEXPOA'!M8</f>
        <v>0</v>
      </c>
      <c r="X43" s="296">
        <f>'GEXPOA Limp. Ord.'!$H$194</f>
        <v>0</v>
      </c>
      <c r="Y43" s="279">
        <f>'Prod. GEXPOA'!N8</f>
        <v>0</v>
      </c>
      <c r="Z43" s="296">
        <f>'GEXPOA Limp. Ord.'!$H$197</f>
        <v>0</v>
      </c>
      <c r="AA43" s="242">
        <f t="shared" si="2"/>
        <v>0</v>
      </c>
      <c r="AB43" s="243">
        <f>('GEX POA Covid'!C$131*'Prod. GEXPOA'!T8)+('GEX POA Covid'!D$131*'Prod. GEXPOA'!U8)</f>
        <v>0</v>
      </c>
      <c r="AC43" s="244">
        <f>'GEXPOA Limp. Ord.'!C$141*'Prod. GEXPOA'!W8</f>
        <v>0</v>
      </c>
      <c r="AD43" s="245">
        <f>'GEX POA Covid'!C$136*'Prod. GEXPOA'!W7</f>
        <v>0</v>
      </c>
      <c r="AE43" s="246"/>
      <c r="ALN43" s="270"/>
      <c r="ALO43" s="270"/>
      <c r="ALP43" s="270"/>
      <c r="ALQ43" s="270"/>
      <c r="ALR43" s="270"/>
      <c r="ALS43" s="270"/>
      <c r="ALT43" s="270"/>
      <c r="ALU43" s="270"/>
      <c r="ALV43" s="270"/>
      <c r="ALW43" s="270"/>
      <c r="ALX43" s="270"/>
    </row>
    <row r="44" spans="1:1012" ht="14.25" x14ac:dyDescent="0.2">
      <c r="A44" s="299" t="s">
        <v>120</v>
      </c>
      <c r="B44" s="300" t="s">
        <v>425</v>
      </c>
      <c r="C44" s="253" t="s">
        <v>419</v>
      </c>
      <c r="D44" s="254">
        <f>MC!C94</f>
        <v>0</v>
      </c>
      <c r="E44" s="255">
        <f>'Prod. GEXPOA'!D9</f>
        <v>2709.2307692307695</v>
      </c>
      <c r="F44" s="301">
        <f>'GEXPOA Limp. Ord.'!$F$149</f>
        <v>0</v>
      </c>
      <c r="G44" s="286">
        <f>'Prod. GEXPOA'!E9</f>
        <v>230.76923076923072</v>
      </c>
      <c r="H44" s="301">
        <f>'GEXPOA Limp. Ord.'!$F$155</f>
        <v>0</v>
      </c>
      <c r="I44" s="286">
        <f>'Prod. GEXPOA'!F9</f>
        <v>0</v>
      </c>
      <c r="J44" s="301">
        <f>'GEXPOA Limp. Ord.'!$F$161</f>
        <v>0</v>
      </c>
      <c r="K44" s="286">
        <f>'Prod. GEXPOA'!G9</f>
        <v>300</v>
      </c>
      <c r="L44" s="301">
        <f>'GEXPOA Limp. Ord.'!$F$167</f>
        <v>0</v>
      </c>
      <c r="M44" s="286">
        <f>'Prod. GEXPOA'!H9</f>
        <v>200</v>
      </c>
      <c r="N44" s="301">
        <f>'GEXPOA Limp. Ord.'!$F$173</f>
        <v>0</v>
      </c>
      <c r="O44" s="286">
        <f>'Prod. GEXPOA'!I9</f>
        <v>1570</v>
      </c>
      <c r="P44" s="301">
        <f>'GEXPOA Limp. Ord.'!$F$179</f>
        <v>0</v>
      </c>
      <c r="Q44" s="286">
        <f>'Prod. GEXPOA'!J9</f>
        <v>0</v>
      </c>
      <c r="R44" s="301">
        <f>'GEXPOA Limp. Ord.'!$F$182</f>
        <v>0</v>
      </c>
      <c r="S44" s="286">
        <f>'Prod. GEXPOA'!K9</f>
        <v>0</v>
      </c>
      <c r="T44" s="301">
        <f>'GEXPOA Limp. Ord.'!$F$185</f>
        <v>0</v>
      </c>
      <c r="U44" s="288">
        <f>'Prod. GEXPOA'!L9</f>
        <v>0</v>
      </c>
      <c r="V44" s="301">
        <f>'GEXPOA Limp. Ord.'!$F$191</f>
        <v>0</v>
      </c>
      <c r="W44" s="286">
        <f>'Prod. GEXPOA'!M9</f>
        <v>0</v>
      </c>
      <c r="X44" s="301">
        <f>'GEXPOA Limp. Ord.'!$F$194</f>
        <v>0</v>
      </c>
      <c r="Y44" s="286">
        <f>'Prod. GEXPOA'!N9</f>
        <v>250</v>
      </c>
      <c r="Z44" s="301">
        <f>'GEXPOA Limp. Ord.'!$F$197</f>
        <v>0</v>
      </c>
      <c r="AA44" s="257">
        <f t="shared" si="2"/>
        <v>0</v>
      </c>
      <c r="AB44" s="258">
        <f>('GEX POA Covid'!C$130*'Prod. GEXPOA'!T9)+('GEX POA Covid'!D$130*'Prod. GEXPOA'!U9)</f>
        <v>0</v>
      </c>
      <c r="AC44" s="259">
        <f>'GEXPOA Limp. Ord.'!C$140*'Prod. GEXPOA'!W9</f>
        <v>0</v>
      </c>
      <c r="AD44" s="260">
        <f>'GEX POA Covid'!C$135*'Prod. GEXPOA'!W9</f>
        <v>0</v>
      </c>
      <c r="AE44" s="261"/>
      <c r="ALN44" s="270"/>
      <c r="ALO44" s="270"/>
      <c r="ALP44" s="270"/>
      <c r="ALQ44" s="270"/>
      <c r="ALR44" s="270"/>
      <c r="ALS44" s="270"/>
      <c r="ALT44" s="270"/>
      <c r="ALU44" s="270"/>
      <c r="ALV44" s="270"/>
      <c r="ALW44" s="270"/>
      <c r="ALX44" s="270"/>
    </row>
    <row r="45" spans="1:1012" ht="14.25" x14ac:dyDescent="0.2">
      <c r="A45" s="832"/>
      <c r="B45" s="832"/>
      <c r="C45" s="832"/>
      <c r="D45" s="832"/>
      <c r="E45" s="302">
        <f>SUM(E39:E44)</f>
        <v>23241.49923076923</v>
      </c>
      <c r="F45" s="303"/>
      <c r="G45" s="304">
        <f>SUM(G39:G44)</f>
        <v>-807.26923076923094</v>
      </c>
      <c r="H45" s="303"/>
      <c r="I45" s="304">
        <f>SUM(I39:I44)</f>
        <v>0</v>
      </c>
      <c r="J45" s="305"/>
      <c r="K45" s="304">
        <f>SUM(K39:K44)</f>
        <v>1680</v>
      </c>
      <c r="L45" s="305"/>
      <c r="M45" s="304">
        <f>SUM(M39:M44)</f>
        <v>1769.89</v>
      </c>
      <c r="N45" s="305"/>
      <c r="O45" s="304">
        <f>SUM(O39:O44)</f>
        <v>4789</v>
      </c>
      <c r="P45" s="306"/>
      <c r="Q45" s="304">
        <f>SUM(Q39:Q44)</f>
        <v>0</v>
      </c>
      <c r="R45" s="305"/>
      <c r="S45" s="304">
        <f>SUM(S39:S44)</f>
        <v>0</v>
      </c>
      <c r="T45" s="305"/>
      <c r="U45" s="304">
        <f>SUM(U39:U44)</f>
        <v>3572.1</v>
      </c>
      <c r="V45" s="307"/>
      <c r="W45" s="304">
        <f>SUM(W39:W44)</f>
        <v>0</v>
      </c>
      <c r="X45" s="305"/>
      <c r="Y45" s="308">
        <f>SUM(Y39:Y44)</f>
        <v>9344</v>
      </c>
      <c r="Z45" s="305"/>
      <c r="AA45" s="305">
        <f>SUM(AA39:AA44)</f>
        <v>0</v>
      </c>
      <c r="AB45" s="309">
        <f>SUM(AB39:AB44)</f>
        <v>0</v>
      </c>
      <c r="AC45" s="310">
        <f>SUM(AC39:AC44)</f>
        <v>0</v>
      </c>
      <c r="AD45" s="309">
        <f>SUM(AD39:AD44)</f>
        <v>0</v>
      </c>
      <c r="AE45" s="305">
        <f>SUM(AE39:AE44)</f>
        <v>0</v>
      </c>
      <c r="ALN45" s="270"/>
      <c r="ALO45" s="270"/>
      <c r="ALP45" s="270"/>
      <c r="ALQ45" s="270"/>
      <c r="ALR45" s="270"/>
      <c r="ALS45" s="270"/>
      <c r="ALT45" s="270"/>
      <c r="ALU45" s="270"/>
      <c r="ALV45" s="270"/>
      <c r="ALW45" s="270"/>
      <c r="ALX45" s="270"/>
    </row>
    <row r="46" spans="1:1012" x14ac:dyDescent="0.25">
      <c r="A46" s="311"/>
      <c r="B46" s="311"/>
      <c r="C46" s="311"/>
      <c r="D46" s="311"/>
      <c r="E46" s="312"/>
      <c r="F46" s="312"/>
      <c r="G46" s="313"/>
      <c r="H46" s="312"/>
      <c r="I46" s="313"/>
      <c r="J46" s="312"/>
      <c r="K46" s="313"/>
      <c r="L46" s="312"/>
      <c r="M46" s="313"/>
      <c r="N46" s="312"/>
      <c r="O46" s="313"/>
      <c r="P46" s="312"/>
      <c r="Q46" s="313"/>
      <c r="R46" s="312"/>
      <c r="S46" s="313"/>
      <c r="T46" s="312"/>
      <c r="U46" s="313"/>
      <c r="V46" s="312"/>
      <c r="W46" s="313"/>
      <c r="X46" s="312"/>
      <c r="Y46" s="313"/>
      <c r="Z46" s="312"/>
      <c r="AA46" s="314"/>
      <c r="AB46" s="314"/>
      <c r="AC46" s="314"/>
      <c r="AD46" s="314"/>
      <c r="AE46" s="315"/>
      <c r="ALQ46" s="315"/>
      <c r="ALR46" s="315"/>
      <c r="ALS46" s="315"/>
      <c r="ALT46" s="315"/>
      <c r="ALU46" s="315"/>
      <c r="ALV46" s="315"/>
      <c r="ALW46" s="315"/>
      <c r="ALX46" s="315"/>
    </row>
    <row r="47" spans="1:1012" x14ac:dyDescent="0.2">
      <c r="A47" s="833" t="s">
        <v>426</v>
      </c>
      <c r="B47" s="833"/>
      <c r="C47" s="833"/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  <c r="O47" s="833"/>
      <c r="P47" s="833"/>
      <c r="Q47" s="833"/>
      <c r="R47" s="833"/>
      <c r="S47" s="833"/>
      <c r="T47" s="833"/>
      <c r="U47" s="833"/>
      <c r="V47" s="833"/>
      <c r="W47" s="833"/>
      <c r="X47" s="833"/>
      <c r="Y47" s="833"/>
      <c r="Z47" s="833"/>
      <c r="AA47" s="316">
        <f>ROUND(AA19+AA38+AA45,2)</f>
        <v>0</v>
      </c>
      <c r="AB47" s="316">
        <f>ROUND(AB19+AB38+AB45,2)</f>
        <v>0</v>
      </c>
      <c r="AC47" s="316">
        <f>ROUND(AC19+AC38+AC45,2)</f>
        <v>0</v>
      </c>
      <c r="AD47" s="316">
        <f>ROUND(AD19+AD38+AD45,2)</f>
        <v>0</v>
      </c>
      <c r="AE47" s="316">
        <f>ROUND(AE19+AE38+AE45,2)</f>
        <v>0</v>
      </c>
    </row>
    <row r="48" spans="1:1012" x14ac:dyDescent="0.2">
      <c r="A48" s="317"/>
      <c r="B48" s="317"/>
      <c r="C48" s="317"/>
      <c r="D48" s="317"/>
      <c r="E48" s="318"/>
      <c r="F48" s="319"/>
      <c r="G48" s="319"/>
      <c r="H48" s="319"/>
      <c r="I48" s="320"/>
      <c r="J48" s="318"/>
      <c r="K48" s="321"/>
      <c r="L48" s="316"/>
      <c r="M48" s="321"/>
      <c r="N48" s="316"/>
      <c r="O48" s="321"/>
      <c r="P48" s="316"/>
      <c r="Q48" s="321"/>
      <c r="R48" s="322"/>
      <c r="S48" s="323"/>
      <c r="T48" s="318"/>
      <c r="U48" s="319"/>
      <c r="V48" s="318"/>
      <c r="W48" s="320"/>
      <c r="X48" s="316"/>
      <c r="Y48" s="321"/>
      <c r="Z48" s="316"/>
      <c r="AA48" s="316"/>
      <c r="AB48" s="316"/>
      <c r="AC48" s="318"/>
      <c r="AD48" s="316"/>
      <c r="AE48" s="316"/>
    </row>
    <row r="49" spans="1:31" ht="14.25" x14ac:dyDescent="0.2">
      <c r="A49" s="324"/>
      <c r="B49" s="324"/>
      <c r="C49" s="324"/>
      <c r="D49" s="324"/>
      <c r="E49" s="325"/>
      <c r="F49" s="325"/>
      <c r="G49" s="326"/>
      <c r="H49" s="325"/>
      <c r="I49" s="326"/>
      <c r="J49" s="325"/>
      <c r="K49" s="327"/>
      <c r="L49" s="328"/>
      <c r="M49" s="327"/>
      <c r="N49" s="328"/>
      <c r="O49" s="327"/>
      <c r="P49" s="325"/>
      <c r="Q49" s="326"/>
      <c r="R49" s="325"/>
      <c r="S49" s="327"/>
      <c r="T49" s="328"/>
      <c r="U49" s="326"/>
      <c r="V49" s="325"/>
      <c r="W49" s="326"/>
      <c r="X49" s="328"/>
      <c r="Y49" s="327"/>
      <c r="Z49" s="328"/>
      <c r="AA49" s="328"/>
      <c r="AB49" s="328"/>
      <c r="AC49" s="325"/>
      <c r="AD49" s="834" t="s">
        <v>57</v>
      </c>
      <c r="AE49" s="322">
        <f>AA47+AB47+AC47+AD47+AE47</f>
        <v>0</v>
      </c>
    </row>
    <row r="50" spans="1:31" ht="14.25" x14ac:dyDescent="0.2">
      <c r="A50" s="329"/>
      <c r="B50" s="329"/>
      <c r="C50" s="329"/>
      <c r="D50" s="329"/>
      <c r="E50" s="330"/>
      <c r="F50" s="330"/>
      <c r="G50" s="331"/>
      <c r="H50" s="330"/>
      <c r="I50" s="331"/>
      <c r="J50" s="330"/>
      <c r="K50" s="332"/>
      <c r="L50" s="333"/>
      <c r="M50" s="332"/>
      <c r="N50" s="333"/>
      <c r="O50" s="332"/>
      <c r="P50" s="330"/>
      <c r="Q50" s="331"/>
      <c r="R50" s="330"/>
      <c r="S50" s="332"/>
      <c r="T50" s="333"/>
      <c r="U50" s="331"/>
      <c r="V50" s="330"/>
      <c r="W50" s="331"/>
      <c r="X50" s="333"/>
      <c r="Y50" s="332"/>
      <c r="Z50" s="333"/>
      <c r="AA50" s="333"/>
      <c r="AB50" s="333"/>
      <c r="AC50" s="330"/>
      <c r="AD50" s="834"/>
      <c r="AE50" s="322">
        <f>AE49*12</f>
        <v>0</v>
      </c>
    </row>
    <row r="51" spans="1:31" x14ac:dyDescent="0.25">
      <c r="E51" s="334" t="s">
        <v>427</v>
      </c>
    </row>
  </sheetData>
  <mergeCells count="26">
    <mergeCell ref="A19:D19"/>
    <mergeCell ref="A38:D38"/>
    <mergeCell ref="A45:D45"/>
    <mergeCell ref="A47:Z47"/>
    <mergeCell ref="AD49:AD50"/>
    <mergeCell ref="AA3:AA4"/>
    <mergeCell ref="AB3:AB4"/>
    <mergeCell ref="AC3:AC4"/>
    <mergeCell ref="AD3:AD4"/>
    <mergeCell ref="AE3:AE4"/>
    <mergeCell ref="E2:N2"/>
    <mergeCell ref="O2:T2"/>
    <mergeCell ref="U2:Z2"/>
    <mergeCell ref="A3:C5"/>
    <mergeCell ref="D3:D5"/>
    <mergeCell ref="E3:F4"/>
    <mergeCell ref="G3:H4"/>
    <mergeCell ref="I3:J4"/>
    <mergeCell ref="K3:L4"/>
    <mergeCell ref="M3:N4"/>
    <mergeCell ref="O3:P4"/>
    <mergeCell ref="Q3:R4"/>
    <mergeCell ref="S3:T4"/>
    <mergeCell ref="U3:V4"/>
    <mergeCell ref="W3:X4"/>
    <mergeCell ref="Y3:Z4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LZ177"/>
  <sheetViews>
    <sheetView zoomScale="75" zoomScaleNormal="75" workbookViewId="0">
      <pane xSplit="1" topLeftCell="B1" activePane="topRight" state="frozen"/>
      <selection pane="topRight" activeCell="Z1" sqref="Z1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26" width="9.25" customWidth="1"/>
    <col min="27" max="1014" width="10.625" customWidth="1"/>
    <col min="1015" max="1025" width="10.5" customWidth="1"/>
  </cols>
  <sheetData>
    <row r="1" spans="1:26" ht="15" customHeight="1" x14ac:dyDescent="0.2">
      <c r="A1" s="311"/>
      <c r="B1" s="311"/>
      <c r="C1" s="835" t="s">
        <v>331</v>
      </c>
      <c r="D1" s="835"/>
      <c r="E1" s="835"/>
      <c r="F1" s="835"/>
      <c r="G1" s="835"/>
      <c r="H1" s="835"/>
      <c r="I1" s="836" t="s">
        <v>332</v>
      </c>
      <c r="J1" s="836"/>
      <c r="K1" s="836"/>
      <c r="L1" s="837" t="s">
        <v>333</v>
      </c>
      <c r="M1" s="837"/>
      <c r="N1" s="837"/>
      <c r="O1" s="311"/>
      <c r="P1" s="311"/>
      <c r="Q1" s="311"/>
      <c r="R1" s="311"/>
      <c r="S1" s="311"/>
      <c r="T1" s="311"/>
      <c r="U1" s="311"/>
      <c r="V1" s="838"/>
      <c r="W1" s="838"/>
      <c r="X1" s="838"/>
      <c r="Y1" s="311"/>
      <c r="Z1" s="80"/>
    </row>
    <row r="2" spans="1:26" ht="73.7" customHeight="1" x14ac:dyDescent="0.2">
      <c r="A2" s="839" t="s">
        <v>339</v>
      </c>
      <c r="B2" s="839" t="s">
        <v>340</v>
      </c>
      <c r="C2" s="840" t="s">
        <v>428</v>
      </c>
      <c r="D2" s="820" t="s">
        <v>341</v>
      </c>
      <c r="E2" s="820" t="s">
        <v>342</v>
      </c>
      <c r="F2" s="821" t="s">
        <v>343</v>
      </c>
      <c r="G2" s="819" t="s">
        <v>344</v>
      </c>
      <c r="H2" s="841" t="s">
        <v>429</v>
      </c>
      <c r="I2" s="842" t="s">
        <v>346</v>
      </c>
      <c r="J2" s="822" t="s">
        <v>430</v>
      </c>
      <c r="K2" s="843" t="s">
        <v>348</v>
      </c>
      <c r="L2" s="844" t="s">
        <v>349</v>
      </c>
      <c r="M2" s="824" t="s">
        <v>350</v>
      </c>
      <c r="N2" s="845" t="s">
        <v>351</v>
      </c>
      <c r="O2" s="846" t="s">
        <v>431</v>
      </c>
      <c r="P2" s="847" t="s">
        <v>432</v>
      </c>
      <c r="Q2" s="847"/>
      <c r="R2" s="847"/>
      <c r="S2" s="847"/>
      <c r="T2" s="848" t="s">
        <v>433</v>
      </c>
      <c r="U2" s="848"/>
      <c r="V2" s="335" t="s">
        <v>434</v>
      </c>
      <c r="W2" s="336" t="s">
        <v>435</v>
      </c>
      <c r="X2" s="337" t="s">
        <v>436</v>
      </c>
      <c r="Y2" s="338" t="s">
        <v>437</v>
      </c>
      <c r="Z2" s="339"/>
    </row>
    <row r="3" spans="1:26" x14ac:dyDescent="0.2">
      <c r="A3" s="839"/>
      <c r="B3" s="839"/>
      <c r="C3" s="839"/>
      <c r="D3" s="820"/>
      <c r="E3" s="820"/>
      <c r="F3" s="821"/>
      <c r="G3" s="819"/>
      <c r="H3" s="841"/>
      <c r="I3" s="842"/>
      <c r="J3" s="822"/>
      <c r="K3" s="843"/>
      <c r="L3" s="844"/>
      <c r="M3" s="824"/>
      <c r="N3" s="845"/>
      <c r="O3" s="846"/>
      <c r="P3" s="340" t="s">
        <v>438</v>
      </c>
      <c r="Q3" s="340" t="s">
        <v>439</v>
      </c>
      <c r="R3" s="340" t="s">
        <v>440</v>
      </c>
      <c r="S3" s="341" t="s">
        <v>441</v>
      </c>
      <c r="T3" s="342" t="s">
        <v>442</v>
      </c>
      <c r="U3" s="342" t="s">
        <v>443</v>
      </c>
      <c r="V3" s="343" t="s">
        <v>444</v>
      </c>
      <c r="W3" s="344" t="s">
        <v>444</v>
      </c>
      <c r="X3" s="345" t="s">
        <v>445</v>
      </c>
      <c r="Y3" s="338" t="s">
        <v>442</v>
      </c>
      <c r="Z3" s="339"/>
    </row>
    <row r="4" spans="1:26" x14ac:dyDescent="0.2">
      <c r="A4" s="346" t="s">
        <v>80</v>
      </c>
      <c r="B4" s="347">
        <f>'Resumo Proposta'!D6</f>
        <v>0</v>
      </c>
      <c r="C4" s="348">
        <v>1662.45</v>
      </c>
      <c r="D4" s="349">
        <f>C4-E4-F4-G4-H4</f>
        <v>887.45399999999995</v>
      </c>
      <c r="E4" s="350">
        <f t="shared" ref="E4:E16" si="0">$E$18*(1-H4/$H$18)</f>
        <v>602.89599999999996</v>
      </c>
      <c r="F4" s="351">
        <f>63.8/2</f>
        <v>31.9</v>
      </c>
      <c r="G4" s="351">
        <f>88/2</f>
        <v>44</v>
      </c>
      <c r="H4" s="351">
        <f>192.4/2</f>
        <v>96.2</v>
      </c>
      <c r="I4" s="351">
        <v>81.72</v>
      </c>
      <c r="J4" s="351">
        <f>209.12+124.66</f>
        <v>333.78</v>
      </c>
      <c r="K4" s="351">
        <v>1116.3499999999999</v>
      </c>
      <c r="L4" s="351"/>
      <c r="M4" s="351">
        <f>N4</f>
        <v>150.505</v>
      </c>
      <c r="N4" s="352">
        <f>301.01/2</f>
        <v>150.505</v>
      </c>
      <c r="O4" s="353">
        <f t="shared" ref="O4:O16" si="1">D4/$D$18+E4/$E$18+F4/$F$18+G4/$G$18+H4/$H$18+I4/$I$18+J4/$J$18+K4/$K$18+M4/$M$18*16*1/188.76+N4/$N$18*16*1/188.76</f>
        <v>2.2059014120908031</v>
      </c>
      <c r="P4" s="353">
        <v>1</v>
      </c>
      <c r="Q4" s="353"/>
      <c r="R4" s="353"/>
      <c r="S4" s="353"/>
      <c r="T4" s="354"/>
      <c r="U4" s="354"/>
      <c r="V4" s="355">
        <v>6</v>
      </c>
      <c r="W4" s="356">
        <v>6</v>
      </c>
      <c r="X4" s="357">
        <v>22</v>
      </c>
      <c r="Y4" s="358">
        <v>1</v>
      </c>
      <c r="Z4" s="80"/>
    </row>
    <row r="5" spans="1:26" x14ac:dyDescent="0.2">
      <c r="A5" s="359" t="s">
        <v>82</v>
      </c>
      <c r="B5" s="360">
        <f>'Resumo Proposta'!D7</f>
        <v>0</v>
      </c>
      <c r="C5" s="361"/>
      <c r="D5" s="282"/>
      <c r="E5" s="362">
        <f t="shared" si="0"/>
        <v>980</v>
      </c>
      <c r="F5" s="282"/>
      <c r="G5" s="282"/>
      <c r="H5" s="282"/>
      <c r="I5" s="282"/>
      <c r="J5" s="282"/>
      <c r="K5" s="282"/>
      <c r="L5" s="282"/>
      <c r="M5" s="351"/>
      <c r="N5" s="363"/>
      <c r="O5" s="353">
        <f t="shared" si="1"/>
        <v>1</v>
      </c>
      <c r="P5" s="364">
        <v>0</v>
      </c>
      <c r="Q5" s="365"/>
      <c r="R5" s="365"/>
      <c r="S5" s="365"/>
      <c r="T5" s="366"/>
      <c r="U5" s="366"/>
      <c r="V5" s="367">
        <v>6</v>
      </c>
      <c r="W5" s="368">
        <v>6</v>
      </c>
      <c r="X5" s="369"/>
      <c r="Y5" s="370"/>
      <c r="Z5" s="80"/>
    </row>
    <row r="6" spans="1:26" x14ac:dyDescent="0.2">
      <c r="A6" s="359" t="s">
        <v>84</v>
      </c>
      <c r="B6" s="360">
        <f>'Resumo Proposta'!D8</f>
        <v>0</v>
      </c>
      <c r="C6" s="361"/>
      <c r="D6" s="282"/>
      <c r="E6" s="362">
        <f t="shared" si="0"/>
        <v>980</v>
      </c>
      <c r="F6" s="282"/>
      <c r="G6" s="282"/>
      <c r="H6" s="282"/>
      <c r="I6" s="282"/>
      <c r="J6" s="282"/>
      <c r="K6" s="282"/>
      <c r="L6" s="282"/>
      <c r="M6" s="351"/>
      <c r="N6" s="363"/>
      <c r="O6" s="353">
        <f t="shared" si="1"/>
        <v>1</v>
      </c>
      <c r="P6" s="364">
        <v>0</v>
      </c>
      <c r="Q6" s="365"/>
      <c r="R6" s="365"/>
      <c r="S6" s="365"/>
      <c r="T6" s="366"/>
      <c r="U6" s="366"/>
      <c r="V6" s="367">
        <v>6</v>
      </c>
      <c r="W6" s="368">
        <v>6</v>
      </c>
      <c r="X6" s="371"/>
      <c r="Y6" s="370"/>
      <c r="Z6" s="80"/>
    </row>
    <row r="7" spans="1:26" x14ac:dyDescent="0.2">
      <c r="A7" s="359" t="s">
        <v>86</v>
      </c>
      <c r="B7" s="360">
        <f>'Resumo Proposta'!D9</f>
        <v>0</v>
      </c>
      <c r="C7" s="361"/>
      <c r="D7" s="282"/>
      <c r="E7" s="362">
        <f t="shared" si="0"/>
        <v>980</v>
      </c>
      <c r="F7" s="282"/>
      <c r="G7" s="282"/>
      <c r="H7" s="282"/>
      <c r="I7" s="282"/>
      <c r="J7" s="282"/>
      <c r="K7" s="372"/>
      <c r="L7" s="351">
        <f>2*9*3.35*1.52</f>
        <v>91.656000000000006</v>
      </c>
      <c r="M7" s="351"/>
      <c r="N7" s="363"/>
      <c r="O7" s="353">
        <f t="shared" si="1"/>
        <v>1</v>
      </c>
      <c r="P7" s="365">
        <v>1</v>
      </c>
      <c r="Q7" s="365"/>
      <c r="R7" s="365"/>
      <c r="S7" s="365"/>
      <c r="T7" s="366"/>
      <c r="U7" s="366"/>
      <c r="V7" s="367">
        <v>6</v>
      </c>
      <c r="W7" s="368">
        <v>6</v>
      </c>
      <c r="X7" s="371"/>
      <c r="Y7" s="370"/>
      <c r="Z7" s="80"/>
    </row>
    <row r="8" spans="1:26" x14ac:dyDescent="0.2">
      <c r="A8" s="359" t="s">
        <v>88</v>
      </c>
      <c r="B8" s="360">
        <f>'Resumo Proposta'!D10</f>
        <v>0</v>
      </c>
      <c r="C8" s="361">
        <v>1662.45</v>
      </c>
      <c r="D8" s="282">
        <f>C8-E8-F8-G8-H8</f>
        <v>887.45399999999995</v>
      </c>
      <c r="E8" s="362">
        <f t="shared" si="0"/>
        <v>602.89599999999996</v>
      </c>
      <c r="F8" s="351">
        <f>63.8/2</f>
        <v>31.9</v>
      </c>
      <c r="G8" s="351">
        <f>88/2</f>
        <v>44</v>
      </c>
      <c r="H8" s="351">
        <f>192.4/2</f>
        <v>96.2</v>
      </c>
      <c r="I8" s="282">
        <v>0</v>
      </c>
      <c r="J8" s="282">
        <v>0</v>
      </c>
      <c r="K8" s="282"/>
      <c r="L8" s="282"/>
      <c r="M8" s="351">
        <f>N8</f>
        <v>150.505</v>
      </c>
      <c r="N8" s="363">
        <f>301.01/2</f>
        <v>150.505</v>
      </c>
      <c r="O8" s="353">
        <f t="shared" si="1"/>
        <v>2.0148026597098507</v>
      </c>
      <c r="P8" s="365">
        <v>1</v>
      </c>
      <c r="Q8" s="365">
        <v>2</v>
      </c>
      <c r="R8" s="365"/>
      <c r="S8" s="365"/>
      <c r="T8" s="366">
        <v>2</v>
      </c>
      <c r="U8" s="366">
        <v>0</v>
      </c>
      <c r="V8" s="367">
        <v>6</v>
      </c>
      <c r="W8" s="368">
        <v>6</v>
      </c>
      <c r="X8" s="371"/>
      <c r="Y8" s="370"/>
      <c r="Z8" s="80"/>
    </row>
    <row r="9" spans="1:26" x14ac:dyDescent="0.2">
      <c r="A9" s="359" t="s">
        <v>90</v>
      </c>
      <c r="B9" s="360">
        <f>'Resumo Proposta'!D11</f>
        <v>0</v>
      </c>
      <c r="C9" s="361">
        <v>1093.08</v>
      </c>
      <c r="D9" s="282">
        <f>C9-E9-F9-G9-H9</f>
        <v>50.995999999999952</v>
      </c>
      <c r="E9" s="362">
        <f t="shared" si="0"/>
        <v>747.54399999999998</v>
      </c>
      <c r="F9" s="282">
        <v>215.5</v>
      </c>
      <c r="G9" s="282">
        <v>19.739999999999998</v>
      </c>
      <c r="H9" s="282">
        <v>59.3</v>
      </c>
      <c r="I9" s="282">
        <v>503.12</v>
      </c>
      <c r="J9" s="282">
        <v>574</v>
      </c>
      <c r="K9" s="282">
        <f>1282-574</f>
        <v>708</v>
      </c>
      <c r="L9" s="282"/>
      <c r="M9" s="351">
        <f>N9</f>
        <v>79.59</v>
      </c>
      <c r="N9" s="363">
        <v>79.59</v>
      </c>
      <c r="O9" s="353">
        <f t="shared" si="1"/>
        <v>1.5266247637302319</v>
      </c>
      <c r="P9" s="365">
        <v>1</v>
      </c>
      <c r="Q9" s="365">
        <v>1</v>
      </c>
      <c r="R9" s="365"/>
      <c r="S9" s="365"/>
      <c r="T9" s="366">
        <v>1</v>
      </c>
      <c r="U9" s="366"/>
      <c r="V9" s="367">
        <v>6</v>
      </c>
      <c r="W9" s="368">
        <v>6</v>
      </c>
      <c r="X9" s="371"/>
      <c r="Y9" s="370"/>
      <c r="Z9" s="80"/>
    </row>
    <row r="10" spans="1:26" x14ac:dyDescent="0.2">
      <c r="A10" s="359" t="s">
        <v>92</v>
      </c>
      <c r="B10" s="360">
        <f>'Resumo Proposta'!D12</f>
        <v>0</v>
      </c>
      <c r="C10" s="361">
        <v>1705.8</v>
      </c>
      <c r="D10" s="282">
        <f>C10-E10-F10-G10-H10</f>
        <v>593.49600000000009</v>
      </c>
      <c r="E10" s="362">
        <f t="shared" si="0"/>
        <v>778.904</v>
      </c>
      <c r="F10" s="282">
        <v>231.55</v>
      </c>
      <c r="G10" s="282">
        <v>50.55</v>
      </c>
      <c r="H10" s="282">
        <v>51.3</v>
      </c>
      <c r="I10" s="282">
        <v>124.13</v>
      </c>
      <c r="J10" s="282">
        <v>786</v>
      </c>
      <c r="K10" s="282">
        <f>1020-J10</f>
        <v>234</v>
      </c>
      <c r="L10" s="282"/>
      <c r="M10" s="351">
        <f>N10</f>
        <v>133.22999999999999</v>
      </c>
      <c r="N10" s="363">
        <v>133.22999999999999</v>
      </c>
      <c r="O10" s="353">
        <f t="shared" si="1"/>
        <v>1.8895349005790292</v>
      </c>
      <c r="P10" s="365">
        <v>1</v>
      </c>
      <c r="Q10" s="365">
        <v>1</v>
      </c>
      <c r="R10" s="365"/>
      <c r="S10" s="365"/>
      <c r="T10" s="366">
        <v>2</v>
      </c>
      <c r="U10" s="366"/>
      <c r="V10" s="367">
        <v>6</v>
      </c>
      <c r="W10" s="368">
        <v>6</v>
      </c>
      <c r="X10" s="371"/>
      <c r="Y10" s="370"/>
      <c r="Z10" s="80"/>
    </row>
    <row r="11" spans="1:26" x14ac:dyDescent="0.2">
      <c r="A11" s="359" t="s">
        <v>94</v>
      </c>
      <c r="B11" s="360">
        <f>'Resumo Proposta'!D13</f>
        <v>0</v>
      </c>
      <c r="C11" s="361">
        <v>1431.6</v>
      </c>
      <c r="D11" s="282">
        <f>C11-E11-F11-G11-H11</f>
        <v>436.71599999999984</v>
      </c>
      <c r="E11" s="362">
        <f t="shared" si="0"/>
        <v>892.58400000000006</v>
      </c>
      <c r="F11" s="282">
        <v>50</v>
      </c>
      <c r="G11" s="282">
        <v>30</v>
      </c>
      <c r="H11" s="282">
        <v>22.3</v>
      </c>
      <c r="I11" s="282">
        <v>37.83</v>
      </c>
      <c r="J11" s="282">
        <v>0</v>
      </c>
      <c r="K11" s="282">
        <f>248-37.83</f>
        <v>210.17000000000002</v>
      </c>
      <c r="L11" s="282"/>
      <c r="M11" s="351">
        <f>N11</f>
        <v>152.55000000000001</v>
      </c>
      <c r="N11" s="363">
        <v>152.55000000000001</v>
      </c>
      <c r="O11" s="353">
        <f t="shared" si="1"/>
        <v>1.599721869377831</v>
      </c>
      <c r="P11" s="365">
        <v>1</v>
      </c>
      <c r="Q11" s="365">
        <v>1</v>
      </c>
      <c r="R11" s="365"/>
      <c r="S11" s="365"/>
      <c r="T11" s="366">
        <v>1</v>
      </c>
      <c r="U11" s="366"/>
      <c r="V11" s="367">
        <v>6</v>
      </c>
      <c r="W11" s="368">
        <v>6</v>
      </c>
      <c r="X11" s="371"/>
      <c r="Y11" s="370"/>
      <c r="Z11" s="80"/>
    </row>
    <row r="12" spans="1:26" x14ac:dyDescent="0.2">
      <c r="A12" s="359" t="s">
        <v>96</v>
      </c>
      <c r="B12" s="360">
        <f>'Resumo Proposta'!D14</f>
        <v>0</v>
      </c>
      <c r="C12" s="361">
        <v>1271.4000000000001</v>
      </c>
      <c r="D12" s="282">
        <f>C12-E12-F12-G12-H12</f>
        <v>715.51200000000017</v>
      </c>
      <c r="E12" s="362">
        <f t="shared" si="0"/>
        <v>305.36799999999999</v>
      </c>
      <c r="F12" s="282">
        <v>48.75</v>
      </c>
      <c r="G12" s="282">
        <v>29.67</v>
      </c>
      <c r="H12" s="282">
        <v>172.1</v>
      </c>
      <c r="I12" s="282">
        <v>0</v>
      </c>
      <c r="J12" s="282">
        <v>195</v>
      </c>
      <c r="K12" s="282">
        <f>428-J12</f>
        <v>233</v>
      </c>
      <c r="L12" s="282"/>
      <c r="M12" s="351">
        <f>N12</f>
        <v>138</v>
      </c>
      <c r="N12" s="363">
        <v>138</v>
      </c>
      <c r="O12" s="353">
        <f t="shared" si="1"/>
        <v>1.863976181410296</v>
      </c>
      <c r="P12" s="365">
        <v>1</v>
      </c>
      <c r="Q12" s="365">
        <v>1</v>
      </c>
      <c r="R12" s="365"/>
      <c r="S12" s="365"/>
      <c r="T12" s="366">
        <v>1</v>
      </c>
      <c r="U12" s="366"/>
      <c r="V12" s="367">
        <v>6</v>
      </c>
      <c r="W12" s="368">
        <v>6</v>
      </c>
      <c r="X12" s="371"/>
      <c r="Y12" s="370"/>
      <c r="Z12" s="80"/>
    </row>
    <row r="13" spans="1:26" x14ac:dyDescent="0.2">
      <c r="A13" s="359" t="s">
        <v>98</v>
      </c>
      <c r="B13" s="360">
        <f>'Resumo Proposta'!D15</f>
        <v>0</v>
      </c>
      <c r="C13" s="361"/>
      <c r="D13" s="282"/>
      <c r="E13" s="362">
        <f t="shared" si="0"/>
        <v>980</v>
      </c>
      <c r="F13" s="282"/>
      <c r="G13" s="282"/>
      <c r="H13" s="282"/>
      <c r="I13" s="282"/>
      <c r="J13" s="282"/>
      <c r="K13" s="282"/>
      <c r="L13" s="282"/>
      <c r="M13" s="351"/>
      <c r="N13" s="363"/>
      <c r="O13" s="353">
        <f t="shared" si="1"/>
        <v>1</v>
      </c>
      <c r="P13" s="365">
        <v>1</v>
      </c>
      <c r="Q13" s="365"/>
      <c r="R13" s="365"/>
      <c r="S13" s="365"/>
      <c r="T13" s="366"/>
      <c r="U13" s="366"/>
      <c r="V13" s="367">
        <v>6</v>
      </c>
      <c r="W13" s="368">
        <v>6</v>
      </c>
      <c r="X13" s="371"/>
      <c r="Y13" s="370"/>
      <c r="Z13" s="80"/>
    </row>
    <row r="14" spans="1:26" x14ac:dyDescent="0.2">
      <c r="A14" s="359" t="s">
        <v>100</v>
      </c>
      <c r="B14" s="360">
        <f>'Resumo Proposta'!D16</f>
        <v>0</v>
      </c>
      <c r="C14" s="361">
        <v>480.42</v>
      </c>
      <c r="D14" s="282">
        <f>C14-E14-F14-G14-H14</f>
        <v>-468.58199999999999</v>
      </c>
      <c r="E14" s="362">
        <f t="shared" si="0"/>
        <v>813.79200000000003</v>
      </c>
      <c r="F14" s="282">
        <v>42.85</v>
      </c>
      <c r="G14" s="282">
        <v>49.96</v>
      </c>
      <c r="H14" s="282">
        <v>42.4</v>
      </c>
      <c r="I14" s="282">
        <v>74</v>
      </c>
      <c r="J14" s="282">
        <v>579</v>
      </c>
      <c r="K14" s="282">
        <v>681</v>
      </c>
      <c r="L14" s="282"/>
      <c r="M14" s="351">
        <f>N14</f>
        <v>42.1</v>
      </c>
      <c r="N14" s="363">
        <v>42.1</v>
      </c>
      <c r="O14" s="353">
        <f t="shared" si="1"/>
        <v>0.72291172004800841</v>
      </c>
      <c r="P14" s="365">
        <v>1</v>
      </c>
      <c r="Q14" s="365">
        <v>1</v>
      </c>
      <c r="R14" s="365"/>
      <c r="S14" s="365"/>
      <c r="T14" s="366"/>
      <c r="U14" s="366"/>
      <c r="V14" s="367">
        <v>6</v>
      </c>
      <c r="W14" s="368">
        <v>6</v>
      </c>
      <c r="X14" s="371"/>
      <c r="Y14" s="370"/>
      <c r="Z14" s="80"/>
    </row>
    <row r="15" spans="1:26" x14ac:dyDescent="0.2">
      <c r="A15" s="359" t="s">
        <v>102</v>
      </c>
      <c r="B15" s="360">
        <f>'Resumo Proposta'!D17</f>
        <v>0</v>
      </c>
      <c r="C15" s="361"/>
      <c r="D15" s="282"/>
      <c r="E15" s="362">
        <f t="shared" si="0"/>
        <v>980</v>
      </c>
      <c r="F15" s="282"/>
      <c r="G15" s="282"/>
      <c r="H15" s="282"/>
      <c r="I15" s="282"/>
      <c r="J15" s="282"/>
      <c r="K15" s="282"/>
      <c r="L15" s="282"/>
      <c r="M15" s="351"/>
      <c r="N15" s="363"/>
      <c r="O15" s="353">
        <f t="shared" si="1"/>
        <v>1</v>
      </c>
      <c r="P15" s="365">
        <v>1</v>
      </c>
      <c r="Q15" s="365"/>
      <c r="R15" s="365"/>
      <c r="S15" s="365"/>
      <c r="T15" s="366"/>
      <c r="U15" s="366"/>
      <c r="V15" s="367">
        <v>6</v>
      </c>
      <c r="W15" s="368">
        <v>6</v>
      </c>
      <c r="X15" s="371"/>
      <c r="Y15" s="370"/>
      <c r="Z15" s="80"/>
    </row>
    <row r="16" spans="1:26" x14ac:dyDescent="0.2">
      <c r="A16" s="373" t="s">
        <v>104</v>
      </c>
      <c r="B16" s="374">
        <f>'Resumo Proposta'!D18</f>
        <v>0</v>
      </c>
      <c r="C16" s="375"/>
      <c r="D16" s="376"/>
      <c r="E16" s="377">
        <f t="shared" si="0"/>
        <v>980</v>
      </c>
      <c r="F16" s="378"/>
      <c r="G16" s="378"/>
      <c r="H16" s="378"/>
      <c r="I16" s="378"/>
      <c r="J16" s="378"/>
      <c r="K16" s="378"/>
      <c r="L16" s="378"/>
      <c r="M16" s="351"/>
      <c r="N16" s="379"/>
      <c r="O16" s="353">
        <f t="shared" si="1"/>
        <v>1</v>
      </c>
      <c r="P16" s="365">
        <v>1</v>
      </c>
      <c r="Q16" s="365"/>
      <c r="R16" s="365"/>
      <c r="S16" s="365"/>
      <c r="T16" s="366"/>
      <c r="U16" s="366"/>
      <c r="V16" s="367">
        <v>6</v>
      </c>
      <c r="W16" s="368">
        <v>6</v>
      </c>
      <c r="X16" s="371"/>
      <c r="Y16" s="370"/>
      <c r="Z16" s="80"/>
    </row>
    <row r="17" spans="1:1014" x14ac:dyDescent="0.2">
      <c r="A17" s="380" t="s">
        <v>446</v>
      </c>
      <c r="B17" s="380"/>
      <c r="C17" s="381">
        <f t="shared" ref="C17:Y17" si="2">SUM(C4:C16)</f>
        <v>9307.1999999999989</v>
      </c>
      <c r="D17" s="381">
        <f t="shared" si="2"/>
        <v>3103.0459999999998</v>
      </c>
      <c r="E17" s="381">
        <f t="shared" si="2"/>
        <v>10623.984</v>
      </c>
      <c r="F17" s="381">
        <f t="shared" si="2"/>
        <v>652.45000000000005</v>
      </c>
      <c r="G17" s="381">
        <f t="shared" si="2"/>
        <v>267.91999999999996</v>
      </c>
      <c r="H17" s="381">
        <f t="shared" si="2"/>
        <v>539.79999999999995</v>
      </c>
      <c r="I17" s="381">
        <f t="shared" si="2"/>
        <v>820.80000000000007</v>
      </c>
      <c r="J17" s="381">
        <f t="shared" si="2"/>
        <v>2467.7799999999997</v>
      </c>
      <c r="K17" s="381">
        <f t="shared" si="2"/>
        <v>3182.52</v>
      </c>
      <c r="L17" s="381">
        <f t="shared" si="2"/>
        <v>91.656000000000006</v>
      </c>
      <c r="M17" s="381">
        <f t="shared" si="2"/>
        <v>846.48000000000013</v>
      </c>
      <c r="N17" s="381">
        <f t="shared" si="2"/>
        <v>846.48000000000013</v>
      </c>
      <c r="O17" s="382">
        <f t="shared" si="2"/>
        <v>17.823473506946051</v>
      </c>
      <c r="P17" s="383">
        <f t="shared" si="2"/>
        <v>11</v>
      </c>
      <c r="Q17" s="384">
        <f t="shared" si="2"/>
        <v>7</v>
      </c>
      <c r="R17" s="384">
        <f t="shared" si="2"/>
        <v>0</v>
      </c>
      <c r="S17" s="384">
        <f t="shared" si="2"/>
        <v>0</v>
      </c>
      <c r="T17" s="385">
        <f t="shared" si="2"/>
        <v>7</v>
      </c>
      <c r="U17" s="386">
        <f t="shared" si="2"/>
        <v>0</v>
      </c>
      <c r="V17" s="387">
        <f t="shared" si="2"/>
        <v>78</v>
      </c>
      <c r="W17" s="388">
        <f t="shared" si="2"/>
        <v>78</v>
      </c>
      <c r="X17" s="389">
        <f t="shared" si="2"/>
        <v>22</v>
      </c>
      <c r="Y17" s="390">
        <f t="shared" si="2"/>
        <v>1</v>
      </c>
      <c r="ALV17" s="270"/>
      <c r="ALW17" s="270"/>
      <c r="ALX17" s="270"/>
      <c r="ALY17" s="270"/>
      <c r="ALZ17" s="270"/>
    </row>
    <row r="18" spans="1:1014" ht="15" x14ac:dyDescent="0.25">
      <c r="A18" s="391" t="s">
        <v>447</v>
      </c>
      <c r="B18" s="391"/>
      <c r="C18" s="391"/>
      <c r="D18" s="392">
        <v>980</v>
      </c>
      <c r="E18" s="392">
        <v>980</v>
      </c>
      <c r="F18" s="393">
        <v>2500</v>
      </c>
      <c r="G18" s="393">
        <v>1500</v>
      </c>
      <c r="H18" s="393">
        <v>250</v>
      </c>
      <c r="I18" s="393">
        <v>2100</v>
      </c>
      <c r="J18" s="393">
        <v>100000</v>
      </c>
      <c r="K18" s="393">
        <v>7500</v>
      </c>
      <c r="L18" s="393">
        <v>160</v>
      </c>
      <c r="M18" s="393">
        <v>380</v>
      </c>
      <c r="N18" s="394">
        <v>380</v>
      </c>
      <c r="O18" s="395"/>
      <c r="P18" s="396" t="s">
        <v>448</v>
      </c>
      <c r="Q18" s="397">
        <f>P17+Q17+R17+S17</f>
        <v>18</v>
      </c>
      <c r="R18" s="398"/>
      <c r="S18" s="398"/>
      <c r="T18" s="396" t="s">
        <v>448</v>
      </c>
      <c r="U18" s="399">
        <f>T17+U17</f>
        <v>7</v>
      </c>
      <c r="V18" s="400"/>
      <c r="W18" s="400"/>
      <c r="X18" s="400"/>
      <c r="Y18" s="314"/>
      <c r="Z18" s="315"/>
      <c r="ALY18" s="315"/>
      <c r="ALZ18" s="315"/>
    </row>
    <row r="19" spans="1:1014" ht="15" x14ac:dyDescent="0.25">
      <c r="A19" s="401" t="s">
        <v>449</v>
      </c>
      <c r="B19" s="401"/>
      <c r="C19" s="401"/>
      <c r="D19" s="402">
        <f t="shared" ref="D19:K19" si="3">D17/D18</f>
        <v>3.166373469387755</v>
      </c>
      <c r="E19" s="402">
        <f t="shared" si="3"/>
        <v>10.8408</v>
      </c>
      <c r="F19" s="403">
        <f t="shared" si="3"/>
        <v>0.26098000000000005</v>
      </c>
      <c r="G19" s="403">
        <f t="shared" si="3"/>
        <v>0.17861333333333332</v>
      </c>
      <c r="H19" s="403">
        <f t="shared" si="3"/>
        <v>2.1591999999999998</v>
      </c>
      <c r="I19" s="403">
        <f t="shared" si="3"/>
        <v>0.3908571428571429</v>
      </c>
      <c r="J19" s="403">
        <f t="shared" si="3"/>
        <v>2.4677799999999996E-2</v>
      </c>
      <c r="K19" s="403">
        <f t="shared" si="3"/>
        <v>0.42433599999999999</v>
      </c>
      <c r="L19" s="403">
        <f>1/L18*8*1/1132.6*L17</f>
        <v>4.046265230443229E-3</v>
      </c>
      <c r="M19" s="403">
        <f>1/M18*16*1/188.76*M17</f>
        <v>0.18881788068390942</v>
      </c>
      <c r="N19" s="404">
        <f>1/N18*16*1/188.76*N17</f>
        <v>0.18881788068390942</v>
      </c>
      <c r="O19" s="405">
        <f>SUM(D19:N19)-L19</f>
        <v>17.823473506946051</v>
      </c>
      <c r="P19" s="396" t="s">
        <v>450</v>
      </c>
      <c r="Q19" s="399">
        <f>P17+Q17+((R17+S17)*0.75)</f>
        <v>18</v>
      </c>
      <c r="R19" s="314"/>
      <c r="S19" s="314"/>
      <c r="T19" s="406"/>
      <c r="U19" s="314"/>
      <c r="V19" s="314"/>
      <c r="W19" s="314"/>
      <c r="X19" s="314"/>
      <c r="Y19" s="314"/>
      <c r="Z19" s="315"/>
      <c r="ALY19" s="315"/>
      <c r="ALZ19" s="315"/>
    </row>
    <row r="20" spans="1:1014" ht="15" x14ac:dyDescent="0.25">
      <c r="A20" s="407" t="s">
        <v>451</v>
      </c>
      <c r="B20" s="407"/>
      <c r="C20" s="407"/>
      <c r="D20" s="408">
        <f t="shared" ref="D20:K20" si="4">D17/($O19*D18)</f>
        <v>0.17765187398257559</v>
      </c>
      <c r="E20" s="408">
        <f t="shared" si="4"/>
        <v>0.60823161073374343</v>
      </c>
      <c r="F20" s="409">
        <f t="shared" si="4"/>
        <v>1.464248817147188E-2</v>
      </c>
      <c r="G20" s="409">
        <f t="shared" si="4"/>
        <v>1.0021241553377642E-2</v>
      </c>
      <c r="H20" s="409">
        <f t="shared" si="4"/>
        <v>0.12114361429934126</v>
      </c>
      <c r="I20" s="409">
        <f t="shared" si="4"/>
        <v>2.192934742517055E-2</v>
      </c>
      <c r="J20" s="409">
        <f t="shared" si="4"/>
        <v>1.3845673791016504E-3</v>
      </c>
      <c r="K20" s="409">
        <f t="shared" si="4"/>
        <v>2.3807705037664544E-2</v>
      </c>
      <c r="L20" s="409">
        <f>1/$O19*1/L18*16*1/188.76*L17</f>
        <v>2.7243229345213465E-3</v>
      </c>
      <c r="M20" s="409">
        <f>1/$O19*1/M18*16*1/188.76*M17</f>
        <v>1.0593775708776659E-2</v>
      </c>
      <c r="N20" s="409">
        <f>1/$O19*1/N18*16*1/188.76*N17</f>
        <v>1.0593775708776659E-2</v>
      </c>
      <c r="O20" s="410">
        <f>SUM(D20:N20)</f>
        <v>1.0027243229345211</v>
      </c>
      <c r="P20" s="314"/>
      <c r="Q20" s="314"/>
      <c r="R20" s="314"/>
      <c r="S20" s="314"/>
      <c r="T20" s="314"/>
      <c r="U20" s="314"/>
      <c r="V20" s="314"/>
      <c r="W20" s="314"/>
      <c r="X20" s="314"/>
      <c r="Y20" s="315"/>
      <c r="Z20" s="315"/>
      <c r="ALY20" s="315"/>
      <c r="ALZ20" s="315"/>
    </row>
    <row r="21" spans="1:1014" ht="15" hidden="1" x14ac:dyDescent="0.25">
      <c r="A21" s="411" t="s">
        <v>452</v>
      </c>
      <c r="B21" s="411"/>
      <c r="C21" s="411"/>
      <c r="D21" s="412">
        <f>ROUND(1/D18,9)</f>
        <v>1.020408E-3</v>
      </c>
      <c r="E21" s="412"/>
      <c r="F21" s="413">
        <f t="shared" ref="F21:K21" si="5">ROUND(1/F18,9)</f>
        <v>4.0000000000000002E-4</v>
      </c>
      <c r="G21" s="413">
        <f t="shared" si="5"/>
        <v>6.6666700000000002E-4</v>
      </c>
      <c r="H21" s="413">
        <f t="shared" si="5"/>
        <v>4.0000000000000001E-3</v>
      </c>
      <c r="I21" s="413">
        <f t="shared" si="5"/>
        <v>4.7618999999999998E-4</v>
      </c>
      <c r="J21" s="413">
        <f t="shared" si="5"/>
        <v>1.0000000000000001E-5</v>
      </c>
      <c r="K21" s="413">
        <f t="shared" si="5"/>
        <v>1.3333299999999999E-4</v>
      </c>
      <c r="L21" s="414">
        <f>(1/L18)*(1/N26)*8</f>
        <v>4.8611111111111115E-5</v>
      </c>
      <c r="M21" s="414">
        <f>(1/M18)*(1/N25)*16</f>
        <v>2.4561403508771931E-4</v>
      </c>
      <c r="N21" s="415">
        <f>(1/N18)*(1/N25)*16</f>
        <v>2.4561403508771931E-4</v>
      </c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LY21" s="315"/>
      <c r="ALZ21" s="315"/>
    </row>
    <row r="22" spans="1:1014" ht="15" hidden="1" x14ac:dyDescent="0.25">
      <c r="A22" s="416" t="s">
        <v>453</v>
      </c>
      <c r="B22" s="416"/>
      <c r="C22" s="416"/>
      <c r="D22" s="417">
        <f>D21/$Y$17</f>
        <v>1.020408E-3</v>
      </c>
      <c r="E22" s="417"/>
      <c r="F22" s="418">
        <f t="shared" ref="F22:N22" si="6">F21/$Y$17</f>
        <v>4.0000000000000002E-4</v>
      </c>
      <c r="G22" s="418">
        <f t="shared" si="6"/>
        <v>6.6666700000000002E-4</v>
      </c>
      <c r="H22" s="418">
        <f t="shared" si="6"/>
        <v>4.0000000000000001E-3</v>
      </c>
      <c r="I22" s="418">
        <f t="shared" si="6"/>
        <v>4.7618999999999998E-4</v>
      </c>
      <c r="J22" s="418">
        <f t="shared" si="6"/>
        <v>1.0000000000000001E-5</v>
      </c>
      <c r="K22" s="418">
        <f t="shared" si="6"/>
        <v>1.3333299999999999E-4</v>
      </c>
      <c r="L22" s="419">
        <f t="shared" si="6"/>
        <v>4.8611111111111115E-5</v>
      </c>
      <c r="M22" s="419">
        <f t="shared" si="6"/>
        <v>2.4561403508771931E-4</v>
      </c>
      <c r="N22" s="420">
        <f t="shared" si="6"/>
        <v>2.4561403508771931E-4</v>
      </c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LY22" s="315"/>
      <c r="ALZ22" s="315"/>
    </row>
    <row r="23" spans="1:1014" ht="15" x14ac:dyDescent="0.25">
      <c r="A23" s="421" t="s">
        <v>454</v>
      </c>
      <c r="B23" s="421"/>
      <c r="C23" s="421"/>
      <c r="D23" s="422" t="s">
        <v>455</v>
      </c>
      <c r="E23" s="422" t="s">
        <v>455</v>
      </c>
      <c r="F23" s="423" t="s">
        <v>456</v>
      </c>
      <c r="G23" s="423" t="s">
        <v>457</v>
      </c>
      <c r="H23" s="423" t="s">
        <v>458</v>
      </c>
      <c r="I23" s="424" t="s">
        <v>459</v>
      </c>
      <c r="J23" s="424" t="s">
        <v>459</v>
      </c>
      <c r="K23" s="424" t="s">
        <v>460</v>
      </c>
      <c r="L23" s="425" t="s">
        <v>461</v>
      </c>
      <c r="M23" s="425" t="s">
        <v>462</v>
      </c>
      <c r="N23" s="426" t="s">
        <v>462</v>
      </c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LY23" s="315"/>
      <c r="ALZ23" s="315"/>
    </row>
    <row r="24" spans="1:1014" ht="15" hidden="1" x14ac:dyDescent="0.25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ALV24" s="270"/>
      <c r="ALW24" s="270"/>
      <c r="ALX24" s="270"/>
      <c r="ALY24" s="270"/>
      <c r="ALZ24" s="270"/>
    </row>
    <row r="25" spans="1:1014" ht="15" hidden="1" x14ac:dyDescent="0.25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427">
        <f>30/7</f>
        <v>4.2857142857142856</v>
      </c>
      <c r="M25" s="427">
        <v>40</v>
      </c>
      <c r="N25" s="427">
        <f>L25*M25</f>
        <v>171.42857142857142</v>
      </c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ALV25" s="270"/>
      <c r="ALW25" s="270"/>
      <c r="ALX25" s="270"/>
      <c r="ALY25" s="270"/>
      <c r="ALZ25" s="270"/>
    </row>
    <row r="26" spans="1:1014" ht="15" hidden="1" x14ac:dyDescent="0.25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427"/>
      <c r="M26" s="427"/>
      <c r="N26" s="427">
        <f>N25*6</f>
        <v>1028.5714285714284</v>
      </c>
      <c r="O26" s="427" t="s">
        <v>463</v>
      </c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ALV26" s="270"/>
      <c r="ALW26" s="270"/>
      <c r="ALX26" s="270"/>
      <c r="ALY26" s="270"/>
      <c r="ALZ26" s="270"/>
    </row>
    <row r="177" spans="4:4" x14ac:dyDescent="0.2">
      <c r="D177">
        <f>(1/'Prod. GEXCAN'!L18)*(1/('Prod. GEXCAN'!L19))*8</f>
        <v>12.357074277734135</v>
      </c>
    </row>
  </sheetData>
  <mergeCells count="21">
    <mergeCell ref="M2:M3"/>
    <mergeCell ref="N2:N3"/>
    <mergeCell ref="O2:O3"/>
    <mergeCell ref="P2:S2"/>
    <mergeCell ref="T2:U2"/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K198"/>
  <sheetViews>
    <sheetView zoomScale="75" zoomScaleNormal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141" sqref="M141"/>
    </sheetView>
  </sheetViews>
  <sheetFormatPr defaultRowHeight="14.25" x14ac:dyDescent="0.2"/>
  <cols>
    <col min="1" max="1" width="58.125" style="427" customWidth="1"/>
    <col min="2" max="2" width="16.25" style="427" customWidth="1"/>
    <col min="3" max="12" width="14" style="427" customWidth="1"/>
    <col min="13" max="13" width="15.125" style="427" customWidth="1"/>
    <col min="14" max="14" width="10.5" style="427" customWidth="1"/>
    <col min="15" max="15" width="14.25" style="427" customWidth="1"/>
    <col min="16" max="1025" width="10.5" style="427" customWidth="1"/>
  </cols>
  <sheetData>
    <row r="1" spans="1:9" ht="15.75" x14ac:dyDescent="0.2">
      <c r="A1" s="849" t="s">
        <v>464</v>
      </c>
      <c r="B1" s="849"/>
      <c r="C1" s="849"/>
      <c r="D1" s="849"/>
      <c r="E1" s="849"/>
      <c r="F1" s="849"/>
      <c r="G1" s="849"/>
      <c r="H1" s="849"/>
      <c r="I1" s="849"/>
    </row>
    <row r="2" spans="1:9" ht="15.75" x14ac:dyDescent="0.2">
      <c r="A2" s="850" t="s">
        <v>465</v>
      </c>
      <c r="B2" s="850"/>
      <c r="C2" s="850"/>
      <c r="D2" s="850"/>
      <c r="E2" s="850"/>
      <c r="F2" s="850"/>
      <c r="G2" s="850"/>
      <c r="H2" s="850"/>
      <c r="I2" s="850"/>
    </row>
    <row r="3" spans="1:9" ht="15.75" customHeight="1" x14ac:dyDescent="0.2">
      <c r="A3" s="850" t="s">
        <v>466</v>
      </c>
      <c r="B3" s="850"/>
      <c r="C3" s="850"/>
      <c r="D3" s="850"/>
      <c r="E3" s="850"/>
      <c r="F3" s="850"/>
      <c r="G3" s="850"/>
      <c r="H3" s="850"/>
      <c r="I3" s="850"/>
    </row>
    <row r="4" spans="1:9" ht="24" x14ac:dyDescent="0.2">
      <c r="A4" s="428"/>
      <c r="B4" s="429"/>
      <c r="C4" s="851" t="s">
        <v>467</v>
      </c>
      <c r="D4" s="851"/>
      <c r="E4" s="852" t="s">
        <v>468</v>
      </c>
      <c r="F4" s="852"/>
      <c r="G4" s="431" t="s">
        <v>469</v>
      </c>
      <c r="H4" s="432" t="s">
        <v>470</v>
      </c>
      <c r="I4" s="433" t="s">
        <v>471</v>
      </c>
    </row>
    <row r="5" spans="1:9" x14ac:dyDescent="0.2">
      <c r="A5" s="434"/>
      <c r="B5" s="435" t="s">
        <v>472</v>
      </c>
      <c r="C5" s="853">
        <f>MC!$D11</f>
        <v>0</v>
      </c>
      <c r="D5" s="853"/>
      <c r="E5" s="853">
        <f>MC!$E11</f>
        <v>0</v>
      </c>
      <c r="F5" s="853"/>
      <c r="G5" s="437">
        <f>MC!$F11</f>
        <v>0</v>
      </c>
      <c r="H5" s="438">
        <f>MC!$C13</f>
        <v>0</v>
      </c>
      <c r="I5" s="438">
        <f>MC!$D12</f>
        <v>0</v>
      </c>
    </row>
    <row r="6" spans="1:9" x14ac:dyDescent="0.2">
      <c r="A6" s="434"/>
      <c r="B6" s="435" t="s">
        <v>473</v>
      </c>
      <c r="C6" s="854">
        <f>MC!$E8</f>
        <v>44562</v>
      </c>
      <c r="D6" s="854"/>
      <c r="E6" s="854">
        <f>MC!$E8</f>
        <v>44562</v>
      </c>
      <c r="F6" s="854"/>
      <c r="G6" s="440">
        <f>MC!$E8</f>
        <v>44562</v>
      </c>
      <c r="H6" s="441">
        <f>MC!$E8</f>
        <v>44562</v>
      </c>
      <c r="I6" s="441">
        <f>MC!$E8</f>
        <v>44562</v>
      </c>
    </row>
    <row r="7" spans="1:9" x14ac:dyDescent="0.2">
      <c r="A7" s="434"/>
      <c r="B7" s="435" t="s">
        <v>474</v>
      </c>
      <c r="C7" s="854" t="str">
        <f>MC!$C8</f>
        <v>RS005021/2021</v>
      </c>
      <c r="D7" s="854"/>
      <c r="E7" s="854" t="str">
        <f>MC!$C8</f>
        <v>RS005021/2021</v>
      </c>
      <c r="F7" s="854"/>
      <c r="G7" s="440" t="str">
        <f>MC!$C8</f>
        <v>RS005021/2021</v>
      </c>
      <c r="H7" s="441" t="str">
        <f>MC!$C8</f>
        <v>RS005021/2021</v>
      </c>
      <c r="I7" s="441" t="str">
        <f>MC!$C8</f>
        <v>RS005021/2021</v>
      </c>
    </row>
    <row r="8" spans="1:9" x14ac:dyDescent="0.2">
      <c r="A8" s="434"/>
      <c r="B8" s="435" t="s">
        <v>475</v>
      </c>
      <c r="C8" s="855" t="str">
        <f>MC!$F8</f>
        <v>5143-20</v>
      </c>
      <c r="D8" s="855"/>
      <c r="E8" s="856" t="str">
        <f>MC!$F8</f>
        <v>5143-20</v>
      </c>
      <c r="F8" s="856"/>
      <c r="G8" s="443" t="str">
        <f>MC!$F8</f>
        <v>5143-20</v>
      </c>
      <c r="H8" s="444" t="str">
        <f>MC!$F8</f>
        <v>5143-20</v>
      </c>
      <c r="I8" s="444" t="str">
        <f>MC!$F8</f>
        <v>5143-20</v>
      </c>
    </row>
    <row r="9" spans="1:9" x14ac:dyDescent="0.2">
      <c r="A9" s="857"/>
      <c r="B9" s="857"/>
      <c r="C9" s="857"/>
      <c r="D9" s="857"/>
      <c r="E9" s="857"/>
      <c r="F9" s="857"/>
      <c r="G9" s="857"/>
      <c r="H9" s="857"/>
      <c r="I9" s="857"/>
    </row>
    <row r="10" spans="1:9" ht="56.1" customHeight="1" x14ac:dyDescent="0.2">
      <c r="A10" s="445" t="s">
        <v>476</v>
      </c>
      <c r="B10" s="446" t="s">
        <v>477</v>
      </c>
      <c r="C10" s="447" t="s">
        <v>478</v>
      </c>
      <c r="D10" s="448" t="s">
        <v>479</v>
      </c>
      <c r="E10" s="448" t="s">
        <v>480</v>
      </c>
      <c r="F10" s="448" t="s">
        <v>481</v>
      </c>
      <c r="G10" s="448" t="s">
        <v>482</v>
      </c>
      <c r="H10" s="448" t="s">
        <v>483</v>
      </c>
      <c r="I10" s="449" t="s">
        <v>484</v>
      </c>
    </row>
    <row r="11" spans="1:9" ht="14.25" customHeight="1" x14ac:dyDescent="0.2">
      <c r="A11" s="858" t="s">
        <v>485</v>
      </c>
      <c r="B11" s="858"/>
      <c r="C11" s="858"/>
      <c r="D11" s="858"/>
      <c r="E11" s="858"/>
      <c r="F11" s="858"/>
      <c r="G11" s="858"/>
      <c r="H11" s="858"/>
      <c r="I11" s="858"/>
    </row>
    <row r="12" spans="1:9" ht="15.75" customHeight="1" x14ac:dyDescent="0.2">
      <c r="A12" s="450" t="s">
        <v>486</v>
      </c>
      <c r="B12" s="451" t="s">
        <v>487</v>
      </c>
      <c r="C12" s="451" t="s">
        <v>488</v>
      </c>
      <c r="D12" s="451" t="s">
        <v>488</v>
      </c>
      <c r="E12" s="451" t="s">
        <v>488</v>
      </c>
      <c r="F12" s="451" t="s">
        <v>488</v>
      </c>
      <c r="G12" s="451" t="s">
        <v>488</v>
      </c>
      <c r="H12" s="451" t="s">
        <v>488</v>
      </c>
      <c r="I12" s="452" t="s">
        <v>488</v>
      </c>
    </row>
    <row r="13" spans="1:9" ht="15.75" customHeight="1" x14ac:dyDescent="0.2">
      <c r="A13" s="453" t="s">
        <v>489</v>
      </c>
      <c r="B13" s="454"/>
      <c r="C13" s="455">
        <f>C5</f>
        <v>0</v>
      </c>
      <c r="D13" s="455">
        <f>C5</f>
        <v>0</v>
      </c>
      <c r="E13" s="456">
        <f>E5</f>
        <v>0</v>
      </c>
      <c r="F13" s="456">
        <f>E5</f>
        <v>0</v>
      </c>
      <c r="G13" s="456">
        <f>G5</f>
        <v>0</v>
      </c>
      <c r="H13" s="456">
        <f>H5</f>
        <v>0</v>
      </c>
      <c r="I13" s="457">
        <f>I5</f>
        <v>0</v>
      </c>
    </row>
    <row r="14" spans="1:9" ht="15.75" customHeight="1" x14ac:dyDescent="0.2">
      <c r="A14" s="453" t="s">
        <v>490</v>
      </c>
      <c r="B14" s="458" t="s">
        <v>491</v>
      </c>
      <c r="C14" s="455">
        <f>C5*0.4</f>
        <v>0</v>
      </c>
      <c r="D14" s="455">
        <f>C5*0.2</f>
        <v>0</v>
      </c>
      <c r="E14" s="455">
        <f>E5*0.4</f>
        <v>0</v>
      </c>
      <c r="F14" s="455">
        <f>E5*0.2</f>
        <v>0</v>
      </c>
      <c r="G14" s="455">
        <f>G5*0.2</f>
        <v>0</v>
      </c>
      <c r="H14" s="459" t="s">
        <v>112</v>
      </c>
      <c r="I14" s="460" t="s">
        <v>112</v>
      </c>
    </row>
    <row r="15" spans="1:9" ht="15.75" customHeight="1" x14ac:dyDescent="0.2">
      <c r="A15" s="453" t="s">
        <v>492</v>
      </c>
      <c r="B15" s="461"/>
      <c r="C15" s="459" t="s">
        <v>112</v>
      </c>
      <c r="D15" s="459" t="s">
        <v>112</v>
      </c>
      <c r="E15" s="462" t="s">
        <v>112</v>
      </c>
      <c r="F15" s="462" t="s">
        <v>112</v>
      </c>
      <c r="G15" s="462" t="s">
        <v>112</v>
      </c>
      <c r="H15" s="462" t="s">
        <v>112</v>
      </c>
      <c r="I15" s="460" t="s">
        <v>112</v>
      </c>
    </row>
    <row r="16" spans="1:9" ht="15.75" customHeight="1" x14ac:dyDescent="0.2">
      <c r="A16" s="453" t="s">
        <v>493</v>
      </c>
      <c r="B16" s="461"/>
      <c r="C16" s="459" t="s">
        <v>112</v>
      </c>
      <c r="D16" s="459" t="s">
        <v>112</v>
      </c>
      <c r="E16" s="462" t="s">
        <v>112</v>
      </c>
      <c r="F16" s="462" t="s">
        <v>112</v>
      </c>
      <c r="G16" s="462" t="s">
        <v>112</v>
      </c>
      <c r="H16" s="462" t="s">
        <v>112</v>
      </c>
      <c r="I16" s="460" t="s">
        <v>112</v>
      </c>
    </row>
    <row r="17" spans="1:9" ht="15.75" customHeight="1" x14ac:dyDescent="0.2">
      <c r="A17" s="453" t="s">
        <v>494</v>
      </c>
      <c r="B17" s="461"/>
      <c r="C17" s="459" t="s">
        <v>112</v>
      </c>
      <c r="D17" s="459" t="s">
        <v>112</v>
      </c>
      <c r="E17" s="462" t="s">
        <v>112</v>
      </c>
      <c r="F17" s="462" t="s">
        <v>112</v>
      </c>
      <c r="G17" s="462" t="s">
        <v>112</v>
      </c>
      <c r="H17" s="462" t="s">
        <v>112</v>
      </c>
      <c r="I17" s="460" t="s">
        <v>112</v>
      </c>
    </row>
    <row r="18" spans="1:9" ht="15.75" customHeight="1" x14ac:dyDescent="0.2">
      <c r="A18" s="453" t="s">
        <v>495</v>
      </c>
      <c r="B18" s="463"/>
      <c r="C18" s="459" t="s">
        <v>112</v>
      </c>
      <c r="D18" s="459" t="s">
        <v>112</v>
      </c>
      <c r="E18" s="459" t="s">
        <v>112</v>
      </c>
      <c r="F18" s="459" t="s">
        <v>112</v>
      </c>
      <c r="G18" s="459" t="s">
        <v>112</v>
      </c>
      <c r="H18" s="462" t="s">
        <v>112</v>
      </c>
      <c r="I18" s="460" t="s">
        <v>112</v>
      </c>
    </row>
    <row r="19" spans="1:9" ht="15.75" customHeight="1" x14ac:dyDescent="0.2">
      <c r="A19" s="464" t="s">
        <v>496</v>
      </c>
      <c r="B19" s="465"/>
      <c r="C19" s="466">
        <f t="shared" ref="C19:I19" si="0">SUM(C13:C18)</f>
        <v>0</v>
      </c>
      <c r="D19" s="467">
        <f t="shared" si="0"/>
        <v>0</v>
      </c>
      <c r="E19" s="467">
        <f t="shared" si="0"/>
        <v>0</v>
      </c>
      <c r="F19" s="467">
        <f t="shared" si="0"/>
        <v>0</v>
      </c>
      <c r="G19" s="467">
        <f t="shared" si="0"/>
        <v>0</v>
      </c>
      <c r="H19" s="467">
        <f t="shared" si="0"/>
        <v>0</v>
      </c>
      <c r="I19" s="468">
        <f t="shared" si="0"/>
        <v>0</v>
      </c>
    </row>
    <row r="20" spans="1:9" ht="15.75" customHeight="1" x14ac:dyDescent="0.2">
      <c r="A20" s="859"/>
      <c r="B20" s="859"/>
      <c r="C20" s="470"/>
      <c r="D20" s="470"/>
      <c r="E20" s="471"/>
      <c r="F20" s="471"/>
      <c r="G20" s="471"/>
      <c r="H20" s="471"/>
      <c r="I20" s="472"/>
    </row>
    <row r="21" spans="1:9" ht="14.25" customHeight="1" x14ac:dyDescent="0.2">
      <c r="A21" s="858" t="s">
        <v>497</v>
      </c>
      <c r="B21" s="858"/>
      <c r="C21" s="858"/>
      <c r="D21" s="858"/>
      <c r="E21" s="858"/>
      <c r="F21" s="858"/>
      <c r="G21" s="858"/>
      <c r="H21" s="858"/>
      <c r="I21" s="858"/>
    </row>
    <row r="22" spans="1:9" ht="28.35" customHeight="1" x14ac:dyDescent="0.2">
      <c r="A22" s="473" t="s">
        <v>498</v>
      </c>
      <c r="B22" s="474" t="s">
        <v>487</v>
      </c>
      <c r="C22" s="474" t="s">
        <v>488</v>
      </c>
      <c r="D22" s="474" t="s">
        <v>488</v>
      </c>
      <c r="E22" s="474" t="s">
        <v>488</v>
      </c>
      <c r="F22" s="474" t="s">
        <v>488</v>
      </c>
      <c r="G22" s="474" t="s">
        <v>488</v>
      </c>
      <c r="H22" s="474" t="s">
        <v>488</v>
      </c>
      <c r="I22" s="475" t="s">
        <v>488</v>
      </c>
    </row>
    <row r="23" spans="1:9" ht="15.75" customHeight="1" x14ac:dyDescent="0.2">
      <c r="A23" s="476" t="s">
        <v>499</v>
      </c>
      <c r="B23" s="477">
        <f>1/12</f>
        <v>8.3333333333333329E-2</v>
      </c>
      <c r="C23" s="455">
        <f t="shared" ref="C23:I23" si="1">ROUND($B23*C$19,2)</f>
        <v>0</v>
      </c>
      <c r="D23" s="455">
        <f t="shared" si="1"/>
        <v>0</v>
      </c>
      <c r="E23" s="455">
        <f t="shared" si="1"/>
        <v>0</v>
      </c>
      <c r="F23" s="455">
        <f t="shared" si="1"/>
        <v>0</v>
      </c>
      <c r="G23" s="455">
        <f t="shared" si="1"/>
        <v>0</v>
      </c>
      <c r="H23" s="455">
        <f t="shared" si="1"/>
        <v>0</v>
      </c>
      <c r="I23" s="457">
        <f t="shared" si="1"/>
        <v>0</v>
      </c>
    </row>
    <row r="24" spans="1:9" x14ac:dyDescent="0.2">
      <c r="A24" s="476" t="s">
        <v>500</v>
      </c>
      <c r="B24" s="477">
        <f>1/3*1/12</f>
        <v>2.7777777777777776E-2</v>
      </c>
      <c r="C24" s="455">
        <f t="shared" ref="C24:I24" si="2">C$19*$B$24</f>
        <v>0</v>
      </c>
      <c r="D24" s="455">
        <f t="shared" si="2"/>
        <v>0</v>
      </c>
      <c r="E24" s="455">
        <f t="shared" si="2"/>
        <v>0</v>
      </c>
      <c r="F24" s="455">
        <f t="shared" si="2"/>
        <v>0</v>
      </c>
      <c r="G24" s="455">
        <f t="shared" si="2"/>
        <v>0</v>
      </c>
      <c r="H24" s="455">
        <f t="shared" si="2"/>
        <v>0</v>
      </c>
      <c r="I24" s="457">
        <f t="shared" si="2"/>
        <v>0</v>
      </c>
    </row>
    <row r="25" spans="1:9" ht="14.25" customHeight="1" x14ac:dyDescent="0.2">
      <c r="A25" s="464" t="s">
        <v>496</v>
      </c>
      <c r="B25" s="478">
        <f t="shared" ref="B25:I25" si="3">SUM(B23:B24)</f>
        <v>0.1111111111111111</v>
      </c>
      <c r="C25" s="479">
        <f t="shared" si="3"/>
        <v>0</v>
      </c>
      <c r="D25" s="479">
        <f t="shared" si="3"/>
        <v>0</v>
      </c>
      <c r="E25" s="479">
        <f t="shared" si="3"/>
        <v>0</v>
      </c>
      <c r="F25" s="479">
        <f t="shared" si="3"/>
        <v>0</v>
      </c>
      <c r="G25" s="479">
        <f t="shared" si="3"/>
        <v>0</v>
      </c>
      <c r="H25" s="479">
        <f t="shared" si="3"/>
        <v>0</v>
      </c>
      <c r="I25" s="480">
        <f t="shared" si="3"/>
        <v>0</v>
      </c>
    </row>
    <row r="26" spans="1:9" x14ac:dyDescent="0.2">
      <c r="A26" s="473" t="s">
        <v>501</v>
      </c>
      <c r="B26" s="474" t="s">
        <v>487</v>
      </c>
      <c r="C26" s="474" t="s">
        <v>488</v>
      </c>
      <c r="D26" s="474" t="s">
        <v>488</v>
      </c>
      <c r="E26" s="474" t="s">
        <v>488</v>
      </c>
      <c r="F26" s="474" t="s">
        <v>488</v>
      </c>
      <c r="G26" s="474" t="s">
        <v>488</v>
      </c>
      <c r="H26" s="474" t="s">
        <v>488</v>
      </c>
      <c r="I26" s="475" t="s">
        <v>488</v>
      </c>
    </row>
    <row r="27" spans="1:9" ht="15.75" customHeight="1" x14ac:dyDescent="0.2">
      <c r="A27" s="473" t="s">
        <v>502</v>
      </c>
      <c r="B27" s="481"/>
      <c r="C27" s="481"/>
      <c r="D27" s="481"/>
      <c r="E27" s="481"/>
      <c r="F27" s="481"/>
      <c r="G27" s="481"/>
      <c r="H27" s="482"/>
      <c r="I27" s="483"/>
    </row>
    <row r="28" spans="1:9" ht="14.25" customHeight="1" x14ac:dyDescent="0.2">
      <c r="A28" s="476" t="s">
        <v>503</v>
      </c>
      <c r="B28" s="477">
        <v>0.2</v>
      </c>
      <c r="C28" s="484">
        <f>ROUND(($C$19+$C$25)*B28,2)</f>
        <v>0</v>
      </c>
      <c r="D28" s="484">
        <f t="shared" ref="D28:I35" si="4">ROUND((D$19+D$25)*$B28,2)</f>
        <v>0</v>
      </c>
      <c r="E28" s="484">
        <f t="shared" si="4"/>
        <v>0</v>
      </c>
      <c r="F28" s="484">
        <f t="shared" si="4"/>
        <v>0</v>
      </c>
      <c r="G28" s="484">
        <f t="shared" si="4"/>
        <v>0</v>
      </c>
      <c r="H28" s="484">
        <f t="shared" si="4"/>
        <v>0</v>
      </c>
      <c r="I28" s="485">
        <f t="shared" si="4"/>
        <v>0</v>
      </c>
    </row>
    <row r="29" spans="1:9" ht="15.75" customHeight="1" x14ac:dyDescent="0.2">
      <c r="A29" s="476" t="s">
        <v>504</v>
      </c>
      <c r="B29" s="477">
        <v>2.5000000000000001E-2</v>
      </c>
      <c r="C29" s="484">
        <f t="shared" ref="C29:C35" si="5">ROUND((C$19+C$25)*$B29,2)</f>
        <v>0</v>
      </c>
      <c r="D29" s="484">
        <f t="shared" si="4"/>
        <v>0</v>
      </c>
      <c r="E29" s="484">
        <f t="shared" si="4"/>
        <v>0</v>
      </c>
      <c r="F29" s="484">
        <f t="shared" si="4"/>
        <v>0</v>
      </c>
      <c r="G29" s="484">
        <f t="shared" si="4"/>
        <v>0</v>
      </c>
      <c r="H29" s="484">
        <f t="shared" si="4"/>
        <v>0</v>
      </c>
      <c r="I29" s="485">
        <f t="shared" si="4"/>
        <v>0</v>
      </c>
    </row>
    <row r="30" spans="1:9" ht="15.75" customHeight="1" x14ac:dyDescent="0.2">
      <c r="A30" s="476" t="s">
        <v>505</v>
      </c>
      <c r="B30" s="477">
        <v>0.03</v>
      </c>
      <c r="C30" s="484">
        <f t="shared" si="5"/>
        <v>0</v>
      </c>
      <c r="D30" s="484">
        <f t="shared" si="4"/>
        <v>0</v>
      </c>
      <c r="E30" s="484">
        <f t="shared" si="4"/>
        <v>0</v>
      </c>
      <c r="F30" s="484">
        <f t="shared" si="4"/>
        <v>0</v>
      </c>
      <c r="G30" s="484">
        <f t="shared" si="4"/>
        <v>0</v>
      </c>
      <c r="H30" s="484">
        <f t="shared" si="4"/>
        <v>0</v>
      </c>
      <c r="I30" s="485">
        <f t="shared" si="4"/>
        <v>0</v>
      </c>
    </row>
    <row r="31" spans="1:9" ht="15.75" customHeight="1" x14ac:dyDescent="0.2">
      <c r="A31" s="476" t="s">
        <v>506</v>
      </c>
      <c r="B31" s="477">
        <v>1.4999999999999999E-2</v>
      </c>
      <c r="C31" s="484">
        <f t="shared" si="5"/>
        <v>0</v>
      </c>
      <c r="D31" s="484">
        <f t="shared" si="4"/>
        <v>0</v>
      </c>
      <c r="E31" s="484">
        <f t="shared" si="4"/>
        <v>0</v>
      </c>
      <c r="F31" s="484">
        <f t="shared" si="4"/>
        <v>0</v>
      </c>
      <c r="G31" s="484">
        <f t="shared" si="4"/>
        <v>0</v>
      </c>
      <c r="H31" s="484">
        <f t="shared" si="4"/>
        <v>0</v>
      </c>
      <c r="I31" s="485">
        <f t="shared" si="4"/>
        <v>0</v>
      </c>
    </row>
    <row r="32" spans="1:9" ht="15.75" customHeight="1" x14ac:dyDescent="0.2">
      <c r="A32" s="476" t="s">
        <v>507</v>
      </c>
      <c r="B32" s="477">
        <v>0.01</v>
      </c>
      <c r="C32" s="484">
        <f t="shared" si="5"/>
        <v>0</v>
      </c>
      <c r="D32" s="484">
        <f t="shared" si="4"/>
        <v>0</v>
      </c>
      <c r="E32" s="484">
        <f t="shared" si="4"/>
        <v>0</v>
      </c>
      <c r="F32" s="484">
        <f t="shared" si="4"/>
        <v>0</v>
      </c>
      <c r="G32" s="484">
        <f t="shared" si="4"/>
        <v>0</v>
      </c>
      <c r="H32" s="484">
        <f t="shared" si="4"/>
        <v>0</v>
      </c>
      <c r="I32" s="485">
        <f t="shared" si="4"/>
        <v>0</v>
      </c>
    </row>
    <row r="33" spans="1:9" ht="15.75" customHeight="1" x14ac:dyDescent="0.2">
      <c r="A33" s="476" t="s">
        <v>508</v>
      </c>
      <c r="B33" s="477">
        <v>6.0000000000000001E-3</v>
      </c>
      <c r="C33" s="484">
        <f t="shared" si="5"/>
        <v>0</v>
      </c>
      <c r="D33" s="484">
        <f t="shared" si="4"/>
        <v>0</v>
      </c>
      <c r="E33" s="484">
        <f t="shared" si="4"/>
        <v>0</v>
      </c>
      <c r="F33" s="484">
        <f t="shared" si="4"/>
        <v>0</v>
      </c>
      <c r="G33" s="484">
        <f t="shared" si="4"/>
        <v>0</v>
      </c>
      <c r="H33" s="484">
        <f t="shared" si="4"/>
        <v>0</v>
      </c>
      <c r="I33" s="485">
        <f t="shared" si="4"/>
        <v>0</v>
      </c>
    </row>
    <row r="34" spans="1:9" ht="15.75" customHeight="1" x14ac:dyDescent="0.2">
      <c r="A34" s="476" t="s">
        <v>509</v>
      </c>
      <c r="B34" s="477">
        <v>2E-3</v>
      </c>
      <c r="C34" s="484">
        <f t="shared" si="5"/>
        <v>0</v>
      </c>
      <c r="D34" s="484">
        <f t="shared" si="4"/>
        <v>0</v>
      </c>
      <c r="E34" s="484">
        <f t="shared" si="4"/>
        <v>0</v>
      </c>
      <c r="F34" s="484">
        <f t="shared" si="4"/>
        <v>0</v>
      </c>
      <c r="G34" s="484">
        <f t="shared" si="4"/>
        <v>0</v>
      </c>
      <c r="H34" s="484">
        <f t="shared" si="4"/>
        <v>0</v>
      </c>
      <c r="I34" s="485">
        <f t="shared" si="4"/>
        <v>0</v>
      </c>
    </row>
    <row r="35" spans="1:9" ht="15.75" customHeight="1" x14ac:dyDescent="0.2">
      <c r="A35" s="476" t="s">
        <v>510</v>
      </c>
      <c r="B35" s="477">
        <v>0.08</v>
      </c>
      <c r="C35" s="484">
        <f t="shared" si="5"/>
        <v>0</v>
      </c>
      <c r="D35" s="484">
        <f t="shared" si="4"/>
        <v>0</v>
      </c>
      <c r="E35" s="484">
        <f t="shared" si="4"/>
        <v>0</v>
      </c>
      <c r="F35" s="484">
        <f t="shared" si="4"/>
        <v>0</v>
      </c>
      <c r="G35" s="484">
        <f t="shared" si="4"/>
        <v>0</v>
      </c>
      <c r="H35" s="484">
        <f t="shared" si="4"/>
        <v>0</v>
      </c>
      <c r="I35" s="485">
        <f t="shared" si="4"/>
        <v>0</v>
      </c>
    </row>
    <row r="36" spans="1:9" ht="15.75" customHeight="1" x14ac:dyDescent="0.2">
      <c r="A36" s="464" t="s">
        <v>496</v>
      </c>
      <c r="B36" s="478">
        <f t="shared" ref="B36:I36" si="6">SUM(B28:B35)</f>
        <v>0.36800000000000005</v>
      </c>
      <c r="C36" s="479">
        <f t="shared" si="6"/>
        <v>0</v>
      </c>
      <c r="D36" s="479">
        <f t="shared" si="6"/>
        <v>0</v>
      </c>
      <c r="E36" s="479">
        <f t="shared" si="6"/>
        <v>0</v>
      </c>
      <c r="F36" s="479">
        <f t="shared" si="6"/>
        <v>0</v>
      </c>
      <c r="G36" s="479">
        <f t="shared" si="6"/>
        <v>0</v>
      </c>
      <c r="H36" s="479">
        <f t="shared" si="6"/>
        <v>0</v>
      </c>
      <c r="I36" s="480">
        <f t="shared" si="6"/>
        <v>0</v>
      </c>
    </row>
    <row r="37" spans="1:9" ht="15.75" customHeight="1" x14ac:dyDescent="0.2">
      <c r="A37" s="473" t="s">
        <v>511</v>
      </c>
      <c r="B37" s="474" t="s">
        <v>512</v>
      </c>
      <c r="C37" s="474" t="s">
        <v>488</v>
      </c>
      <c r="D37" s="474" t="s">
        <v>488</v>
      </c>
      <c r="E37" s="474" t="s">
        <v>488</v>
      </c>
      <c r="F37" s="474" t="s">
        <v>488</v>
      </c>
      <c r="G37" s="474" t="s">
        <v>488</v>
      </c>
      <c r="H37" s="474" t="s">
        <v>488</v>
      </c>
      <c r="I37" s="475" t="s">
        <v>488</v>
      </c>
    </row>
    <row r="38" spans="1:9" ht="15.75" customHeight="1" x14ac:dyDescent="0.2">
      <c r="A38" s="476" t="s">
        <v>513</v>
      </c>
      <c r="B38" s="486">
        <f>MC!D85</f>
        <v>0</v>
      </c>
      <c r="C38" s="455">
        <f t="shared" ref="C38:I38" si="7">ROUND(((2*22*$B$38)-0.06*C$13),2)</f>
        <v>0</v>
      </c>
      <c r="D38" s="455">
        <f t="shared" si="7"/>
        <v>0</v>
      </c>
      <c r="E38" s="455">
        <f t="shared" si="7"/>
        <v>0</v>
      </c>
      <c r="F38" s="455">
        <f t="shared" si="7"/>
        <v>0</v>
      </c>
      <c r="G38" s="455">
        <f t="shared" si="7"/>
        <v>0</v>
      </c>
      <c r="H38" s="455">
        <f t="shared" si="7"/>
        <v>0</v>
      </c>
      <c r="I38" s="457">
        <f t="shared" si="7"/>
        <v>0</v>
      </c>
    </row>
    <row r="39" spans="1:9" ht="15.75" customHeight="1" x14ac:dyDescent="0.2">
      <c r="A39" s="476" t="s">
        <v>514</v>
      </c>
      <c r="B39" s="487"/>
      <c r="C39" s="484">
        <f>MC!$E$19</f>
        <v>0</v>
      </c>
      <c r="D39" s="484">
        <f>MC!$E$19</f>
        <v>0</v>
      </c>
      <c r="E39" s="484">
        <f>MC!$E$20</f>
        <v>0</v>
      </c>
      <c r="F39" s="484">
        <f>MC!$E$20</f>
        <v>0</v>
      </c>
      <c r="G39" s="484">
        <f>MC!$E$20</f>
        <v>0</v>
      </c>
      <c r="H39" s="484">
        <f>MC!$E$19</f>
        <v>0</v>
      </c>
      <c r="I39" s="485">
        <f>MC!$E$19</f>
        <v>0</v>
      </c>
    </row>
    <row r="40" spans="1:9" ht="15.75" customHeight="1" x14ac:dyDescent="0.2">
      <c r="A40" s="476" t="s">
        <v>515</v>
      </c>
      <c r="B40" s="477"/>
      <c r="C40" s="488" t="s">
        <v>112</v>
      </c>
      <c r="D40" s="488" t="s">
        <v>112</v>
      </c>
      <c r="E40" s="488" t="s">
        <v>112</v>
      </c>
      <c r="F40" s="488" t="s">
        <v>112</v>
      </c>
      <c r="G40" s="488" t="s">
        <v>112</v>
      </c>
      <c r="H40" s="488" t="s">
        <v>112</v>
      </c>
      <c r="I40" s="489" t="s">
        <v>112</v>
      </c>
    </row>
    <row r="41" spans="1:9" ht="15.75" customHeight="1" x14ac:dyDescent="0.2">
      <c r="A41" s="476" t="s">
        <v>516</v>
      </c>
      <c r="B41" s="490"/>
      <c r="C41" s="488" t="s">
        <v>112</v>
      </c>
      <c r="D41" s="488" t="s">
        <v>112</v>
      </c>
      <c r="E41" s="488" t="s">
        <v>112</v>
      </c>
      <c r="F41" s="488" t="s">
        <v>112</v>
      </c>
      <c r="G41" s="488" t="s">
        <v>112</v>
      </c>
      <c r="H41" s="491" t="s">
        <v>112</v>
      </c>
      <c r="I41" s="489" t="s">
        <v>112</v>
      </c>
    </row>
    <row r="42" spans="1:9" ht="15.75" customHeight="1" x14ac:dyDescent="0.2">
      <c r="A42" s="476" t="s">
        <v>517</v>
      </c>
      <c r="B42" s="492">
        <f>MC!E27</f>
        <v>0</v>
      </c>
      <c r="C42" s="484">
        <f t="shared" ref="C42:I42" si="8">$B42</f>
        <v>0</v>
      </c>
      <c r="D42" s="484">
        <f t="shared" si="8"/>
        <v>0</v>
      </c>
      <c r="E42" s="484">
        <f t="shared" si="8"/>
        <v>0</v>
      </c>
      <c r="F42" s="484">
        <f t="shared" si="8"/>
        <v>0</v>
      </c>
      <c r="G42" s="484">
        <f t="shared" si="8"/>
        <v>0</v>
      </c>
      <c r="H42" s="484">
        <f t="shared" si="8"/>
        <v>0</v>
      </c>
      <c r="I42" s="485">
        <f t="shared" si="8"/>
        <v>0</v>
      </c>
    </row>
    <row r="43" spans="1:9" ht="15.75" customHeight="1" x14ac:dyDescent="0.2">
      <c r="A43" s="476" t="s">
        <v>518</v>
      </c>
      <c r="B43" s="477"/>
      <c r="C43" s="488" t="s">
        <v>112</v>
      </c>
      <c r="D43" s="488" t="s">
        <v>112</v>
      </c>
      <c r="E43" s="488" t="s">
        <v>112</v>
      </c>
      <c r="F43" s="488" t="s">
        <v>112</v>
      </c>
      <c r="G43" s="488" t="s">
        <v>112</v>
      </c>
      <c r="H43" s="491" t="s">
        <v>112</v>
      </c>
      <c r="I43" s="489" t="s">
        <v>112</v>
      </c>
    </row>
    <row r="44" spans="1:9" ht="15.75" customHeight="1" x14ac:dyDescent="0.2">
      <c r="A44" s="464" t="s">
        <v>496</v>
      </c>
      <c r="B44" s="465"/>
      <c r="C44" s="479">
        <f t="shared" ref="C44:I44" si="9">SUM(C38:C43)</f>
        <v>0</v>
      </c>
      <c r="D44" s="479">
        <f t="shared" si="9"/>
        <v>0</v>
      </c>
      <c r="E44" s="479">
        <f t="shared" si="9"/>
        <v>0</v>
      </c>
      <c r="F44" s="479">
        <f t="shared" si="9"/>
        <v>0</v>
      </c>
      <c r="G44" s="479">
        <f t="shared" si="9"/>
        <v>0</v>
      </c>
      <c r="H44" s="479">
        <f t="shared" si="9"/>
        <v>0</v>
      </c>
      <c r="I44" s="480">
        <f t="shared" si="9"/>
        <v>0</v>
      </c>
    </row>
    <row r="45" spans="1:9" x14ac:dyDescent="0.2">
      <c r="A45" s="450" t="s">
        <v>519</v>
      </c>
      <c r="B45" s="451" t="s">
        <v>487</v>
      </c>
      <c r="C45" s="451" t="s">
        <v>488</v>
      </c>
      <c r="D45" s="451" t="s">
        <v>488</v>
      </c>
      <c r="E45" s="451" t="s">
        <v>488</v>
      </c>
      <c r="F45" s="451" t="s">
        <v>488</v>
      </c>
      <c r="G45" s="451" t="s">
        <v>488</v>
      </c>
      <c r="H45" s="451" t="s">
        <v>488</v>
      </c>
      <c r="I45" s="452" t="s">
        <v>488</v>
      </c>
    </row>
    <row r="46" spans="1:9" ht="15.75" customHeight="1" x14ac:dyDescent="0.2">
      <c r="A46" s="476" t="s">
        <v>498</v>
      </c>
      <c r="B46" s="493">
        <f t="shared" ref="B46:I46" si="10">B25</f>
        <v>0.1111111111111111</v>
      </c>
      <c r="C46" s="494">
        <f t="shared" si="10"/>
        <v>0</v>
      </c>
      <c r="D46" s="494">
        <f t="shared" si="10"/>
        <v>0</v>
      </c>
      <c r="E46" s="494">
        <f t="shared" si="10"/>
        <v>0</v>
      </c>
      <c r="F46" s="494">
        <f t="shared" si="10"/>
        <v>0</v>
      </c>
      <c r="G46" s="494">
        <f t="shared" si="10"/>
        <v>0</v>
      </c>
      <c r="H46" s="494">
        <f t="shared" si="10"/>
        <v>0</v>
      </c>
      <c r="I46" s="495">
        <f t="shared" si="10"/>
        <v>0</v>
      </c>
    </row>
    <row r="47" spans="1:9" ht="15.75" customHeight="1" x14ac:dyDescent="0.2">
      <c r="A47" s="476" t="s">
        <v>520</v>
      </c>
      <c r="B47" s="493">
        <f t="shared" ref="B47:I47" si="11">B36</f>
        <v>0.36800000000000005</v>
      </c>
      <c r="C47" s="494">
        <f t="shared" si="11"/>
        <v>0</v>
      </c>
      <c r="D47" s="494">
        <f t="shared" si="11"/>
        <v>0</v>
      </c>
      <c r="E47" s="494">
        <f t="shared" si="11"/>
        <v>0</v>
      </c>
      <c r="F47" s="494">
        <f t="shared" si="11"/>
        <v>0</v>
      </c>
      <c r="G47" s="494">
        <f t="shared" si="11"/>
        <v>0</v>
      </c>
      <c r="H47" s="494">
        <f t="shared" si="11"/>
        <v>0</v>
      </c>
      <c r="I47" s="495">
        <f t="shared" si="11"/>
        <v>0</v>
      </c>
    </row>
    <row r="48" spans="1:9" ht="15.75" customHeight="1" x14ac:dyDescent="0.2">
      <c r="A48" s="476" t="s">
        <v>511</v>
      </c>
      <c r="B48" s="493"/>
      <c r="C48" s="494">
        <f t="shared" ref="C48:I48" si="12">C44</f>
        <v>0</v>
      </c>
      <c r="D48" s="494">
        <f t="shared" si="12"/>
        <v>0</v>
      </c>
      <c r="E48" s="494">
        <f t="shared" si="12"/>
        <v>0</v>
      </c>
      <c r="F48" s="494">
        <f t="shared" si="12"/>
        <v>0</v>
      </c>
      <c r="G48" s="494">
        <f t="shared" si="12"/>
        <v>0</v>
      </c>
      <c r="H48" s="494">
        <f t="shared" si="12"/>
        <v>0</v>
      </c>
      <c r="I48" s="495">
        <f t="shared" si="12"/>
        <v>0</v>
      </c>
    </row>
    <row r="49" spans="1:9" ht="15.75" customHeight="1" x14ac:dyDescent="0.2">
      <c r="A49" s="464" t="s">
        <v>496</v>
      </c>
      <c r="B49" s="465"/>
      <c r="C49" s="479">
        <f t="shared" ref="C49:I49" si="13">SUM(C46:C48)</f>
        <v>0</v>
      </c>
      <c r="D49" s="466">
        <f t="shared" si="13"/>
        <v>0</v>
      </c>
      <c r="E49" s="479">
        <f t="shared" si="13"/>
        <v>0</v>
      </c>
      <c r="F49" s="479">
        <f t="shared" si="13"/>
        <v>0</v>
      </c>
      <c r="G49" s="479">
        <f t="shared" si="13"/>
        <v>0</v>
      </c>
      <c r="H49" s="479">
        <f t="shared" si="13"/>
        <v>0</v>
      </c>
      <c r="I49" s="480">
        <f t="shared" si="13"/>
        <v>0</v>
      </c>
    </row>
    <row r="50" spans="1:9" ht="14.25" customHeight="1" x14ac:dyDescent="0.2">
      <c r="A50" s="859"/>
      <c r="B50" s="859"/>
      <c r="C50" s="859"/>
      <c r="D50" s="859"/>
      <c r="E50" s="859"/>
      <c r="F50" s="859"/>
      <c r="G50" s="859"/>
      <c r="H50" s="859"/>
      <c r="I50" s="859"/>
    </row>
    <row r="51" spans="1:9" s="496" customFormat="1" ht="12.75" customHeight="1" x14ac:dyDescent="0.2">
      <c r="A51" s="858" t="s">
        <v>521</v>
      </c>
      <c r="B51" s="858"/>
      <c r="C51" s="858"/>
      <c r="D51" s="858"/>
      <c r="E51" s="858"/>
      <c r="F51" s="858"/>
      <c r="G51" s="858"/>
      <c r="H51" s="858"/>
      <c r="I51" s="858"/>
    </row>
    <row r="52" spans="1:9" ht="15.75" customHeight="1" x14ac:dyDescent="0.2">
      <c r="A52" s="450" t="s">
        <v>522</v>
      </c>
      <c r="B52" s="451" t="s">
        <v>487</v>
      </c>
      <c r="C52" s="451" t="s">
        <v>488</v>
      </c>
      <c r="D52" s="451" t="s">
        <v>488</v>
      </c>
      <c r="E52" s="451" t="s">
        <v>488</v>
      </c>
      <c r="F52" s="451" t="s">
        <v>488</v>
      </c>
      <c r="G52" s="451" t="s">
        <v>488</v>
      </c>
      <c r="H52" s="451" t="s">
        <v>488</v>
      </c>
      <c r="I52" s="452" t="s">
        <v>488</v>
      </c>
    </row>
    <row r="53" spans="1:9" ht="15.75" customHeight="1" x14ac:dyDescent="0.2">
      <c r="A53" s="473" t="s">
        <v>523</v>
      </c>
      <c r="B53" s="497"/>
      <c r="C53" s="497"/>
      <c r="D53" s="497"/>
      <c r="E53" s="497"/>
      <c r="F53" s="497"/>
      <c r="G53" s="497"/>
      <c r="H53" s="498"/>
      <c r="I53" s="499"/>
    </row>
    <row r="54" spans="1:9" ht="15.75" customHeight="1" x14ac:dyDescent="0.2">
      <c r="A54" s="476" t="s">
        <v>524</v>
      </c>
      <c r="B54" s="493">
        <f>1/12*0.05</f>
        <v>4.1666666666666666E-3</v>
      </c>
      <c r="C54" s="500">
        <f t="shared" ref="C54:I54" si="14">C19*$B54</f>
        <v>0</v>
      </c>
      <c r="D54" s="500">
        <f t="shared" si="14"/>
        <v>0</v>
      </c>
      <c r="E54" s="500">
        <f t="shared" si="14"/>
        <v>0</v>
      </c>
      <c r="F54" s="500">
        <f t="shared" si="14"/>
        <v>0</v>
      </c>
      <c r="G54" s="500">
        <f t="shared" si="14"/>
        <v>0</v>
      </c>
      <c r="H54" s="500">
        <f t="shared" si="14"/>
        <v>0</v>
      </c>
      <c r="I54" s="501">
        <f t="shared" si="14"/>
        <v>0</v>
      </c>
    </row>
    <row r="55" spans="1:9" x14ac:dyDescent="0.2">
      <c r="A55" s="476" t="s">
        <v>525</v>
      </c>
      <c r="B55" s="493">
        <f>B35*B54</f>
        <v>3.3333333333333332E-4</v>
      </c>
      <c r="C55" s="500">
        <f t="shared" ref="C55:I55" si="15">$B$55*C19</f>
        <v>0</v>
      </c>
      <c r="D55" s="500">
        <f t="shared" si="15"/>
        <v>0</v>
      </c>
      <c r="E55" s="500">
        <f t="shared" si="15"/>
        <v>0</v>
      </c>
      <c r="F55" s="500">
        <f t="shared" si="15"/>
        <v>0</v>
      </c>
      <c r="G55" s="500">
        <f t="shared" si="15"/>
        <v>0</v>
      </c>
      <c r="H55" s="500">
        <f t="shared" si="15"/>
        <v>0</v>
      </c>
      <c r="I55" s="501">
        <f t="shared" si="15"/>
        <v>0</v>
      </c>
    </row>
    <row r="56" spans="1:9" x14ac:dyDescent="0.2">
      <c r="A56" s="476" t="s">
        <v>526</v>
      </c>
      <c r="B56" s="493">
        <v>0</v>
      </c>
      <c r="C56" s="500">
        <f t="shared" ref="C56:I56" si="16">C35*$B56</f>
        <v>0</v>
      </c>
      <c r="D56" s="500">
        <f t="shared" si="16"/>
        <v>0</v>
      </c>
      <c r="E56" s="500">
        <f t="shared" si="16"/>
        <v>0</v>
      </c>
      <c r="F56" s="500">
        <f t="shared" si="16"/>
        <v>0</v>
      </c>
      <c r="G56" s="500">
        <f t="shared" si="16"/>
        <v>0</v>
      </c>
      <c r="H56" s="500">
        <f t="shared" si="16"/>
        <v>0</v>
      </c>
      <c r="I56" s="501">
        <f t="shared" si="16"/>
        <v>0</v>
      </c>
    </row>
    <row r="57" spans="1:9" x14ac:dyDescent="0.2">
      <c r="A57" s="476" t="s">
        <v>527</v>
      </c>
      <c r="B57" s="493">
        <f>1/12*1/30*7</f>
        <v>1.9444444444444441E-2</v>
      </c>
      <c r="C57" s="494">
        <f t="shared" ref="C57:I57" si="17">C19*$B57</f>
        <v>0</v>
      </c>
      <c r="D57" s="494">
        <f t="shared" si="17"/>
        <v>0</v>
      </c>
      <c r="E57" s="494">
        <f t="shared" si="17"/>
        <v>0</v>
      </c>
      <c r="F57" s="494">
        <f t="shared" si="17"/>
        <v>0</v>
      </c>
      <c r="G57" s="494">
        <f t="shared" si="17"/>
        <v>0</v>
      </c>
      <c r="H57" s="494">
        <f t="shared" si="17"/>
        <v>0</v>
      </c>
      <c r="I57" s="495">
        <f t="shared" si="17"/>
        <v>0</v>
      </c>
    </row>
    <row r="58" spans="1:9" x14ac:dyDescent="0.2">
      <c r="A58" s="476" t="s">
        <v>528</v>
      </c>
      <c r="B58" s="493">
        <f>B36*B57</f>
        <v>7.1555555555555556E-3</v>
      </c>
      <c r="C58" s="494">
        <f t="shared" ref="C58:I58" si="18">$B58*C19</f>
        <v>0</v>
      </c>
      <c r="D58" s="494">
        <f t="shared" si="18"/>
        <v>0</v>
      </c>
      <c r="E58" s="494">
        <f t="shared" si="18"/>
        <v>0</v>
      </c>
      <c r="F58" s="494">
        <f t="shared" si="18"/>
        <v>0</v>
      </c>
      <c r="G58" s="494">
        <f t="shared" si="18"/>
        <v>0</v>
      </c>
      <c r="H58" s="494">
        <f t="shared" si="18"/>
        <v>0</v>
      </c>
      <c r="I58" s="495">
        <f t="shared" si="18"/>
        <v>0</v>
      </c>
    </row>
    <row r="59" spans="1:9" x14ac:dyDescent="0.2">
      <c r="A59" s="476" t="s">
        <v>529</v>
      </c>
      <c r="B59" s="493">
        <f>B35*40/100*90/100*(1+1/12+1/12+1/3*1/12)</f>
        <v>3.4399999999999993E-2</v>
      </c>
      <c r="C59" s="494">
        <f t="shared" ref="C59:I59" si="19">C19*$B59</f>
        <v>0</v>
      </c>
      <c r="D59" s="494">
        <f t="shared" si="19"/>
        <v>0</v>
      </c>
      <c r="E59" s="494">
        <f t="shared" si="19"/>
        <v>0</v>
      </c>
      <c r="F59" s="494">
        <f t="shared" si="19"/>
        <v>0</v>
      </c>
      <c r="G59" s="494">
        <f t="shared" si="19"/>
        <v>0</v>
      </c>
      <c r="H59" s="494">
        <f t="shared" si="19"/>
        <v>0</v>
      </c>
      <c r="I59" s="495">
        <f t="shared" si="19"/>
        <v>0</v>
      </c>
    </row>
    <row r="60" spans="1:9" ht="14.25" customHeight="1" x14ac:dyDescent="0.2">
      <c r="A60" s="464" t="s">
        <v>496</v>
      </c>
      <c r="B60" s="478">
        <f t="shared" ref="B60:I60" si="20">SUM(B54:B59)</f>
        <v>6.5499999999999989E-2</v>
      </c>
      <c r="C60" s="466">
        <f t="shared" si="20"/>
        <v>0</v>
      </c>
      <c r="D60" s="466">
        <f t="shared" si="20"/>
        <v>0</v>
      </c>
      <c r="E60" s="466">
        <f t="shared" si="20"/>
        <v>0</v>
      </c>
      <c r="F60" s="466">
        <f t="shared" si="20"/>
        <v>0</v>
      </c>
      <c r="G60" s="466">
        <f t="shared" si="20"/>
        <v>0</v>
      </c>
      <c r="H60" s="467">
        <f t="shared" si="20"/>
        <v>0</v>
      </c>
      <c r="I60" s="468">
        <f t="shared" si="20"/>
        <v>0</v>
      </c>
    </row>
    <row r="61" spans="1:9" ht="14.25" customHeight="1" x14ac:dyDescent="0.2">
      <c r="A61" s="860"/>
      <c r="B61" s="860"/>
      <c r="C61" s="860"/>
      <c r="D61" s="860"/>
      <c r="E61" s="860"/>
      <c r="F61" s="860"/>
      <c r="G61" s="860"/>
      <c r="H61" s="860"/>
      <c r="I61" s="860"/>
    </row>
    <row r="62" spans="1:9" ht="15.75" customHeight="1" x14ac:dyDescent="0.2">
      <c r="A62" s="858" t="s">
        <v>530</v>
      </c>
      <c r="B62" s="858"/>
      <c r="C62" s="858"/>
      <c r="D62" s="858"/>
      <c r="E62" s="858"/>
      <c r="F62" s="858"/>
      <c r="G62" s="858"/>
      <c r="H62" s="858"/>
      <c r="I62" s="858"/>
    </row>
    <row r="63" spans="1:9" ht="14.25" customHeight="1" x14ac:dyDescent="0.2">
      <c r="A63" s="473" t="s">
        <v>43</v>
      </c>
      <c r="B63" s="474" t="s">
        <v>487</v>
      </c>
      <c r="C63" s="474" t="s">
        <v>488</v>
      </c>
      <c r="D63" s="474" t="s">
        <v>488</v>
      </c>
      <c r="E63" s="474" t="s">
        <v>488</v>
      </c>
      <c r="F63" s="474" t="s">
        <v>488</v>
      </c>
      <c r="G63" s="474" t="s">
        <v>488</v>
      </c>
      <c r="H63" s="474" t="s">
        <v>488</v>
      </c>
      <c r="I63" s="474" t="s">
        <v>488</v>
      </c>
    </row>
    <row r="64" spans="1:9" ht="14.25" customHeight="1" x14ac:dyDescent="0.2">
      <c r="A64" s="476" t="s">
        <v>44</v>
      </c>
      <c r="B64" s="477">
        <f>1/12</f>
        <v>8.3333333333333329E-2</v>
      </c>
      <c r="C64" s="484">
        <f t="shared" ref="C64:I67" si="21">$B64*(C$19+C$49+C$60)</f>
        <v>0</v>
      </c>
      <c r="D64" s="484">
        <f t="shared" si="21"/>
        <v>0</v>
      </c>
      <c r="E64" s="484">
        <f t="shared" si="21"/>
        <v>0</v>
      </c>
      <c r="F64" s="484">
        <f t="shared" si="21"/>
        <v>0</v>
      </c>
      <c r="G64" s="484">
        <f t="shared" si="21"/>
        <v>0</v>
      </c>
      <c r="H64" s="484">
        <f t="shared" si="21"/>
        <v>0</v>
      </c>
      <c r="I64" s="485">
        <f t="shared" si="21"/>
        <v>0</v>
      </c>
    </row>
    <row r="65" spans="1:9" x14ac:dyDescent="0.2">
      <c r="A65" s="476" t="s">
        <v>531</v>
      </c>
      <c r="B65" s="477">
        <f>MC!E54/30/12</f>
        <v>1.3538888888888885E-2</v>
      </c>
      <c r="C65" s="484">
        <f t="shared" si="21"/>
        <v>0</v>
      </c>
      <c r="D65" s="484">
        <f t="shared" si="21"/>
        <v>0</v>
      </c>
      <c r="E65" s="484">
        <f t="shared" si="21"/>
        <v>0</v>
      </c>
      <c r="F65" s="484">
        <f t="shared" si="21"/>
        <v>0</v>
      </c>
      <c r="G65" s="484">
        <f t="shared" si="21"/>
        <v>0</v>
      </c>
      <c r="H65" s="484">
        <f t="shared" si="21"/>
        <v>0</v>
      </c>
      <c r="I65" s="485">
        <f t="shared" si="21"/>
        <v>0</v>
      </c>
    </row>
    <row r="66" spans="1:9" x14ac:dyDescent="0.2">
      <c r="A66" s="476" t="s">
        <v>532</v>
      </c>
      <c r="B66" s="502">
        <f>(5/30)/12*MC!F56*MC!C57</f>
        <v>1.0764583333333333E-4</v>
      </c>
      <c r="C66" s="484">
        <f t="shared" si="21"/>
        <v>0</v>
      </c>
      <c r="D66" s="484">
        <f t="shared" si="21"/>
        <v>0</v>
      </c>
      <c r="E66" s="484">
        <f t="shared" si="21"/>
        <v>0</v>
      </c>
      <c r="F66" s="484">
        <f t="shared" si="21"/>
        <v>0</v>
      </c>
      <c r="G66" s="484">
        <f t="shared" si="21"/>
        <v>0</v>
      </c>
      <c r="H66" s="484">
        <f t="shared" si="21"/>
        <v>0</v>
      </c>
      <c r="I66" s="485">
        <f t="shared" si="21"/>
        <v>0</v>
      </c>
    </row>
    <row r="67" spans="1:9" ht="14.25" customHeight="1" x14ac:dyDescent="0.2">
      <c r="A67" s="476" t="s">
        <v>533</v>
      </c>
      <c r="B67" s="502">
        <f>MC!C59/30/12</f>
        <v>2.6830555555555553E-3</v>
      </c>
      <c r="C67" s="484">
        <f t="shared" si="21"/>
        <v>0</v>
      </c>
      <c r="D67" s="484">
        <f t="shared" si="21"/>
        <v>0</v>
      </c>
      <c r="E67" s="484">
        <f t="shared" si="21"/>
        <v>0</v>
      </c>
      <c r="F67" s="484">
        <f t="shared" si="21"/>
        <v>0</v>
      </c>
      <c r="G67" s="484">
        <f t="shared" si="21"/>
        <v>0</v>
      </c>
      <c r="H67" s="484">
        <f t="shared" si="21"/>
        <v>0</v>
      </c>
      <c r="I67" s="485">
        <f t="shared" si="21"/>
        <v>0</v>
      </c>
    </row>
    <row r="68" spans="1:9" ht="14.25" customHeight="1" x14ac:dyDescent="0.2">
      <c r="A68" s="476" t="s">
        <v>495</v>
      </c>
      <c r="B68" s="477"/>
      <c r="C68" s="488" t="s">
        <v>112</v>
      </c>
      <c r="D68" s="488" t="s">
        <v>112</v>
      </c>
      <c r="E68" s="488" t="s">
        <v>112</v>
      </c>
      <c r="F68" s="488" t="s">
        <v>112</v>
      </c>
      <c r="G68" s="488" t="s">
        <v>112</v>
      </c>
      <c r="H68" s="491" t="s">
        <v>112</v>
      </c>
      <c r="I68" s="489" t="s">
        <v>112</v>
      </c>
    </row>
    <row r="69" spans="1:9" ht="14.25" customHeight="1" x14ac:dyDescent="0.2">
      <c r="A69" s="503" t="s">
        <v>534</v>
      </c>
      <c r="B69" s="504">
        <f t="shared" ref="B69:I69" si="22">SUM(B64:B68)</f>
        <v>9.9662923611111107E-2</v>
      </c>
      <c r="C69" s="505">
        <f t="shared" si="22"/>
        <v>0</v>
      </c>
      <c r="D69" s="505">
        <f t="shared" si="22"/>
        <v>0</v>
      </c>
      <c r="E69" s="505">
        <f t="shared" si="22"/>
        <v>0</v>
      </c>
      <c r="F69" s="505">
        <f t="shared" si="22"/>
        <v>0</v>
      </c>
      <c r="G69" s="505">
        <f t="shared" si="22"/>
        <v>0</v>
      </c>
      <c r="H69" s="505">
        <f t="shared" si="22"/>
        <v>0</v>
      </c>
      <c r="I69" s="506">
        <f t="shared" si="22"/>
        <v>0</v>
      </c>
    </row>
    <row r="70" spans="1:9" ht="14.25" customHeight="1" x14ac:dyDescent="0.2">
      <c r="A70" s="473" t="s">
        <v>535</v>
      </c>
      <c r="B70" s="474" t="s">
        <v>487</v>
      </c>
      <c r="C70" s="474" t="s">
        <v>488</v>
      </c>
      <c r="D70" s="474" t="s">
        <v>488</v>
      </c>
      <c r="E70" s="474" t="s">
        <v>488</v>
      </c>
      <c r="F70" s="474" t="s">
        <v>488</v>
      </c>
      <c r="G70" s="474" t="s">
        <v>488</v>
      </c>
      <c r="H70" s="474" t="s">
        <v>488</v>
      </c>
      <c r="I70" s="475" t="s">
        <v>488</v>
      </c>
    </row>
    <row r="71" spans="1:9" ht="14.25" customHeight="1" x14ac:dyDescent="0.2">
      <c r="A71" s="476" t="s">
        <v>536</v>
      </c>
      <c r="B71" s="477"/>
      <c r="C71" s="488" t="s">
        <v>112</v>
      </c>
      <c r="D71" s="488" t="s">
        <v>112</v>
      </c>
      <c r="E71" s="488" t="s">
        <v>112</v>
      </c>
      <c r="F71" s="488" t="s">
        <v>112</v>
      </c>
      <c r="G71" s="488" t="s">
        <v>112</v>
      </c>
      <c r="H71" s="491" t="s">
        <v>112</v>
      </c>
      <c r="I71" s="489" t="s">
        <v>112</v>
      </c>
    </row>
    <row r="72" spans="1:9" ht="14.25" customHeight="1" x14ac:dyDescent="0.2">
      <c r="A72" s="503" t="s">
        <v>534</v>
      </c>
      <c r="B72" s="504"/>
      <c r="C72" s="507" t="str">
        <f t="shared" ref="C72:I72" si="23">C71</f>
        <v>-</v>
      </c>
      <c r="D72" s="507" t="str">
        <f t="shared" si="23"/>
        <v>-</v>
      </c>
      <c r="E72" s="507" t="str">
        <f t="shared" si="23"/>
        <v>-</v>
      </c>
      <c r="F72" s="507" t="str">
        <f t="shared" si="23"/>
        <v>-</v>
      </c>
      <c r="G72" s="507" t="str">
        <f t="shared" si="23"/>
        <v>-</v>
      </c>
      <c r="H72" s="507" t="str">
        <f t="shared" si="23"/>
        <v>-</v>
      </c>
      <c r="I72" s="508" t="str">
        <f t="shared" si="23"/>
        <v>-</v>
      </c>
    </row>
    <row r="73" spans="1:9" ht="14.25" customHeight="1" x14ac:dyDescent="0.2">
      <c r="A73" s="473" t="s">
        <v>65</v>
      </c>
      <c r="B73" s="474" t="s">
        <v>487</v>
      </c>
      <c r="C73" s="474" t="s">
        <v>488</v>
      </c>
      <c r="D73" s="474" t="s">
        <v>488</v>
      </c>
      <c r="E73" s="474" t="s">
        <v>488</v>
      </c>
      <c r="F73" s="474" t="s">
        <v>488</v>
      </c>
      <c r="G73" s="474" t="s">
        <v>488</v>
      </c>
      <c r="H73" s="474" t="s">
        <v>488</v>
      </c>
      <c r="I73" s="475" t="s">
        <v>488</v>
      </c>
    </row>
    <row r="74" spans="1:9" ht="14.25" customHeight="1" x14ac:dyDescent="0.2">
      <c r="A74" s="476" t="s">
        <v>66</v>
      </c>
      <c r="B74" s="477">
        <f>120/30*MC!C62*MC!C63</f>
        <v>6.18624E-3</v>
      </c>
      <c r="C74" s="484">
        <f t="shared" ref="C74:I74" si="24">(((C19*2)+ (C19*1/3))+(C36)+(C44-C38-C39))*$B$74</f>
        <v>0</v>
      </c>
      <c r="D74" s="484">
        <f t="shared" si="24"/>
        <v>0</v>
      </c>
      <c r="E74" s="484">
        <f t="shared" si="24"/>
        <v>0</v>
      </c>
      <c r="F74" s="484">
        <f t="shared" si="24"/>
        <v>0</v>
      </c>
      <c r="G74" s="484">
        <f t="shared" si="24"/>
        <v>0</v>
      </c>
      <c r="H74" s="484">
        <f t="shared" si="24"/>
        <v>0</v>
      </c>
      <c r="I74" s="485">
        <f t="shared" si="24"/>
        <v>0</v>
      </c>
    </row>
    <row r="75" spans="1:9" ht="15.75" customHeight="1" x14ac:dyDescent="0.2">
      <c r="A75" s="503" t="s">
        <v>496</v>
      </c>
      <c r="B75" s="504"/>
      <c r="C75" s="507">
        <f t="shared" ref="C75:I75" si="25">C74</f>
        <v>0</v>
      </c>
      <c r="D75" s="507">
        <f t="shared" si="25"/>
        <v>0</v>
      </c>
      <c r="E75" s="507">
        <f t="shared" si="25"/>
        <v>0</v>
      </c>
      <c r="F75" s="507">
        <f t="shared" si="25"/>
        <v>0</v>
      </c>
      <c r="G75" s="507">
        <f t="shared" si="25"/>
        <v>0</v>
      </c>
      <c r="H75" s="507">
        <f t="shared" si="25"/>
        <v>0</v>
      </c>
      <c r="I75" s="508">
        <f t="shared" si="25"/>
        <v>0</v>
      </c>
    </row>
    <row r="76" spans="1:9" x14ac:dyDescent="0.2">
      <c r="A76" s="450" t="s">
        <v>537</v>
      </c>
      <c r="B76" s="451" t="s">
        <v>487</v>
      </c>
      <c r="C76" s="451" t="s">
        <v>488</v>
      </c>
      <c r="D76" s="451" t="s">
        <v>488</v>
      </c>
      <c r="E76" s="451" t="s">
        <v>488</v>
      </c>
      <c r="F76" s="451" t="s">
        <v>488</v>
      </c>
      <c r="G76" s="451" t="s">
        <v>488</v>
      </c>
      <c r="H76" s="451" t="s">
        <v>488</v>
      </c>
      <c r="I76" s="452" t="s">
        <v>488</v>
      </c>
    </row>
    <row r="77" spans="1:9" x14ac:dyDescent="0.2">
      <c r="A77" s="476" t="s">
        <v>43</v>
      </c>
      <c r="B77" s="493">
        <f t="shared" ref="B77:I77" si="26">B69</f>
        <v>9.9662923611111107E-2</v>
      </c>
      <c r="C77" s="494">
        <f t="shared" si="26"/>
        <v>0</v>
      </c>
      <c r="D77" s="494">
        <f t="shared" si="26"/>
        <v>0</v>
      </c>
      <c r="E77" s="494">
        <f t="shared" si="26"/>
        <v>0</v>
      </c>
      <c r="F77" s="494">
        <f t="shared" si="26"/>
        <v>0</v>
      </c>
      <c r="G77" s="494">
        <f t="shared" si="26"/>
        <v>0</v>
      </c>
      <c r="H77" s="494">
        <f t="shared" si="26"/>
        <v>0</v>
      </c>
      <c r="I77" s="495">
        <f t="shared" si="26"/>
        <v>0</v>
      </c>
    </row>
    <row r="78" spans="1:9" ht="15.75" customHeight="1" x14ac:dyDescent="0.2">
      <c r="A78" s="476" t="s">
        <v>535</v>
      </c>
      <c r="B78" s="493">
        <f t="shared" ref="B78:I78" si="27">B72</f>
        <v>0</v>
      </c>
      <c r="C78" s="494" t="str">
        <f t="shared" si="27"/>
        <v>-</v>
      </c>
      <c r="D78" s="494" t="str">
        <f t="shared" si="27"/>
        <v>-</v>
      </c>
      <c r="E78" s="494" t="str">
        <f t="shared" si="27"/>
        <v>-</v>
      </c>
      <c r="F78" s="494" t="str">
        <f t="shared" si="27"/>
        <v>-</v>
      </c>
      <c r="G78" s="494" t="str">
        <f t="shared" si="27"/>
        <v>-</v>
      </c>
      <c r="H78" s="494" t="str">
        <f t="shared" si="27"/>
        <v>-</v>
      </c>
      <c r="I78" s="495" t="str">
        <f t="shared" si="27"/>
        <v>-</v>
      </c>
    </row>
    <row r="79" spans="1:9" ht="15.75" customHeight="1" x14ac:dyDescent="0.2">
      <c r="A79" s="476" t="s">
        <v>65</v>
      </c>
      <c r="B79" s="493">
        <f t="shared" ref="B79:I79" si="28">B74</f>
        <v>6.18624E-3</v>
      </c>
      <c r="C79" s="494">
        <f t="shared" si="28"/>
        <v>0</v>
      </c>
      <c r="D79" s="494">
        <f t="shared" si="28"/>
        <v>0</v>
      </c>
      <c r="E79" s="494">
        <f t="shared" si="28"/>
        <v>0</v>
      </c>
      <c r="F79" s="494">
        <f t="shared" si="28"/>
        <v>0</v>
      </c>
      <c r="G79" s="494">
        <f t="shared" si="28"/>
        <v>0</v>
      </c>
      <c r="H79" s="494">
        <f t="shared" si="28"/>
        <v>0</v>
      </c>
      <c r="I79" s="495">
        <f t="shared" si="28"/>
        <v>0</v>
      </c>
    </row>
    <row r="80" spans="1:9" ht="15.75" customHeight="1" x14ac:dyDescent="0.2">
      <c r="A80" s="464" t="s">
        <v>496</v>
      </c>
      <c r="B80" s="465"/>
      <c r="C80" s="479">
        <f t="shared" ref="C80:I80" si="29">SUM(C77:C79)</f>
        <v>0</v>
      </c>
      <c r="D80" s="479">
        <f t="shared" si="29"/>
        <v>0</v>
      </c>
      <c r="E80" s="479">
        <f t="shared" si="29"/>
        <v>0</v>
      </c>
      <c r="F80" s="479">
        <f t="shared" si="29"/>
        <v>0</v>
      </c>
      <c r="G80" s="479">
        <f t="shared" si="29"/>
        <v>0</v>
      </c>
      <c r="H80" s="479">
        <f t="shared" si="29"/>
        <v>0</v>
      </c>
      <c r="I80" s="480">
        <f t="shared" si="29"/>
        <v>0</v>
      </c>
    </row>
    <row r="81" spans="1:9" ht="15.75" customHeight="1" x14ac:dyDescent="0.2">
      <c r="A81" s="469"/>
      <c r="B81" s="470"/>
      <c r="C81" s="470"/>
      <c r="D81" s="470"/>
      <c r="E81" s="470"/>
      <c r="F81" s="470"/>
      <c r="G81" s="470"/>
      <c r="H81" s="471"/>
      <c r="I81" s="472"/>
    </row>
    <row r="82" spans="1:9" ht="15.75" customHeight="1" x14ac:dyDescent="0.2">
      <c r="A82" s="509" t="s">
        <v>538</v>
      </c>
      <c r="B82" s="510"/>
      <c r="C82" s="510"/>
      <c r="D82" s="510"/>
      <c r="E82" s="510"/>
      <c r="F82" s="510"/>
      <c r="G82" s="510"/>
      <c r="H82" s="510"/>
      <c r="I82" s="511"/>
    </row>
    <row r="83" spans="1:9" ht="15.75" customHeight="1" x14ac:dyDescent="0.2">
      <c r="A83" s="450" t="s">
        <v>539</v>
      </c>
      <c r="B83" s="451" t="s">
        <v>540</v>
      </c>
      <c r="C83" s="451" t="s">
        <v>488</v>
      </c>
      <c r="D83" s="451" t="s">
        <v>488</v>
      </c>
      <c r="E83" s="451" t="s">
        <v>488</v>
      </c>
      <c r="F83" s="451" t="s">
        <v>488</v>
      </c>
      <c r="G83" s="451" t="s">
        <v>488</v>
      </c>
      <c r="H83" s="451" t="s">
        <v>488</v>
      </c>
      <c r="I83" s="452" t="s">
        <v>488</v>
      </c>
    </row>
    <row r="84" spans="1:9" ht="15.75" customHeight="1" x14ac:dyDescent="0.2">
      <c r="A84" s="476" t="s">
        <v>541</v>
      </c>
      <c r="B84" s="512"/>
      <c r="C84" s="455">
        <f>Insumos!$I126</f>
        <v>0</v>
      </c>
      <c r="D84" s="455">
        <f>Insumos!$I126</f>
        <v>0</v>
      </c>
      <c r="E84" s="455">
        <f>Insumos!$I126</f>
        <v>0</v>
      </c>
      <c r="F84" s="455">
        <f>Insumos!$I126</f>
        <v>0</v>
      </c>
      <c r="G84" s="455">
        <f>Insumos!$I118</f>
        <v>0</v>
      </c>
      <c r="H84" s="455">
        <f>Insumos!$I118</f>
        <v>0</v>
      </c>
      <c r="I84" s="457">
        <f>Insumos!I119</f>
        <v>0</v>
      </c>
    </row>
    <row r="85" spans="1:9" x14ac:dyDescent="0.2">
      <c r="A85" s="513" t="s">
        <v>542</v>
      </c>
      <c r="B85" s="512"/>
      <c r="C85" s="455">
        <f>Insumos!$G60</f>
        <v>0</v>
      </c>
      <c r="D85" s="455">
        <f>Insumos!$G60</f>
        <v>0</v>
      </c>
      <c r="E85" s="455">
        <f>Insumos!$G60</f>
        <v>0</v>
      </c>
      <c r="F85" s="455">
        <f>Insumos!$G60</f>
        <v>0</v>
      </c>
      <c r="G85" s="455">
        <f>Insumos!$G60</f>
        <v>0</v>
      </c>
      <c r="H85" s="459" t="s">
        <v>112</v>
      </c>
      <c r="I85" s="460" t="s">
        <v>112</v>
      </c>
    </row>
    <row r="86" spans="1:9" x14ac:dyDescent="0.2">
      <c r="A86" s="513" t="s">
        <v>543</v>
      </c>
      <c r="B86" s="514"/>
      <c r="C86" s="455">
        <f>Insumos!$I100</f>
        <v>0</v>
      </c>
      <c r="D86" s="455">
        <f>Insumos!$I100</f>
        <v>0</v>
      </c>
      <c r="E86" s="455">
        <f>Insumos!$I100</f>
        <v>0</v>
      </c>
      <c r="F86" s="455">
        <f>Insumos!$I100</f>
        <v>0</v>
      </c>
      <c r="G86" s="455">
        <f>Insumos!$I100</f>
        <v>0</v>
      </c>
      <c r="H86" s="459" t="s">
        <v>112</v>
      </c>
      <c r="I86" s="460" t="s">
        <v>112</v>
      </c>
    </row>
    <row r="87" spans="1:9" ht="15.75" customHeight="1" x14ac:dyDescent="0.2">
      <c r="A87" s="513" t="s">
        <v>544</v>
      </c>
      <c r="B87" s="512"/>
      <c r="C87" s="455">
        <f>Insumos!$I130</f>
        <v>0</v>
      </c>
      <c r="D87" s="455">
        <f>Insumos!$I130</f>
        <v>0</v>
      </c>
      <c r="E87" s="455">
        <f>Insumos!$H130</f>
        <v>0</v>
      </c>
      <c r="F87" s="455">
        <f>Insumos!$H130</f>
        <v>0</v>
      </c>
      <c r="G87" s="455">
        <f>Insumos!$H130</f>
        <v>0</v>
      </c>
      <c r="H87" s="459" t="s">
        <v>112</v>
      </c>
      <c r="I87" s="460" t="s">
        <v>112</v>
      </c>
    </row>
    <row r="88" spans="1:9" ht="15.75" customHeight="1" x14ac:dyDescent="0.2">
      <c r="A88" s="513" t="s">
        <v>545</v>
      </c>
      <c r="B88" s="477">
        <v>0.12</v>
      </c>
      <c r="C88" s="459" t="s">
        <v>112</v>
      </c>
      <c r="D88" s="459" t="s">
        <v>112</v>
      </c>
      <c r="E88" s="459" t="s">
        <v>112</v>
      </c>
      <c r="F88" s="459" t="s">
        <v>112</v>
      </c>
      <c r="G88" s="459" t="s">
        <v>112</v>
      </c>
      <c r="H88" s="456">
        <f>B88*(H123+H124+H84)</f>
        <v>0</v>
      </c>
      <c r="I88" s="460" t="s">
        <v>112</v>
      </c>
    </row>
    <row r="89" spans="1:9" ht="15.75" customHeight="1" x14ac:dyDescent="0.2">
      <c r="A89" s="515" t="s">
        <v>546</v>
      </c>
      <c r="B89" s="516"/>
      <c r="C89" s="517"/>
      <c r="D89" s="517"/>
      <c r="E89" s="517"/>
      <c r="F89" s="517"/>
      <c r="G89" s="517"/>
      <c r="H89" s="518"/>
      <c r="I89" s="519">
        <f>Insumos!H146</f>
        <v>0</v>
      </c>
    </row>
    <row r="90" spans="1:9" ht="15.75" customHeight="1" x14ac:dyDescent="0.2">
      <c r="A90" s="513" t="s">
        <v>547</v>
      </c>
      <c r="B90" s="477"/>
      <c r="C90" s="459"/>
      <c r="D90" s="459"/>
      <c r="E90" s="459"/>
      <c r="F90" s="459"/>
      <c r="G90" s="459"/>
      <c r="H90" s="456"/>
      <c r="I90" s="460"/>
    </row>
    <row r="91" spans="1:9" ht="15.75" customHeight="1" x14ac:dyDescent="0.2">
      <c r="A91" s="503" t="s">
        <v>496</v>
      </c>
      <c r="B91" s="520"/>
      <c r="C91" s="505">
        <f t="shared" ref="C91:I91" si="30">SUM(C84:C90)</f>
        <v>0</v>
      </c>
      <c r="D91" s="505">
        <f t="shared" si="30"/>
        <v>0</v>
      </c>
      <c r="E91" s="505">
        <f t="shared" si="30"/>
        <v>0</v>
      </c>
      <c r="F91" s="505">
        <f t="shared" si="30"/>
        <v>0</v>
      </c>
      <c r="G91" s="505">
        <f t="shared" si="30"/>
        <v>0</v>
      </c>
      <c r="H91" s="505">
        <f t="shared" si="30"/>
        <v>0</v>
      </c>
      <c r="I91" s="506">
        <f t="shared" si="30"/>
        <v>0</v>
      </c>
    </row>
    <row r="92" spans="1:9" ht="15.75" customHeight="1" x14ac:dyDescent="0.2">
      <c r="A92" s="859"/>
      <c r="B92" s="859"/>
      <c r="C92" s="521"/>
      <c r="D92" s="521"/>
      <c r="E92" s="521"/>
      <c r="F92" s="521"/>
      <c r="G92" s="521"/>
      <c r="H92" s="522"/>
      <c r="I92" s="523"/>
    </row>
    <row r="93" spans="1:9" ht="15.75" customHeight="1" x14ac:dyDescent="0.2">
      <c r="A93" s="509" t="s">
        <v>548</v>
      </c>
      <c r="B93" s="510"/>
      <c r="C93" s="510"/>
      <c r="D93" s="510"/>
      <c r="E93" s="510"/>
      <c r="F93" s="510"/>
      <c r="G93" s="510"/>
      <c r="H93" s="510"/>
      <c r="I93" s="511"/>
    </row>
    <row r="94" spans="1:9" ht="15.75" customHeight="1" x14ac:dyDescent="0.2">
      <c r="A94" s="450" t="s">
        <v>549</v>
      </c>
      <c r="B94" s="451" t="s">
        <v>487</v>
      </c>
      <c r="C94" s="451" t="s">
        <v>488</v>
      </c>
      <c r="D94" s="451" t="s">
        <v>488</v>
      </c>
      <c r="E94" s="451" t="s">
        <v>488</v>
      </c>
      <c r="F94" s="451" t="s">
        <v>488</v>
      </c>
      <c r="G94" s="451" t="s">
        <v>488</v>
      </c>
      <c r="H94" s="451" t="s">
        <v>488</v>
      </c>
      <c r="I94" s="452" t="s">
        <v>488</v>
      </c>
    </row>
    <row r="95" spans="1:9" ht="15.75" customHeight="1" x14ac:dyDescent="0.2">
      <c r="A95" s="453" t="s">
        <v>71</v>
      </c>
      <c r="B95" s="477">
        <f>MC!C66</f>
        <v>0</v>
      </c>
      <c r="C95" s="484">
        <f t="shared" ref="C95:I95" si="31">(C$19+C$49+C$60+C$80+C$91)*$B$95</f>
        <v>0</v>
      </c>
      <c r="D95" s="484">
        <f t="shared" si="31"/>
        <v>0</v>
      </c>
      <c r="E95" s="484">
        <f t="shared" si="31"/>
        <v>0</v>
      </c>
      <c r="F95" s="484">
        <f t="shared" si="31"/>
        <v>0</v>
      </c>
      <c r="G95" s="484">
        <f t="shared" si="31"/>
        <v>0</v>
      </c>
      <c r="H95" s="484">
        <f t="shared" si="31"/>
        <v>0</v>
      </c>
      <c r="I95" s="485">
        <f t="shared" si="31"/>
        <v>0</v>
      </c>
    </row>
    <row r="96" spans="1:9" x14ac:dyDescent="0.2">
      <c r="A96" s="453" t="s">
        <v>72</v>
      </c>
      <c r="B96" s="477">
        <f>MC!C67</f>
        <v>0</v>
      </c>
      <c r="C96" s="484">
        <f t="shared" ref="C96:I96" si="32">(C$19+C$49+C$60+C$80+C$91+C95)*$B$96</f>
        <v>0</v>
      </c>
      <c r="D96" s="484">
        <f t="shared" si="32"/>
        <v>0</v>
      </c>
      <c r="E96" s="484">
        <f t="shared" si="32"/>
        <v>0</v>
      </c>
      <c r="F96" s="484">
        <f t="shared" si="32"/>
        <v>0</v>
      </c>
      <c r="G96" s="484">
        <f t="shared" si="32"/>
        <v>0</v>
      </c>
      <c r="H96" s="484">
        <f t="shared" si="32"/>
        <v>0</v>
      </c>
      <c r="I96" s="485">
        <f t="shared" si="32"/>
        <v>0</v>
      </c>
    </row>
    <row r="97" spans="1:10" x14ac:dyDescent="0.2">
      <c r="A97" s="524" t="s">
        <v>550</v>
      </c>
      <c r="B97" s="525">
        <f>B98+B99</f>
        <v>0.1125</v>
      </c>
      <c r="C97" s="526">
        <f t="shared" ref="C97:I97" si="33">((C19+C49+C60+C80+C91+C95+C96)/(1-($B$97)))*$B$97</f>
        <v>0</v>
      </c>
      <c r="D97" s="526">
        <f t="shared" si="33"/>
        <v>0</v>
      </c>
      <c r="E97" s="526">
        <f t="shared" si="33"/>
        <v>0</v>
      </c>
      <c r="F97" s="526">
        <f t="shared" si="33"/>
        <v>0</v>
      </c>
      <c r="G97" s="526">
        <f t="shared" si="33"/>
        <v>0</v>
      </c>
      <c r="H97" s="526">
        <f t="shared" si="33"/>
        <v>0</v>
      </c>
      <c r="I97" s="527">
        <f t="shared" si="33"/>
        <v>0</v>
      </c>
    </row>
    <row r="98" spans="1:10" x14ac:dyDescent="0.2">
      <c r="A98" s="453" t="s">
        <v>551</v>
      </c>
      <c r="B98" s="477">
        <f>0.0165+0.076</f>
        <v>9.2499999999999999E-2</v>
      </c>
      <c r="C98" s="528">
        <f t="shared" ref="C98:I98" si="34">((C$19+C$49+C$60+C$80+C$91+C$95+C$96)/(1-($B$97)))*$B$98</f>
        <v>0</v>
      </c>
      <c r="D98" s="528">
        <f t="shared" si="34"/>
        <v>0</v>
      </c>
      <c r="E98" s="528">
        <f t="shared" si="34"/>
        <v>0</v>
      </c>
      <c r="F98" s="528">
        <f t="shared" si="34"/>
        <v>0</v>
      </c>
      <c r="G98" s="528">
        <f t="shared" si="34"/>
        <v>0</v>
      </c>
      <c r="H98" s="528">
        <f t="shared" si="34"/>
        <v>0</v>
      </c>
      <c r="I98" s="529">
        <f t="shared" si="34"/>
        <v>0</v>
      </c>
    </row>
    <row r="99" spans="1:10" x14ac:dyDescent="0.2">
      <c r="A99" s="453" t="s">
        <v>552</v>
      </c>
      <c r="B99" s="477">
        <v>0.02</v>
      </c>
      <c r="C99" s="530">
        <f t="shared" ref="C99:I99" si="35">((C$19+C$49+C$60+C$80+C$91+C$95+C$96)/(1-($B$97)))*$B$99</f>
        <v>0</v>
      </c>
      <c r="D99" s="530">
        <f t="shared" si="35"/>
        <v>0</v>
      </c>
      <c r="E99" s="530">
        <f t="shared" si="35"/>
        <v>0</v>
      </c>
      <c r="F99" s="530">
        <f t="shared" si="35"/>
        <v>0</v>
      </c>
      <c r="G99" s="530">
        <f t="shared" si="35"/>
        <v>0</v>
      </c>
      <c r="H99" s="530">
        <f t="shared" si="35"/>
        <v>0</v>
      </c>
      <c r="I99" s="531">
        <f t="shared" si="35"/>
        <v>0</v>
      </c>
    </row>
    <row r="100" spans="1:10" x14ac:dyDescent="0.2">
      <c r="A100" s="524" t="s">
        <v>553</v>
      </c>
      <c r="B100" s="525">
        <f>B101+B102</f>
        <v>0.11749999999999999</v>
      </c>
      <c r="C100" s="526">
        <f t="shared" ref="C100:I100" si="36">((C19+C49+C60+C80+C91+C95+C96)/(1-($B$100)))*$B$100</f>
        <v>0</v>
      </c>
      <c r="D100" s="526">
        <f t="shared" si="36"/>
        <v>0</v>
      </c>
      <c r="E100" s="526">
        <f t="shared" si="36"/>
        <v>0</v>
      </c>
      <c r="F100" s="526">
        <f t="shared" si="36"/>
        <v>0</v>
      </c>
      <c r="G100" s="526">
        <f t="shared" si="36"/>
        <v>0</v>
      </c>
      <c r="H100" s="526">
        <f t="shared" si="36"/>
        <v>0</v>
      </c>
      <c r="I100" s="527">
        <f t="shared" si="36"/>
        <v>0</v>
      </c>
    </row>
    <row r="101" spans="1:10" x14ac:dyDescent="0.2">
      <c r="A101" s="453" t="s">
        <v>551</v>
      </c>
      <c r="B101" s="477">
        <f>0.0165+0.076</f>
        <v>9.2499999999999999E-2</v>
      </c>
      <c r="C101" s="528">
        <f t="shared" ref="C101:I101" si="37">((C19+C49+C60+C80+C91+C95+C96)/(1-($B$100)))*$B$101</f>
        <v>0</v>
      </c>
      <c r="D101" s="528">
        <f t="shared" si="37"/>
        <v>0</v>
      </c>
      <c r="E101" s="528">
        <f t="shared" si="37"/>
        <v>0</v>
      </c>
      <c r="F101" s="528">
        <f t="shared" si="37"/>
        <v>0</v>
      </c>
      <c r="G101" s="528">
        <f t="shared" si="37"/>
        <v>0</v>
      </c>
      <c r="H101" s="528">
        <f t="shared" si="37"/>
        <v>0</v>
      </c>
      <c r="I101" s="529">
        <f t="shared" si="37"/>
        <v>0</v>
      </c>
    </row>
    <row r="102" spans="1:10" x14ac:dyDescent="0.2">
      <c r="A102" s="453" t="s">
        <v>552</v>
      </c>
      <c r="B102" s="477">
        <v>2.5000000000000001E-2</v>
      </c>
      <c r="C102" s="530">
        <f t="shared" ref="C102:I102" si="38">((C$19+C$49+C$60+C$80+C$91+C$95+C$96)/(1-($B$100)))*$B$102</f>
        <v>0</v>
      </c>
      <c r="D102" s="530">
        <f t="shared" si="38"/>
        <v>0</v>
      </c>
      <c r="E102" s="530">
        <f t="shared" si="38"/>
        <v>0</v>
      </c>
      <c r="F102" s="530">
        <f t="shared" si="38"/>
        <v>0</v>
      </c>
      <c r="G102" s="530">
        <f t="shared" si="38"/>
        <v>0</v>
      </c>
      <c r="H102" s="530">
        <f t="shared" si="38"/>
        <v>0</v>
      </c>
      <c r="I102" s="531">
        <f t="shared" si="38"/>
        <v>0</v>
      </c>
    </row>
    <row r="103" spans="1:10" x14ac:dyDescent="0.2">
      <c r="A103" s="524" t="s">
        <v>554</v>
      </c>
      <c r="B103" s="525">
        <f>B104+B105</f>
        <v>0.1225</v>
      </c>
      <c r="C103" s="526">
        <f t="shared" ref="C103:I103" si="39">((C19+C49+C60+C80+C91+C95+C96)/(1-($B$103)))*$B$103</f>
        <v>0</v>
      </c>
      <c r="D103" s="526">
        <f t="shared" si="39"/>
        <v>0</v>
      </c>
      <c r="E103" s="526">
        <f t="shared" si="39"/>
        <v>0</v>
      </c>
      <c r="F103" s="526">
        <f t="shared" si="39"/>
        <v>0</v>
      </c>
      <c r="G103" s="526">
        <f t="shared" si="39"/>
        <v>0</v>
      </c>
      <c r="H103" s="526">
        <f t="shared" si="39"/>
        <v>0</v>
      </c>
      <c r="I103" s="527">
        <f t="shared" si="39"/>
        <v>0</v>
      </c>
    </row>
    <row r="104" spans="1:10" x14ac:dyDescent="0.2">
      <c r="A104" s="453" t="s">
        <v>551</v>
      </c>
      <c r="B104" s="477">
        <f>0.0165+0.076</f>
        <v>9.2499999999999999E-2</v>
      </c>
      <c r="C104" s="528">
        <f t="shared" ref="C104:I104" si="40">((C19+C49+C60+C80+C91+C95+C96)/(1-($B$103)))*$B$104</f>
        <v>0</v>
      </c>
      <c r="D104" s="528">
        <f t="shared" si="40"/>
        <v>0</v>
      </c>
      <c r="E104" s="528">
        <f t="shared" si="40"/>
        <v>0</v>
      </c>
      <c r="F104" s="528">
        <f t="shared" si="40"/>
        <v>0</v>
      </c>
      <c r="G104" s="528">
        <f t="shared" si="40"/>
        <v>0</v>
      </c>
      <c r="H104" s="528">
        <f t="shared" si="40"/>
        <v>0</v>
      </c>
      <c r="I104" s="529">
        <f t="shared" si="40"/>
        <v>0</v>
      </c>
    </row>
    <row r="105" spans="1:10" x14ac:dyDescent="0.2">
      <c r="A105" s="453" t="s">
        <v>552</v>
      </c>
      <c r="B105" s="477">
        <v>0.03</v>
      </c>
      <c r="C105" s="530">
        <f t="shared" ref="C105:I105" si="41">((C19+C49+C60+C80+C91+C95+C96)/(1-($B$103)))*$B$105</f>
        <v>0</v>
      </c>
      <c r="D105" s="530">
        <f t="shared" si="41"/>
        <v>0</v>
      </c>
      <c r="E105" s="530">
        <f t="shared" si="41"/>
        <v>0</v>
      </c>
      <c r="F105" s="530">
        <f t="shared" si="41"/>
        <v>0</v>
      </c>
      <c r="G105" s="530">
        <f t="shared" si="41"/>
        <v>0</v>
      </c>
      <c r="H105" s="530">
        <f t="shared" si="41"/>
        <v>0</v>
      </c>
      <c r="I105" s="531">
        <f t="shared" si="41"/>
        <v>0</v>
      </c>
      <c r="J105" s="532"/>
    </row>
    <row r="106" spans="1:10" x14ac:dyDescent="0.2">
      <c r="A106" s="524" t="s">
        <v>555</v>
      </c>
      <c r="B106" s="525">
        <f>B107+B108</f>
        <v>0.13250000000000001</v>
      </c>
      <c r="C106" s="526">
        <f t="shared" ref="C106:I106" si="42">((C19+C49+C60+C80+C91+C95+C96)/(1-($B$106)))*$B$106</f>
        <v>0</v>
      </c>
      <c r="D106" s="526">
        <f t="shared" si="42"/>
        <v>0</v>
      </c>
      <c r="E106" s="526">
        <f t="shared" si="42"/>
        <v>0</v>
      </c>
      <c r="F106" s="526">
        <f t="shared" si="42"/>
        <v>0</v>
      </c>
      <c r="G106" s="526">
        <f t="shared" si="42"/>
        <v>0</v>
      </c>
      <c r="H106" s="526">
        <f t="shared" si="42"/>
        <v>0</v>
      </c>
      <c r="I106" s="527">
        <f t="shared" si="42"/>
        <v>0</v>
      </c>
    </row>
    <row r="107" spans="1:10" x14ac:dyDescent="0.2">
      <c r="A107" s="453" t="s">
        <v>551</v>
      </c>
      <c r="B107" s="477">
        <f>0.0165+0.076</f>
        <v>9.2499999999999999E-2</v>
      </c>
      <c r="C107" s="528">
        <f t="shared" ref="C107:I107" si="43">((C19+C49+C60+C80+C91+C95+C96)/(1-($B$106)))*$B$107</f>
        <v>0</v>
      </c>
      <c r="D107" s="528">
        <f t="shared" si="43"/>
        <v>0</v>
      </c>
      <c r="E107" s="528">
        <f t="shared" si="43"/>
        <v>0</v>
      </c>
      <c r="F107" s="528">
        <f t="shared" si="43"/>
        <v>0</v>
      </c>
      <c r="G107" s="528">
        <f t="shared" si="43"/>
        <v>0</v>
      </c>
      <c r="H107" s="528">
        <f t="shared" si="43"/>
        <v>0</v>
      </c>
      <c r="I107" s="529">
        <f t="shared" si="43"/>
        <v>0</v>
      </c>
    </row>
    <row r="108" spans="1:10" x14ac:dyDescent="0.2">
      <c r="A108" s="453" t="s">
        <v>552</v>
      </c>
      <c r="B108" s="477">
        <v>0.04</v>
      </c>
      <c r="C108" s="530">
        <f t="shared" ref="C108:I108" si="44">((C19+C49+C60+C80+C91+C95+C96)/(1-($B$106)))*$B$108</f>
        <v>0</v>
      </c>
      <c r="D108" s="530">
        <f t="shared" si="44"/>
        <v>0</v>
      </c>
      <c r="E108" s="530">
        <f t="shared" si="44"/>
        <v>0</v>
      </c>
      <c r="F108" s="530">
        <f t="shared" si="44"/>
        <v>0</v>
      </c>
      <c r="G108" s="530">
        <f t="shared" si="44"/>
        <v>0</v>
      </c>
      <c r="H108" s="530">
        <f t="shared" si="44"/>
        <v>0</v>
      </c>
      <c r="I108" s="531">
        <f t="shared" si="44"/>
        <v>0</v>
      </c>
    </row>
    <row r="109" spans="1:10" x14ac:dyDescent="0.2">
      <c r="A109" s="524" t="s">
        <v>556</v>
      </c>
      <c r="B109" s="525">
        <f>B110+B111</f>
        <v>0.14250000000000002</v>
      </c>
      <c r="C109" s="526">
        <f t="shared" ref="C109:I109" si="45">((C19+C49+C60+C80+C91+C95+C96)/(1-($B$109)))*$B$109</f>
        <v>0</v>
      </c>
      <c r="D109" s="526">
        <f t="shared" si="45"/>
        <v>0</v>
      </c>
      <c r="E109" s="526">
        <f t="shared" si="45"/>
        <v>0</v>
      </c>
      <c r="F109" s="526">
        <f t="shared" si="45"/>
        <v>0</v>
      </c>
      <c r="G109" s="526">
        <f t="shared" si="45"/>
        <v>0</v>
      </c>
      <c r="H109" s="526">
        <f t="shared" si="45"/>
        <v>0</v>
      </c>
      <c r="I109" s="527">
        <f t="shared" si="45"/>
        <v>0</v>
      </c>
    </row>
    <row r="110" spans="1:10" x14ac:dyDescent="0.2">
      <c r="A110" s="453" t="s">
        <v>551</v>
      </c>
      <c r="B110" s="477">
        <f>0.0165+0.076</f>
        <v>9.2499999999999999E-2</v>
      </c>
      <c r="C110" s="533">
        <f t="shared" ref="C110:I110" si="46">((C19+C49+C60+C80+C91+C95+C96)/(1-($B$109)))*$B$110</f>
        <v>0</v>
      </c>
      <c r="D110" s="533">
        <f t="shared" si="46"/>
        <v>0</v>
      </c>
      <c r="E110" s="533">
        <f t="shared" si="46"/>
        <v>0</v>
      </c>
      <c r="F110" s="533">
        <f t="shared" si="46"/>
        <v>0</v>
      </c>
      <c r="G110" s="533">
        <f t="shared" si="46"/>
        <v>0</v>
      </c>
      <c r="H110" s="533">
        <f t="shared" si="46"/>
        <v>0</v>
      </c>
      <c r="I110" s="534">
        <f t="shared" si="46"/>
        <v>0</v>
      </c>
    </row>
    <row r="111" spans="1:10" x14ac:dyDescent="0.2">
      <c r="A111" s="453" t="s">
        <v>552</v>
      </c>
      <c r="B111" s="535">
        <v>0.05</v>
      </c>
      <c r="C111" s="536">
        <f t="shared" ref="C111:I111" si="47">((C19+C49+C60+C80+C91+C95+C96)/(1-($B$109)))*$B$111</f>
        <v>0</v>
      </c>
      <c r="D111" s="536">
        <f t="shared" si="47"/>
        <v>0</v>
      </c>
      <c r="E111" s="536">
        <f t="shared" si="47"/>
        <v>0</v>
      </c>
      <c r="F111" s="536">
        <f t="shared" si="47"/>
        <v>0</v>
      </c>
      <c r="G111" s="536">
        <f t="shared" si="47"/>
        <v>0</v>
      </c>
      <c r="H111" s="536">
        <f t="shared" si="47"/>
        <v>0</v>
      </c>
      <c r="I111" s="537">
        <f t="shared" si="47"/>
        <v>0</v>
      </c>
    </row>
    <row r="112" spans="1:10" x14ac:dyDescent="0.2">
      <c r="A112" s="861" t="s">
        <v>557</v>
      </c>
      <c r="B112" s="538">
        <v>0.02</v>
      </c>
      <c r="C112" s="539">
        <f t="shared" ref="C112:I112" si="48">C95+C96+C97</f>
        <v>0</v>
      </c>
      <c r="D112" s="539">
        <f t="shared" si="48"/>
        <v>0</v>
      </c>
      <c r="E112" s="539">
        <f t="shared" si="48"/>
        <v>0</v>
      </c>
      <c r="F112" s="539">
        <f t="shared" si="48"/>
        <v>0</v>
      </c>
      <c r="G112" s="539">
        <f t="shared" si="48"/>
        <v>0</v>
      </c>
      <c r="H112" s="539">
        <f t="shared" si="48"/>
        <v>0</v>
      </c>
      <c r="I112" s="540">
        <f t="shared" si="48"/>
        <v>0</v>
      </c>
    </row>
    <row r="113" spans="1:10" x14ac:dyDescent="0.2">
      <c r="A113" s="861"/>
      <c r="B113" s="541">
        <v>2.5000000000000001E-2</v>
      </c>
      <c r="C113" s="542">
        <f t="shared" ref="C113:I113" si="49">C95+C96+C100</f>
        <v>0</v>
      </c>
      <c r="D113" s="542">
        <f t="shared" si="49"/>
        <v>0</v>
      </c>
      <c r="E113" s="542">
        <f t="shared" si="49"/>
        <v>0</v>
      </c>
      <c r="F113" s="542">
        <f t="shared" si="49"/>
        <v>0</v>
      </c>
      <c r="G113" s="542">
        <f t="shared" si="49"/>
        <v>0</v>
      </c>
      <c r="H113" s="542">
        <f t="shared" si="49"/>
        <v>0</v>
      </c>
      <c r="I113" s="543">
        <f t="shared" si="49"/>
        <v>0</v>
      </c>
    </row>
    <row r="114" spans="1:10" ht="15.75" customHeight="1" x14ac:dyDescent="0.2">
      <c r="A114" s="861"/>
      <c r="B114" s="541">
        <v>0.03</v>
      </c>
      <c r="C114" s="542">
        <f t="shared" ref="C114:I114" si="50">C95+C96+C103</f>
        <v>0</v>
      </c>
      <c r="D114" s="542">
        <f t="shared" si="50"/>
        <v>0</v>
      </c>
      <c r="E114" s="542">
        <f t="shared" si="50"/>
        <v>0</v>
      </c>
      <c r="F114" s="542">
        <f t="shared" si="50"/>
        <v>0</v>
      </c>
      <c r="G114" s="542">
        <f t="shared" si="50"/>
        <v>0</v>
      </c>
      <c r="H114" s="542">
        <f t="shared" si="50"/>
        <v>0</v>
      </c>
      <c r="I114" s="543">
        <f t="shared" si="50"/>
        <v>0</v>
      </c>
      <c r="J114" s="532"/>
    </row>
    <row r="115" spans="1:10" ht="15.75" customHeight="1" x14ac:dyDescent="0.2">
      <c r="A115" s="861"/>
      <c r="B115" s="541">
        <v>0.04</v>
      </c>
      <c r="C115" s="542">
        <f t="shared" ref="C115:I115" si="51">C95+C96+C106</f>
        <v>0</v>
      </c>
      <c r="D115" s="542">
        <f t="shared" si="51"/>
        <v>0</v>
      </c>
      <c r="E115" s="542">
        <f t="shared" si="51"/>
        <v>0</v>
      </c>
      <c r="F115" s="542">
        <f t="shared" si="51"/>
        <v>0</v>
      </c>
      <c r="G115" s="542">
        <f t="shared" si="51"/>
        <v>0</v>
      </c>
      <c r="H115" s="542">
        <f t="shared" si="51"/>
        <v>0</v>
      </c>
      <c r="I115" s="543">
        <f t="shared" si="51"/>
        <v>0</v>
      </c>
    </row>
    <row r="116" spans="1:10" ht="15.75" customHeight="1" x14ac:dyDescent="0.2">
      <c r="A116" s="861"/>
      <c r="B116" s="544">
        <v>0.05</v>
      </c>
      <c r="C116" s="545">
        <f t="shared" ref="C116:I116" si="52">C95+C96+C109</f>
        <v>0</v>
      </c>
      <c r="D116" s="545">
        <f t="shared" si="52"/>
        <v>0</v>
      </c>
      <c r="E116" s="545">
        <f t="shared" si="52"/>
        <v>0</v>
      </c>
      <c r="F116" s="545">
        <f t="shared" si="52"/>
        <v>0</v>
      </c>
      <c r="G116" s="545">
        <f t="shared" si="52"/>
        <v>0</v>
      </c>
      <c r="H116" s="545">
        <f t="shared" si="52"/>
        <v>0</v>
      </c>
      <c r="I116" s="546">
        <f t="shared" si="52"/>
        <v>0</v>
      </c>
    </row>
    <row r="117" spans="1:10" ht="15.75" customHeight="1" x14ac:dyDescent="0.2">
      <c r="A117" s="453" t="s">
        <v>558</v>
      </c>
      <c r="B117" s="547"/>
      <c r="C117" s="548"/>
      <c r="D117" s="548"/>
      <c r="E117" s="548"/>
      <c r="F117" s="548"/>
      <c r="G117" s="548"/>
      <c r="H117" s="549"/>
      <c r="I117" s="550"/>
    </row>
    <row r="118" spans="1:10" ht="24.75" customHeight="1" x14ac:dyDescent="0.2">
      <c r="A118" s="551"/>
      <c r="B118" s="552"/>
      <c r="C118" s="553"/>
      <c r="D118" s="553"/>
      <c r="E118" s="553"/>
      <c r="F118" s="553"/>
      <c r="G118" s="553"/>
      <c r="H118" s="554"/>
      <c r="I118" s="555"/>
    </row>
    <row r="119" spans="1:10" ht="15.75" customHeight="1" x14ac:dyDescent="0.2">
      <c r="A119" s="862"/>
      <c r="B119" s="862"/>
      <c r="C119" s="862"/>
      <c r="D119" s="862"/>
      <c r="E119" s="862"/>
      <c r="F119" s="862"/>
      <c r="G119" s="862"/>
      <c r="H119" s="862"/>
      <c r="I119" s="862"/>
    </row>
    <row r="120" spans="1:10" ht="15.75" customHeight="1" x14ac:dyDescent="0.2">
      <c r="A120" s="863"/>
      <c r="B120" s="863"/>
      <c r="C120" s="863"/>
      <c r="D120" s="863"/>
      <c r="E120" s="863"/>
      <c r="F120" s="863"/>
      <c r="G120" s="863"/>
      <c r="H120" s="863"/>
      <c r="I120" s="863"/>
    </row>
    <row r="121" spans="1:10" ht="54.75" customHeight="1" x14ac:dyDescent="0.2">
      <c r="A121" s="864" t="s">
        <v>559</v>
      </c>
      <c r="B121" s="864"/>
      <c r="C121" s="556" t="str">
        <f t="shared" ref="C121:I121" si="53">C10</f>
        <v>Servente 40h (banheirista)
(insalubridade 40%)</v>
      </c>
      <c r="D121" s="556" t="str">
        <f t="shared" si="53"/>
        <v>Servente 40h
(insalubridade 20%)</v>
      </c>
      <c r="E121" s="556" t="str">
        <f t="shared" si="53"/>
        <v>Servente 30h (banheirista)
(insalubridade 40%)</v>
      </c>
      <c r="F121" s="556" t="str">
        <f t="shared" si="53"/>
        <v>Servente 30h
(insalubridade 20%)</v>
      </c>
      <c r="G121" s="556" t="str">
        <f t="shared" si="53"/>
        <v>Servente 20h
(insalubridade 20%)</v>
      </c>
      <c r="H121" s="557" t="str">
        <f t="shared" si="53"/>
        <v>Limpador alpinista 44h (limpeza de esquadrias com risco)</v>
      </c>
      <c r="I121" s="558" t="str">
        <f t="shared" si="53"/>
        <v>Encarregada 40h</v>
      </c>
    </row>
    <row r="122" spans="1:10" ht="15.75" customHeight="1" x14ac:dyDescent="0.2">
      <c r="A122" s="865" t="s">
        <v>560</v>
      </c>
      <c r="B122" s="865"/>
      <c r="C122" s="559" t="s">
        <v>488</v>
      </c>
      <c r="D122" s="559" t="s">
        <v>488</v>
      </c>
      <c r="E122" s="559" t="s">
        <v>488</v>
      </c>
      <c r="F122" s="559" t="s">
        <v>488</v>
      </c>
      <c r="G122" s="559" t="s">
        <v>488</v>
      </c>
      <c r="H122" s="559" t="s">
        <v>488</v>
      </c>
      <c r="I122" s="560" t="s">
        <v>488</v>
      </c>
    </row>
    <row r="123" spans="1:10" ht="14.25" customHeight="1" x14ac:dyDescent="0.2">
      <c r="A123" s="866" t="s">
        <v>561</v>
      </c>
      <c r="B123" s="866"/>
      <c r="C123" s="561">
        <f t="shared" ref="C123:I123" si="54">C19</f>
        <v>0</v>
      </c>
      <c r="D123" s="561">
        <f t="shared" si="54"/>
        <v>0</v>
      </c>
      <c r="E123" s="561">
        <f t="shared" si="54"/>
        <v>0</v>
      </c>
      <c r="F123" s="561">
        <f t="shared" si="54"/>
        <v>0</v>
      </c>
      <c r="G123" s="561">
        <f t="shared" si="54"/>
        <v>0</v>
      </c>
      <c r="H123" s="561">
        <f t="shared" si="54"/>
        <v>0</v>
      </c>
      <c r="I123" s="562">
        <f t="shared" si="54"/>
        <v>0</v>
      </c>
    </row>
    <row r="124" spans="1:10" ht="14.25" customHeight="1" x14ac:dyDescent="0.2">
      <c r="A124" s="867" t="s">
        <v>562</v>
      </c>
      <c r="B124" s="867"/>
      <c r="C124" s="563">
        <f t="shared" ref="C124:I124" si="55">C49</f>
        <v>0</v>
      </c>
      <c r="D124" s="563">
        <f t="shared" si="55"/>
        <v>0</v>
      </c>
      <c r="E124" s="563">
        <f t="shared" si="55"/>
        <v>0</v>
      </c>
      <c r="F124" s="563">
        <f t="shared" si="55"/>
        <v>0</v>
      </c>
      <c r="G124" s="563">
        <f t="shared" si="55"/>
        <v>0</v>
      </c>
      <c r="H124" s="563">
        <f t="shared" si="55"/>
        <v>0</v>
      </c>
      <c r="I124" s="564">
        <f t="shared" si="55"/>
        <v>0</v>
      </c>
    </row>
    <row r="125" spans="1:10" ht="14.25" customHeight="1" x14ac:dyDescent="0.2">
      <c r="A125" s="867" t="s">
        <v>563</v>
      </c>
      <c r="B125" s="867"/>
      <c r="C125" s="563">
        <f t="shared" ref="C125:I125" si="56">C60</f>
        <v>0</v>
      </c>
      <c r="D125" s="563">
        <f t="shared" si="56"/>
        <v>0</v>
      </c>
      <c r="E125" s="563">
        <f t="shared" si="56"/>
        <v>0</v>
      </c>
      <c r="F125" s="563">
        <f t="shared" si="56"/>
        <v>0</v>
      </c>
      <c r="G125" s="563">
        <f t="shared" si="56"/>
        <v>0</v>
      </c>
      <c r="H125" s="563">
        <f t="shared" si="56"/>
        <v>0</v>
      </c>
      <c r="I125" s="564">
        <f t="shared" si="56"/>
        <v>0</v>
      </c>
    </row>
    <row r="126" spans="1:10" ht="14.25" customHeight="1" x14ac:dyDescent="0.2">
      <c r="A126" s="867" t="s">
        <v>564</v>
      </c>
      <c r="B126" s="867"/>
      <c r="C126" s="563">
        <f t="shared" ref="C126:H126" si="57">C80</f>
        <v>0</v>
      </c>
      <c r="D126" s="563">
        <f t="shared" si="57"/>
        <v>0</v>
      </c>
      <c r="E126" s="563">
        <f t="shared" si="57"/>
        <v>0</v>
      </c>
      <c r="F126" s="563">
        <f t="shared" si="57"/>
        <v>0</v>
      </c>
      <c r="G126" s="563">
        <f t="shared" si="57"/>
        <v>0</v>
      </c>
      <c r="H126" s="563">
        <f t="shared" si="57"/>
        <v>0</v>
      </c>
      <c r="I126" s="564">
        <f>I69</f>
        <v>0</v>
      </c>
    </row>
    <row r="127" spans="1:10" ht="15.75" customHeight="1" x14ac:dyDescent="0.2">
      <c r="A127" s="867" t="s">
        <v>565</v>
      </c>
      <c r="B127" s="867"/>
      <c r="C127" s="563">
        <f t="shared" ref="C127:I127" si="58">C91</f>
        <v>0</v>
      </c>
      <c r="D127" s="563">
        <f t="shared" si="58"/>
        <v>0</v>
      </c>
      <c r="E127" s="563">
        <f t="shared" si="58"/>
        <v>0</v>
      </c>
      <c r="F127" s="563">
        <f t="shared" si="58"/>
        <v>0</v>
      </c>
      <c r="G127" s="563">
        <f t="shared" si="58"/>
        <v>0</v>
      </c>
      <c r="H127" s="563">
        <f t="shared" si="58"/>
        <v>0</v>
      </c>
      <c r="I127" s="564">
        <f t="shared" si="58"/>
        <v>0</v>
      </c>
    </row>
    <row r="128" spans="1:10" ht="15.75" customHeight="1" x14ac:dyDescent="0.2">
      <c r="A128" s="868" t="s">
        <v>566</v>
      </c>
      <c r="B128" s="868"/>
      <c r="C128" s="565">
        <f t="shared" ref="C128:I128" si="59">SUM(C123:C127)</f>
        <v>0</v>
      </c>
      <c r="D128" s="565">
        <f t="shared" si="59"/>
        <v>0</v>
      </c>
      <c r="E128" s="565">
        <f t="shared" si="59"/>
        <v>0</v>
      </c>
      <c r="F128" s="565">
        <f t="shared" si="59"/>
        <v>0</v>
      </c>
      <c r="G128" s="565">
        <f t="shared" si="59"/>
        <v>0</v>
      </c>
      <c r="H128" s="566">
        <f t="shared" si="59"/>
        <v>0</v>
      </c>
      <c r="I128" s="567">
        <f t="shared" si="59"/>
        <v>0</v>
      </c>
    </row>
    <row r="129" spans="1:9" ht="15.75" customHeight="1" x14ac:dyDescent="0.2">
      <c r="A129" s="869" t="s">
        <v>567</v>
      </c>
      <c r="B129" s="869"/>
      <c r="C129" s="568">
        <f t="shared" ref="C129:I133" si="60">C112</f>
        <v>0</v>
      </c>
      <c r="D129" s="568">
        <f t="shared" si="60"/>
        <v>0</v>
      </c>
      <c r="E129" s="568">
        <f t="shared" si="60"/>
        <v>0</v>
      </c>
      <c r="F129" s="568">
        <f t="shared" si="60"/>
        <v>0</v>
      </c>
      <c r="G129" s="568">
        <f t="shared" si="60"/>
        <v>0</v>
      </c>
      <c r="H129" s="568">
        <f t="shared" si="60"/>
        <v>0</v>
      </c>
      <c r="I129" s="569">
        <f t="shared" si="60"/>
        <v>0</v>
      </c>
    </row>
    <row r="130" spans="1:9" ht="15.75" customHeight="1" x14ac:dyDescent="0.2">
      <c r="A130" s="867" t="s">
        <v>568</v>
      </c>
      <c r="B130" s="867"/>
      <c r="C130" s="570">
        <f t="shared" si="60"/>
        <v>0</v>
      </c>
      <c r="D130" s="570">
        <f t="shared" si="60"/>
        <v>0</v>
      </c>
      <c r="E130" s="570">
        <f t="shared" si="60"/>
        <v>0</v>
      </c>
      <c r="F130" s="570">
        <f t="shared" si="60"/>
        <v>0</v>
      </c>
      <c r="G130" s="570">
        <f t="shared" si="60"/>
        <v>0</v>
      </c>
      <c r="H130" s="570">
        <f t="shared" si="60"/>
        <v>0</v>
      </c>
      <c r="I130" s="571">
        <f t="shared" si="60"/>
        <v>0</v>
      </c>
    </row>
    <row r="131" spans="1:9" ht="15.75" customHeight="1" x14ac:dyDescent="0.2">
      <c r="A131" s="867" t="s">
        <v>569</v>
      </c>
      <c r="B131" s="867"/>
      <c r="C131" s="570">
        <f t="shared" si="60"/>
        <v>0</v>
      </c>
      <c r="D131" s="570">
        <f t="shared" si="60"/>
        <v>0</v>
      </c>
      <c r="E131" s="570">
        <f t="shared" si="60"/>
        <v>0</v>
      </c>
      <c r="F131" s="570">
        <f t="shared" si="60"/>
        <v>0</v>
      </c>
      <c r="G131" s="570">
        <f t="shared" si="60"/>
        <v>0</v>
      </c>
      <c r="H131" s="570">
        <f t="shared" si="60"/>
        <v>0</v>
      </c>
      <c r="I131" s="571">
        <f t="shared" si="60"/>
        <v>0</v>
      </c>
    </row>
    <row r="132" spans="1:9" ht="15.75" customHeight="1" x14ac:dyDescent="0.2">
      <c r="A132" s="867" t="s">
        <v>570</v>
      </c>
      <c r="B132" s="867"/>
      <c r="C132" s="570">
        <f t="shared" si="60"/>
        <v>0</v>
      </c>
      <c r="D132" s="570">
        <f t="shared" si="60"/>
        <v>0</v>
      </c>
      <c r="E132" s="570">
        <f t="shared" si="60"/>
        <v>0</v>
      </c>
      <c r="F132" s="570">
        <f t="shared" si="60"/>
        <v>0</v>
      </c>
      <c r="G132" s="570">
        <f t="shared" si="60"/>
        <v>0</v>
      </c>
      <c r="H132" s="570">
        <f t="shared" si="60"/>
        <v>0</v>
      </c>
      <c r="I132" s="571">
        <f t="shared" si="60"/>
        <v>0</v>
      </c>
    </row>
    <row r="133" spans="1:9" ht="15.75" customHeight="1" x14ac:dyDescent="0.2">
      <c r="A133" s="869" t="s">
        <v>571</v>
      </c>
      <c r="B133" s="869"/>
      <c r="C133" s="570">
        <f t="shared" si="60"/>
        <v>0</v>
      </c>
      <c r="D133" s="570">
        <f t="shared" si="60"/>
        <v>0</v>
      </c>
      <c r="E133" s="570">
        <f t="shared" si="60"/>
        <v>0</v>
      </c>
      <c r="F133" s="570">
        <f t="shared" si="60"/>
        <v>0</v>
      </c>
      <c r="G133" s="570">
        <f t="shared" si="60"/>
        <v>0</v>
      </c>
      <c r="H133" s="570">
        <f t="shared" si="60"/>
        <v>0</v>
      </c>
      <c r="I133" s="571">
        <f t="shared" si="60"/>
        <v>0</v>
      </c>
    </row>
    <row r="134" spans="1:9" ht="15.75" customHeight="1" x14ac:dyDescent="0.2">
      <c r="A134" s="572" t="s">
        <v>572</v>
      </c>
      <c r="B134" s="573"/>
      <c r="C134" s="574">
        <f t="shared" ref="C134:I134" si="61">C128+C129</f>
        <v>0</v>
      </c>
      <c r="D134" s="574">
        <f t="shared" si="61"/>
        <v>0</v>
      </c>
      <c r="E134" s="574">
        <f t="shared" si="61"/>
        <v>0</v>
      </c>
      <c r="F134" s="574">
        <f t="shared" si="61"/>
        <v>0</v>
      </c>
      <c r="G134" s="574">
        <f t="shared" si="61"/>
        <v>0</v>
      </c>
      <c r="H134" s="574">
        <f t="shared" si="61"/>
        <v>0</v>
      </c>
      <c r="I134" s="575">
        <f t="shared" si="61"/>
        <v>0</v>
      </c>
    </row>
    <row r="135" spans="1:9" ht="15.75" customHeight="1" x14ac:dyDescent="0.2">
      <c r="A135" s="576" t="s">
        <v>573</v>
      </c>
      <c r="B135" s="577"/>
      <c r="C135" s="578">
        <f t="shared" ref="C135:I135" si="62">C128+C130</f>
        <v>0</v>
      </c>
      <c r="D135" s="578">
        <f t="shared" si="62"/>
        <v>0</v>
      </c>
      <c r="E135" s="578">
        <f t="shared" si="62"/>
        <v>0</v>
      </c>
      <c r="F135" s="578">
        <f t="shared" si="62"/>
        <v>0</v>
      </c>
      <c r="G135" s="578">
        <f t="shared" si="62"/>
        <v>0</v>
      </c>
      <c r="H135" s="578">
        <f t="shared" si="62"/>
        <v>0</v>
      </c>
      <c r="I135" s="579">
        <f t="shared" si="62"/>
        <v>0</v>
      </c>
    </row>
    <row r="136" spans="1:9" ht="15.75" customHeight="1" x14ac:dyDescent="0.2">
      <c r="A136" s="576" t="s">
        <v>574</v>
      </c>
      <c r="B136" s="577"/>
      <c r="C136" s="578">
        <f t="shared" ref="C136:I136" si="63">C128+C131</f>
        <v>0</v>
      </c>
      <c r="D136" s="578">
        <f t="shared" si="63"/>
        <v>0</v>
      </c>
      <c r="E136" s="578">
        <f t="shared" si="63"/>
        <v>0</v>
      </c>
      <c r="F136" s="578">
        <f t="shared" si="63"/>
        <v>0</v>
      </c>
      <c r="G136" s="578">
        <f t="shared" si="63"/>
        <v>0</v>
      </c>
      <c r="H136" s="578">
        <f t="shared" si="63"/>
        <v>0</v>
      </c>
      <c r="I136" s="579">
        <f t="shared" si="63"/>
        <v>0</v>
      </c>
    </row>
    <row r="137" spans="1:9" ht="15.75" customHeight="1" x14ac:dyDescent="0.2">
      <c r="A137" s="576" t="s">
        <v>575</v>
      </c>
      <c r="B137" s="577"/>
      <c r="C137" s="578">
        <f t="shared" ref="C137:I137" si="64">C128+C132</f>
        <v>0</v>
      </c>
      <c r="D137" s="578">
        <f t="shared" si="64"/>
        <v>0</v>
      </c>
      <c r="E137" s="578">
        <f t="shared" si="64"/>
        <v>0</v>
      </c>
      <c r="F137" s="578">
        <f t="shared" si="64"/>
        <v>0</v>
      </c>
      <c r="G137" s="578">
        <f t="shared" si="64"/>
        <v>0</v>
      </c>
      <c r="H137" s="578">
        <f t="shared" si="64"/>
        <v>0</v>
      </c>
      <c r="I137" s="579">
        <f t="shared" si="64"/>
        <v>0</v>
      </c>
    </row>
    <row r="138" spans="1:9" ht="15.75" customHeight="1" x14ac:dyDescent="0.2">
      <c r="A138" s="576" t="s">
        <v>576</v>
      </c>
      <c r="B138" s="577"/>
      <c r="C138" s="578">
        <f t="shared" ref="C138:I138" si="65">C128+C133</f>
        <v>0</v>
      </c>
      <c r="D138" s="578">
        <f t="shared" si="65"/>
        <v>0</v>
      </c>
      <c r="E138" s="578">
        <f t="shared" si="65"/>
        <v>0</v>
      </c>
      <c r="F138" s="578">
        <f t="shared" si="65"/>
        <v>0</v>
      </c>
      <c r="G138" s="578">
        <f t="shared" si="65"/>
        <v>0</v>
      </c>
      <c r="H138" s="578">
        <f t="shared" si="65"/>
        <v>0</v>
      </c>
      <c r="I138" s="579">
        <f t="shared" si="65"/>
        <v>0</v>
      </c>
    </row>
    <row r="139" spans="1:9" ht="15.75" customHeight="1" x14ac:dyDescent="0.2">
      <c r="A139" s="580" t="s">
        <v>577</v>
      </c>
      <c r="B139" s="581"/>
      <c r="C139" s="582">
        <f>C134/200</f>
        <v>0</v>
      </c>
      <c r="D139" s="582"/>
      <c r="E139" s="582"/>
      <c r="F139" s="582"/>
      <c r="G139" s="582"/>
      <c r="H139" s="583"/>
      <c r="I139" s="584"/>
    </row>
    <row r="140" spans="1:9" ht="15.75" customHeight="1" x14ac:dyDescent="0.2">
      <c r="A140" s="585" t="s">
        <v>578</v>
      </c>
      <c r="B140" s="586"/>
      <c r="C140" s="587">
        <f>C135/200</f>
        <v>0</v>
      </c>
      <c r="D140" s="587"/>
      <c r="E140" s="587"/>
      <c r="F140" s="587"/>
      <c r="G140" s="587"/>
      <c r="H140" s="588"/>
      <c r="I140" s="589"/>
    </row>
    <row r="141" spans="1:9" ht="15.75" customHeight="1" x14ac:dyDescent="0.2">
      <c r="A141" s="585" t="s">
        <v>579</v>
      </c>
      <c r="B141" s="586"/>
      <c r="C141" s="587">
        <f>C136/200</f>
        <v>0</v>
      </c>
      <c r="D141" s="587"/>
      <c r="E141" s="587"/>
      <c r="F141" s="587"/>
      <c r="G141" s="587"/>
      <c r="H141" s="588"/>
      <c r="I141" s="589"/>
    </row>
    <row r="142" spans="1:9" ht="15.75" customHeight="1" x14ac:dyDescent="0.2">
      <c r="A142" s="585" t="s">
        <v>580</v>
      </c>
      <c r="B142" s="586"/>
      <c r="C142" s="587">
        <f>C137/200</f>
        <v>0</v>
      </c>
      <c r="D142" s="587"/>
      <c r="E142" s="587"/>
      <c r="F142" s="587"/>
      <c r="G142" s="587"/>
      <c r="H142" s="588"/>
      <c r="I142" s="589"/>
    </row>
    <row r="143" spans="1:9" ht="15.75" customHeight="1" x14ac:dyDescent="0.2">
      <c r="A143" s="590" t="s">
        <v>581</v>
      </c>
      <c r="B143" s="591"/>
      <c r="C143" s="592">
        <f>C138/200</f>
        <v>0</v>
      </c>
      <c r="D143" s="592"/>
      <c r="E143" s="592"/>
      <c r="F143" s="592"/>
      <c r="G143" s="592"/>
      <c r="H143" s="593"/>
      <c r="I143" s="594"/>
    </row>
    <row r="144" spans="1:9" x14ac:dyDescent="0.2">
      <c r="A144" s="595"/>
    </row>
    <row r="145" spans="1:15" ht="14.25" customHeight="1" x14ac:dyDescent="0.2">
      <c r="A145" s="870" t="s">
        <v>582</v>
      </c>
      <c r="B145" s="870"/>
      <c r="C145" s="870" t="s">
        <v>583</v>
      </c>
      <c r="D145" s="870"/>
      <c r="E145" s="871" t="s">
        <v>584</v>
      </c>
      <c r="F145" s="871"/>
      <c r="G145" s="870" t="s">
        <v>585</v>
      </c>
      <c r="H145" s="870"/>
      <c r="I145" s="870" t="s">
        <v>586</v>
      </c>
      <c r="J145" s="870"/>
      <c r="K145" s="870" t="s">
        <v>587</v>
      </c>
      <c r="L145" s="870"/>
    </row>
    <row r="146" spans="1:15" ht="25.5" x14ac:dyDescent="0.2">
      <c r="A146" s="596" t="s">
        <v>588</v>
      </c>
      <c r="B146" s="597" t="s">
        <v>589</v>
      </c>
      <c r="C146" s="597" t="s">
        <v>590</v>
      </c>
      <c r="D146" s="597" t="s">
        <v>591</v>
      </c>
      <c r="E146" s="597" t="s">
        <v>590</v>
      </c>
      <c r="F146" s="597" t="s">
        <v>591</v>
      </c>
      <c r="G146" s="597" t="s">
        <v>590</v>
      </c>
      <c r="H146" s="597" t="s">
        <v>591</v>
      </c>
      <c r="I146" s="597" t="s">
        <v>590</v>
      </c>
      <c r="J146" s="597" t="s">
        <v>591</v>
      </c>
      <c r="K146" s="597" t="s">
        <v>590</v>
      </c>
      <c r="L146" s="597" t="s">
        <v>591</v>
      </c>
    </row>
    <row r="147" spans="1:15" x14ac:dyDescent="0.2">
      <c r="A147" s="598" t="s">
        <v>592</v>
      </c>
      <c r="B147" s="599">
        <f>1/'Prod. GEXCAN'!D18</f>
        <v>1.0204081632653062E-3</v>
      </c>
      <c r="C147" s="600">
        <f>D134</f>
        <v>0</v>
      </c>
      <c r="D147" s="600">
        <f>B147*C147</f>
        <v>0</v>
      </c>
      <c r="E147" s="600">
        <f>D135</f>
        <v>0</v>
      </c>
      <c r="F147" s="600">
        <f>B147*E147</f>
        <v>0</v>
      </c>
      <c r="G147" s="600">
        <f>D136</f>
        <v>0</v>
      </c>
      <c r="H147" s="600">
        <f>B147*G147</f>
        <v>0</v>
      </c>
      <c r="I147" s="600">
        <f>D137</f>
        <v>0</v>
      </c>
      <c r="J147" s="600">
        <f>B147*I147</f>
        <v>0</v>
      </c>
      <c r="K147" s="600">
        <f>D138</f>
        <v>0</v>
      </c>
      <c r="L147" s="600">
        <f>B147*K147</f>
        <v>0</v>
      </c>
    </row>
    <row r="148" spans="1:15" x14ac:dyDescent="0.2">
      <c r="A148" s="601" t="s">
        <v>593</v>
      </c>
      <c r="B148" s="599">
        <f>B147/'Prod. GEXCAN'!Q18</f>
        <v>5.6689342403628121E-5</v>
      </c>
      <c r="C148" s="600">
        <f>I136</f>
        <v>0</v>
      </c>
      <c r="D148" s="600">
        <f>C148*B148</f>
        <v>0</v>
      </c>
      <c r="E148" s="600">
        <f>I136</f>
        <v>0</v>
      </c>
      <c r="F148" s="600">
        <f>B148*E148</f>
        <v>0</v>
      </c>
      <c r="G148" s="600">
        <f>I136</f>
        <v>0</v>
      </c>
      <c r="H148" s="600">
        <f>B148*G148</f>
        <v>0</v>
      </c>
      <c r="I148" s="600">
        <f>I136</f>
        <v>0</v>
      </c>
      <c r="J148" s="600">
        <f>B148*I148</f>
        <v>0</v>
      </c>
      <c r="K148" s="600">
        <f>I136</f>
        <v>0</v>
      </c>
      <c r="L148" s="600">
        <f>B148*K148</f>
        <v>0</v>
      </c>
      <c r="M148" s="872"/>
      <c r="N148" s="872"/>
      <c r="O148" s="602"/>
    </row>
    <row r="149" spans="1:15" x14ac:dyDescent="0.2">
      <c r="A149" s="603" t="s">
        <v>594</v>
      </c>
      <c r="B149" s="604"/>
      <c r="C149" s="605"/>
      <c r="D149" s="605">
        <f>SUM(D147:D148)</f>
        <v>0</v>
      </c>
      <c r="E149" s="605"/>
      <c r="F149" s="605">
        <f>SUM(F147:F148)</f>
        <v>0</v>
      </c>
      <c r="G149" s="605"/>
      <c r="H149" s="605">
        <f>SUM(H147:H148)</f>
        <v>0</v>
      </c>
      <c r="I149" s="605"/>
      <c r="J149" s="605">
        <f>SUM(J147:J148)</f>
        <v>0</v>
      </c>
      <c r="K149" s="605"/>
      <c r="L149" s="605">
        <f>SUM(L147:L148)</f>
        <v>0</v>
      </c>
      <c r="M149" s="606"/>
      <c r="N149" s="607"/>
    </row>
    <row r="150" spans="1:15" x14ac:dyDescent="0.2">
      <c r="A150" s="595"/>
    </row>
    <row r="151" spans="1:15" ht="14.25" customHeight="1" x14ac:dyDescent="0.2">
      <c r="A151" s="870" t="s">
        <v>595</v>
      </c>
      <c r="B151" s="870"/>
      <c r="C151" s="870" t="s">
        <v>583</v>
      </c>
      <c r="D151" s="870"/>
      <c r="E151" s="871" t="s">
        <v>584</v>
      </c>
      <c r="F151" s="871"/>
      <c r="G151" s="870" t="s">
        <v>585</v>
      </c>
      <c r="H151" s="870"/>
      <c r="I151" s="870" t="s">
        <v>586</v>
      </c>
      <c r="J151" s="870"/>
      <c r="K151" s="870" t="s">
        <v>587</v>
      </c>
      <c r="L151" s="870"/>
    </row>
    <row r="152" spans="1:15" ht="25.5" x14ac:dyDescent="0.2">
      <c r="A152" s="596" t="s">
        <v>588</v>
      </c>
      <c r="B152" s="597" t="s">
        <v>589</v>
      </c>
      <c r="C152" s="597" t="s">
        <v>590</v>
      </c>
      <c r="D152" s="597" t="s">
        <v>591</v>
      </c>
      <c r="E152" s="597" t="s">
        <v>590</v>
      </c>
      <c r="F152" s="597" t="s">
        <v>591</v>
      </c>
      <c r="G152" s="597" t="s">
        <v>590</v>
      </c>
      <c r="H152" s="597" t="s">
        <v>591</v>
      </c>
      <c r="I152" s="597" t="s">
        <v>590</v>
      </c>
      <c r="J152" s="597" t="s">
        <v>591</v>
      </c>
      <c r="K152" s="597" t="s">
        <v>590</v>
      </c>
      <c r="L152" s="597" t="s">
        <v>591</v>
      </c>
    </row>
    <row r="153" spans="1:15" x14ac:dyDescent="0.2">
      <c r="A153" s="598" t="s">
        <v>592</v>
      </c>
      <c r="B153" s="599">
        <f>1/'Prod. GEXCAN'!E18</f>
        <v>1.0204081632653062E-3</v>
      </c>
      <c r="C153" s="608">
        <f>C134</f>
        <v>0</v>
      </c>
      <c r="D153" s="600">
        <f>B153*C153</f>
        <v>0</v>
      </c>
      <c r="E153" s="608">
        <f>C135</f>
        <v>0</v>
      </c>
      <c r="F153" s="600">
        <f>B153*E153</f>
        <v>0</v>
      </c>
      <c r="G153" s="608">
        <f>C136</f>
        <v>0</v>
      </c>
      <c r="H153" s="600">
        <f>B153*G153</f>
        <v>0</v>
      </c>
      <c r="I153" s="608">
        <f>C137</f>
        <v>0</v>
      </c>
      <c r="J153" s="600">
        <f>B153*I153</f>
        <v>0</v>
      </c>
      <c r="K153" s="608">
        <f>C138</f>
        <v>0</v>
      </c>
      <c r="L153" s="600">
        <f>B153*K153</f>
        <v>0</v>
      </c>
    </row>
    <row r="154" spans="1:15" x14ac:dyDescent="0.2">
      <c r="A154" s="601" t="s">
        <v>593</v>
      </c>
      <c r="B154" s="599">
        <f>B153/'Prod. GEXCAN'!Q18</f>
        <v>5.6689342403628121E-5</v>
      </c>
      <c r="C154" s="600">
        <f>I136</f>
        <v>0</v>
      </c>
      <c r="D154" s="600">
        <f>C154*B154</f>
        <v>0</v>
      </c>
      <c r="E154" s="600">
        <f>I136</f>
        <v>0</v>
      </c>
      <c r="F154" s="600">
        <f>B154*E154</f>
        <v>0</v>
      </c>
      <c r="G154" s="600">
        <f>I136</f>
        <v>0</v>
      </c>
      <c r="H154" s="600">
        <f>B154*G154</f>
        <v>0</v>
      </c>
      <c r="I154" s="600">
        <f>I136</f>
        <v>0</v>
      </c>
      <c r="J154" s="600">
        <f>B154*I154</f>
        <v>0</v>
      </c>
      <c r="K154" s="600">
        <f>I136</f>
        <v>0</v>
      </c>
      <c r="L154" s="600">
        <f>B154*K154</f>
        <v>0</v>
      </c>
      <c r="M154" s="872"/>
      <c r="N154" s="872"/>
      <c r="O154" s="602"/>
    </row>
    <row r="155" spans="1:15" x14ac:dyDescent="0.2">
      <c r="A155" s="603" t="s">
        <v>594</v>
      </c>
      <c r="B155" s="604"/>
      <c r="C155" s="605"/>
      <c r="D155" s="605">
        <f>SUM(D153:D154)</f>
        <v>0</v>
      </c>
      <c r="E155" s="605"/>
      <c r="F155" s="605">
        <f>SUM(F153:F154)</f>
        <v>0</v>
      </c>
      <c r="G155" s="605"/>
      <c r="H155" s="605">
        <f>SUM(H153:H154)</f>
        <v>0</v>
      </c>
      <c r="I155" s="605"/>
      <c r="J155" s="605">
        <f>SUM(J153:J154)</f>
        <v>0</v>
      </c>
      <c r="K155" s="605"/>
      <c r="L155" s="605">
        <f>SUM(L153:L154)</f>
        <v>0</v>
      </c>
      <c r="M155" s="606"/>
      <c r="N155" s="607"/>
    </row>
    <row r="156" spans="1:15" x14ac:dyDescent="0.2">
      <c r="A156" s="609"/>
      <c r="B156" s="610"/>
      <c r="C156" s="610"/>
      <c r="D156" s="610"/>
      <c r="E156" s="611"/>
      <c r="F156" s="611"/>
      <c r="G156" s="611"/>
      <c r="H156" s="611"/>
    </row>
    <row r="157" spans="1:15" ht="14.25" customHeight="1" x14ac:dyDescent="0.2">
      <c r="A157" s="871" t="s">
        <v>596</v>
      </c>
      <c r="B157" s="871"/>
      <c r="C157" s="871" t="s">
        <v>583</v>
      </c>
      <c r="D157" s="871"/>
      <c r="E157" s="871" t="s">
        <v>584</v>
      </c>
      <c r="F157" s="871"/>
      <c r="G157" s="871" t="s">
        <v>585</v>
      </c>
      <c r="H157" s="871"/>
      <c r="I157" s="871" t="s">
        <v>586</v>
      </c>
      <c r="J157" s="871"/>
      <c r="K157" s="871" t="s">
        <v>587</v>
      </c>
      <c r="L157" s="871"/>
    </row>
    <row r="158" spans="1:15" ht="25.5" x14ac:dyDescent="0.2">
      <c r="A158" s="596" t="s">
        <v>588</v>
      </c>
      <c r="B158" s="597" t="s">
        <v>597</v>
      </c>
      <c r="C158" s="597" t="s">
        <v>590</v>
      </c>
      <c r="D158" s="597" t="s">
        <v>591</v>
      </c>
      <c r="E158" s="597" t="s">
        <v>590</v>
      </c>
      <c r="F158" s="597" t="s">
        <v>591</v>
      </c>
      <c r="G158" s="597" t="s">
        <v>590</v>
      </c>
      <c r="H158" s="597" t="s">
        <v>591</v>
      </c>
      <c r="I158" s="597" t="s">
        <v>590</v>
      </c>
      <c r="J158" s="597" t="s">
        <v>591</v>
      </c>
      <c r="K158" s="597" t="s">
        <v>590</v>
      </c>
      <c r="L158" s="597" t="s">
        <v>591</v>
      </c>
    </row>
    <row r="159" spans="1:15" x14ac:dyDescent="0.2">
      <c r="A159" s="598" t="s">
        <v>592</v>
      </c>
      <c r="B159" s="612">
        <f>1/'Prod. GEXCAN'!F18</f>
        <v>4.0000000000000002E-4</v>
      </c>
      <c r="C159" s="613">
        <f>D134</f>
        <v>0</v>
      </c>
      <c r="D159" s="600">
        <f>B159*C159</f>
        <v>0</v>
      </c>
      <c r="E159" s="600">
        <f>D135</f>
        <v>0</v>
      </c>
      <c r="F159" s="600">
        <f>B159*E159</f>
        <v>0</v>
      </c>
      <c r="G159" s="600">
        <f>D136</f>
        <v>0</v>
      </c>
      <c r="H159" s="600">
        <f>B159*G159</f>
        <v>0</v>
      </c>
      <c r="I159" s="600">
        <f>D137</f>
        <v>0</v>
      </c>
      <c r="J159" s="600">
        <f>B159*I159</f>
        <v>0</v>
      </c>
      <c r="K159" s="600">
        <f>D138</f>
        <v>0</v>
      </c>
      <c r="L159" s="600">
        <f>B159*K159</f>
        <v>0</v>
      </c>
    </row>
    <row r="160" spans="1:15" x14ac:dyDescent="0.2">
      <c r="A160" s="601" t="s">
        <v>593</v>
      </c>
      <c r="B160" s="599">
        <f>B159/'Prod. GEXCAN'!Q18</f>
        <v>2.2222222222222223E-5</v>
      </c>
      <c r="C160" s="600">
        <f>I136</f>
        <v>0</v>
      </c>
      <c r="D160" s="600">
        <f>B160*C160</f>
        <v>0</v>
      </c>
      <c r="E160" s="600">
        <f>I136</f>
        <v>0</v>
      </c>
      <c r="F160" s="600">
        <f>B160*E160</f>
        <v>0</v>
      </c>
      <c r="G160" s="600">
        <f>I136</f>
        <v>0</v>
      </c>
      <c r="H160" s="600">
        <f>B160*G160</f>
        <v>0</v>
      </c>
      <c r="I160" s="600">
        <f>I136</f>
        <v>0</v>
      </c>
      <c r="J160" s="600">
        <f>B160*I160</f>
        <v>0</v>
      </c>
      <c r="K160" s="600">
        <f>I136</f>
        <v>0</v>
      </c>
      <c r="L160" s="600">
        <f>B160*K160</f>
        <v>0</v>
      </c>
    </row>
    <row r="161" spans="1:12" x14ac:dyDescent="0.2">
      <c r="A161" s="603" t="s">
        <v>598</v>
      </c>
      <c r="B161" s="604"/>
      <c r="C161" s="605"/>
      <c r="D161" s="605">
        <f>SUM(D159:D160)</f>
        <v>0</v>
      </c>
      <c r="E161" s="605"/>
      <c r="F161" s="605">
        <f>SUM(F159:F160)</f>
        <v>0</v>
      </c>
      <c r="G161" s="605"/>
      <c r="H161" s="605">
        <f>SUM(H159:H160)</f>
        <v>0</v>
      </c>
      <c r="I161" s="605"/>
      <c r="J161" s="605">
        <f>SUM(J159:J160)</f>
        <v>0</v>
      </c>
      <c r="K161" s="605"/>
      <c r="L161" s="605">
        <f>SUM(L159:L160)</f>
        <v>0</v>
      </c>
    </row>
    <row r="162" spans="1:12" x14ac:dyDescent="0.2">
      <c r="A162" s="609"/>
      <c r="B162" s="614"/>
      <c r="C162" s="614"/>
      <c r="D162" s="614"/>
      <c r="E162" s="614"/>
      <c r="F162" s="614"/>
      <c r="G162" s="614"/>
      <c r="H162" s="614"/>
    </row>
    <row r="163" spans="1:12" ht="14.25" customHeight="1" x14ac:dyDescent="0.2">
      <c r="A163" s="871" t="s">
        <v>599</v>
      </c>
      <c r="B163" s="871"/>
      <c r="C163" s="871" t="s">
        <v>583</v>
      </c>
      <c r="D163" s="871"/>
      <c r="E163" s="871" t="s">
        <v>584</v>
      </c>
      <c r="F163" s="871"/>
      <c r="G163" s="871" t="s">
        <v>585</v>
      </c>
      <c r="H163" s="871"/>
      <c r="I163" s="871" t="s">
        <v>586</v>
      </c>
      <c r="J163" s="871"/>
      <c r="K163" s="871" t="s">
        <v>587</v>
      </c>
      <c r="L163" s="871"/>
    </row>
    <row r="164" spans="1:12" ht="25.5" x14ac:dyDescent="0.2">
      <c r="A164" s="596" t="s">
        <v>588</v>
      </c>
      <c r="B164" s="597" t="s">
        <v>597</v>
      </c>
      <c r="C164" s="597" t="s">
        <v>590</v>
      </c>
      <c r="D164" s="597" t="s">
        <v>591</v>
      </c>
      <c r="E164" s="597" t="s">
        <v>590</v>
      </c>
      <c r="F164" s="597" t="s">
        <v>591</v>
      </c>
      <c r="G164" s="597" t="s">
        <v>590</v>
      </c>
      <c r="H164" s="597" t="s">
        <v>591</v>
      </c>
      <c r="I164" s="597" t="s">
        <v>590</v>
      </c>
      <c r="J164" s="597" t="s">
        <v>591</v>
      </c>
      <c r="K164" s="597" t="s">
        <v>590</v>
      </c>
      <c r="L164" s="597" t="s">
        <v>591</v>
      </c>
    </row>
    <row r="165" spans="1:12" x14ac:dyDescent="0.2">
      <c r="A165" s="598" t="s">
        <v>592</v>
      </c>
      <c r="B165" s="612">
        <f>1/'Prod. GEXCAN'!G18</f>
        <v>6.6666666666666664E-4</v>
      </c>
      <c r="C165" s="613">
        <f>D134</f>
        <v>0</v>
      </c>
      <c r="D165" s="600">
        <f>B165*C165</f>
        <v>0</v>
      </c>
      <c r="E165" s="600">
        <f>D135</f>
        <v>0</v>
      </c>
      <c r="F165" s="600">
        <f>B165*E165</f>
        <v>0</v>
      </c>
      <c r="G165" s="600">
        <f>D136</f>
        <v>0</v>
      </c>
      <c r="H165" s="600">
        <f>B165*G165</f>
        <v>0</v>
      </c>
      <c r="I165" s="600">
        <f>D137</f>
        <v>0</v>
      </c>
      <c r="J165" s="600">
        <f>B165*I165</f>
        <v>0</v>
      </c>
      <c r="K165" s="600">
        <f>D138</f>
        <v>0</v>
      </c>
      <c r="L165" s="600">
        <f>B165*K165</f>
        <v>0</v>
      </c>
    </row>
    <row r="166" spans="1:12" x14ac:dyDescent="0.2">
      <c r="A166" s="601" t="s">
        <v>593</v>
      </c>
      <c r="B166" s="599">
        <f>B165/'Prod. GEXCAN'!Q18</f>
        <v>3.7037037037037037E-5</v>
      </c>
      <c r="C166" s="600">
        <f>I136</f>
        <v>0</v>
      </c>
      <c r="D166" s="600">
        <f>B166*C166</f>
        <v>0</v>
      </c>
      <c r="E166" s="600">
        <f>I136</f>
        <v>0</v>
      </c>
      <c r="F166" s="600">
        <f>B166*E166</f>
        <v>0</v>
      </c>
      <c r="G166" s="600">
        <f>I136</f>
        <v>0</v>
      </c>
      <c r="H166" s="600">
        <f>B166*G166</f>
        <v>0</v>
      </c>
      <c r="I166" s="600">
        <f>I136</f>
        <v>0</v>
      </c>
      <c r="J166" s="600">
        <f>B166*I166</f>
        <v>0</v>
      </c>
      <c r="K166" s="600">
        <f>I136</f>
        <v>0</v>
      </c>
      <c r="L166" s="600">
        <f>B166*K166</f>
        <v>0</v>
      </c>
    </row>
    <row r="167" spans="1:12" x14ac:dyDescent="0.2">
      <c r="A167" s="603" t="s">
        <v>598</v>
      </c>
      <c r="B167" s="604"/>
      <c r="C167" s="605"/>
      <c r="D167" s="605">
        <f>SUM(D165:D166)</f>
        <v>0</v>
      </c>
      <c r="E167" s="605"/>
      <c r="F167" s="605">
        <f>SUM(F165:F166)</f>
        <v>0</v>
      </c>
      <c r="G167" s="605"/>
      <c r="H167" s="605">
        <f>SUM(H165:H166)</f>
        <v>0</v>
      </c>
      <c r="I167" s="605"/>
      <c r="J167" s="605">
        <f>SUM(J165:J166)</f>
        <v>0</v>
      </c>
      <c r="K167" s="605"/>
      <c r="L167" s="605">
        <f>SUM(L165:L166)</f>
        <v>0</v>
      </c>
    </row>
    <row r="168" spans="1:12" x14ac:dyDescent="0.2">
      <c r="A168" s="609"/>
      <c r="B168" s="614"/>
      <c r="C168" s="614"/>
      <c r="D168" s="614"/>
      <c r="E168" s="614"/>
      <c r="F168" s="614"/>
      <c r="G168" s="614"/>
      <c r="H168" s="614"/>
    </row>
    <row r="169" spans="1:12" ht="14.25" customHeight="1" x14ac:dyDescent="0.2">
      <c r="A169" s="871" t="s">
        <v>600</v>
      </c>
      <c r="B169" s="871"/>
      <c r="C169" s="871" t="s">
        <v>583</v>
      </c>
      <c r="D169" s="871"/>
      <c r="E169" s="871" t="s">
        <v>584</v>
      </c>
      <c r="F169" s="871"/>
      <c r="G169" s="871" t="s">
        <v>585</v>
      </c>
      <c r="H169" s="871"/>
      <c r="I169" s="871" t="s">
        <v>586</v>
      </c>
      <c r="J169" s="871"/>
      <c r="K169" s="871" t="s">
        <v>587</v>
      </c>
      <c r="L169" s="871"/>
    </row>
    <row r="170" spans="1:12" ht="25.5" x14ac:dyDescent="0.2">
      <c r="A170" s="596" t="s">
        <v>588</v>
      </c>
      <c r="B170" s="597" t="s">
        <v>597</v>
      </c>
      <c r="C170" s="597" t="s">
        <v>590</v>
      </c>
      <c r="D170" s="597" t="s">
        <v>591</v>
      </c>
      <c r="E170" s="597" t="s">
        <v>590</v>
      </c>
      <c r="F170" s="597" t="s">
        <v>591</v>
      </c>
      <c r="G170" s="597" t="s">
        <v>590</v>
      </c>
      <c r="H170" s="597" t="s">
        <v>591</v>
      </c>
      <c r="I170" s="597" t="s">
        <v>590</v>
      </c>
      <c r="J170" s="597" t="s">
        <v>591</v>
      </c>
      <c r="K170" s="597" t="s">
        <v>590</v>
      </c>
      <c r="L170" s="597" t="s">
        <v>591</v>
      </c>
    </row>
    <row r="171" spans="1:12" x14ac:dyDescent="0.2">
      <c r="A171" s="598" t="s">
        <v>592</v>
      </c>
      <c r="B171" s="612">
        <f>1/'Prod. GEXCAN'!H18</f>
        <v>4.0000000000000001E-3</v>
      </c>
      <c r="C171" s="608">
        <f>C134</f>
        <v>0</v>
      </c>
      <c r="D171" s="600">
        <f>B171*C171</f>
        <v>0</v>
      </c>
      <c r="E171" s="608">
        <f>C135</f>
        <v>0</v>
      </c>
      <c r="F171" s="600">
        <f>B171*E171</f>
        <v>0</v>
      </c>
      <c r="G171" s="608">
        <f>C136</f>
        <v>0</v>
      </c>
      <c r="H171" s="600">
        <f>B171*G171</f>
        <v>0</v>
      </c>
      <c r="I171" s="608">
        <f>C137</f>
        <v>0</v>
      </c>
      <c r="J171" s="600">
        <f>B171*I171</f>
        <v>0</v>
      </c>
      <c r="K171" s="608">
        <f>C138</f>
        <v>0</v>
      </c>
      <c r="L171" s="600">
        <f>B171*K171</f>
        <v>0</v>
      </c>
    </row>
    <row r="172" spans="1:12" x14ac:dyDescent="0.2">
      <c r="A172" s="601" t="s">
        <v>593</v>
      </c>
      <c r="B172" s="599">
        <f>B171/'Prod. GEXCAN'!Q18</f>
        <v>2.2222222222222223E-4</v>
      </c>
      <c r="C172" s="600">
        <f>I136</f>
        <v>0</v>
      </c>
      <c r="D172" s="600">
        <f>C172*B172</f>
        <v>0</v>
      </c>
      <c r="E172" s="600">
        <f>I136</f>
        <v>0</v>
      </c>
      <c r="F172" s="600">
        <f>B172*E172</f>
        <v>0</v>
      </c>
      <c r="G172" s="600">
        <f>I136</f>
        <v>0</v>
      </c>
      <c r="H172" s="600">
        <f>B172*G172</f>
        <v>0</v>
      </c>
      <c r="I172" s="600">
        <f>I136</f>
        <v>0</v>
      </c>
      <c r="J172" s="600">
        <f>B172*I172</f>
        <v>0</v>
      </c>
      <c r="K172" s="600">
        <f>I136</f>
        <v>0</v>
      </c>
      <c r="L172" s="600">
        <f>B172*K172</f>
        <v>0</v>
      </c>
    </row>
    <row r="173" spans="1:12" x14ac:dyDescent="0.2">
      <c r="A173" s="603" t="s">
        <v>598</v>
      </c>
      <c r="B173" s="604"/>
      <c r="C173" s="605"/>
      <c r="D173" s="605">
        <f>SUM(D171:D172)</f>
        <v>0</v>
      </c>
      <c r="E173" s="605"/>
      <c r="F173" s="605">
        <f>SUM(F171:F172)</f>
        <v>0</v>
      </c>
      <c r="G173" s="605"/>
      <c r="H173" s="605">
        <f>SUM(H171:H172)</f>
        <v>0</v>
      </c>
      <c r="I173" s="605"/>
      <c r="J173" s="605">
        <f>SUM(J171:J172)</f>
        <v>0</v>
      </c>
      <c r="K173" s="605"/>
      <c r="L173" s="605">
        <f>SUM(L171:L172)</f>
        <v>0</v>
      </c>
    </row>
    <row r="174" spans="1:12" x14ac:dyDescent="0.2">
      <c r="A174" s="609"/>
      <c r="B174" s="615"/>
      <c r="C174" s="615"/>
      <c r="D174" s="615"/>
      <c r="E174" s="615"/>
      <c r="F174" s="615"/>
      <c r="G174" s="615"/>
      <c r="H174" s="615"/>
    </row>
    <row r="175" spans="1:12" ht="14.25" customHeight="1" x14ac:dyDescent="0.2">
      <c r="A175" s="873" t="s">
        <v>601</v>
      </c>
      <c r="B175" s="873"/>
      <c r="C175" s="873" t="s">
        <v>583</v>
      </c>
      <c r="D175" s="873"/>
      <c r="E175" s="873" t="s">
        <v>584</v>
      </c>
      <c r="F175" s="873"/>
      <c r="G175" s="873" t="s">
        <v>585</v>
      </c>
      <c r="H175" s="873"/>
      <c r="I175" s="873" t="s">
        <v>586</v>
      </c>
      <c r="J175" s="873"/>
      <c r="K175" s="873" t="s">
        <v>587</v>
      </c>
      <c r="L175" s="873"/>
    </row>
    <row r="176" spans="1:12" ht="25.5" x14ac:dyDescent="0.2">
      <c r="A176" s="596" t="s">
        <v>588</v>
      </c>
      <c r="B176" s="597" t="s">
        <v>597</v>
      </c>
      <c r="C176" s="597" t="s">
        <v>590</v>
      </c>
      <c r="D176" s="597" t="s">
        <v>591</v>
      </c>
      <c r="E176" s="597" t="s">
        <v>590</v>
      </c>
      <c r="F176" s="597" t="s">
        <v>591</v>
      </c>
      <c r="G176" s="597" t="s">
        <v>590</v>
      </c>
      <c r="H176" s="597" t="s">
        <v>591</v>
      </c>
      <c r="I176" s="597" t="s">
        <v>590</v>
      </c>
      <c r="J176" s="597" t="s">
        <v>591</v>
      </c>
      <c r="K176" s="597" t="s">
        <v>590</v>
      </c>
      <c r="L176" s="597" t="s">
        <v>591</v>
      </c>
    </row>
    <row r="177" spans="1:14" x14ac:dyDescent="0.2">
      <c r="A177" s="598" t="s">
        <v>602</v>
      </c>
      <c r="B177" s="612">
        <f>1/'Prod. GEXCAN'!I18</f>
        <v>4.7619047619047619E-4</v>
      </c>
      <c r="C177" s="600">
        <f>D134</f>
        <v>0</v>
      </c>
      <c r="D177" s="600">
        <f>B177*C177</f>
        <v>0</v>
      </c>
      <c r="E177" s="600">
        <f>D135</f>
        <v>0</v>
      </c>
      <c r="F177" s="600">
        <f>B177*E177</f>
        <v>0</v>
      </c>
      <c r="G177" s="600">
        <f>D136</f>
        <v>0</v>
      </c>
      <c r="H177" s="600">
        <f>B177*G177</f>
        <v>0</v>
      </c>
      <c r="I177" s="600">
        <f>D137</f>
        <v>0</v>
      </c>
      <c r="J177" s="600">
        <f>B177*I177</f>
        <v>0</v>
      </c>
      <c r="K177" s="600">
        <f>D138</f>
        <v>0</v>
      </c>
      <c r="L177" s="600">
        <f>B177*K177</f>
        <v>0</v>
      </c>
    </row>
    <row r="178" spans="1:14" x14ac:dyDescent="0.2">
      <c r="A178" s="601" t="s">
        <v>593</v>
      </c>
      <c r="B178" s="599">
        <f>B177/'Prod. GEXCAN'!Q18</f>
        <v>2.6455026455026456E-5</v>
      </c>
      <c r="C178" s="600">
        <f>I136</f>
        <v>0</v>
      </c>
      <c r="D178" s="600">
        <f>B178*C178</f>
        <v>0</v>
      </c>
      <c r="E178" s="600">
        <f>I136</f>
        <v>0</v>
      </c>
      <c r="F178" s="600">
        <f>B178*E178</f>
        <v>0</v>
      </c>
      <c r="G178" s="600">
        <f>I136</f>
        <v>0</v>
      </c>
      <c r="H178" s="600">
        <f>B178*G178</f>
        <v>0</v>
      </c>
      <c r="I178" s="600">
        <f>I136</f>
        <v>0</v>
      </c>
      <c r="J178" s="600">
        <f>B178*I178</f>
        <v>0</v>
      </c>
      <c r="K178" s="600">
        <f>I136</f>
        <v>0</v>
      </c>
      <c r="L178" s="600">
        <f>B178*K178</f>
        <v>0</v>
      </c>
      <c r="M178" s="872"/>
      <c r="N178" s="872"/>
    </row>
    <row r="179" spans="1:14" x14ac:dyDescent="0.2">
      <c r="A179" s="616" t="s">
        <v>603</v>
      </c>
      <c r="B179" s="617"/>
      <c r="C179" s="618"/>
      <c r="D179" s="619">
        <f>SUM(D177:D178)</f>
        <v>0</v>
      </c>
      <c r="E179" s="618"/>
      <c r="F179" s="619">
        <f>SUM(F177:F178)</f>
        <v>0</v>
      </c>
      <c r="G179" s="618"/>
      <c r="H179" s="619">
        <f>SUM(H177:H178)</f>
        <v>0</v>
      </c>
      <c r="I179" s="618"/>
      <c r="J179" s="619">
        <f>SUM(J177:J178)</f>
        <v>0</v>
      </c>
      <c r="K179" s="618"/>
      <c r="L179" s="619">
        <f>SUM(L177:L178)</f>
        <v>0</v>
      </c>
      <c r="M179" s="606"/>
      <c r="N179" s="607"/>
    </row>
    <row r="180" spans="1:14" x14ac:dyDescent="0.2">
      <c r="A180" s="598" t="s">
        <v>604</v>
      </c>
      <c r="B180" s="612">
        <f>1/'Prod. GEXCAN'!J18</f>
        <v>1.0000000000000001E-5</v>
      </c>
      <c r="C180" s="600">
        <f>D134</f>
        <v>0</v>
      </c>
      <c r="D180" s="600">
        <f>B180*C180</f>
        <v>0</v>
      </c>
      <c r="E180" s="600">
        <f>D135</f>
        <v>0</v>
      </c>
      <c r="F180" s="600">
        <f>B180*E180</f>
        <v>0</v>
      </c>
      <c r="G180" s="600">
        <f>D136</f>
        <v>0</v>
      </c>
      <c r="H180" s="600">
        <f>B180*G180</f>
        <v>0</v>
      </c>
      <c r="I180" s="600">
        <f>D137</f>
        <v>0</v>
      </c>
      <c r="J180" s="600">
        <f>B180*I180</f>
        <v>0</v>
      </c>
      <c r="K180" s="600">
        <f>D138</f>
        <v>0</v>
      </c>
      <c r="L180" s="600">
        <f>B180*K180</f>
        <v>0</v>
      </c>
    </row>
    <row r="181" spans="1:14" x14ac:dyDescent="0.2">
      <c r="A181" s="601" t="s">
        <v>593</v>
      </c>
      <c r="B181" s="599">
        <f>B180/'Prod. GEXCAN'!Q18</f>
        <v>5.5555555555555562E-7</v>
      </c>
      <c r="C181" s="600">
        <f>I136</f>
        <v>0</v>
      </c>
      <c r="D181" s="600">
        <f>B181*C181</f>
        <v>0</v>
      </c>
      <c r="E181" s="600">
        <f>I136</f>
        <v>0</v>
      </c>
      <c r="F181" s="600">
        <f>B181*E181</f>
        <v>0</v>
      </c>
      <c r="G181" s="600">
        <f>I136</f>
        <v>0</v>
      </c>
      <c r="H181" s="600">
        <f>B181*G181</f>
        <v>0</v>
      </c>
      <c r="I181" s="600">
        <f>I136</f>
        <v>0</v>
      </c>
      <c r="J181" s="600">
        <f>B181*I181</f>
        <v>0</v>
      </c>
      <c r="K181" s="600">
        <f>I136</f>
        <v>0</v>
      </c>
      <c r="L181" s="600">
        <f>B181*K181</f>
        <v>0</v>
      </c>
    </row>
    <row r="182" spans="1:14" x14ac:dyDescent="0.2">
      <c r="A182" s="616" t="s">
        <v>605</v>
      </c>
      <c r="B182" s="620"/>
      <c r="C182" s="618"/>
      <c r="D182" s="619">
        <f>SUM(D180:D181)</f>
        <v>0</v>
      </c>
      <c r="E182" s="618"/>
      <c r="F182" s="619">
        <f>SUM(F180:F181)</f>
        <v>0</v>
      </c>
      <c r="G182" s="618"/>
      <c r="H182" s="619">
        <f>SUM(H180:H181)</f>
        <v>0</v>
      </c>
      <c r="I182" s="618"/>
      <c r="J182" s="619">
        <f>SUM(J180:J181)</f>
        <v>0</v>
      </c>
      <c r="K182" s="618"/>
      <c r="L182" s="619">
        <f>SUM(L180:L181)</f>
        <v>0</v>
      </c>
    </row>
    <row r="183" spans="1:14" x14ac:dyDescent="0.2">
      <c r="A183" s="598" t="s">
        <v>606</v>
      </c>
      <c r="B183" s="612">
        <f>1/'Prod. GEXCAN'!K18</f>
        <v>1.3333333333333334E-4</v>
      </c>
      <c r="C183" s="600">
        <f>D134</f>
        <v>0</v>
      </c>
      <c r="D183" s="600">
        <f>B183*C183</f>
        <v>0</v>
      </c>
      <c r="E183" s="600">
        <f>D135</f>
        <v>0</v>
      </c>
      <c r="F183" s="600">
        <f>B183*E183</f>
        <v>0</v>
      </c>
      <c r="G183" s="600">
        <f>D136</f>
        <v>0</v>
      </c>
      <c r="H183" s="600">
        <f>B183*G183</f>
        <v>0</v>
      </c>
      <c r="I183" s="600">
        <f>D137</f>
        <v>0</v>
      </c>
      <c r="J183" s="600">
        <f>B183*I183</f>
        <v>0</v>
      </c>
      <c r="K183" s="600">
        <f>D138</f>
        <v>0</v>
      </c>
      <c r="L183" s="600">
        <f>B183*K183</f>
        <v>0</v>
      </c>
    </row>
    <row r="184" spans="1:14" x14ac:dyDescent="0.2">
      <c r="A184" s="601" t="s">
        <v>593</v>
      </c>
      <c r="B184" s="599">
        <f>B183/'Prod. GEXCAN'!Q18</f>
        <v>7.4074074074074075E-6</v>
      </c>
      <c r="C184" s="600">
        <f>I136</f>
        <v>0</v>
      </c>
      <c r="D184" s="600">
        <f>B184*C184</f>
        <v>0</v>
      </c>
      <c r="E184" s="600">
        <f>I136</f>
        <v>0</v>
      </c>
      <c r="F184" s="600">
        <f>B184*E184</f>
        <v>0</v>
      </c>
      <c r="G184" s="600">
        <f>I136</f>
        <v>0</v>
      </c>
      <c r="H184" s="600">
        <f>B184*G184</f>
        <v>0</v>
      </c>
      <c r="I184" s="600">
        <f>I136</f>
        <v>0</v>
      </c>
      <c r="J184" s="600">
        <f>B184*I184</f>
        <v>0</v>
      </c>
      <c r="K184" s="600">
        <f>I136</f>
        <v>0</v>
      </c>
      <c r="L184" s="600">
        <f>B184*K184</f>
        <v>0</v>
      </c>
    </row>
    <row r="185" spans="1:14" x14ac:dyDescent="0.2">
      <c r="A185" s="616" t="s">
        <v>607</v>
      </c>
      <c r="B185" s="620"/>
      <c r="C185" s="618"/>
      <c r="D185" s="619">
        <f>SUM(D183:D184)</f>
        <v>0</v>
      </c>
      <c r="E185" s="618"/>
      <c r="F185" s="619">
        <f>SUM(F183:F184)</f>
        <v>0</v>
      </c>
      <c r="G185" s="618"/>
      <c r="H185" s="619">
        <f>SUM(H183:H184)</f>
        <v>0</v>
      </c>
      <c r="I185" s="618"/>
      <c r="J185" s="619">
        <f>SUM(J183:J184)</f>
        <v>0</v>
      </c>
      <c r="K185" s="618"/>
      <c r="L185" s="619">
        <f>SUM(L183:L184)</f>
        <v>0</v>
      </c>
    </row>
    <row r="186" spans="1:14" x14ac:dyDescent="0.2">
      <c r="A186" s="609"/>
      <c r="B186" s="614"/>
      <c r="C186" s="614"/>
      <c r="D186" s="614"/>
      <c r="E186" s="614"/>
      <c r="F186" s="614"/>
      <c r="G186" s="614"/>
      <c r="H186" s="614"/>
    </row>
    <row r="187" spans="1:14" ht="14.25" customHeight="1" x14ac:dyDescent="0.2">
      <c r="A187" s="874" t="s">
        <v>608</v>
      </c>
      <c r="B187" s="874"/>
      <c r="C187" s="874" t="s">
        <v>583</v>
      </c>
      <c r="D187" s="874"/>
      <c r="E187" s="874" t="s">
        <v>584</v>
      </c>
      <c r="F187" s="874"/>
      <c r="G187" s="874" t="s">
        <v>585</v>
      </c>
      <c r="H187" s="874"/>
      <c r="I187" s="874" t="s">
        <v>586</v>
      </c>
      <c r="J187" s="874"/>
      <c r="K187" s="874" t="s">
        <v>587</v>
      </c>
      <c r="L187" s="874"/>
    </row>
    <row r="188" spans="1:14" ht="25.5" x14ac:dyDescent="0.2">
      <c r="A188" s="596" t="s">
        <v>588</v>
      </c>
      <c r="B188" s="597" t="s">
        <v>597</v>
      </c>
      <c r="C188" s="597" t="s">
        <v>590</v>
      </c>
      <c r="D188" s="597" t="s">
        <v>591</v>
      </c>
      <c r="E188" s="597" t="s">
        <v>590</v>
      </c>
      <c r="F188" s="597" t="s">
        <v>591</v>
      </c>
      <c r="G188" s="597" t="s">
        <v>590</v>
      </c>
      <c r="H188" s="597" t="s">
        <v>591</v>
      </c>
      <c r="I188" s="597" t="s">
        <v>590</v>
      </c>
      <c r="J188" s="597" t="s">
        <v>591</v>
      </c>
      <c r="K188" s="597" t="s">
        <v>590</v>
      </c>
      <c r="L188" s="597" t="s">
        <v>591</v>
      </c>
    </row>
    <row r="189" spans="1:14" x14ac:dyDescent="0.2">
      <c r="A189" s="621" t="s">
        <v>609</v>
      </c>
      <c r="B189" s="612">
        <f>(1/'Prod. GEXCAN'!L18)*(1/(30/7*44*6))*8</f>
        <v>4.4191919191919199E-5</v>
      </c>
      <c r="C189" s="622">
        <f>H134</f>
        <v>0</v>
      </c>
      <c r="D189" s="600">
        <f>B189*C189</f>
        <v>0</v>
      </c>
      <c r="E189" s="622">
        <f>H135</f>
        <v>0</v>
      </c>
      <c r="F189" s="600">
        <f>B189*E189</f>
        <v>0</v>
      </c>
      <c r="G189" s="622">
        <f>H136</f>
        <v>0</v>
      </c>
      <c r="H189" s="600">
        <f>B189*G189</f>
        <v>0</v>
      </c>
      <c r="I189" s="622">
        <f>H137</f>
        <v>0</v>
      </c>
      <c r="J189" s="600">
        <f>B189*I189</f>
        <v>0</v>
      </c>
      <c r="K189" s="622">
        <f>H138</f>
        <v>0</v>
      </c>
      <c r="L189" s="600">
        <f>B189*K189</f>
        <v>0</v>
      </c>
    </row>
    <row r="190" spans="1:14" x14ac:dyDescent="0.2">
      <c r="A190" s="601" t="s">
        <v>593</v>
      </c>
      <c r="B190" s="612">
        <f>B189/4</f>
        <v>1.10479797979798E-5</v>
      </c>
      <c r="C190" s="600">
        <f>I136</f>
        <v>0</v>
      </c>
      <c r="D190" s="600">
        <f>B190*C190</f>
        <v>0</v>
      </c>
      <c r="E190" s="600">
        <f>I136</f>
        <v>0</v>
      </c>
      <c r="F190" s="600">
        <f>B190*E190</f>
        <v>0</v>
      </c>
      <c r="G190" s="600">
        <f>I136</f>
        <v>0</v>
      </c>
      <c r="H190" s="600">
        <f>B190*G190</f>
        <v>0</v>
      </c>
      <c r="I190" s="600">
        <f>I136</f>
        <v>0</v>
      </c>
      <c r="J190" s="600">
        <f>B190*I190</f>
        <v>0</v>
      </c>
      <c r="K190" s="600">
        <f>I136</f>
        <v>0</v>
      </c>
      <c r="L190" s="600">
        <f>B190*K190</f>
        <v>0</v>
      </c>
      <c r="M190" s="872"/>
      <c r="N190" s="872"/>
    </row>
    <row r="191" spans="1:14" x14ac:dyDescent="0.2">
      <c r="A191" s="623" t="s">
        <v>610</v>
      </c>
      <c r="B191" s="624"/>
      <c r="C191" s="625"/>
      <c r="D191" s="626">
        <f>SUM(D189:D190)</f>
        <v>0</v>
      </c>
      <c r="E191" s="625"/>
      <c r="F191" s="626">
        <f>SUM(F189:F190)</f>
        <v>0</v>
      </c>
      <c r="G191" s="625"/>
      <c r="H191" s="626">
        <f>SUM(H189:H190)</f>
        <v>0</v>
      </c>
      <c r="I191" s="625"/>
      <c r="J191" s="626">
        <f>SUM(J189:J190)</f>
        <v>0</v>
      </c>
      <c r="K191" s="625"/>
      <c r="L191" s="626">
        <f>SUM(L189:L190)</f>
        <v>0</v>
      </c>
      <c r="M191" s="606"/>
      <c r="N191" s="607"/>
    </row>
    <row r="192" spans="1:14" x14ac:dyDescent="0.2">
      <c r="A192" s="621" t="s">
        <v>611</v>
      </c>
      <c r="B192" s="612">
        <f>1/'Prod. GEXCAN'!M18*16*(1/188.76)</f>
        <v>2.2306242401936183E-4</v>
      </c>
      <c r="C192" s="600">
        <f>D134</f>
        <v>0</v>
      </c>
      <c r="D192" s="600">
        <f>B192*C192</f>
        <v>0</v>
      </c>
      <c r="E192" s="600">
        <f>D135</f>
        <v>0</v>
      </c>
      <c r="F192" s="600">
        <f>B192*E192</f>
        <v>0</v>
      </c>
      <c r="G192" s="600">
        <f>D136</f>
        <v>0</v>
      </c>
      <c r="H192" s="600">
        <f>B192*G192</f>
        <v>0</v>
      </c>
      <c r="I192" s="600">
        <f>D137</f>
        <v>0</v>
      </c>
      <c r="J192" s="600">
        <f>B192*I192</f>
        <v>0</v>
      </c>
      <c r="K192" s="600">
        <f>D138</f>
        <v>0</v>
      </c>
      <c r="L192" s="600">
        <f>B192*K192</f>
        <v>0</v>
      </c>
    </row>
    <row r="193" spans="1:14" x14ac:dyDescent="0.2">
      <c r="A193" s="601" t="s">
        <v>593</v>
      </c>
      <c r="B193" s="612">
        <f>1/('Prod. GEXCAN'!Q18*'Prod. GEXCAN'!M18)*16*(1/188.76)</f>
        <v>1.2392356889964548E-5</v>
      </c>
      <c r="C193" s="600">
        <f>I136</f>
        <v>0</v>
      </c>
      <c r="D193" s="600">
        <f>B193*C193</f>
        <v>0</v>
      </c>
      <c r="E193" s="600">
        <f>I136</f>
        <v>0</v>
      </c>
      <c r="F193" s="600">
        <f>B193*E193</f>
        <v>0</v>
      </c>
      <c r="G193" s="600">
        <f>I136</f>
        <v>0</v>
      </c>
      <c r="H193" s="600">
        <f>B193*G193</f>
        <v>0</v>
      </c>
      <c r="I193" s="600">
        <f>I136</f>
        <v>0</v>
      </c>
      <c r="J193" s="600">
        <f>B193*I193</f>
        <v>0</v>
      </c>
      <c r="K193" s="600">
        <f>I136</f>
        <v>0</v>
      </c>
      <c r="L193" s="600">
        <f>B193*K193</f>
        <v>0</v>
      </c>
      <c r="M193" s="872"/>
      <c r="N193" s="872"/>
    </row>
    <row r="194" spans="1:14" x14ac:dyDescent="0.2">
      <c r="A194" s="623" t="s">
        <v>612</v>
      </c>
      <c r="B194" s="624"/>
      <c r="C194" s="625"/>
      <c r="D194" s="626">
        <f>SUM(D192:D193)</f>
        <v>0</v>
      </c>
      <c r="E194" s="625"/>
      <c r="F194" s="626">
        <f>SUM(F192:F193)</f>
        <v>0</v>
      </c>
      <c r="G194" s="625"/>
      <c r="H194" s="626">
        <f>SUM(H192:H193)</f>
        <v>0</v>
      </c>
      <c r="I194" s="625"/>
      <c r="J194" s="626">
        <f>SUM(J192:J193)</f>
        <v>0</v>
      </c>
      <c r="K194" s="625"/>
      <c r="L194" s="626">
        <f>SUM(L192:L193)</f>
        <v>0</v>
      </c>
      <c r="M194" s="606"/>
      <c r="N194" s="607"/>
    </row>
    <row r="195" spans="1:14" x14ac:dyDescent="0.2">
      <c r="A195" s="598" t="s">
        <v>613</v>
      </c>
      <c r="B195" s="612">
        <f>1/'Prod. GEXCAN'!N18*16*(1/188.76)</f>
        <v>2.2306242401936183E-4</v>
      </c>
      <c r="C195" s="600">
        <f>D134</f>
        <v>0</v>
      </c>
      <c r="D195" s="600">
        <f>B195*C195</f>
        <v>0</v>
      </c>
      <c r="E195" s="600">
        <f>D135</f>
        <v>0</v>
      </c>
      <c r="F195" s="600">
        <f>B195*E195</f>
        <v>0</v>
      </c>
      <c r="G195" s="600">
        <f>D136</f>
        <v>0</v>
      </c>
      <c r="H195" s="600">
        <f>B195*G195</f>
        <v>0</v>
      </c>
      <c r="I195" s="600">
        <f>D137</f>
        <v>0</v>
      </c>
      <c r="J195" s="600">
        <f>B195*I195</f>
        <v>0</v>
      </c>
      <c r="K195" s="600">
        <f>D138</f>
        <v>0</v>
      </c>
      <c r="L195" s="600">
        <f>B195*K195</f>
        <v>0</v>
      </c>
    </row>
    <row r="196" spans="1:14" x14ac:dyDescent="0.2">
      <c r="A196" s="601" t="s">
        <v>593</v>
      </c>
      <c r="B196" s="612">
        <f>1/('Prod. GEXCAN'!Q18*'Prod. GEXCAN'!N18)*16*(1/188.76)</f>
        <v>1.2392356889964548E-5</v>
      </c>
      <c r="C196" s="600">
        <f>I136</f>
        <v>0</v>
      </c>
      <c r="D196" s="600">
        <f>B196*C196</f>
        <v>0</v>
      </c>
      <c r="E196" s="600">
        <f>I136</f>
        <v>0</v>
      </c>
      <c r="F196" s="600">
        <f>B196*E196</f>
        <v>0</v>
      </c>
      <c r="G196" s="600">
        <f>I136</f>
        <v>0</v>
      </c>
      <c r="H196" s="600">
        <f>B196*G196</f>
        <v>0</v>
      </c>
      <c r="I196" s="600">
        <f>I136</f>
        <v>0</v>
      </c>
      <c r="J196" s="600">
        <f>B196*I196</f>
        <v>0</v>
      </c>
      <c r="K196" s="600">
        <f>I136</f>
        <v>0</v>
      </c>
      <c r="L196" s="600">
        <f>B196*K196</f>
        <v>0</v>
      </c>
      <c r="M196" s="872"/>
      <c r="N196" s="872"/>
    </row>
    <row r="197" spans="1:14" x14ac:dyDescent="0.2">
      <c r="A197" s="623" t="s">
        <v>614</v>
      </c>
      <c r="B197" s="624"/>
      <c r="C197" s="625"/>
      <c r="D197" s="626">
        <f>SUM(D195:D196)</f>
        <v>0</v>
      </c>
      <c r="E197" s="625"/>
      <c r="F197" s="626">
        <f>SUM(F195:F196)</f>
        <v>0</v>
      </c>
      <c r="G197" s="625"/>
      <c r="H197" s="626">
        <f>SUM(H195:H196)</f>
        <v>0</v>
      </c>
      <c r="I197" s="625"/>
      <c r="J197" s="626">
        <f>SUM(J195:J196)</f>
        <v>0</v>
      </c>
      <c r="K197" s="625"/>
      <c r="L197" s="626">
        <f>SUM(L195:L196)</f>
        <v>0</v>
      </c>
      <c r="M197" s="606"/>
      <c r="N197" s="607"/>
    </row>
    <row r="198" spans="1:14" x14ac:dyDescent="0.2">
      <c r="A198" s="595"/>
    </row>
  </sheetData>
  <mergeCells count="86">
    <mergeCell ref="M190:N190"/>
    <mergeCell ref="M193:N193"/>
    <mergeCell ref="M196:N196"/>
    <mergeCell ref="K175:L175"/>
    <mergeCell ref="M178:N178"/>
    <mergeCell ref="K187:L187"/>
    <mergeCell ref="A187:B187"/>
    <mergeCell ref="C187:D187"/>
    <mergeCell ref="E187:F187"/>
    <mergeCell ref="G187:H187"/>
    <mergeCell ref="I187:J187"/>
    <mergeCell ref="A175:B175"/>
    <mergeCell ref="C175:D175"/>
    <mergeCell ref="E175:F175"/>
    <mergeCell ref="G175:H175"/>
    <mergeCell ref="I175:J175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M154:N154"/>
    <mergeCell ref="A157:B157"/>
    <mergeCell ref="C157:D157"/>
    <mergeCell ref="E157:F157"/>
    <mergeCell ref="G157:H157"/>
    <mergeCell ref="I157:J157"/>
    <mergeCell ref="K157:L157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A132:B132"/>
    <mergeCell ref="A133:B133"/>
    <mergeCell ref="A145:B145"/>
    <mergeCell ref="C145:D145"/>
    <mergeCell ref="E145:F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I119"/>
    <mergeCell ref="A120:I120"/>
    <mergeCell ref="A121:B121"/>
    <mergeCell ref="A21:I21"/>
    <mergeCell ref="A50:I50"/>
    <mergeCell ref="A51:I51"/>
    <mergeCell ref="A61:I61"/>
    <mergeCell ref="A62:I62"/>
    <mergeCell ref="C8:D8"/>
    <mergeCell ref="E8:F8"/>
    <mergeCell ref="A9:I9"/>
    <mergeCell ref="A11:I11"/>
    <mergeCell ref="A20:B20"/>
    <mergeCell ref="C5:D5"/>
    <mergeCell ref="E5:F5"/>
    <mergeCell ref="C6:D6"/>
    <mergeCell ref="E6:F6"/>
    <mergeCell ref="C7:D7"/>
    <mergeCell ref="E7:F7"/>
    <mergeCell ref="A1:I1"/>
    <mergeCell ref="A2:I2"/>
    <mergeCell ref="A3:I3"/>
    <mergeCell ref="C4:D4"/>
    <mergeCell ref="E4:F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F139"/>
  <sheetViews>
    <sheetView zoomScale="75" zoomScaleNormal="75" workbookViewId="0">
      <pane ySplit="10" topLeftCell="A11" activePane="bottomLeft" state="frozen"/>
      <selection pane="bottomLeft" activeCell="B130" sqref="B130"/>
    </sheetView>
  </sheetViews>
  <sheetFormatPr defaultRowHeight="14.25" x14ac:dyDescent="0.2"/>
  <cols>
    <col min="1" max="1" width="55.5" style="427" customWidth="1"/>
    <col min="2" max="5" width="14" style="427" customWidth="1"/>
    <col min="6" max="1020" width="9" style="427" customWidth="1"/>
    <col min="1021" max="1025" width="8.625" customWidth="1"/>
  </cols>
  <sheetData>
    <row r="1" spans="1:5" ht="15.75" x14ac:dyDescent="0.2">
      <c r="A1" s="849" t="s">
        <v>464</v>
      </c>
      <c r="B1" s="849"/>
      <c r="C1" s="849"/>
      <c r="D1" s="849"/>
      <c r="E1" s="849"/>
    </row>
    <row r="2" spans="1:5" ht="15.75" x14ac:dyDescent="0.2">
      <c r="A2" s="850" t="s">
        <v>465</v>
      </c>
      <c r="B2" s="850"/>
      <c r="C2" s="850"/>
      <c r="D2" s="850"/>
      <c r="E2" s="850"/>
    </row>
    <row r="3" spans="1:5" ht="15.75" customHeight="1" x14ac:dyDescent="0.2">
      <c r="A3" s="850" t="s">
        <v>466</v>
      </c>
      <c r="B3" s="850"/>
      <c r="C3" s="850"/>
      <c r="D3" s="850"/>
      <c r="E3" s="850"/>
    </row>
    <row r="4" spans="1:5" ht="15.75" x14ac:dyDescent="0.2">
      <c r="A4" s="428"/>
      <c r="B4" s="429"/>
      <c r="C4" s="430" t="s">
        <v>467</v>
      </c>
      <c r="D4" s="433" t="s">
        <v>468</v>
      </c>
      <c r="E4" s="433" t="s">
        <v>469</v>
      </c>
    </row>
    <row r="5" spans="1:5" x14ac:dyDescent="0.2">
      <c r="A5" s="434"/>
      <c r="B5" s="435" t="s">
        <v>472</v>
      </c>
      <c r="C5" s="436">
        <f>MC!$D11</f>
        <v>0</v>
      </c>
      <c r="D5" s="436">
        <f>MC!$E11</f>
        <v>0</v>
      </c>
      <c r="E5" s="438">
        <f>MC!$F11</f>
        <v>0</v>
      </c>
    </row>
    <row r="6" spans="1:5" x14ac:dyDescent="0.2">
      <c r="A6" s="434"/>
      <c r="B6" s="435" t="s">
        <v>473</v>
      </c>
      <c r="C6" s="439">
        <f>MC!$E8</f>
        <v>44562</v>
      </c>
      <c r="D6" s="439">
        <f>MC!$E8</f>
        <v>44562</v>
      </c>
      <c r="E6" s="441">
        <f>MC!$E8</f>
        <v>44562</v>
      </c>
    </row>
    <row r="7" spans="1:5" x14ac:dyDescent="0.2">
      <c r="A7" s="434"/>
      <c r="B7" s="435" t="s">
        <v>474</v>
      </c>
      <c r="C7" s="439" t="str">
        <f>MC!$C8</f>
        <v>RS005021/2021</v>
      </c>
      <c r="D7" s="439" t="str">
        <f>MC!$C8</f>
        <v>RS005021/2021</v>
      </c>
      <c r="E7" s="441" t="str">
        <f>MC!$C8</f>
        <v>RS005021/2021</v>
      </c>
    </row>
    <row r="8" spans="1:5" x14ac:dyDescent="0.2">
      <c r="A8" s="434"/>
      <c r="B8" s="435" t="s">
        <v>475</v>
      </c>
      <c r="C8" s="442" t="str">
        <f>MC!$F8</f>
        <v>5143-20</v>
      </c>
      <c r="D8" s="442" t="str">
        <f>MC!$F8</f>
        <v>5143-20</v>
      </c>
      <c r="E8" s="444" t="str">
        <f>MC!$F8</f>
        <v>5143-20</v>
      </c>
    </row>
    <row r="9" spans="1:5" x14ac:dyDescent="0.2">
      <c r="A9" s="863"/>
      <c r="B9" s="863"/>
      <c r="C9" s="863"/>
      <c r="D9" s="863"/>
      <c r="E9" s="863"/>
    </row>
    <row r="10" spans="1:5" ht="66.75" customHeight="1" x14ac:dyDescent="0.2">
      <c r="A10" s="445" t="s">
        <v>476</v>
      </c>
      <c r="B10" s="446" t="s">
        <v>477</v>
      </c>
      <c r="C10" s="446" t="s">
        <v>615</v>
      </c>
      <c r="D10" s="627" t="s">
        <v>616</v>
      </c>
      <c r="E10" s="628" t="s">
        <v>617</v>
      </c>
    </row>
    <row r="11" spans="1:5" ht="14.25" customHeight="1" x14ac:dyDescent="0.2">
      <c r="A11" s="858" t="s">
        <v>485</v>
      </c>
      <c r="B11" s="858"/>
      <c r="C11" s="858"/>
      <c r="D11" s="858"/>
      <c r="E11" s="858"/>
    </row>
    <row r="12" spans="1:5" ht="14.25" customHeight="1" x14ac:dyDescent="0.2">
      <c r="A12" s="450" t="s">
        <v>486</v>
      </c>
      <c r="B12" s="451" t="s">
        <v>487</v>
      </c>
      <c r="C12" s="451" t="s">
        <v>488</v>
      </c>
      <c r="D12" s="629" t="s">
        <v>488</v>
      </c>
      <c r="E12" s="630" t="s">
        <v>488</v>
      </c>
    </row>
    <row r="13" spans="1:5" ht="14.25" customHeight="1" x14ac:dyDescent="0.2">
      <c r="A13" s="453" t="s">
        <v>489</v>
      </c>
      <c r="B13" s="454"/>
      <c r="C13" s="455">
        <f>C5</f>
        <v>0</v>
      </c>
      <c r="D13" s="455">
        <f>D5</f>
        <v>0</v>
      </c>
      <c r="E13" s="457">
        <f>E5</f>
        <v>0</v>
      </c>
    </row>
    <row r="14" spans="1:5" ht="14.25" customHeight="1" x14ac:dyDescent="0.2">
      <c r="A14" s="453" t="s">
        <v>490</v>
      </c>
      <c r="B14" s="477">
        <v>0.2</v>
      </c>
      <c r="C14" s="455">
        <f>C13*$B$14</f>
        <v>0</v>
      </c>
      <c r="D14" s="631">
        <f>D13*$B$14</f>
        <v>0</v>
      </c>
      <c r="E14" s="632">
        <f>E13*$B$14</f>
        <v>0</v>
      </c>
    </row>
    <row r="15" spans="1:5" ht="14.25" customHeight="1" x14ac:dyDescent="0.2">
      <c r="A15" s="453" t="s">
        <v>492</v>
      </c>
      <c r="B15" s="461"/>
      <c r="C15" s="455"/>
      <c r="D15" s="633"/>
      <c r="E15" s="457"/>
    </row>
    <row r="16" spans="1:5" ht="14.25" customHeight="1" x14ac:dyDescent="0.2">
      <c r="A16" s="453" t="s">
        <v>493</v>
      </c>
      <c r="B16" s="461"/>
      <c r="C16" s="455"/>
      <c r="D16" s="633"/>
      <c r="E16" s="457"/>
    </row>
    <row r="17" spans="1:5" ht="14.25" customHeight="1" x14ac:dyDescent="0.2">
      <c r="A17" s="453" t="s">
        <v>494</v>
      </c>
      <c r="B17" s="461"/>
      <c r="C17" s="455"/>
      <c r="D17" s="633"/>
      <c r="E17" s="457"/>
    </row>
    <row r="18" spans="1:5" ht="14.25" customHeight="1" x14ac:dyDescent="0.2">
      <c r="A18" s="453" t="s">
        <v>495</v>
      </c>
      <c r="B18" s="463"/>
      <c r="C18" s="455"/>
      <c r="D18" s="633"/>
      <c r="E18" s="457"/>
    </row>
    <row r="19" spans="1:5" ht="14.25" customHeight="1" x14ac:dyDescent="0.2">
      <c r="A19" s="464" t="s">
        <v>496</v>
      </c>
      <c r="B19" s="465"/>
      <c r="C19" s="479">
        <f>SUM(C13:C18)</f>
        <v>0</v>
      </c>
      <c r="D19" s="634">
        <f>SUM(D13:D18)</f>
        <v>0</v>
      </c>
      <c r="E19" s="635">
        <f>SUM(E13:E18)</f>
        <v>0</v>
      </c>
    </row>
    <row r="20" spans="1:5" ht="14.25" customHeight="1" x14ac:dyDescent="0.2">
      <c r="A20" s="860"/>
      <c r="B20" s="860"/>
      <c r="C20" s="860"/>
      <c r="D20" s="860"/>
      <c r="E20" s="860"/>
    </row>
    <row r="21" spans="1:5" ht="14.25" customHeight="1" x14ac:dyDescent="0.2">
      <c r="A21" s="875" t="s">
        <v>497</v>
      </c>
      <c r="B21" s="875"/>
      <c r="C21" s="875"/>
      <c r="D21" s="875"/>
      <c r="E21" s="875"/>
    </row>
    <row r="22" spans="1:5" ht="14.25" customHeight="1" x14ac:dyDescent="0.2">
      <c r="A22" s="473" t="s">
        <v>498</v>
      </c>
      <c r="B22" s="474" t="s">
        <v>487</v>
      </c>
      <c r="C22" s="474" t="s">
        <v>488</v>
      </c>
      <c r="D22" s="474" t="s">
        <v>488</v>
      </c>
      <c r="E22" s="475" t="s">
        <v>488</v>
      </c>
    </row>
    <row r="23" spans="1:5" ht="14.25" customHeight="1" x14ac:dyDescent="0.2">
      <c r="A23" s="476" t="s">
        <v>499</v>
      </c>
      <c r="B23" s="477">
        <f>1/12</f>
        <v>8.3333333333333329E-2</v>
      </c>
      <c r="C23" s="455">
        <f>ROUND($B23*C$19,2)</f>
        <v>0</v>
      </c>
      <c r="D23" s="633">
        <f>ROUND($B23*D$19,2)</f>
        <v>0</v>
      </c>
      <c r="E23" s="457">
        <f>ROUND($B23*E$19,2)</f>
        <v>0</v>
      </c>
    </row>
    <row r="24" spans="1:5" ht="14.25" customHeight="1" x14ac:dyDescent="0.2">
      <c r="A24" s="476" t="s">
        <v>500</v>
      </c>
      <c r="B24" s="477">
        <f>1/3*1/12</f>
        <v>2.7777777777777776E-2</v>
      </c>
      <c r="C24" s="455">
        <f>C$19*$B$24</f>
        <v>0</v>
      </c>
      <c r="D24" s="633">
        <f>D$19*$B$24</f>
        <v>0</v>
      </c>
      <c r="E24" s="457">
        <f>E$19*$B$24</f>
        <v>0</v>
      </c>
    </row>
    <row r="25" spans="1:5" ht="14.25" customHeight="1" x14ac:dyDescent="0.2">
      <c r="A25" s="464" t="s">
        <v>496</v>
      </c>
      <c r="B25" s="478">
        <f>SUM(B23:B24)</f>
        <v>0.1111111111111111</v>
      </c>
      <c r="C25" s="479">
        <f>SUM(C23:C24)</f>
        <v>0</v>
      </c>
      <c r="D25" s="636">
        <f>SUM(D23:D24)</f>
        <v>0</v>
      </c>
      <c r="E25" s="480">
        <f>SUM(E23:E24)</f>
        <v>0</v>
      </c>
    </row>
    <row r="26" spans="1:5" ht="14.25" customHeight="1" x14ac:dyDescent="0.2">
      <c r="A26" s="473" t="s">
        <v>501</v>
      </c>
      <c r="B26" s="474" t="s">
        <v>487</v>
      </c>
      <c r="C26" s="474" t="s">
        <v>488</v>
      </c>
      <c r="D26" s="637" t="s">
        <v>488</v>
      </c>
      <c r="E26" s="475" t="s">
        <v>488</v>
      </c>
    </row>
    <row r="27" spans="1:5" ht="14.25" customHeight="1" x14ac:dyDescent="0.2">
      <c r="A27" s="473" t="s">
        <v>502</v>
      </c>
      <c r="B27" s="481"/>
      <c r="C27" s="481"/>
      <c r="D27" s="638"/>
      <c r="E27" s="483"/>
    </row>
    <row r="28" spans="1:5" ht="14.25" customHeight="1" x14ac:dyDescent="0.2">
      <c r="A28" s="476" t="s">
        <v>503</v>
      </c>
      <c r="B28" s="477">
        <v>0.2</v>
      </c>
      <c r="C28" s="639">
        <f t="shared" ref="C28:E35" si="0">ROUND((C$19+C$25)*$B28,2)</f>
        <v>0</v>
      </c>
      <c r="D28" s="484">
        <f t="shared" si="0"/>
        <v>0</v>
      </c>
      <c r="E28" s="485">
        <f t="shared" si="0"/>
        <v>0</v>
      </c>
    </row>
    <row r="29" spans="1:5" ht="14.25" customHeight="1" x14ac:dyDescent="0.2">
      <c r="A29" s="476" t="s">
        <v>504</v>
      </c>
      <c r="B29" s="477">
        <v>2.5000000000000001E-2</v>
      </c>
      <c r="C29" s="640">
        <f t="shared" si="0"/>
        <v>0</v>
      </c>
      <c r="D29" s="484">
        <f t="shared" si="0"/>
        <v>0</v>
      </c>
      <c r="E29" s="485">
        <f t="shared" si="0"/>
        <v>0</v>
      </c>
    </row>
    <row r="30" spans="1:5" ht="14.25" customHeight="1" x14ac:dyDescent="0.2">
      <c r="A30" s="476" t="s">
        <v>505</v>
      </c>
      <c r="B30" s="477">
        <v>0.03</v>
      </c>
      <c r="C30" s="640">
        <f t="shared" si="0"/>
        <v>0</v>
      </c>
      <c r="D30" s="484">
        <f t="shared" si="0"/>
        <v>0</v>
      </c>
      <c r="E30" s="485">
        <f t="shared" si="0"/>
        <v>0</v>
      </c>
    </row>
    <row r="31" spans="1:5" ht="14.25" customHeight="1" x14ac:dyDescent="0.2">
      <c r="A31" s="476" t="s">
        <v>506</v>
      </c>
      <c r="B31" s="477">
        <v>1.4999999999999999E-2</v>
      </c>
      <c r="C31" s="640">
        <f t="shared" si="0"/>
        <v>0</v>
      </c>
      <c r="D31" s="484">
        <f t="shared" si="0"/>
        <v>0</v>
      </c>
      <c r="E31" s="485">
        <f t="shared" si="0"/>
        <v>0</v>
      </c>
    </row>
    <row r="32" spans="1:5" ht="14.25" customHeight="1" x14ac:dyDescent="0.2">
      <c r="A32" s="476" t="s">
        <v>507</v>
      </c>
      <c r="B32" s="477">
        <v>0.01</v>
      </c>
      <c r="C32" s="640">
        <f t="shared" si="0"/>
        <v>0</v>
      </c>
      <c r="D32" s="484">
        <f t="shared" si="0"/>
        <v>0</v>
      </c>
      <c r="E32" s="485">
        <f t="shared" si="0"/>
        <v>0</v>
      </c>
    </row>
    <row r="33" spans="1:5" ht="14.25" customHeight="1" x14ac:dyDescent="0.2">
      <c r="A33" s="476" t="s">
        <v>508</v>
      </c>
      <c r="B33" s="477">
        <v>6.0000000000000001E-3</v>
      </c>
      <c r="C33" s="640">
        <f t="shared" si="0"/>
        <v>0</v>
      </c>
      <c r="D33" s="484">
        <f t="shared" si="0"/>
        <v>0</v>
      </c>
      <c r="E33" s="485">
        <f t="shared" si="0"/>
        <v>0</v>
      </c>
    </row>
    <row r="34" spans="1:5" ht="14.25" customHeight="1" x14ac:dyDescent="0.2">
      <c r="A34" s="476" t="s">
        <v>509</v>
      </c>
      <c r="B34" s="477">
        <v>2E-3</v>
      </c>
      <c r="C34" s="640">
        <f t="shared" si="0"/>
        <v>0</v>
      </c>
      <c r="D34" s="484">
        <f t="shared" si="0"/>
        <v>0</v>
      </c>
      <c r="E34" s="485">
        <f t="shared" si="0"/>
        <v>0</v>
      </c>
    </row>
    <row r="35" spans="1:5" ht="14.25" customHeight="1" x14ac:dyDescent="0.2">
      <c r="A35" s="476" t="s">
        <v>510</v>
      </c>
      <c r="B35" s="477">
        <v>0.08</v>
      </c>
      <c r="C35" s="640">
        <f t="shared" si="0"/>
        <v>0</v>
      </c>
      <c r="D35" s="484">
        <f t="shared" si="0"/>
        <v>0</v>
      </c>
      <c r="E35" s="485">
        <f t="shared" si="0"/>
        <v>0</v>
      </c>
    </row>
    <row r="36" spans="1:5" ht="14.25" customHeight="1" x14ac:dyDescent="0.2">
      <c r="A36" s="464" t="s">
        <v>496</v>
      </c>
      <c r="B36" s="478">
        <f>SUM(B28:B35)</f>
        <v>0.36800000000000005</v>
      </c>
      <c r="C36" s="479">
        <f>SUM(C27:C35)</f>
        <v>0</v>
      </c>
      <c r="D36" s="479">
        <f>SUM(D27:D35)</f>
        <v>0</v>
      </c>
      <c r="E36" s="480">
        <f>SUM(E27:E35)</f>
        <v>0</v>
      </c>
    </row>
    <row r="37" spans="1:5" ht="14.25" customHeight="1" x14ac:dyDescent="0.2">
      <c r="A37" s="473" t="s">
        <v>511</v>
      </c>
      <c r="B37" s="474" t="s">
        <v>512</v>
      </c>
      <c r="C37" s="474" t="s">
        <v>488</v>
      </c>
      <c r="D37" s="637" t="s">
        <v>488</v>
      </c>
      <c r="E37" s="475" t="s">
        <v>488</v>
      </c>
    </row>
    <row r="38" spans="1:5" ht="14.25" customHeight="1" x14ac:dyDescent="0.2">
      <c r="A38" s="476" t="s">
        <v>513</v>
      </c>
      <c r="B38" s="486">
        <f>MC!D85</f>
        <v>0</v>
      </c>
      <c r="C38" s="455">
        <f>ROUND(((2*22*$B$38)-0.06*C$13),2)</f>
        <v>0</v>
      </c>
      <c r="D38" s="633">
        <f>ROUND(((2*22*$B$38)-0.06*D$13),2)</f>
        <v>0</v>
      </c>
      <c r="E38" s="457">
        <f>ROUND(((2*22*$B$38)-0.06*E$13),2)</f>
        <v>0</v>
      </c>
    </row>
    <row r="39" spans="1:5" ht="14.25" customHeight="1" x14ac:dyDescent="0.2">
      <c r="A39" s="476" t="s">
        <v>514</v>
      </c>
      <c r="B39" s="487"/>
      <c r="C39" s="484">
        <f>MC!E19</f>
        <v>0</v>
      </c>
      <c r="D39" s="640">
        <f>MC!E20</f>
        <v>0</v>
      </c>
      <c r="E39" s="485">
        <f>MC!E20</f>
        <v>0</v>
      </c>
    </row>
    <row r="40" spans="1:5" ht="14.25" customHeight="1" x14ac:dyDescent="0.2">
      <c r="A40" s="476" t="s">
        <v>515</v>
      </c>
      <c r="B40" s="477">
        <f>MC!C24</f>
        <v>0</v>
      </c>
      <c r="C40" s="484"/>
      <c r="D40" s="640"/>
      <c r="E40" s="485"/>
    </row>
    <row r="41" spans="1:5" ht="14.25" customHeight="1" x14ac:dyDescent="0.2">
      <c r="A41" s="476" t="s">
        <v>618</v>
      </c>
      <c r="B41" s="490">
        <f>MC!E26</f>
        <v>0</v>
      </c>
      <c r="C41" s="484">
        <f>B41</f>
        <v>0</v>
      </c>
      <c r="D41" s="640">
        <f>B41</f>
        <v>0</v>
      </c>
      <c r="E41" s="485"/>
    </row>
    <row r="42" spans="1:5" ht="14.25" customHeight="1" x14ac:dyDescent="0.2">
      <c r="A42" s="476" t="s">
        <v>619</v>
      </c>
      <c r="B42" s="490">
        <f>MC!E27</f>
        <v>0</v>
      </c>
      <c r="C42" s="484">
        <f>$B42</f>
        <v>0</v>
      </c>
      <c r="D42" s="484">
        <f>$B42</f>
        <v>0</v>
      </c>
      <c r="E42" s="485">
        <f>$B42</f>
        <v>0</v>
      </c>
    </row>
    <row r="43" spans="1:5" ht="14.25" customHeight="1" x14ac:dyDescent="0.2">
      <c r="A43" s="476" t="s">
        <v>518</v>
      </c>
      <c r="B43" s="477"/>
      <c r="C43" s="484"/>
      <c r="D43" s="640"/>
      <c r="E43" s="485"/>
    </row>
    <row r="44" spans="1:5" ht="14.25" customHeight="1" x14ac:dyDescent="0.2">
      <c r="A44" s="464" t="s">
        <v>496</v>
      </c>
      <c r="B44" s="465"/>
      <c r="C44" s="479">
        <f>SUM(C38:C43)</f>
        <v>0</v>
      </c>
      <c r="D44" s="636">
        <f>SUM(D38:D43)</f>
        <v>0</v>
      </c>
      <c r="E44" s="480">
        <f>SUM(E38:E43)</f>
        <v>0</v>
      </c>
    </row>
    <row r="45" spans="1:5" ht="14.25" customHeight="1" x14ac:dyDescent="0.2">
      <c r="A45" s="450" t="s">
        <v>519</v>
      </c>
      <c r="B45" s="451" t="s">
        <v>487</v>
      </c>
      <c r="C45" s="451" t="s">
        <v>488</v>
      </c>
      <c r="D45" s="641" t="s">
        <v>488</v>
      </c>
      <c r="E45" s="452" t="s">
        <v>488</v>
      </c>
    </row>
    <row r="46" spans="1:5" ht="14.25" customHeight="1" x14ac:dyDescent="0.2">
      <c r="A46" s="476" t="s">
        <v>498</v>
      </c>
      <c r="B46" s="493">
        <f>B25</f>
        <v>0.1111111111111111</v>
      </c>
      <c r="C46" s="494">
        <f>C25</f>
        <v>0</v>
      </c>
      <c r="D46" s="642">
        <f>D25</f>
        <v>0</v>
      </c>
      <c r="E46" s="495">
        <f>E25</f>
        <v>0</v>
      </c>
    </row>
    <row r="47" spans="1:5" ht="14.25" customHeight="1" x14ac:dyDescent="0.2">
      <c r="A47" s="476" t="s">
        <v>520</v>
      </c>
      <c r="B47" s="493">
        <f>B36</f>
        <v>0.36800000000000005</v>
      </c>
      <c r="C47" s="494">
        <f>C36</f>
        <v>0</v>
      </c>
      <c r="D47" s="642">
        <f>D36</f>
        <v>0</v>
      </c>
      <c r="E47" s="495">
        <f>E36</f>
        <v>0</v>
      </c>
    </row>
    <row r="48" spans="1:5" ht="14.25" customHeight="1" x14ac:dyDescent="0.2">
      <c r="A48" s="476" t="s">
        <v>511</v>
      </c>
      <c r="B48" s="493"/>
      <c r="C48" s="494">
        <f>C44</f>
        <v>0</v>
      </c>
      <c r="D48" s="642">
        <f>D44</f>
        <v>0</v>
      </c>
      <c r="E48" s="495">
        <f>E44</f>
        <v>0</v>
      </c>
    </row>
    <row r="49" spans="1:5" ht="14.25" customHeight="1" x14ac:dyDescent="0.2">
      <c r="A49" s="464" t="s">
        <v>496</v>
      </c>
      <c r="B49" s="465"/>
      <c r="C49" s="479">
        <f>SUM(C46:C48)</f>
        <v>0</v>
      </c>
      <c r="D49" s="634">
        <f>SUM(D46:D48)</f>
        <v>0</v>
      </c>
      <c r="E49" s="635">
        <f>SUM(E46:E48)</f>
        <v>0</v>
      </c>
    </row>
    <row r="50" spans="1:5" ht="14.25" customHeight="1" x14ac:dyDescent="0.2">
      <c r="A50" s="860"/>
      <c r="B50" s="860"/>
      <c r="C50" s="860"/>
      <c r="D50" s="860"/>
      <c r="E50" s="860"/>
    </row>
    <row r="51" spans="1:5" s="496" customFormat="1" ht="14.25" customHeight="1" x14ac:dyDescent="0.2">
      <c r="A51" s="876" t="s">
        <v>521</v>
      </c>
      <c r="B51" s="876"/>
      <c r="C51" s="876"/>
      <c r="D51" s="876"/>
      <c r="E51" s="876"/>
    </row>
    <row r="52" spans="1:5" ht="14.25" customHeight="1" x14ac:dyDescent="0.2">
      <c r="A52" s="450" t="s">
        <v>522</v>
      </c>
      <c r="B52" s="451" t="s">
        <v>487</v>
      </c>
      <c r="C52" s="643" t="s">
        <v>488</v>
      </c>
      <c r="D52" s="451" t="s">
        <v>488</v>
      </c>
      <c r="E52" s="452" t="s">
        <v>488</v>
      </c>
    </row>
    <row r="53" spans="1:5" ht="14.25" customHeight="1" x14ac:dyDescent="0.2">
      <c r="A53" s="473" t="s">
        <v>523</v>
      </c>
      <c r="B53" s="497"/>
      <c r="C53" s="497"/>
      <c r="D53" s="644"/>
      <c r="E53" s="645"/>
    </row>
    <row r="54" spans="1:5" ht="14.25" customHeight="1" x14ac:dyDescent="0.2">
      <c r="A54" s="476" t="s">
        <v>524</v>
      </c>
      <c r="B54" s="493">
        <f>1/12*0.05</f>
        <v>4.1666666666666666E-3</v>
      </c>
      <c r="C54" s="500">
        <f>C19*$B54</f>
        <v>0</v>
      </c>
      <c r="D54" s="646">
        <f>D19*$B54</f>
        <v>0</v>
      </c>
      <c r="E54" s="501">
        <f>E19*$B54</f>
        <v>0</v>
      </c>
    </row>
    <row r="55" spans="1:5" ht="14.25" customHeight="1" x14ac:dyDescent="0.2">
      <c r="A55" s="476" t="s">
        <v>525</v>
      </c>
      <c r="B55" s="493">
        <f>B35*B54</f>
        <v>3.3333333333333332E-4</v>
      </c>
      <c r="C55" s="500">
        <f>$B$55*C19</f>
        <v>0</v>
      </c>
      <c r="D55" s="646">
        <f>$B$55*D19</f>
        <v>0</v>
      </c>
      <c r="E55" s="501">
        <f>$B$55*E19</f>
        <v>0</v>
      </c>
    </row>
    <row r="56" spans="1:5" ht="14.25" customHeight="1" x14ac:dyDescent="0.2">
      <c r="A56" s="476" t="s">
        <v>526</v>
      </c>
      <c r="B56" s="493">
        <v>0</v>
      </c>
      <c r="C56" s="500">
        <f>C35*$B56</f>
        <v>0</v>
      </c>
      <c r="D56" s="646">
        <f>D35*$B56</f>
        <v>0</v>
      </c>
      <c r="E56" s="501">
        <f>E35*$B56</f>
        <v>0</v>
      </c>
    </row>
    <row r="57" spans="1:5" ht="14.25" customHeight="1" x14ac:dyDescent="0.2">
      <c r="A57" s="476" t="s">
        <v>527</v>
      </c>
      <c r="B57" s="493">
        <f>1/12*1/30*7</f>
        <v>1.9444444444444441E-2</v>
      </c>
      <c r="C57" s="494">
        <f>C19*$B57</f>
        <v>0</v>
      </c>
      <c r="D57" s="642">
        <f>D19*$B57</f>
        <v>0</v>
      </c>
      <c r="E57" s="495">
        <f>E19*$B57</f>
        <v>0</v>
      </c>
    </row>
    <row r="58" spans="1:5" ht="14.25" customHeight="1" x14ac:dyDescent="0.2">
      <c r="A58" s="476" t="s">
        <v>528</v>
      </c>
      <c r="B58" s="493">
        <f>B36*B57</f>
        <v>7.1555555555555556E-3</v>
      </c>
      <c r="C58" s="494">
        <f>$B58*C19</f>
        <v>0</v>
      </c>
      <c r="D58" s="642">
        <f>$B58*D19</f>
        <v>0</v>
      </c>
      <c r="E58" s="495">
        <f>$B58*E19</f>
        <v>0</v>
      </c>
    </row>
    <row r="59" spans="1:5" ht="14.25" customHeight="1" x14ac:dyDescent="0.2">
      <c r="A59" s="476" t="s">
        <v>529</v>
      </c>
      <c r="B59" s="493">
        <f>B35*40/100*90/100*(1+1/12+1/12+1/3*1/12)</f>
        <v>3.4399999999999993E-2</v>
      </c>
      <c r="C59" s="494">
        <f>C19*$B59</f>
        <v>0</v>
      </c>
      <c r="D59" s="642">
        <f>D19*$B59</f>
        <v>0</v>
      </c>
      <c r="E59" s="495">
        <f>E19*$B59</f>
        <v>0</v>
      </c>
    </row>
    <row r="60" spans="1:5" ht="14.25" customHeight="1" x14ac:dyDescent="0.2">
      <c r="A60" s="464" t="s">
        <v>496</v>
      </c>
      <c r="B60" s="478">
        <f>SUM(B54:B59)</f>
        <v>6.5499999999999989E-2</v>
      </c>
      <c r="C60" s="466">
        <f>SUM(C54:C59)</f>
        <v>0</v>
      </c>
      <c r="D60" s="647">
        <f>SUM(D54:D59)</f>
        <v>0</v>
      </c>
      <c r="E60" s="648">
        <f>SUM(E54:E59)</f>
        <v>0</v>
      </c>
    </row>
    <row r="61" spans="1:5" ht="14.25" customHeight="1" x14ac:dyDescent="0.2">
      <c r="A61" s="860"/>
      <c r="B61" s="860"/>
      <c r="C61" s="860"/>
      <c r="D61" s="860"/>
      <c r="E61" s="860"/>
    </row>
    <row r="62" spans="1:5" ht="14.25" customHeight="1" x14ac:dyDescent="0.2">
      <c r="A62" s="877" t="s">
        <v>530</v>
      </c>
      <c r="B62" s="877"/>
      <c r="C62" s="877"/>
      <c r="D62" s="877"/>
      <c r="E62" s="877"/>
    </row>
    <row r="63" spans="1:5" ht="14.25" customHeight="1" x14ac:dyDescent="0.2">
      <c r="A63" s="473" t="s">
        <v>43</v>
      </c>
      <c r="B63" s="474" t="s">
        <v>487</v>
      </c>
      <c r="C63" s="474" t="s">
        <v>488</v>
      </c>
      <c r="D63" s="474" t="s">
        <v>488</v>
      </c>
      <c r="E63" s="475" t="s">
        <v>488</v>
      </c>
    </row>
    <row r="64" spans="1:5" ht="14.25" customHeight="1" x14ac:dyDescent="0.2">
      <c r="A64" s="476" t="s">
        <v>44</v>
      </c>
      <c r="B64" s="477">
        <f>1/12</f>
        <v>8.3333333333333329E-2</v>
      </c>
      <c r="C64" s="639">
        <f t="shared" ref="C64:E67" si="1">$B64*(C$19+C$49+C$60)</f>
        <v>0</v>
      </c>
      <c r="D64" s="649">
        <f t="shared" si="1"/>
        <v>0</v>
      </c>
      <c r="E64" s="650">
        <f t="shared" si="1"/>
        <v>0</v>
      </c>
    </row>
    <row r="65" spans="1:5" ht="14.25" customHeight="1" x14ac:dyDescent="0.2">
      <c r="A65" s="476" t="s">
        <v>531</v>
      </c>
      <c r="B65" s="477">
        <f>MC!E54/30/12</f>
        <v>1.3538888888888885E-2</v>
      </c>
      <c r="C65" s="640">
        <f t="shared" si="1"/>
        <v>0</v>
      </c>
      <c r="D65" s="484">
        <f t="shared" si="1"/>
        <v>0</v>
      </c>
      <c r="E65" s="485">
        <f t="shared" si="1"/>
        <v>0</v>
      </c>
    </row>
    <row r="66" spans="1:5" ht="14.25" customHeight="1" x14ac:dyDescent="0.2">
      <c r="A66" s="476" t="s">
        <v>532</v>
      </c>
      <c r="B66" s="502">
        <f>(5/30)/12*MC!F56*MC!C57</f>
        <v>1.0764583333333333E-4</v>
      </c>
      <c r="C66" s="640">
        <f t="shared" si="1"/>
        <v>0</v>
      </c>
      <c r="D66" s="484">
        <f t="shared" si="1"/>
        <v>0</v>
      </c>
      <c r="E66" s="485">
        <f t="shared" si="1"/>
        <v>0</v>
      </c>
    </row>
    <row r="67" spans="1:5" ht="14.25" customHeight="1" x14ac:dyDescent="0.2">
      <c r="A67" s="476" t="s">
        <v>533</v>
      </c>
      <c r="B67" s="502">
        <f>MC!C59/30/12</f>
        <v>2.6830555555555553E-3</v>
      </c>
      <c r="C67" s="640">
        <f t="shared" si="1"/>
        <v>0</v>
      </c>
      <c r="D67" s="484">
        <f t="shared" si="1"/>
        <v>0</v>
      </c>
      <c r="E67" s="485">
        <f t="shared" si="1"/>
        <v>0</v>
      </c>
    </row>
    <row r="68" spans="1:5" ht="14.25" customHeight="1" x14ac:dyDescent="0.2">
      <c r="A68" s="476" t="s">
        <v>495</v>
      </c>
      <c r="B68" s="477"/>
      <c r="C68" s="484"/>
      <c r="D68" s="484"/>
      <c r="E68" s="485"/>
    </row>
    <row r="69" spans="1:5" ht="14.25" customHeight="1" x14ac:dyDescent="0.2">
      <c r="A69" s="503" t="s">
        <v>534</v>
      </c>
      <c r="B69" s="504">
        <f>SUM(B64:B68)</f>
        <v>9.9662923611111107E-2</v>
      </c>
      <c r="C69" s="505">
        <f>SUM(C64:C68)</f>
        <v>0</v>
      </c>
      <c r="D69" s="651">
        <f>SUM(D64:D68)</f>
        <v>0</v>
      </c>
      <c r="E69" s="652">
        <f>SUM(E64:E68)</f>
        <v>0</v>
      </c>
    </row>
    <row r="70" spans="1:5" ht="14.25" customHeight="1" x14ac:dyDescent="0.2">
      <c r="A70" s="473" t="s">
        <v>535</v>
      </c>
      <c r="B70" s="474" t="s">
        <v>487</v>
      </c>
      <c r="C70" s="474" t="s">
        <v>488</v>
      </c>
      <c r="D70" s="474" t="s">
        <v>488</v>
      </c>
      <c r="E70" s="475" t="s">
        <v>488</v>
      </c>
    </row>
    <row r="71" spans="1:5" ht="14.25" customHeight="1" x14ac:dyDescent="0.2">
      <c r="A71" s="476" t="s">
        <v>536</v>
      </c>
      <c r="B71" s="477"/>
      <c r="C71" s="484"/>
      <c r="D71" s="649"/>
      <c r="E71" s="650"/>
    </row>
    <row r="72" spans="1:5" ht="14.25" customHeight="1" x14ac:dyDescent="0.2">
      <c r="A72" s="503" t="s">
        <v>534</v>
      </c>
      <c r="B72" s="504"/>
      <c r="C72" s="505">
        <f>C71</f>
        <v>0</v>
      </c>
      <c r="D72" s="505"/>
      <c r="E72" s="506"/>
    </row>
    <row r="73" spans="1:5" ht="14.25" customHeight="1" x14ac:dyDescent="0.2">
      <c r="A73" s="473" t="s">
        <v>65</v>
      </c>
      <c r="B73" s="474" t="s">
        <v>487</v>
      </c>
      <c r="C73" s="474" t="s">
        <v>488</v>
      </c>
      <c r="D73" s="474" t="s">
        <v>488</v>
      </c>
      <c r="E73" s="475" t="s">
        <v>488</v>
      </c>
    </row>
    <row r="74" spans="1:5" ht="14.25" customHeight="1" x14ac:dyDescent="0.2">
      <c r="A74" s="476" t="s">
        <v>66</v>
      </c>
      <c r="B74" s="477">
        <f>120/30*MC!C62*MC!C63</f>
        <v>6.18624E-3</v>
      </c>
      <c r="C74" s="484">
        <f>(((C19*2)+ (C19*1/3))+(C36)+(C44-C38-C39))*$B$74</f>
        <v>0</v>
      </c>
      <c r="D74" s="640">
        <f>(((D19*2)+ (D19*1/3))+(D36)+(D44-D38-D39))*$B$74</f>
        <v>0</v>
      </c>
      <c r="E74" s="485">
        <f>(((E19*2)+ (E19*1/3))+(E36)+(E44-E38-E39))*$B$74</f>
        <v>0</v>
      </c>
    </row>
    <row r="75" spans="1:5" ht="14.25" customHeight="1" x14ac:dyDescent="0.2">
      <c r="A75" s="503" t="s">
        <v>496</v>
      </c>
      <c r="B75" s="504"/>
      <c r="C75" s="505"/>
      <c r="D75" s="653"/>
      <c r="E75" s="506"/>
    </row>
    <row r="76" spans="1:5" ht="14.25" customHeight="1" x14ac:dyDescent="0.2">
      <c r="A76" s="450" t="s">
        <v>537</v>
      </c>
      <c r="B76" s="451" t="s">
        <v>487</v>
      </c>
      <c r="C76" s="451" t="s">
        <v>488</v>
      </c>
      <c r="D76" s="641" t="s">
        <v>488</v>
      </c>
      <c r="E76" s="452" t="s">
        <v>488</v>
      </c>
    </row>
    <row r="77" spans="1:5" ht="14.25" customHeight="1" x14ac:dyDescent="0.2">
      <c r="A77" s="476" t="s">
        <v>43</v>
      </c>
      <c r="B77" s="493">
        <f>B69</f>
        <v>9.9662923611111107E-2</v>
      </c>
      <c r="C77" s="494">
        <f>C69</f>
        <v>0</v>
      </c>
      <c r="D77" s="642">
        <f>D69</f>
        <v>0</v>
      </c>
      <c r="E77" s="495">
        <f>E69</f>
        <v>0</v>
      </c>
    </row>
    <row r="78" spans="1:5" ht="14.25" customHeight="1" x14ac:dyDescent="0.2">
      <c r="A78" s="476" t="s">
        <v>535</v>
      </c>
      <c r="B78" s="493">
        <f>B72</f>
        <v>0</v>
      </c>
      <c r="C78" s="494">
        <f>C72</f>
        <v>0</v>
      </c>
      <c r="D78" s="642">
        <f>D72</f>
        <v>0</v>
      </c>
      <c r="E78" s="495">
        <f>E72</f>
        <v>0</v>
      </c>
    </row>
    <row r="79" spans="1:5" ht="14.25" customHeight="1" x14ac:dyDescent="0.2">
      <c r="A79" s="476" t="s">
        <v>65</v>
      </c>
      <c r="B79" s="493">
        <f>B74</f>
        <v>6.18624E-3</v>
      </c>
      <c r="C79" s="494">
        <f>C74</f>
        <v>0</v>
      </c>
      <c r="D79" s="642">
        <f>D74</f>
        <v>0</v>
      </c>
      <c r="E79" s="495">
        <f>E74</f>
        <v>0</v>
      </c>
    </row>
    <row r="80" spans="1:5" ht="14.25" customHeight="1" x14ac:dyDescent="0.2">
      <c r="A80" s="464" t="s">
        <v>496</v>
      </c>
      <c r="B80" s="465"/>
      <c r="C80" s="479">
        <f>SUM(C77:C79)</f>
        <v>0</v>
      </c>
      <c r="D80" s="634">
        <f>SUM(D77:D79)</f>
        <v>0</v>
      </c>
      <c r="E80" s="635">
        <f>SUM(E77:E79)</f>
        <v>0</v>
      </c>
    </row>
    <row r="81" spans="1:5" ht="14.25" customHeight="1" x14ac:dyDescent="0.2">
      <c r="A81" s="860"/>
      <c r="B81" s="860"/>
      <c r="C81" s="860"/>
      <c r="D81" s="860"/>
      <c r="E81" s="860"/>
    </row>
    <row r="82" spans="1:5" ht="14.25" customHeight="1" x14ac:dyDescent="0.2">
      <c r="A82" s="858" t="s">
        <v>538</v>
      </c>
      <c r="B82" s="858"/>
      <c r="C82" s="858"/>
      <c r="D82" s="858"/>
      <c r="E82" s="858"/>
    </row>
    <row r="83" spans="1:5" ht="14.25" customHeight="1" x14ac:dyDescent="0.2">
      <c r="A83" s="450" t="s">
        <v>539</v>
      </c>
      <c r="B83" s="451" t="s">
        <v>512</v>
      </c>
      <c r="C83" s="451" t="s">
        <v>488</v>
      </c>
      <c r="D83" s="451" t="s">
        <v>488</v>
      </c>
      <c r="E83" s="452" t="s">
        <v>488</v>
      </c>
    </row>
    <row r="84" spans="1:5" ht="14.25" customHeight="1" x14ac:dyDescent="0.2">
      <c r="A84" s="476" t="s">
        <v>541</v>
      </c>
      <c r="B84" s="654"/>
      <c r="C84" s="455">
        <f>Insumos!$I118</f>
        <v>0</v>
      </c>
      <c r="D84" s="455">
        <f>Insumos!$I118</f>
        <v>0</v>
      </c>
      <c r="E84" s="457">
        <f>Insumos!$I118</f>
        <v>0</v>
      </c>
    </row>
    <row r="85" spans="1:5" ht="14.25" customHeight="1" x14ac:dyDescent="0.2">
      <c r="A85" s="513" t="s">
        <v>542</v>
      </c>
      <c r="B85" s="654"/>
      <c r="C85" s="455">
        <f>Insumos!$G70</f>
        <v>0</v>
      </c>
      <c r="D85" s="455">
        <f>Insumos!$G70</f>
        <v>0</v>
      </c>
      <c r="E85" s="457">
        <f>Insumos!$G70</f>
        <v>0</v>
      </c>
    </row>
    <row r="86" spans="1:5" ht="14.25" customHeight="1" x14ac:dyDescent="0.2">
      <c r="A86" s="513" t="s">
        <v>543</v>
      </c>
      <c r="B86" s="655"/>
      <c r="C86" s="459" t="s">
        <v>112</v>
      </c>
      <c r="D86" s="459" t="s">
        <v>112</v>
      </c>
      <c r="E86" s="460" t="s">
        <v>112</v>
      </c>
    </row>
    <row r="87" spans="1:5" ht="14.25" customHeight="1" x14ac:dyDescent="0.2">
      <c r="A87" s="513" t="s">
        <v>544</v>
      </c>
      <c r="B87" s="656"/>
      <c r="C87" s="455">
        <f>Insumos!$I123</f>
        <v>0</v>
      </c>
      <c r="D87" s="455">
        <f>Insumos!$H123</f>
        <v>0</v>
      </c>
      <c r="E87" s="457">
        <f>Insumos!$H123</f>
        <v>0</v>
      </c>
    </row>
    <row r="88" spans="1:5" ht="14.25" customHeight="1" x14ac:dyDescent="0.2">
      <c r="A88" s="503" t="s">
        <v>496</v>
      </c>
      <c r="B88" s="520"/>
      <c r="C88" s="505">
        <f>SUM(C84:C87)</f>
        <v>0</v>
      </c>
      <c r="D88" s="651">
        <f>SUM(D84:D87)</f>
        <v>0</v>
      </c>
      <c r="E88" s="652">
        <f>SUM(E84:E87)</f>
        <v>0</v>
      </c>
    </row>
    <row r="89" spans="1:5" ht="14.25" customHeight="1" x14ac:dyDescent="0.2">
      <c r="A89" s="860"/>
      <c r="B89" s="860"/>
      <c r="C89" s="860"/>
      <c r="D89" s="860"/>
      <c r="E89" s="860"/>
    </row>
    <row r="90" spans="1:5" ht="14.25" customHeight="1" x14ac:dyDescent="0.2">
      <c r="A90" s="858" t="s">
        <v>548</v>
      </c>
      <c r="B90" s="858"/>
      <c r="C90" s="858"/>
      <c r="D90" s="858"/>
      <c r="E90" s="858"/>
    </row>
    <row r="91" spans="1:5" ht="14.25" customHeight="1" x14ac:dyDescent="0.2">
      <c r="A91" s="450" t="s">
        <v>549</v>
      </c>
      <c r="B91" s="451" t="s">
        <v>487</v>
      </c>
      <c r="C91" s="451" t="s">
        <v>488</v>
      </c>
      <c r="D91" s="451" t="s">
        <v>488</v>
      </c>
      <c r="E91" s="452" t="s">
        <v>488</v>
      </c>
    </row>
    <row r="92" spans="1:5" ht="14.25" customHeight="1" x14ac:dyDescent="0.2">
      <c r="A92" s="453" t="s">
        <v>71</v>
      </c>
      <c r="B92" s="477">
        <v>0.03</v>
      </c>
      <c r="C92" s="484">
        <f>($C$19+$C$49+$C$60+$C$80+$C$88)*$B$92</f>
        <v>0</v>
      </c>
      <c r="D92" s="640">
        <f>(D$19+D$49+D$60+D$80+D$88)*$B$92</f>
        <v>0</v>
      </c>
      <c r="E92" s="485">
        <f>(E$19+E$49+E$60+E$80+E$88)*$B$92</f>
        <v>0</v>
      </c>
    </row>
    <row r="93" spans="1:5" ht="14.25" customHeight="1" x14ac:dyDescent="0.2">
      <c r="A93" s="453" t="s">
        <v>72</v>
      </c>
      <c r="B93" s="477">
        <v>6.7900000000000002E-2</v>
      </c>
      <c r="C93" s="484">
        <f>($C$19+$C$49+$C$60+$C$80+$C$88+C92)*B93</f>
        <v>0</v>
      </c>
      <c r="D93" s="640">
        <f>(D$19+D$49+D$60+D$80+D$88+D$92)*$B$93</f>
        <v>0</v>
      </c>
      <c r="E93" s="485">
        <f>(E$19+E$49+E$60+E$80+E$88+E$92)*$B$93</f>
        <v>0</v>
      </c>
    </row>
    <row r="94" spans="1:5" ht="14.25" customHeight="1" x14ac:dyDescent="0.2">
      <c r="A94" s="524" t="s">
        <v>550</v>
      </c>
      <c r="B94" s="525">
        <f>B95+B96</f>
        <v>0.1125</v>
      </c>
      <c r="C94" s="526">
        <f>((C19+C49+C60+C80+C88+C92+C93)/(1-($B$94)))*$B$94</f>
        <v>0</v>
      </c>
      <c r="D94" s="657">
        <f>((D19+D49+D60+D80+D88+D92+D93)/(1-($B$94)))*$B$94</f>
        <v>0</v>
      </c>
      <c r="E94" s="527">
        <f>((E19+E49+E60+E80+E88+E92+E93)/(1-($B$94)))*$B$94</f>
        <v>0</v>
      </c>
    </row>
    <row r="95" spans="1:5" ht="14.25" customHeight="1" x14ac:dyDescent="0.2">
      <c r="A95" s="453" t="s">
        <v>551</v>
      </c>
      <c r="B95" s="477">
        <f>0.0165+0.076</f>
        <v>9.2499999999999999E-2</v>
      </c>
      <c r="C95" s="533">
        <f>((C$19+C$49+C$60+C$80+C$88+C$92+C$93)/(1-($B$94)))*$B$95</f>
        <v>0</v>
      </c>
      <c r="D95" s="658">
        <f>((D$19+D$49+D$60+D$80+D$88+D$92+D$93)/(1-($B$94)))*$B$95</f>
        <v>0</v>
      </c>
      <c r="E95" s="534">
        <f>((E$19+E$49+E$60+E$80+E$88+E$92+E$93)/(1-($B$94)))*$B$95</f>
        <v>0</v>
      </c>
    </row>
    <row r="96" spans="1:5" ht="14.25" customHeight="1" x14ac:dyDescent="0.2">
      <c r="A96" s="453" t="s">
        <v>552</v>
      </c>
      <c r="B96" s="477">
        <v>0.02</v>
      </c>
      <c r="C96" s="536">
        <f>((C$19+C$49+C$60+C$80+C$88+C$92+C$93)/(1-($B$94)))*$B$96</f>
        <v>0</v>
      </c>
      <c r="D96" s="658">
        <f>((D$19+D$49+D$60+D$80+D$88+D$92+D$93)/(1-($B$94)))*$B$96</f>
        <v>0</v>
      </c>
      <c r="E96" s="534">
        <f>((E$19+E$49+E$60+E$80+E$88+E$92+E$93)/(1-($B$94)))*$B$96</f>
        <v>0</v>
      </c>
    </row>
    <row r="97" spans="1:6" ht="14.25" customHeight="1" x14ac:dyDescent="0.2">
      <c r="A97" s="524" t="s">
        <v>553</v>
      </c>
      <c r="B97" s="525">
        <f>B98+B99</f>
        <v>0.11749999999999999</v>
      </c>
      <c r="C97" s="526">
        <f>((C19+C49+C60+C80+C88+C92+C93)/(1-($B$97)))*$B$97</f>
        <v>0</v>
      </c>
      <c r="D97" s="657">
        <f>((D19+D49+D60+D80+D88+D92+D93)/(1-($B$97)))*$B$97</f>
        <v>0</v>
      </c>
      <c r="E97" s="527">
        <f>((E19+E49+E60+E80+E88+E92+E93)/(1-($B$97)))*$B$97</f>
        <v>0</v>
      </c>
    </row>
    <row r="98" spans="1:6" ht="14.25" customHeight="1" x14ac:dyDescent="0.2">
      <c r="A98" s="453" t="s">
        <v>551</v>
      </c>
      <c r="B98" s="477">
        <f>0.0165+0.076</f>
        <v>9.2499999999999999E-2</v>
      </c>
      <c r="C98" s="528">
        <f>((C19+C49+C60+C80+C88+C92+C93)/(1-($B$97)))*$B$98</f>
        <v>0</v>
      </c>
      <c r="D98" s="659">
        <f>((D19+D49+D60+D80+D88+D92+D93)/(1-($B$97)))*$B$98</f>
        <v>0</v>
      </c>
      <c r="E98" s="529">
        <f>((E19+E49+E60+E80+E88+E92+E93)/(1-($B$97)))*$B$98</f>
        <v>0</v>
      </c>
    </row>
    <row r="99" spans="1:6" ht="14.25" customHeight="1" x14ac:dyDescent="0.2">
      <c r="A99" s="453" t="s">
        <v>552</v>
      </c>
      <c r="B99" s="477">
        <v>2.5000000000000001E-2</v>
      </c>
      <c r="C99" s="530">
        <f>((C$19+C$49+C$60+C$80+C$88+C$92+C$93)/(1-($B$97)))*$B$99</f>
        <v>0</v>
      </c>
      <c r="D99" s="659">
        <f>((D$19+D$49+D$60+D$80+D$88+D$92+D$93)/(1-($B$97)))*$B$99</f>
        <v>0</v>
      </c>
      <c r="E99" s="529">
        <f>((E$19+E$49+E$60+E$80+E$88+E$92+E$93)/(1-($B$97)))*$B$99</f>
        <v>0</v>
      </c>
    </row>
    <row r="100" spans="1:6" ht="14.25" customHeight="1" x14ac:dyDescent="0.2">
      <c r="A100" s="524" t="s">
        <v>554</v>
      </c>
      <c r="B100" s="525">
        <f>B101+B102</f>
        <v>0.1225</v>
      </c>
      <c r="C100" s="526">
        <f>((C19+C49+C60+C80+C88+C92+C93)/(1-($B$100)))*$B$100</f>
        <v>0</v>
      </c>
      <c r="D100" s="657">
        <f>((D19+D49+D60+D80+D88+D92+D93)/(1-($B$100)))*$B$100</f>
        <v>0</v>
      </c>
      <c r="E100" s="527">
        <f>((E19+E49+E60+E80+E88+E92+E93)/(1-($B$100)))*$B$100</f>
        <v>0</v>
      </c>
    </row>
    <row r="101" spans="1:6" ht="14.25" customHeight="1" x14ac:dyDescent="0.2">
      <c r="A101" s="453" t="s">
        <v>551</v>
      </c>
      <c r="B101" s="477">
        <f>0.0165+0.076</f>
        <v>9.2499999999999999E-2</v>
      </c>
      <c r="C101" s="528">
        <f>((C19+C49+C60+C80+C88+C92+C93)/(1-($B$100)))*$B$101</f>
        <v>0</v>
      </c>
      <c r="D101" s="659">
        <f>((D19+D49+D60+D80+D88+D92+D93)/(1-($B$100)))*$B$101</f>
        <v>0</v>
      </c>
      <c r="E101" s="529">
        <f>((E19+E49+E60+E80+E88+E92+E93)/(1-($B$100)))*$B$101</f>
        <v>0</v>
      </c>
    </row>
    <row r="102" spans="1:6" ht="14.25" customHeight="1" x14ac:dyDescent="0.2">
      <c r="A102" s="453" t="s">
        <v>552</v>
      </c>
      <c r="B102" s="477">
        <v>0.03</v>
      </c>
      <c r="C102" s="530">
        <f>((C19+C49+C60+C80+C88+C92+C93)/(1-($B$100)))*$B$102</f>
        <v>0</v>
      </c>
      <c r="D102" s="659">
        <f>((D19+D49+D60+D80+D88+D92+D93)/(1-($B$100)))*$B$102</f>
        <v>0</v>
      </c>
      <c r="E102" s="529">
        <f>((E19+E49+E60+E80+E88+E92+E93)/(1-($B$100)))*$B$102</f>
        <v>0</v>
      </c>
      <c r="F102" s="532"/>
    </row>
    <row r="103" spans="1:6" ht="14.25" customHeight="1" x14ac:dyDescent="0.2">
      <c r="A103" s="524" t="s">
        <v>555</v>
      </c>
      <c r="B103" s="525">
        <f>B104+B105</f>
        <v>0.13250000000000001</v>
      </c>
      <c r="C103" s="526">
        <f>((C19+C49+C60+C80+C88+C92+C93)/(1-($B$103)))*$B$103</f>
        <v>0</v>
      </c>
      <c r="D103" s="657">
        <f>((D19+D49+D60+D80+D88+D92+D93)/(1-($B$103)))*$B$103</f>
        <v>0</v>
      </c>
      <c r="E103" s="527">
        <f>((E19+E49+E60+E80+E88+E92+E93)/(1-($B$103)))*$B$103</f>
        <v>0</v>
      </c>
    </row>
    <row r="104" spans="1:6" ht="14.25" customHeight="1" x14ac:dyDescent="0.2">
      <c r="A104" s="453" t="s">
        <v>551</v>
      </c>
      <c r="B104" s="477">
        <f>0.0165+0.076</f>
        <v>9.2499999999999999E-2</v>
      </c>
      <c r="C104" s="528">
        <f>((C19+C49+C60+C80+C88+C92+C93)/(1-($B$103)))*$B$104</f>
        <v>0</v>
      </c>
      <c r="D104" s="659">
        <f>((D19+D49+D60+D80+D88+D92+D93)/(1-($B$103)))*$B$104</f>
        <v>0</v>
      </c>
      <c r="E104" s="529">
        <f>((E19+E49+E60+E80+E88+E92+E93)/(1-($B$103)))*$B$104</f>
        <v>0</v>
      </c>
    </row>
    <row r="105" spans="1:6" ht="14.25" customHeight="1" x14ac:dyDescent="0.2">
      <c r="A105" s="453" t="s">
        <v>552</v>
      </c>
      <c r="B105" s="477">
        <v>0.04</v>
      </c>
      <c r="C105" s="530">
        <f>((C19+C49+C60+C80+C88+C92+C93)/(1-($B$103)))*$B$105</f>
        <v>0</v>
      </c>
      <c r="D105" s="659">
        <f>((D19+D49+D60+D80+D88+D92+D93)/(1-($B$103)))*$B$105</f>
        <v>0</v>
      </c>
      <c r="E105" s="529">
        <f>((E19+E49+E60+E80+E88+E92+E93)/(1-($B$103)))*$B$105</f>
        <v>0</v>
      </c>
    </row>
    <row r="106" spans="1:6" ht="14.25" customHeight="1" x14ac:dyDescent="0.2">
      <c r="A106" s="524" t="s">
        <v>556</v>
      </c>
      <c r="B106" s="525">
        <f>B107+B108</f>
        <v>0.14250000000000002</v>
      </c>
      <c r="C106" s="526">
        <f>((C19+C49+C60+C80+C88+C92+C93)/(1-($B$106)))*$B$106</f>
        <v>0</v>
      </c>
      <c r="D106" s="657">
        <f>((D19+D49+D60+D80+D88+D92+D93)/(1-($B$106)))*$B$106</f>
        <v>0</v>
      </c>
      <c r="E106" s="527">
        <f>((E19+E49+E60+E80+E88+E92+E93)/(1-($B$106)))*$B$106</f>
        <v>0</v>
      </c>
    </row>
    <row r="107" spans="1:6" ht="14.25" customHeight="1" x14ac:dyDescent="0.2">
      <c r="A107" s="453" t="s">
        <v>551</v>
      </c>
      <c r="B107" s="477">
        <f>0.0165+0.076</f>
        <v>9.2499999999999999E-2</v>
      </c>
      <c r="C107" s="533">
        <f>((C19+C49+C60+C80+C88+C92+C93)/(1-($B$106)))*$B$107</f>
        <v>0</v>
      </c>
      <c r="D107" s="658">
        <f>((D19+D49+D60+D80+D88+D92+D93)/(1-($B$106)))*$B$107</f>
        <v>0</v>
      </c>
      <c r="E107" s="534">
        <f>((E19+E49+E60+E80+E88+E92+E93)/(1-($B$106)))*$B$107</f>
        <v>0</v>
      </c>
    </row>
    <row r="108" spans="1:6" ht="14.25" customHeight="1" x14ac:dyDescent="0.2">
      <c r="A108" s="453" t="s">
        <v>552</v>
      </c>
      <c r="B108" s="535">
        <v>0.05</v>
      </c>
      <c r="C108" s="536">
        <f>((C19+C49+C60+C80+C88+C92+C93)/(1-($B$106)))*$B$108</f>
        <v>0</v>
      </c>
      <c r="D108" s="660">
        <f>((D19+D49+D60+D80+D88+D92+D93)/(1-($B$106)))*$B$108</f>
        <v>0</v>
      </c>
      <c r="E108" s="661">
        <f>((E19+E49+E60+E80+E88+E92+E93)/(1-($B$106)))*$B$108</f>
        <v>0</v>
      </c>
    </row>
    <row r="109" spans="1:6" ht="14.25" customHeight="1" x14ac:dyDescent="0.2">
      <c r="A109" s="861" t="s">
        <v>557</v>
      </c>
      <c r="B109" s="538">
        <v>0.02</v>
      </c>
      <c r="C109" s="539">
        <f>C92+C93+C94</f>
        <v>0</v>
      </c>
      <c r="D109" s="662">
        <f>D92+D93+D94</f>
        <v>0</v>
      </c>
      <c r="E109" s="540">
        <f>E92+E93+E94</f>
        <v>0</v>
      </c>
    </row>
    <row r="110" spans="1:6" ht="14.25" customHeight="1" x14ac:dyDescent="0.2">
      <c r="A110" s="861"/>
      <c r="B110" s="541">
        <v>2.5000000000000001E-2</v>
      </c>
      <c r="C110" s="542">
        <f>C92+C93+C97</f>
        <v>0</v>
      </c>
      <c r="D110" s="663">
        <f>D92+D93+D97</f>
        <v>0</v>
      </c>
      <c r="E110" s="543">
        <f>E92+E93+E97</f>
        <v>0</v>
      </c>
    </row>
    <row r="111" spans="1:6" ht="14.25" customHeight="1" x14ac:dyDescent="0.2">
      <c r="A111" s="861"/>
      <c r="B111" s="541">
        <v>0.03</v>
      </c>
      <c r="C111" s="542">
        <f>C92+C93+C100</f>
        <v>0</v>
      </c>
      <c r="D111" s="663">
        <f>D92+D93+D100</f>
        <v>0</v>
      </c>
      <c r="E111" s="543">
        <f>E92+E93+E100</f>
        <v>0</v>
      </c>
      <c r="F111" s="532"/>
    </row>
    <row r="112" spans="1:6" ht="14.25" customHeight="1" x14ac:dyDescent="0.2">
      <c r="A112" s="861"/>
      <c r="B112" s="541">
        <v>0.04</v>
      </c>
      <c r="C112" s="542">
        <f>C92+C93+C103</f>
        <v>0</v>
      </c>
      <c r="D112" s="663">
        <f>D92+D93+D103</f>
        <v>0</v>
      </c>
      <c r="E112" s="543">
        <f>E92+E93+E103</f>
        <v>0</v>
      </c>
    </row>
    <row r="113" spans="1:5" ht="14.25" customHeight="1" x14ac:dyDescent="0.2">
      <c r="A113" s="861"/>
      <c r="B113" s="544">
        <v>0.05</v>
      </c>
      <c r="C113" s="545">
        <f>C92+C93+C106</f>
        <v>0</v>
      </c>
      <c r="D113" s="664">
        <f>D92+D93+D106</f>
        <v>0</v>
      </c>
      <c r="E113" s="546">
        <f>E92+E93+E106</f>
        <v>0</v>
      </c>
    </row>
    <row r="114" spans="1:5" ht="7.5" customHeight="1" x14ac:dyDescent="0.2">
      <c r="A114" s="862"/>
      <c r="B114" s="862"/>
      <c r="C114" s="862"/>
      <c r="D114" s="862"/>
      <c r="E114" s="862"/>
    </row>
    <row r="115" spans="1:5" ht="7.5" customHeight="1" x14ac:dyDescent="0.2">
      <c r="A115" s="863"/>
      <c r="B115" s="863"/>
      <c r="C115" s="863"/>
      <c r="D115" s="863"/>
      <c r="E115" s="863"/>
    </row>
    <row r="116" spans="1:5" ht="54.75" customHeight="1" x14ac:dyDescent="0.2">
      <c r="A116" s="864" t="s">
        <v>559</v>
      </c>
      <c r="B116" s="864"/>
      <c r="C116" s="556" t="str">
        <f>C10</f>
        <v>Servente 40h
COVID</v>
      </c>
      <c r="D116" s="665" t="str">
        <f>D10</f>
        <v>Servente 30h
COVID</v>
      </c>
      <c r="E116" s="558" t="str">
        <f>E10</f>
        <v>Servente 20h
COVID</v>
      </c>
    </row>
    <row r="117" spans="1:5" ht="15.75" customHeight="1" x14ac:dyDescent="0.2">
      <c r="A117" s="865" t="s">
        <v>560</v>
      </c>
      <c r="B117" s="865"/>
      <c r="C117" s="559" t="s">
        <v>488</v>
      </c>
      <c r="D117" s="666" t="s">
        <v>488</v>
      </c>
      <c r="E117" s="667" t="s">
        <v>488</v>
      </c>
    </row>
    <row r="118" spans="1:5" ht="14.25" customHeight="1" x14ac:dyDescent="0.2">
      <c r="A118" s="866" t="s">
        <v>561</v>
      </c>
      <c r="B118" s="866"/>
      <c r="C118" s="561">
        <f>C19</f>
        <v>0</v>
      </c>
      <c r="D118" s="668">
        <f>D19</f>
        <v>0</v>
      </c>
      <c r="E118" s="562">
        <f>E19</f>
        <v>0</v>
      </c>
    </row>
    <row r="119" spans="1:5" ht="14.25" customHeight="1" x14ac:dyDescent="0.2">
      <c r="A119" s="867" t="s">
        <v>562</v>
      </c>
      <c r="B119" s="867"/>
      <c r="C119" s="563">
        <f>C49</f>
        <v>0</v>
      </c>
      <c r="D119" s="669">
        <f>D49</f>
        <v>0</v>
      </c>
      <c r="E119" s="564">
        <f>E49</f>
        <v>0</v>
      </c>
    </row>
    <row r="120" spans="1:5" ht="14.25" customHeight="1" x14ac:dyDescent="0.2">
      <c r="A120" s="867" t="s">
        <v>563</v>
      </c>
      <c r="B120" s="867"/>
      <c r="C120" s="563">
        <f>C60</f>
        <v>0</v>
      </c>
      <c r="D120" s="669">
        <f>D60</f>
        <v>0</v>
      </c>
      <c r="E120" s="564">
        <f>E60</f>
        <v>0</v>
      </c>
    </row>
    <row r="121" spans="1:5" ht="14.25" customHeight="1" x14ac:dyDescent="0.2">
      <c r="A121" s="867" t="s">
        <v>564</v>
      </c>
      <c r="B121" s="867"/>
      <c r="C121" s="563">
        <f>C80</f>
        <v>0</v>
      </c>
      <c r="D121" s="669">
        <f>D80</f>
        <v>0</v>
      </c>
      <c r="E121" s="564">
        <f>E80</f>
        <v>0</v>
      </c>
    </row>
    <row r="122" spans="1:5" ht="15.75" customHeight="1" x14ac:dyDescent="0.2">
      <c r="A122" s="867" t="s">
        <v>565</v>
      </c>
      <c r="B122" s="867"/>
      <c r="C122" s="563">
        <f>C88</f>
        <v>0</v>
      </c>
      <c r="D122" s="669">
        <f>D88</f>
        <v>0</v>
      </c>
      <c r="E122" s="564">
        <f>E88</f>
        <v>0</v>
      </c>
    </row>
    <row r="123" spans="1:5" ht="15.75" customHeight="1" x14ac:dyDescent="0.2">
      <c r="A123" s="868" t="s">
        <v>566</v>
      </c>
      <c r="B123" s="868"/>
      <c r="C123" s="565">
        <f>SUM(C118:C122)</f>
        <v>0</v>
      </c>
      <c r="D123" s="670">
        <f>SUM(D118:D122)</f>
        <v>0</v>
      </c>
      <c r="E123" s="567">
        <f>SUM(E118:E122)</f>
        <v>0</v>
      </c>
    </row>
    <row r="124" spans="1:5" ht="15.75" customHeight="1" x14ac:dyDescent="0.2">
      <c r="A124" s="869" t="s">
        <v>567</v>
      </c>
      <c r="B124" s="869"/>
      <c r="C124" s="568">
        <f t="shared" ref="C124:E128" si="2">C109</f>
        <v>0</v>
      </c>
      <c r="D124" s="670">
        <f t="shared" si="2"/>
        <v>0</v>
      </c>
      <c r="E124" s="567">
        <f t="shared" si="2"/>
        <v>0</v>
      </c>
    </row>
    <row r="125" spans="1:5" ht="15.75" customHeight="1" x14ac:dyDescent="0.2">
      <c r="A125" s="867" t="s">
        <v>568</v>
      </c>
      <c r="B125" s="867"/>
      <c r="C125" s="570">
        <f t="shared" si="2"/>
        <v>0</v>
      </c>
      <c r="D125" s="670">
        <f t="shared" si="2"/>
        <v>0</v>
      </c>
      <c r="E125" s="567">
        <f t="shared" si="2"/>
        <v>0</v>
      </c>
    </row>
    <row r="126" spans="1:5" ht="15.75" customHeight="1" x14ac:dyDescent="0.2">
      <c r="A126" s="867" t="s">
        <v>569</v>
      </c>
      <c r="B126" s="867"/>
      <c r="C126" s="570">
        <f t="shared" si="2"/>
        <v>0</v>
      </c>
      <c r="D126" s="670">
        <f t="shared" si="2"/>
        <v>0</v>
      </c>
      <c r="E126" s="567">
        <f t="shared" si="2"/>
        <v>0</v>
      </c>
    </row>
    <row r="127" spans="1:5" ht="15.75" customHeight="1" x14ac:dyDescent="0.2">
      <c r="A127" s="867" t="s">
        <v>570</v>
      </c>
      <c r="B127" s="867"/>
      <c r="C127" s="570">
        <f t="shared" si="2"/>
        <v>0</v>
      </c>
      <c r="D127" s="670">
        <f t="shared" si="2"/>
        <v>0</v>
      </c>
      <c r="E127" s="567">
        <f t="shared" si="2"/>
        <v>0</v>
      </c>
    </row>
    <row r="128" spans="1:5" ht="15.75" customHeight="1" x14ac:dyDescent="0.2">
      <c r="A128" s="869" t="s">
        <v>571</v>
      </c>
      <c r="B128" s="869"/>
      <c r="C128" s="570">
        <f t="shared" si="2"/>
        <v>0</v>
      </c>
      <c r="D128" s="671">
        <f t="shared" si="2"/>
        <v>0</v>
      </c>
      <c r="E128" s="672">
        <f t="shared" si="2"/>
        <v>0</v>
      </c>
    </row>
    <row r="129" spans="1:5" ht="15.75" customHeight="1" x14ac:dyDescent="0.2">
      <c r="A129" s="572" t="s">
        <v>572</v>
      </c>
      <c r="B129" s="573"/>
      <c r="C129" s="574">
        <f>C123+C124</f>
        <v>0</v>
      </c>
      <c r="D129" s="574">
        <f>D123+D124</f>
        <v>0</v>
      </c>
      <c r="E129" s="575">
        <f>E123+E124</f>
        <v>0</v>
      </c>
    </row>
    <row r="130" spans="1:5" ht="15.75" customHeight="1" x14ac:dyDescent="0.2">
      <c r="A130" s="576" t="s">
        <v>573</v>
      </c>
      <c r="B130" s="577"/>
      <c r="C130" s="578">
        <f>C123+C125</f>
        <v>0</v>
      </c>
      <c r="D130" s="578">
        <f>D123+D125</f>
        <v>0</v>
      </c>
      <c r="E130" s="579">
        <f>E123+E125</f>
        <v>0</v>
      </c>
    </row>
    <row r="131" spans="1:5" ht="15.75" customHeight="1" x14ac:dyDescent="0.2">
      <c r="A131" s="576" t="s">
        <v>574</v>
      </c>
      <c r="B131" s="577"/>
      <c r="C131" s="578">
        <f>C123+C126</f>
        <v>0</v>
      </c>
      <c r="D131" s="578">
        <f>D123+D126</f>
        <v>0</v>
      </c>
      <c r="E131" s="579">
        <f>E123+E126</f>
        <v>0</v>
      </c>
    </row>
    <row r="132" spans="1:5" ht="15.75" customHeight="1" x14ac:dyDescent="0.2">
      <c r="A132" s="576" t="s">
        <v>575</v>
      </c>
      <c r="B132" s="577"/>
      <c r="C132" s="578">
        <f>C123+C127</f>
        <v>0</v>
      </c>
      <c r="D132" s="578">
        <f>D123+D127</f>
        <v>0</v>
      </c>
      <c r="E132" s="579">
        <f>E123+E127</f>
        <v>0</v>
      </c>
    </row>
    <row r="133" spans="1:5" ht="15.75" customHeight="1" x14ac:dyDescent="0.2">
      <c r="A133" s="576" t="s">
        <v>576</v>
      </c>
      <c r="B133" s="577"/>
      <c r="C133" s="578">
        <f>C123+C128</f>
        <v>0</v>
      </c>
      <c r="D133" s="673">
        <f>D123+D128</f>
        <v>0</v>
      </c>
      <c r="E133" s="674">
        <f>E123+E128</f>
        <v>0</v>
      </c>
    </row>
    <row r="134" spans="1:5" ht="15.75" customHeight="1" x14ac:dyDescent="0.2">
      <c r="A134" s="580" t="s">
        <v>577</v>
      </c>
      <c r="B134" s="581"/>
      <c r="C134" s="582">
        <f>C129/200</f>
        <v>0</v>
      </c>
      <c r="D134" s="582"/>
      <c r="E134" s="675"/>
    </row>
    <row r="135" spans="1:5" ht="15.75" customHeight="1" x14ac:dyDescent="0.2">
      <c r="A135" s="585" t="s">
        <v>578</v>
      </c>
      <c r="B135" s="586"/>
      <c r="C135" s="587">
        <f>C130/200</f>
        <v>0</v>
      </c>
      <c r="D135" s="587"/>
      <c r="E135" s="676"/>
    </row>
    <row r="136" spans="1:5" ht="15.75" customHeight="1" x14ac:dyDescent="0.2">
      <c r="A136" s="585" t="s">
        <v>579</v>
      </c>
      <c r="B136" s="586"/>
      <c r="C136" s="587">
        <f>C131/200</f>
        <v>0</v>
      </c>
      <c r="D136" s="587"/>
      <c r="E136" s="676"/>
    </row>
    <row r="137" spans="1:5" ht="15.75" customHeight="1" x14ac:dyDescent="0.2">
      <c r="A137" s="585" t="s">
        <v>580</v>
      </c>
      <c r="B137" s="586"/>
      <c r="C137" s="587">
        <f>C132/200</f>
        <v>0</v>
      </c>
      <c r="D137" s="587"/>
      <c r="E137" s="676"/>
    </row>
    <row r="138" spans="1:5" ht="15.75" customHeight="1" x14ac:dyDescent="0.2">
      <c r="A138" s="590" t="s">
        <v>581</v>
      </c>
      <c r="B138" s="591"/>
      <c r="C138" s="592">
        <f>C133/200</f>
        <v>0</v>
      </c>
      <c r="D138" s="592"/>
      <c r="E138" s="677"/>
    </row>
    <row r="139" spans="1:5" x14ac:dyDescent="0.2">
      <c r="A139" s="595"/>
    </row>
  </sheetData>
  <mergeCells count="31">
    <mergeCell ref="A128:B128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09:A113"/>
    <mergeCell ref="A114:E114"/>
    <mergeCell ref="A115:E115"/>
    <mergeCell ref="A116:B116"/>
    <mergeCell ref="A117:B117"/>
    <mergeCell ref="A62:E62"/>
    <mergeCell ref="A81:E81"/>
    <mergeCell ref="A82:E82"/>
    <mergeCell ref="A89:E89"/>
    <mergeCell ref="A90:E90"/>
    <mergeCell ref="A20:E20"/>
    <mergeCell ref="A21:E21"/>
    <mergeCell ref="A50:E50"/>
    <mergeCell ref="A51:E51"/>
    <mergeCell ref="A61:E61"/>
    <mergeCell ref="A1:E1"/>
    <mergeCell ref="A2:E2"/>
    <mergeCell ref="A3:E3"/>
    <mergeCell ref="A9:E9"/>
    <mergeCell ref="A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D31"/>
  </sheetPr>
  <dimension ref="A1:ALX182"/>
  <sheetViews>
    <sheetView zoomScale="75" zoomScaleNormal="75" workbookViewId="0">
      <pane xSplit="1" topLeftCell="B1" activePane="topRight" state="frozen"/>
      <selection pane="topRight" activeCell="AB1" sqref="AB1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12.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3" width="9.25" customWidth="1"/>
    <col min="24" max="24" width="10.875" customWidth="1"/>
    <col min="25" max="26" width="10.625" customWidth="1"/>
    <col min="27" max="27" width="11.625" customWidth="1"/>
    <col min="28" max="1013" width="10.625" customWidth="1"/>
    <col min="1014" max="1025" width="10.5" customWidth="1"/>
  </cols>
  <sheetData>
    <row r="1" spans="1:27" ht="15" customHeight="1" x14ac:dyDescent="0.2">
      <c r="A1" s="311"/>
      <c r="B1" s="311"/>
      <c r="C1" s="835" t="s">
        <v>331</v>
      </c>
      <c r="D1" s="835"/>
      <c r="E1" s="835"/>
      <c r="F1" s="835"/>
      <c r="G1" s="835"/>
      <c r="H1" s="835"/>
      <c r="I1" s="836" t="s">
        <v>332</v>
      </c>
      <c r="J1" s="836"/>
      <c r="K1" s="836"/>
      <c r="L1" s="837" t="s">
        <v>333</v>
      </c>
      <c r="M1" s="837"/>
      <c r="N1" s="837"/>
      <c r="O1" s="311"/>
      <c r="P1" s="311"/>
      <c r="Q1" s="311"/>
      <c r="R1" s="311"/>
      <c r="S1" s="311"/>
      <c r="T1" s="311"/>
      <c r="U1" s="311"/>
      <c r="V1" s="311"/>
      <c r="W1" s="311"/>
      <c r="X1" s="838"/>
      <c r="Y1" s="838"/>
      <c r="Z1" s="838"/>
      <c r="AA1" s="311"/>
    </row>
    <row r="2" spans="1:27" ht="68.099999999999994" customHeight="1" x14ac:dyDescent="0.2">
      <c r="A2" s="839" t="s">
        <v>339</v>
      </c>
      <c r="B2" s="839" t="s">
        <v>340</v>
      </c>
      <c r="C2" s="840" t="s">
        <v>428</v>
      </c>
      <c r="D2" s="820" t="s">
        <v>341</v>
      </c>
      <c r="E2" s="820" t="s">
        <v>342</v>
      </c>
      <c r="F2" s="821" t="s">
        <v>343</v>
      </c>
      <c r="G2" s="819" t="s">
        <v>344</v>
      </c>
      <c r="H2" s="841" t="s">
        <v>429</v>
      </c>
      <c r="I2" s="842" t="s">
        <v>346</v>
      </c>
      <c r="J2" s="822" t="s">
        <v>430</v>
      </c>
      <c r="K2" s="843" t="s">
        <v>348</v>
      </c>
      <c r="L2" s="844" t="s">
        <v>349</v>
      </c>
      <c r="M2" s="824" t="s">
        <v>350</v>
      </c>
      <c r="N2" s="845" t="s">
        <v>351</v>
      </c>
      <c r="O2" s="846" t="s">
        <v>431</v>
      </c>
      <c r="P2" s="847" t="s">
        <v>432</v>
      </c>
      <c r="Q2" s="847"/>
      <c r="R2" s="847"/>
      <c r="S2" s="847"/>
      <c r="T2" s="847"/>
      <c r="U2" s="847"/>
      <c r="V2" s="848" t="s">
        <v>433</v>
      </c>
      <c r="W2" s="848"/>
      <c r="X2" s="335" t="s">
        <v>434</v>
      </c>
      <c r="Y2" s="336" t="s">
        <v>435</v>
      </c>
      <c r="Z2" s="337" t="s">
        <v>436</v>
      </c>
      <c r="AA2" s="338" t="s">
        <v>437</v>
      </c>
    </row>
    <row r="3" spans="1:27" x14ac:dyDescent="0.2">
      <c r="A3" s="839"/>
      <c r="B3" s="839"/>
      <c r="C3" s="839"/>
      <c r="D3" s="820"/>
      <c r="E3" s="820"/>
      <c r="F3" s="821"/>
      <c r="G3" s="819"/>
      <c r="H3" s="841"/>
      <c r="I3" s="842"/>
      <c r="J3" s="822"/>
      <c r="K3" s="843"/>
      <c r="L3" s="844"/>
      <c r="M3" s="824"/>
      <c r="N3" s="845"/>
      <c r="O3" s="846"/>
      <c r="P3" s="340" t="s">
        <v>438</v>
      </c>
      <c r="Q3" s="340" t="s">
        <v>439</v>
      </c>
      <c r="R3" s="340" t="s">
        <v>440</v>
      </c>
      <c r="S3" s="340" t="s">
        <v>441</v>
      </c>
      <c r="T3" s="341" t="s">
        <v>620</v>
      </c>
      <c r="U3" s="341" t="s">
        <v>621</v>
      </c>
      <c r="V3" s="342" t="s">
        <v>442</v>
      </c>
      <c r="W3" s="342" t="s">
        <v>443</v>
      </c>
      <c r="X3" s="343" t="s">
        <v>444</v>
      </c>
      <c r="Y3" s="344" t="s">
        <v>444</v>
      </c>
      <c r="Z3" s="345" t="s">
        <v>445</v>
      </c>
      <c r="AA3" s="338" t="s">
        <v>442</v>
      </c>
    </row>
    <row r="4" spans="1:27" x14ac:dyDescent="0.2">
      <c r="A4" s="346" t="s">
        <v>622</v>
      </c>
      <c r="B4" s="678">
        <f>'Resumo Proposta'!D20</f>
        <v>0</v>
      </c>
      <c r="C4" s="679"/>
      <c r="D4" s="349"/>
      <c r="E4" s="349">
        <f>($E$23*30/40)*(1-H4/$H$23)</f>
        <v>825</v>
      </c>
      <c r="F4" s="282"/>
      <c r="G4" s="680"/>
      <c r="H4" s="351"/>
      <c r="I4" s="282"/>
      <c r="J4" s="351"/>
      <c r="K4" s="282"/>
      <c r="L4" s="351">
        <v>82.1</v>
      </c>
      <c r="M4" s="351"/>
      <c r="N4" s="352"/>
      <c r="O4" s="353">
        <f t="shared" ref="O4:O21" si="0">D4/$D$23+E4/$E$23+F4/$F$23+G4/$G$23+H4/$H$23+I4/$I$23+J4/$J$23+K4/$K$23+M4/$M$23*16*1/188.76+N4/$N$23*16*1/188.76</f>
        <v>0.75</v>
      </c>
      <c r="P4" s="353"/>
      <c r="Q4" s="353"/>
      <c r="R4" s="353">
        <v>1</v>
      </c>
      <c r="S4" s="353"/>
      <c r="T4" s="353"/>
      <c r="U4" s="353"/>
      <c r="V4" s="354"/>
      <c r="W4" s="354"/>
      <c r="X4" s="355">
        <v>6</v>
      </c>
      <c r="Y4" s="356">
        <v>6</v>
      </c>
      <c r="Z4" s="357">
        <v>22</v>
      </c>
      <c r="AA4" s="358">
        <v>1</v>
      </c>
    </row>
    <row r="5" spans="1:27" x14ac:dyDescent="0.2">
      <c r="A5" s="359" t="s">
        <v>83</v>
      </c>
      <c r="B5" s="681">
        <f>'Resumo Proposta'!D21</f>
        <v>0</v>
      </c>
      <c r="C5" s="682"/>
      <c r="D5" s="282"/>
      <c r="E5" s="282">
        <f>($E$23*20/40)*(1-H5/$H$23)</f>
        <v>550</v>
      </c>
      <c r="F5" s="282"/>
      <c r="G5" s="282"/>
      <c r="H5" s="282"/>
      <c r="I5" s="282"/>
      <c r="J5" s="282"/>
      <c r="K5" s="282"/>
      <c r="L5" s="282"/>
      <c r="M5" s="282"/>
      <c r="N5" s="363"/>
      <c r="O5" s="353">
        <f t="shared" si="0"/>
        <v>0.5</v>
      </c>
      <c r="P5" s="365"/>
      <c r="Q5" s="365"/>
      <c r="R5" s="365"/>
      <c r="S5" s="365"/>
      <c r="T5" s="365">
        <v>1</v>
      </c>
      <c r="U5" s="365"/>
      <c r="V5" s="366"/>
      <c r="W5" s="366"/>
      <c r="X5" s="367">
        <v>6</v>
      </c>
      <c r="Y5" s="368">
        <v>6</v>
      </c>
      <c r="Z5" s="369"/>
      <c r="AA5" s="370"/>
    </row>
    <row r="6" spans="1:27" x14ac:dyDescent="0.2">
      <c r="A6" s="359" t="s">
        <v>85</v>
      </c>
      <c r="B6" s="681">
        <f>'Resumo Proposta'!D22</f>
        <v>0</v>
      </c>
      <c r="C6" s="682"/>
      <c r="D6" s="282"/>
      <c r="E6" s="282">
        <f>($E$23*30/40)*(1-H6/$H$23)</f>
        <v>825</v>
      </c>
      <c r="F6" s="282"/>
      <c r="G6" s="282"/>
      <c r="H6" s="282"/>
      <c r="I6" s="282"/>
      <c r="J6" s="282"/>
      <c r="K6" s="282"/>
      <c r="L6" s="282"/>
      <c r="M6" s="282"/>
      <c r="N6" s="363"/>
      <c r="O6" s="353">
        <f t="shared" si="0"/>
        <v>0.75</v>
      </c>
      <c r="P6" s="365"/>
      <c r="Q6" s="365"/>
      <c r="R6" s="365">
        <v>1</v>
      </c>
      <c r="S6" s="365"/>
      <c r="T6" s="365"/>
      <c r="U6" s="365"/>
      <c r="V6" s="366"/>
      <c r="W6" s="366"/>
      <c r="X6" s="367">
        <v>6</v>
      </c>
      <c r="Y6" s="368">
        <v>6</v>
      </c>
      <c r="Z6" s="371"/>
      <c r="AA6" s="370"/>
    </row>
    <row r="7" spans="1:27" x14ac:dyDescent="0.2">
      <c r="A7" s="359" t="s">
        <v>87</v>
      </c>
      <c r="B7" s="681">
        <f>'Resumo Proposta'!D23</f>
        <v>0</v>
      </c>
      <c r="C7" s="682"/>
      <c r="D7" s="282"/>
      <c r="E7" s="282">
        <f>($E$23*30/40)*(1-H7/$H$23)</f>
        <v>825</v>
      </c>
      <c r="F7" s="282"/>
      <c r="G7" s="282"/>
      <c r="H7" s="282"/>
      <c r="I7" s="282"/>
      <c r="J7" s="282"/>
      <c r="K7" s="282"/>
      <c r="L7" s="282"/>
      <c r="M7" s="282"/>
      <c r="N7" s="363"/>
      <c r="O7" s="353">
        <f t="shared" si="0"/>
        <v>0.75</v>
      </c>
      <c r="P7" s="365"/>
      <c r="Q7" s="365"/>
      <c r="R7" s="365">
        <v>1</v>
      </c>
      <c r="S7" s="365"/>
      <c r="T7" s="365"/>
      <c r="U7" s="365"/>
      <c r="V7" s="366"/>
      <c r="W7" s="366"/>
      <c r="X7" s="367">
        <v>6</v>
      </c>
      <c r="Y7" s="368">
        <v>6</v>
      </c>
      <c r="Z7" s="371"/>
      <c r="AA7" s="370"/>
    </row>
    <row r="8" spans="1:27" x14ac:dyDescent="0.2">
      <c r="A8" s="359" t="s">
        <v>89</v>
      </c>
      <c r="B8" s="681">
        <f>'Resumo Proposta'!D24</f>
        <v>0</v>
      </c>
      <c r="C8" s="682">
        <v>1521.11</v>
      </c>
      <c r="D8" s="282">
        <f>C8-E8-F8-G8-H8</f>
        <v>402.19799999999998</v>
      </c>
      <c r="E8" s="282">
        <f>$E$23*(1-H8/$H$23)</f>
        <v>428.25200000000001</v>
      </c>
      <c r="F8" s="282">
        <v>448.99</v>
      </c>
      <c r="G8" s="282">
        <v>89</v>
      </c>
      <c r="H8" s="282">
        <v>152.66999999999999</v>
      </c>
      <c r="I8" s="282"/>
      <c r="J8" s="282"/>
      <c r="K8" s="282">
        <v>1519.51</v>
      </c>
      <c r="L8" s="282"/>
      <c r="M8" s="282">
        <f>N8</f>
        <v>41.39</v>
      </c>
      <c r="N8" s="363">
        <v>41.39</v>
      </c>
      <c r="O8" s="353">
        <f t="shared" si="0"/>
        <v>1.8913729862482016</v>
      </c>
      <c r="P8" s="365">
        <v>1</v>
      </c>
      <c r="Q8" s="365"/>
      <c r="R8" s="365"/>
      <c r="S8" s="365">
        <v>1</v>
      </c>
      <c r="T8" s="365"/>
      <c r="U8" s="365"/>
      <c r="V8" s="366"/>
      <c r="W8" s="366"/>
      <c r="X8" s="367">
        <v>6</v>
      </c>
      <c r="Y8" s="368">
        <v>6</v>
      </c>
      <c r="Z8" s="371"/>
      <c r="AA8" s="370"/>
    </row>
    <row r="9" spans="1:27" x14ac:dyDescent="0.2">
      <c r="A9" s="359" t="s">
        <v>91</v>
      </c>
      <c r="B9" s="681">
        <f>'Resumo Proposta'!D25</f>
        <v>0</v>
      </c>
      <c r="C9" s="682"/>
      <c r="D9" s="282"/>
      <c r="E9" s="282">
        <f>($E$23*30/40)*(1-H9/$H$23)</f>
        <v>825</v>
      </c>
      <c r="F9" s="282"/>
      <c r="G9" s="282"/>
      <c r="H9" s="282"/>
      <c r="I9" s="282"/>
      <c r="J9" s="282"/>
      <c r="K9" s="282"/>
      <c r="L9" s="282"/>
      <c r="M9" s="282"/>
      <c r="N9" s="363"/>
      <c r="O9" s="353">
        <f t="shared" si="0"/>
        <v>0.75</v>
      </c>
      <c r="P9" s="365"/>
      <c r="Q9" s="365"/>
      <c r="R9" s="365">
        <v>1</v>
      </c>
      <c r="S9" s="365"/>
      <c r="T9" s="365"/>
      <c r="U9" s="365"/>
      <c r="V9" s="366"/>
      <c r="W9" s="366"/>
      <c r="X9" s="367">
        <v>6</v>
      </c>
      <c r="Y9" s="368">
        <v>6</v>
      </c>
      <c r="Z9" s="371"/>
      <c r="AA9" s="370"/>
    </row>
    <row r="10" spans="1:27" x14ac:dyDescent="0.2">
      <c r="A10" s="359" t="s">
        <v>93</v>
      </c>
      <c r="B10" s="681">
        <f>'Resumo Proposta'!D26</f>
        <v>0</v>
      </c>
      <c r="C10" s="682">
        <v>1793.65</v>
      </c>
      <c r="D10" s="282">
        <f t="shared" ref="D10:D16" si="1">C10-E10-F10-G10-H10</f>
        <v>543.80600000000004</v>
      </c>
      <c r="E10" s="282">
        <f t="shared" ref="E10:E17" si="2">$E$23*(1-H10/$H$23)</f>
        <v>782.14400000000001</v>
      </c>
      <c r="F10" s="282">
        <v>350.46</v>
      </c>
      <c r="G10" s="282">
        <v>45</v>
      </c>
      <c r="H10" s="282">
        <v>72.239999999999995</v>
      </c>
      <c r="I10" s="282"/>
      <c r="J10" s="282"/>
      <c r="K10" s="282">
        <v>603.89</v>
      </c>
      <c r="L10" s="282"/>
      <c r="M10" s="282">
        <f t="shared" ref="M10:M16" si="3">N10</f>
        <v>56.61</v>
      </c>
      <c r="N10" s="363">
        <v>56.61</v>
      </c>
      <c r="O10" s="353">
        <f t="shared" si="0"/>
        <v>1.8264231074454518</v>
      </c>
      <c r="P10" s="365">
        <v>1</v>
      </c>
      <c r="Q10" s="365"/>
      <c r="R10" s="365"/>
      <c r="S10" s="365">
        <v>1</v>
      </c>
      <c r="T10" s="365"/>
      <c r="U10" s="365"/>
      <c r="V10" s="366"/>
      <c r="W10" s="366">
        <v>1</v>
      </c>
      <c r="X10" s="367">
        <v>6</v>
      </c>
      <c r="Y10" s="368">
        <v>6</v>
      </c>
      <c r="Z10" s="371"/>
      <c r="AA10" s="370"/>
    </row>
    <row r="11" spans="1:27" x14ac:dyDescent="0.2">
      <c r="A11" s="359" t="s">
        <v>95</v>
      </c>
      <c r="B11" s="681">
        <f>'Resumo Proposta'!D27</f>
        <v>0</v>
      </c>
      <c r="C11" s="682">
        <v>1890.08</v>
      </c>
      <c r="D11" s="282">
        <f t="shared" si="1"/>
        <v>-518.63400000000001</v>
      </c>
      <c r="E11" s="282">
        <f t="shared" si="2"/>
        <v>951.98400000000004</v>
      </c>
      <c r="F11" s="282">
        <f>84.46+339.99</f>
        <v>424.45</v>
      </c>
      <c r="G11" s="282">
        <f>88.78+51.84+170.54+18.29+6.25+346.68+245.79+70.47</f>
        <v>998.64</v>
      </c>
      <c r="H11" s="282">
        <f>19.76+13.88</f>
        <v>33.64</v>
      </c>
      <c r="I11" s="282">
        <v>264.85000000000002</v>
      </c>
      <c r="J11" s="282"/>
      <c r="K11" s="282">
        <v>186.29</v>
      </c>
      <c r="L11" s="282"/>
      <c r="M11" s="282">
        <f t="shared" si="3"/>
        <v>28.83</v>
      </c>
      <c r="N11" s="363">
        <v>28.83</v>
      </c>
      <c r="O11" s="353">
        <f t="shared" si="0"/>
        <v>1.894613361860539</v>
      </c>
      <c r="P11" s="365"/>
      <c r="Q11" s="365"/>
      <c r="R11" s="365">
        <v>1</v>
      </c>
      <c r="S11" s="365">
        <v>1</v>
      </c>
      <c r="T11" s="365"/>
      <c r="U11" s="365"/>
      <c r="V11" s="366"/>
      <c r="W11" s="366">
        <v>1</v>
      </c>
      <c r="X11" s="367">
        <v>6</v>
      </c>
      <c r="Y11" s="368">
        <v>6</v>
      </c>
      <c r="Z11" s="371"/>
      <c r="AA11" s="370"/>
    </row>
    <row r="12" spans="1:27" x14ac:dyDescent="0.2">
      <c r="A12" s="359" t="s">
        <v>97</v>
      </c>
      <c r="B12" s="681">
        <f>'Resumo Proposta'!D28</f>
        <v>0</v>
      </c>
      <c r="C12" s="682">
        <v>760.93</v>
      </c>
      <c r="D12" s="282">
        <f t="shared" si="1"/>
        <v>-58.773999999999944</v>
      </c>
      <c r="E12" s="282">
        <f t="shared" si="2"/>
        <v>737.2639999999999</v>
      </c>
      <c r="F12" s="282">
        <v>0</v>
      </c>
      <c r="G12" s="683">
        <v>0</v>
      </c>
      <c r="H12" s="282">
        <v>82.44</v>
      </c>
      <c r="I12" s="282"/>
      <c r="J12" s="282"/>
      <c r="K12" s="282">
        <v>82.48</v>
      </c>
      <c r="L12" s="282"/>
      <c r="M12" s="282">
        <f t="shared" si="3"/>
        <v>23.75</v>
      </c>
      <c r="N12" s="363">
        <v>23.75</v>
      </c>
      <c r="O12" s="353">
        <f t="shared" si="0"/>
        <v>0.96632900049445503</v>
      </c>
      <c r="P12" s="365">
        <v>1</v>
      </c>
      <c r="Q12" s="365"/>
      <c r="R12" s="365"/>
      <c r="S12" s="365">
        <v>1</v>
      </c>
      <c r="T12" s="365"/>
      <c r="U12" s="365"/>
      <c r="V12" s="366"/>
      <c r="W12" s="366">
        <v>1</v>
      </c>
      <c r="X12" s="367">
        <v>6</v>
      </c>
      <c r="Y12" s="368">
        <v>6</v>
      </c>
      <c r="Z12" s="371"/>
      <c r="AA12" s="370"/>
    </row>
    <row r="13" spans="1:27" x14ac:dyDescent="0.2">
      <c r="A13" s="359" t="s">
        <v>99</v>
      </c>
      <c r="B13" s="681">
        <f>'Resumo Proposta'!D29</f>
        <v>0</v>
      </c>
      <c r="C13" s="682">
        <v>2438.61</v>
      </c>
      <c r="D13" s="282">
        <f t="shared" si="1"/>
        <v>580.49800000000005</v>
      </c>
      <c r="E13" s="282">
        <f t="shared" si="2"/>
        <v>524.83199999999999</v>
      </c>
      <c r="F13" s="282">
        <f>524.97+45.23+43.85</f>
        <v>614.05000000000007</v>
      </c>
      <c r="G13" s="282">
        <f>350.51+238</f>
        <v>588.51</v>
      </c>
      <c r="H13" s="282">
        <f>14.78+10.37+22.76+14+46.46+11.1+11.25</f>
        <v>130.72</v>
      </c>
      <c r="I13" s="282">
        <v>493.61</v>
      </c>
      <c r="J13" s="282"/>
      <c r="K13" s="282">
        <f>123*3</f>
        <v>369</v>
      </c>
      <c r="L13" s="282"/>
      <c r="M13" s="282">
        <f t="shared" si="3"/>
        <v>79.91</v>
      </c>
      <c r="N13" s="363">
        <v>79.91</v>
      </c>
      <c r="O13" s="353">
        <f t="shared" si="0"/>
        <v>2.7168426985596366</v>
      </c>
      <c r="P13" s="365">
        <v>1</v>
      </c>
      <c r="Q13" s="365"/>
      <c r="R13" s="365"/>
      <c r="S13" s="365">
        <v>2</v>
      </c>
      <c r="T13" s="365"/>
      <c r="U13" s="365"/>
      <c r="V13" s="366"/>
      <c r="W13" s="366">
        <v>1</v>
      </c>
      <c r="X13" s="367">
        <v>6</v>
      </c>
      <c r="Y13" s="368">
        <v>6</v>
      </c>
      <c r="Z13" s="371"/>
      <c r="AA13" s="370"/>
    </row>
    <row r="14" spans="1:27" x14ac:dyDescent="0.2">
      <c r="A14" s="359" t="s">
        <v>101</v>
      </c>
      <c r="B14" s="681">
        <f>'Resumo Proposta'!D30</f>
        <v>0</v>
      </c>
      <c r="C14" s="682">
        <v>734.15</v>
      </c>
      <c r="D14" s="282">
        <f t="shared" si="1"/>
        <v>12.119999999999948</v>
      </c>
      <c r="E14" s="282">
        <f t="shared" si="2"/>
        <v>502.04</v>
      </c>
      <c r="F14" s="282">
        <v>40.090000000000003</v>
      </c>
      <c r="G14" s="282">
        <v>44</v>
      </c>
      <c r="H14" s="282">
        <v>135.9</v>
      </c>
      <c r="I14" s="282"/>
      <c r="J14" s="282"/>
      <c r="K14" s="282">
        <v>1238.5</v>
      </c>
      <c r="L14" s="282"/>
      <c r="M14" s="282">
        <f t="shared" si="3"/>
        <v>47.96</v>
      </c>
      <c r="N14" s="363">
        <v>47.96</v>
      </c>
      <c r="O14" s="353">
        <f t="shared" si="0"/>
        <v>1.2362976628634521</v>
      </c>
      <c r="P14" s="365"/>
      <c r="Q14" s="365"/>
      <c r="R14" s="365">
        <v>1</v>
      </c>
      <c r="S14" s="365">
        <v>1</v>
      </c>
      <c r="T14" s="365"/>
      <c r="U14" s="365"/>
      <c r="V14" s="366"/>
      <c r="W14" s="366"/>
      <c r="X14" s="367">
        <v>6</v>
      </c>
      <c r="Y14" s="368">
        <v>6</v>
      </c>
      <c r="Z14" s="371"/>
      <c r="AA14" s="370"/>
    </row>
    <row r="15" spans="1:27" x14ac:dyDescent="0.2">
      <c r="A15" s="359" t="s">
        <v>103</v>
      </c>
      <c r="B15" s="681">
        <f>'Resumo Proposta'!D31</f>
        <v>0</v>
      </c>
      <c r="C15" s="682">
        <v>1800.91</v>
      </c>
      <c r="D15" s="282">
        <f t="shared" si="1"/>
        <v>-241.43599999999995</v>
      </c>
      <c r="E15" s="282">
        <f t="shared" si="2"/>
        <v>866.09600000000012</v>
      </c>
      <c r="F15" s="282">
        <v>1052.0899999999999</v>
      </c>
      <c r="G15" s="282">
        <v>71</v>
      </c>
      <c r="H15" s="282">
        <v>53.16</v>
      </c>
      <c r="I15" s="282"/>
      <c r="J15" s="282"/>
      <c r="K15" s="282">
        <v>1660.66</v>
      </c>
      <c r="L15" s="282"/>
      <c r="M15" s="282">
        <f t="shared" si="3"/>
        <v>47.75</v>
      </c>
      <c r="N15" s="363">
        <v>47.75</v>
      </c>
      <c r="O15" s="353">
        <f t="shared" si="0"/>
        <v>1.6418274109887985</v>
      </c>
      <c r="P15" s="365"/>
      <c r="Q15" s="365"/>
      <c r="R15" s="365">
        <v>1</v>
      </c>
      <c r="S15" s="365"/>
      <c r="T15" s="365"/>
      <c r="U15" s="365">
        <v>1</v>
      </c>
      <c r="V15" s="366"/>
      <c r="W15" s="366"/>
      <c r="X15" s="367">
        <v>6</v>
      </c>
      <c r="Y15" s="368">
        <v>6</v>
      </c>
      <c r="Z15" s="371"/>
      <c r="AA15" s="370"/>
    </row>
    <row r="16" spans="1:27" x14ac:dyDescent="0.2">
      <c r="A16" s="359" t="s">
        <v>105</v>
      </c>
      <c r="B16" s="681">
        <f>'Resumo Proposta'!D32</f>
        <v>0</v>
      </c>
      <c r="C16" s="682">
        <v>1761.5</v>
      </c>
      <c r="D16" s="282">
        <f t="shared" si="1"/>
        <v>696.85200000000009</v>
      </c>
      <c r="E16" s="282">
        <f t="shared" si="2"/>
        <v>232.62800000000001</v>
      </c>
      <c r="F16" s="282">
        <v>548.89</v>
      </c>
      <c r="G16" s="282">
        <v>86</v>
      </c>
      <c r="H16" s="282">
        <v>197.13</v>
      </c>
      <c r="I16" s="282"/>
      <c r="J16" s="282"/>
      <c r="K16" s="282">
        <v>267.45</v>
      </c>
      <c r="L16" s="282"/>
      <c r="M16" s="282">
        <f t="shared" si="3"/>
        <v>17.75</v>
      </c>
      <c r="N16" s="363">
        <v>17.75</v>
      </c>
      <c r="O16" s="353">
        <f t="shared" si="0"/>
        <v>2.0620760897900614</v>
      </c>
      <c r="P16" s="365"/>
      <c r="Q16" s="365"/>
      <c r="R16" s="365">
        <v>1</v>
      </c>
      <c r="S16" s="365">
        <v>1</v>
      </c>
      <c r="T16" s="365"/>
      <c r="U16" s="365"/>
      <c r="V16" s="366"/>
      <c r="W16" s="366">
        <v>1</v>
      </c>
      <c r="X16" s="367">
        <v>6</v>
      </c>
      <c r="Y16" s="368">
        <v>6</v>
      </c>
      <c r="Z16" s="371"/>
      <c r="AA16" s="370"/>
    </row>
    <row r="17" spans="1:1012" x14ac:dyDescent="0.2">
      <c r="A17" s="359" t="s">
        <v>107</v>
      </c>
      <c r="B17" s="681">
        <f>'Resumo Proposta'!D33</f>
        <v>0</v>
      </c>
      <c r="C17" s="682"/>
      <c r="D17" s="282"/>
      <c r="E17" s="282">
        <f t="shared" si="2"/>
        <v>1100</v>
      </c>
      <c r="F17" s="282"/>
      <c r="G17" s="282"/>
      <c r="H17" s="282"/>
      <c r="I17" s="282"/>
      <c r="J17" s="282"/>
      <c r="K17" s="282"/>
      <c r="L17" s="282"/>
      <c r="M17" s="282"/>
      <c r="N17" s="363"/>
      <c r="O17" s="353">
        <f t="shared" si="0"/>
        <v>1</v>
      </c>
      <c r="P17" s="365">
        <v>1</v>
      </c>
      <c r="Q17" s="365"/>
      <c r="R17" s="365"/>
      <c r="S17" s="365"/>
      <c r="T17" s="365"/>
      <c r="U17" s="365"/>
      <c r="V17" s="366"/>
      <c r="W17" s="366"/>
      <c r="X17" s="367">
        <v>6</v>
      </c>
      <c r="Y17" s="368">
        <v>6</v>
      </c>
      <c r="Z17" s="371"/>
      <c r="AA17" s="370"/>
    </row>
    <row r="18" spans="1:1012" x14ac:dyDescent="0.2">
      <c r="A18" s="359" t="s">
        <v>109</v>
      </c>
      <c r="B18" s="681">
        <f>'Resumo Proposta'!D34</f>
        <v>0</v>
      </c>
      <c r="C18" s="682"/>
      <c r="D18" s="282"/>
      <c r="E18" s="282">
        <f>($E$23*30/40)*(1-H18/$H$23)</f>
        <v>825</v>
      </c>
      <c r="F18" s="282"/>
      <c r="G18" s="282"/>
      <c r="H18" s="282"/>
      <c r="I18" s="282"/>
      <c r="J18" s="282"/>
      <c r="K18" s="282"/>
      <c r="L18" s="282"/>
      <c r="M18" s="282"/>
      <c r="N18" s="363"/>
      <c r="O18" s="353">
        <f t="shared" si="0"/>
        <v>0.75</v>
      </c>
      <c r="P18" s="365"/>
      <c r="Q18" s="365"/>
      <c r="R18" s="365">
        <v>1</v>
      </c>
      <c r="S18" s="365"/>
      <c r="T18" s="365"/>
      <c r="U18" s="365"/>
      <c r="V18" s="366"/>
      <c r="W18" s="366"/>
      <c r="X18" s="367">
        <v>6</v>
      </c>
      <c r="Y18" s="368">
        <v>6</v>
      </c>
      <c r="Z18" s="371"/>
      <c r="AA18" s="370"/>
    </row>
    <row r="19" spans="1:1012" x14ac:dyDescent="0.2">
      <c r="A19" s="359" t="s">
        <v>110</v>
      </c>
      <c r="B19" s="681">
        <f>'Resumo Proposta'!D35</f>
        <v>0</v>
      </c>
      <c r="C19" s="682"/>
      <c r="D19" s="282"/>
      <c r="E19" s="282">
        <f>($E$23*30/40)*(1-H19/$H$23)</f>
        <v>825</v>
      </c>
      <c r="F19" s="282"/>
      <c r="G19" s="282"/>
      <c r="H19" s="282"/>
      <c r="I19" s="282"/>
      <c r="J19" s="282"/>
      <c r="K19" s="282"/>
      <c r="L19" s="282"/>
      <c r="M19" s="282"/>
      <c r="N19" s="363"/>
      <c r="O19" s="353">
        <f t="shared" si="0"/>
        <v>0.75</v>
      </c>
      <c r="P19" s="365"/>
      <c r="Q19" s="365"/>
      <c r="R19" s="365">
        <v>1</v>
      </c>
      <c r="S19" s="365"/>
      <c r="T19" s="365"/>
      <c r="U19" s="365"/>
      <c r="V19" s="366"/>
      <c r="W19" s="366"/>
      <c r="X19" s="367">
        <v>6</v>
      </c>
      <c r="Y19" s="368">
        <v>6</v>
      </c>
      <c r="Z19" s="371"/>
      <c r="AA19" s="370"/>
    </row>
    <row r="20" spans="1:1012" x14ac:dyDescent="0.2">
      <c r="A20" s="684" t="s">
        <v>111</v>
      </c>
      <c r="B20" s="681">
        <f>'Resumo Proposta'!D36</f>
        <v>0</v>
      </c>
      <c r="C20" s="682"/>
      <c r="D20" s="282"/>
      <c r="E20" s="282"/>
      <c r="F20" s="685"/>
      <c r="G20" s="685"/>
      <c r="H20" s="685"/>
      <c r="I20" s="685"/>
      <c r="J20" s="685"/>
      <c r="K20" s="685"/>
      <c r="L20" s="685"/>
      <c r="M20" s="685"/>
      <c r="N20" s="686"/>
      <c r="O20" s="353">
        <f t="shared" si="0"/>
        <v>0</v>
      </c>
      <c r="P20" s="365"/>
      <c r="Q20" s="365"/>
      <c r="R20" s="365"/>
      <c r="S20" s="365"/>
      <c r="T20" s="365"/>
      <c r="U20" s="365"/>
      <c r="V20" s="366"/>
      <c r="W20" s="366"/>
      <c r="X20" s="367"/>
      <c r="Y20" s="368"/>
      <c r="Z20" s="371"/>
      <c r="AA20" s="370"/>
    </row>
    <row r="21" spans="1:1012" x14ac:dyDescent="0.2">
      <c r="A21" s="373" t="s">
        <v>114</v>
      </c>
      <c r="B21" s="687">
        <f>'Resumo Proposta'!D37</f>
        <v>0</v>
      </c>
      <c r="C21" s="688"/>
      <c r="D21" s="376"/>
      <c r="E21" s="376">
        <f>($E$23*30/40)*(1-H21/$H$23)</f>
        <v>825</v>
      </c>
      <c r="F21" s="282"/>
      <c r="G21" s="282"/>
      <c r="H21" s="282"/>
      <c r="I21" s="378"/>
      <c r="J21" s="378"/>
      <c r="K21" s="378"/>
      <c r="L21" s="378"/>
      <c r="M21" s="282"/>
      <c r="N21" s="363"/>
      <c r="O21" s="353">
        <f t="shared" si="0"/>
        <v>0.75</v>
      </c>
      <c r="P21" s="365"/>
      <c r="Q21" s="365"/>
      <c r="R21" s="365">
        <v>1</v>
      </c>
      <c r="S21" s="365"/>
      <c r="T21" s="365"/>
      <c r="U21" s="365"/>
      <c r="V21" s="366"/>
      <c r="W21" s="366"/>
      <c r="X21" s="367">
        <v>6</v>
      </c>
      <c r="Y21" s="368">
        <v>6</v>
      </c>
      <c r="Z21" s="371"/>
      <c r="AA21" s="370"/>
    </row>
    <row r="22" spans="1:1012" x14ac:dyDescent="0.2">
      <c r="A22" s="380" t="s">
        <v>446</v>
      </c>
      <c r="B22" s="380"/>
      <c r="C22" s="689">
        <f t="shared" ref="C22:AA22" si="4">SUM(C4:C21)</f>
        <v>12700.94</v>
      </c>
      <c r="D22" s="689">
        <f t="shared" si="4"/>
        <v>1416.63</v>
      </c>
      <c r="E22" s="689">
        <f t="shared" si="4"/>
        <v>12450.240000000002</v>
      </c>
      <c r="F22" s="689">
        <f t="shared" si="4"/>
        <v>3479.02</v>
      </c>
      <c r="G22" s="689">
        <f t="shared" si="4"/>
        <v>1922.1499999999999</v>
      </c>
      <c r="H22" s="689">
        <f t="shared" si="4"/>
        <v>857.89999999999986</v>
      </c>
      <c r="I22" s="689">
        <f t="shared" si="4"/>
        <v>758.46</v>
      </c>
      <c r="J22" s="689">
        <f t="shared" si="4"/>
        <v>0</v>
      </c>
      <c r="K22" s="689">
        <f t="shared" si="4"/>
        <v>5927.78</v>
      </c>
      <c r="L22" s="689">
        <f t="shared" si="4"/>
        <v>82.1</v>
      </c>
      <c r="M22" s="689">
        <f t="shared" si="4"/>
        <v>343.95</v>
      </c>
      <c r="N22" s="689">
        <f t="shared" si="4"/>
        <v>343.95</v>
      </c>
      <c r="O22" s="382">
        <f t="shared" si="4"/>
        <v>20.985782318250596</v>
      </c>
      <c r="P22" s="384">
        <f t="shared" si="4"/>
        <v>5</v>
      </c>
      <c r="Q22" s="384">
        <f t="shared" si="4"/>
        <v>0</v>
      </c>
      <c r="R22" s="690">
        <f t="shared" si="4"/>
        <v>11</v>
      </c>
      <c r="S22" s="384">
        <f t="shared" si="4"/>
        <v>8</v>
      </c>
      <c r="T22" s="384">
        <f t="shared" si="4"/>
        <v>1</v>
      </c>
      <c r="U22" s="384">
        <f t="shared" si="4"/>
        <v>1</v>
      </c>
      <c r="V22" s="691">
        <f t="shared" si="4"/>
        <v>0</v>
      </c>
      <c r="W22" s="691">
        <f t="shared" si="4"/>
        <v>5</v>
      </c>
      <c r="X22" s="387">
        <f t="shared" si="4"/>
        <v>102</v>
      </c>
      <c r="Y22" s="388">
        <f t="shared" si="4"/>
        <v>102</v>
      </c>
      <c r="Z22" s="389">
        <f t="shared" si="4"/>
        <v>22</v>
      </c>
      <c r="AA22" s="390">
        <f t="shared" si="4"/>
        <v>1</v>
      </c>
      <c r="ALW22" s="270"/>
      <c r="ALX22" s="270"/>
    </row>
    <row r="23" spans="1:1012" x14ac:dyDescent="0.2">
      <c r="A23" s="391" t="s">
        <v>447</v>
      </c>
      <c r="B23" s="391"/>
      <c r="C23" s="391"/>
      <c r="D23" s="392">
        <v>1100</v>
      </c>
      <c r="E23" s="392">
        <v>1100</v>
      </c>
      <c r="F23" s="393">
        <v>1800</v>
      </c>
      <c r="G23" s="393">
        <v>1000</v>
      </c>
      <c r="H23" s="393">
        <v>250</v>
      </c>
      <c r="I23" s="393">
        <v>2700</v>
      </c>
      <c r="J23" s="393">
        <v>100000</v>
      </c>
      <c r="K23" s="393">
        <v>9000</v>
      </c>
      <c r="L23" s="393">
        <v>160</v>
      </c>
      <c r="M23" s="393">
        <v>380</v>
      </c>
      <c r="N23" s="394">
        <v>380</v>
      </c>
      <c r="O23" s="395"/>
      <c r="P23" s="396" t="s">
        <v>448</v>
      </c>
      <c r="Q23" s="397">
        <f>SUM(P22:U22)</f>
        <v>26</v>
      </c>
      <c r="R23" s="314"/>
      <c r="S23" s="398"/>
      <c r="T23" s="398"/>
      <c r="U23" s="398"/>
      <c r="V23" s="396" t="s">
        <v>448</v>
      </c>
      <c r="W23" s="399">
        <f>V22+W22</f>
        <v>5</v>
      </c>
      <c r="X23" s="400"/>
      <c r="Y23" s="400"/>
      <c r="Z23" s="400"/>
      <c r="AA23" s="314"/>
    </row>
    <row r="24" spans="1:1012" ht="15" x14ac:dyDescent="0.25">
      <c r="A24" s="401" t="s">
        <v>449</v>
      </c>
      <c r="B24" s="401"/>
      <c r="C24" s="401"/>
      <c r="D24" s="402">
        <f t="shared" ref="D24:K24" si="5">D22/D23</f>
        <v>1.2878454545454547</v>
      </c>
      <c r="E24" s="402">
        <f t="shared" si="5"/>
        <v>11.318400000000002</v>
      </c>
      <c r="F24" s="403">
        <f t="shared" si="5"/>
        <v>1.9327888888888889</v>
      </c>
      <c r="G24" s="403">
        <f t="shared" si="5"/>
        <v>1.9221499999999998</v>
      </c>
      <c r="H24" s="403">
        <f t="shared" si="5"/>
        <v>3.4315999999999995</v>
      </c>
      <c r="I24" s="403">
        <f t="shared" si="5"/>
        <v>0.28091111111111111</v>
      </c>
      <c r="J24" s="403">
        <f t="shared" si="5"/>
        <v>0</v>
      </c>
      <c r="K24" s="403">
        <f t="shared" si="5"/>
        <v>0.65864222222222224</v>
      </c>
      <c r="L24" s="403">
        <f>1/L23*8*1/1132.6*L22</f>
        <v>3.624404026134558E-3</v>
      </c>
      <c r="M24" s="403">
        <f>1/M23*16*1/188.76*M22</f>
        <v>7.6722320741459502E-2</v>
      </c>
      <c r="N24" s="404">
        <f>1/N23*16*1/188.76*N22</f>
        <v>7.6722320741459502E-2</v>
      </c>
      <c r="O24" s="405">
        <f>SUM(D24:N24)-L24</f>
        <v>20.985782318250596</v>
      </c>
      <c r="P24" s="396" t="s">
        <v>450</v>
      </c>
      <c r="Q24" s="692">
        <f>P22+Q22+(R22*0.75)+(S22*0.75)+(T22*0.5)+(U22*0.5)</f>
        <v>20.25</v>
      </c>
      <c r="R24" s="314"/>
      <c r="S24" s="314"/>
      <c r="T24" s="314"/>
      <c r="U24" s="314"/>
      <c r="V24" s="406"/>
      <c r="W24" s="406"/>
      <c r="X24" s="314"/>
      <c r="Y24" s="314"/>
      <c r="Z24" s="314"/>
      <c r="AA24" s="314"/>
    </row>
    <row r="25" spans="1:1012" ht="15" x14ac:dyDescent="0.25">
      <c r="A25" s="407" t="s">
        <v>451</v>
      </c>
      <c r="B25" s="407"/>
      <c r="C25" s="407"/>
      <c r="D25" s="408">
        <f t="shared" ref="D25:K25" si="6">D22/($O24*D23)</f>
        <v>6.1367521830504299E-2</v>
      </c>
      <c r="E25" s="693">
        <f t="shared" si="6"/>
        <v>0.5393365769431806</v>
      </c>
      <c r="F25" s="694">
        <f t="shared" si="6"/>
        <v>9.2099920773885582E-2</v>
      </c>
      <c r="G25" s="694">
        <f t="shared" si="6"/>
        <v>9.1592963790936385E-2</v>
      </c>
      <c r="H25" s="694">
        <f t="shared" si="6"/>
        <v>0.16352023231536419</v>
      </c>
      <c r="I25" s="694">
        <f t="shared" si="6"/>
        <v>1.3385782185818854E-2</v>
      </c>
      <c r="J25" s="694">
        <f t="shared" si="6"/>
        <v>0</v>
      </c>
      <c r="K25" s="694">
        <f t="shared" si="6"/>
        <v>3.1385164118919895E-2</v>
      </c>
      <c r="L25" s="694">
        <f>1/$O24*1/L23*16*1/188.76*L22</f>
        <v>2.0725643554231369E-3</v>
      </c>
      <c r="M25" s="694">
        <f>1/$O24*1/M23*16*1/188.76*M22</f>
        <v>3.6559190206951115E-3</v>
      </c>
      <c r="N25" s="695">
        <f>1/$O24*1/N23*16*1/188.76*N22</f>
        <v>3.6559190206951115E-3</v>
      </c>
      <c r="O25" s="410">
        <f>SUM(D25:N25)</f>
        <v>1.0020725643554231</v>
      </c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5"/>
    </row>
    <row r="26" spans="1:1012" ht="15" hidden="1" x14ac:dyDescent="0.25">
      <c r="A26" s="411" t="s">
        <v>452</v>
      </c>
      <c r="B26" s="411"/>
      <c r="C26" s="411"/>
      <c r="D26" s="412">
        <f>ROUND(1/D23,9)</f>
        <v>9.09091E-4</v>
      </c>
      <c r="E26" s="412"/>
      <c r="F26" s="413">
        <f t="shared" ref="F26:K26" si="7">ROUND(1/F23,9)</f>
        <v>5.5555600000000002E-4</v>
      </c>
      <c r="G26" s="413">
        <f t="shared" si="7"/>
        <v>1E-3</v>
      </c>
      <c r="H26" s="413">
        <f t="shared" si="7"/>
        <v>4.0000000000000001E-3</v>
      </c>
      <c r="I26" s="413">
        <f t="shared" si="7"/>
        <v>3.7037000000000002E-4</v>
      </c>
      <c r="J26" s="413">
        <f t="shared" si="7"/>
        <v>1.0000000000000001E-5</v>
      </c>
      <c r="K26" s="413">
        <f t="shared" si="7"/>
        <v>1.11111E-4</v>
      </c>
      <c r="L26" s="414">
        <f>(1/L23)*(1/N31)*8</f>
        <v>4.8611111111111115E-5</v>
      </c>
      <c r="M26" s="414">
        <f>(1/M23)*(1/N30)*16</f>
        <v>2.4561403508771931E-4</v>
      </c>
      <c r="N26" s="415">
        <f>(1/N23)*(1/N30)*16</f>
        <v>2.4561403508771931E-4</v>
      </c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</row>
    <row r="27" spans="1:1012" ht="15" hidden="1" x14ac:dyDescent="0.25">
      <c r="A27" s="416" t="s">
        <v>453</v>
      </c>
      <c r="B27" s="416"/>
      <c r="C27" s="416"/>
      <c r="D27" s="417">
        <f>D26/$AA$22</f>
        <v>9.09091E-4</v>
      </c>
      <c r="E27" s="417"/>
      <c r="F27" s="418">
        <f t="shared" ref="F27:N27" si="8">F26/$AA$22</f>
        <v>5.5555600000000002E-4</v>
      </c>
      <c r="G27" s="418">
        <f t="shared" si="8"/>
        <v>1E-3</v>
      </c>
      <c r="H27" s="418">
        <f t="shared" si="8"/>
        <v>4.0000000000000001E-3</v>
      </c>
      <c r="I27" s="418">
        <f t="shared" si="8"/>
        <v>3.7037000000000002E-4</v>
      </c>
      <c r="J27" s="418">
        <f t="shared" si="8"/>
        <v>1.0000000000000001E-5</v>
      </c>
      <c r="K27" s="418">
        <f t="shared" si="8"/>
        <v>1.11111E-4</v>
      </c>
      <c r="L27" s="419">
        <f t="shared" si="8"/>
        <v>4.8611111111111115E-5</v>
      </c>
      <c r="M27" s="419">
        <f t="shared" si="8"/>
        <v>2.4561403508771931E-4</v>
      </c>
      <c r="N27" s="420">
        <f t="shared" si="8"/>
        <v>2.4561403508771931E-4</v>
      </c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</row>
    <row r="28" spans="1:1012" ht="15" x14ac:dyDescent="0.25">
      <c r="A28" s="421" t="s">
        <v>454</v>
      </c>
      <c r="B28" s="421"/>
      <c r="C28" s="421"/>
      <c r="D28" s="422" t="s">
        <v>455</v>
      </c>
      <c r="E28" s="422" t="s">
        <v>455</v>
      </c>
      <c r="F28" s="423" t="s">
        <v>456</v>
      </c>
      <c r="G28" s="423" t="s">
        <v>457</v>
      </c>
      <c r="H28" s="423" t="s">
        <v>458</v>
      </c>
      <c r="I28" s="424" t="s">
        <v>459</v>
      </c>
      <c r="J28" s="424">
        <v>100000</v>
      </c>
      <c r="K28" s="424" t="s">
        <v>460</v>
      </c>
      <c r="L28" s="425" t="s">
        <v>461</v>
      </c>
      <c r="M28" s="425" t="s">
        <v>462</v>
      </c>
      <c r="N28" s="426" t="s">
        <v>462</v>
      </c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</row>
    <row r="29" spans="1:1012" ht="15" hidden="1" x14ac:dyDescent="0.25">
      <c r="A29" s="31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LW29" s="270"/>
      <c r="ALX29" s="270"/>
    </row>
    <row r="30" spans="1:1012" ht="15" hidden="1" x14ac:dyDescent="0.25">
      <c r="A30" s="315"/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427">
        <f>30/7</f>
        <v>4.2857142857142856</v>
      </c>
      <c r="M30" s="427">
        <v>40</v>
      </c>
      <c r="N30" s="427">
        <f>L30*M30</f>
        <v>171.42857142857142</v>
      </c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LW30" s="270"/>
      <c r="ALX30" s="270"/>
    </row>
    <row r="31" spans="1:1012" ht="15" hidden="1" x14ac:dyDescent="0.25">
      <c r="A31" s="315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427"/>
      <c r="M31" s="427"/>
      <c r="N31" s="427">
        <f>N30*6</f>
        <v>1028.5714285714284</v>
      </c>
      <c r="O31" s="427" t="s">
        <v>463</v>
      </c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LW31" s="270"/>
      <c r="ALX31" s="270"/>
    </row>
    <row r="182" spans="4:4" x14ac:dyDescent="0.2">
      <c r="D182">
        <f>(1/'Prod. GEXCAN'!L18)*(1/('Prod. GEXCAN'!L19))*8</f>
        <v>12.357074277734135</v>
      </c>
    </row>
  </sheetData>
  <mergeCells count="21">
    <mergeCell ref="M2:M3"/>
    <mergeCell ref="N2:N3"/>
    <mergeCell ref="O2:O3"/>
    <mergeCell ref="P2:U2"/>
    <mergeCell ref="V2:W2"/>
    <mergeCell ref="C1:H1"/>
    <mergeCell ref="I1:K1"/>
    <mergeCell ref="L1:N1"/>
    <mergeCell ref="X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</sheetPr>
  <dimension ref="A1:AMK205"/>
  <sheetViews>
    <sheetView zoomScale="75" zoomScaleNormal="75" workbookViewId="0">
      <selection activeCell="O153" sqref="O153"/>
    </sheetView>
  </sheetViews>
  <sheetFormatPr defaultRowHeight="14.25" x14ac:dyDescent="0.2"/>
  <cols>
    <col min="1" max="1" width="56.5" style="427" customWidth="1"/>
    <col min="2" max="2" width="16.25" style="427" customWidth="1"/>
    <col min="3" max="3" width="14" style="427" customWidth="1"/>
    <col min="4" max="4" width="12.75" style="427" customWidth="1"/>
    <col min="5" max="5" width="14" style="427" customWidth="1"/>
    <col min="6" max="6" width="12.375" style="427" customWidth="1"/>
    <col min="7" max="7" width="14" style="427" customWidth="1"/>
    <col min="8" max="8" width="12.75" style="427" customWidth="1"/>
    <col min="9" max="9" width="14" style="427" customWidth="1"/>
    <col min="10" max="10" width="12.75" style="427" customWidth="1"/>
    <col min="11" max="11" width="14" style="427" customWidth="1"/>
    <col min="12" max="12" width="12.625" style="427" customWidth="1"/>
    <col min="13" max="13" width="14" style="427" customWidth="1"/>
    <col min="14" max="14" width="12.75" style="427" customWidth="1"/>
    <col min="15" max="15" width="10.5" style="427" customWidth="1"/>
    <col min="16" max="16" width="14.25" style="427" customWidth="1"/>
    <col min="17" max="1025" width="10.5" style="427" customWidth="1"/>
  </cols>
  <sheetData>
    <row r="1" spans="1:10" ht="15.75" x14ac:dyDescent="0.2">
      <c r="A1" s="849" t="s">
        <v>464</v>
      </c>
      <c r="B1" s="849"/>
      <c r="C1" s="849"/>
      <c r="D1" s="849"/>
      <c r="E1" s="849"/>
      <c r="F1" s="849"/>
      <c r="G1" s="849"/>
      <c r="H1" s="849"/>
      <c r="I1" s="849"/>
      <c r="J1" s="849"/>
    </row>
    <row r="2" spans="1:10" ht="15.75" x14ac:dyDescent="0.2">
      <c r="A2" s="850" t="s">
        <v>465</v>
      </c>
      <c r="B2" s="850"/>
      <c r="C2" s="850"/>
      <c r="D2" s="850"/>
      <c r="E2" s="850"/>
      <c r="F2" s="850"/>
      <c r="G2" s="850"/>
      <c r="H2" s="850"/>
      <c r="I2" s="850"/>
      <c r="J2" s="850"/>
    </row>
    <row r="3" spans="1:10" ht="15.75" customHeight="1" x14ac:dyDescent="0.2">
      <c r="A3" s="850" t="s">
        <v>466</v>
      </c>
      <c r="B3" s="850"/>
      <c r="C3" s="850"/>
      <c r="D3" s="850"/>
      <c r="E3" s="850"/>
      <c r="F3" s="850"/>
      <c r="G3" s="850"/>
      <c r="H3" s="850"/>
      <c r="I3" s="850"/>
      <c r="J3" s="850"/>
    </row>
    <row r="4" spans="1:10" ht="24" x14ac:dyDescent="0.2">
      <c r="A4" s="428"/>
      <c r="B4" s="429"/>
      <c r="C4" s="851" t="s">
        <v>467</v>
      </c>
      <c r="D4" s="851"/>
      <c r="E4" s="852" t="s">
        <v>468</v>
      </c>
      <c r="F4" s="852"/>
      <c r="G4" s="852" t="s">
        <v>469</v>
      </c>
      <c r="H4" s="852"/>
      <c r="I4" s="432" t="s">
        <v>470</v>
      </c>
      <c r="J4" s="433" t="s">
        <v>471</v>
      </c>
    </row>
    <row r="5" spans="1:10" x14ac:dyDescent="0.2">
      <c r="A5" s="434"/>
      <c r="B5" s="435" t="s">
        <v>472</v>
      </c>
      <c r="C5" s="853">
        <f>MC!$D11</f>
        <v>0</v>
      </c>
      <c r="D5" s="853"/>
      <c r="E5" s="878">
        <f>MC!$E11</f>
        <v>0</v>
      </c>
      <c r="F5" s="878"/>
      <c r="G5" s="878">
        <v>597.30999999999995</v>
      </c>
      <c r="H5" s="878"/>
      <c r="I5" s="696">
        <f>MC!$C13</f>
        <v>0</v>
      </c>
      <c r="J5" s="697">
        <f>MC!$D12</f>
        <v>0</v>
      </c>
    </row>
    <row r="6" spans="1:10" x14ac:dyDescent="0.2">
      <c r="A6" s="434"/>
      <c r="B6" s="435" t="s">
        <v>473</v>
      </c>
      <c r="C6" s="854">
        <f>MC!$E8</f>
        <v>44562</v>
      </c>
      <c r="D6" s="854"/>
      <c r="E6" s="879">
        <f>MC!$E8</f>
        <v>44562</v>
      </c>
      <c r="F6" s="879"/>
      <c r="G6" s="879">
        <v>44562</v>
      </c>
      <c r="H6" s="879"/>
      <c r="I6" s="698">
        <f>MC!$E8</f>
        <v>44562</v>
      </c>
      <c r="J6" s="699">
        <f>MC!$E8</f>
        <v>44562</v>
      </c>
    </row>
    <row r="7" spans="1:10" x14ac:dyDescent="0.2">
      <c r="A7" s="434"/>
      <c r="B7" s="435" t="s">
        <v>474</v>
      </c>
      <c r="C7" s="854" t="str">
        <f>MC!$C8</f>
        <v>RS005021/2021</v>
      </c>
      <c r="D7" s="854"/>
      <c r="E7" s="879" t="str">
        <f>MC!$C8</f>
        <v>RS005021/2021</v>
      </c>
      <c r="F7" s="879"/>
      <c r="G7" s="879" t="s">
        <v>10</v>
      </c>
      <c r="H7" s="879"/>
      <c r="I7" s="698" t="str">
        <f>MC!$C8</f>
        <v>RS005021/2021</v>
      </c>
      <c r="J7" s="699" t="str">
        <f>MC!$C8</f>
        <v>RS005021/2021</v>
      </c>
    </row>
    <row r="8" spans="1:10" x14ac:dyDescent="0.2">
      <c r="A8" s="434"/>
      <c r="B8" s="435" t="s">
        <v>475</v>
      </c>
      <c r="C8" s="855" t="str">
        <f>MC!$F8</f>
        <v>5143-20</v>
      </c>
      <c r="D8" s="855"/>
      <c r="E8" s="880" t="str">
        <f>MC!$F8</f>
        <v>5143-20</v>
      </c>
      <c r="F8" s="880"/>
      <c r="G8" s="880" t="str">
        <f>MC!$F8</f>
        <v>5143-20</v>
      </c>
      <c r="H8" s="880"/>
      <c r="I8" s="700" t="str">
        <f>MC!$F8</f>
        <v>5143-20</v>
      </c>
      <c r="J8" s="701" t="str">
        <f>MC!$F8</f>
        <v>5143-20</v>
      </c>
    </row>
    <row r="9" spans="1:10" x14ac:dyDescent="0.2">
      <c r="A9" s="857"/>
      <c r="B9" s="857"/>
      <c r="C9" s="857"/>
      <c r="D9" s="857"/>
      <c r="E9" s="857"/>
      <c r="F9" s="857"/>
      <c r="G9" s="857"/>
      <c r="H9" s="857"/>
      <c r="I9" s="857"/>
      <c r="J9" s="857"/>
    </row>
    <row r="10" spans="1:10" ht="56.1" customHeight="1" x14ac:dyDescent="0.2">
      <c r="A10" s="445" t="s">
        <v>476</v>
      </c>
      <c r="B10" s="446" t="s">
        <v>477</v>
      </c>
      <c r="C10" s="447" t="s">
        <v>478</v>
      </c>
      <c r="D10" s="448" t="s">
        <v>479</v>
      </c>
      <c r="E10" s="448" t="s">
        <v>480</v>
      </c>
      <c r="F10" s="448" t="s">
        <v>481</v>
      </c>
      <c r="G10" s="448" t="s">
        <v>623</v>
      </c>
      <c r="H10" s="448" t="s">
        <v>482</v>
      </c>
      <c r="I10" s="448" t="s">
        <v>483</v>
      </c>
      <c r="J10" s="449" t="s">
        <v>484</v>
      </c>
    </row>
    <row r="11" spans="1:10" ht="14.25" customHeight="1" x14ac:dyDescent="0.2">
      <c r="A11" s="858" t="s">
        <v>485</v>
      </c>
      <c r="B11" s="858"/>
      <c r="C11" s="858"/>
      <c r="D11" s="858"/>
      <c r="E11" s="858"/>
      <c r="F11" s="858"/>
      <c r="G11" s="858"/>
      <c r="H11" s="858"/>
      <c r="I11" s="858"/>
      <c r="J11" s="858"/>
    </row>
    <row r="12" spans="1:10" ht="15.75" customHeight="1" x14ac:dyDescent="0.2">
      <c r="A12" s="450" t="s">
        <v>486</v>
      </c>
      <c r="B12" s="451" t="s">
        <v>487</v>
      </c>
      <c r="C12" s="451" t="s">
        <v>488</v>
      </c>
      <c r="D12" s="451" t="s">
        <v>488</v>
      </c>
      <c r="E12" s="451" t="s">
        <v>488</v>
      </c>
      <c r="F12" s="451" t="s">
        <v>488</v>
      </c>
      <c r="G12" s="451" t="s">
        <v>488</v>
      </c>
      <c r="H12" s="451" t="s">
        <v>488</v>
      </c>
      <c r="I12" s="451" t="s">
        <v>488</v>
      </c>
      <c r="J12" s="452" t="s">
        <v>488</v>
      </c>
    </row>
    <row r="13" spans="1:10" ht="15.75" customHeight="1" x14ac:dyDescent="0.2">
      <c r="A13" s="453" t="s">
        <v>489</v>
      </c>
      <c r="B13" s="454"/>
      <c r="C13" s="455">
        <f>C5</f>
        <v>0</v>
      </c>
      <c r="D13" s="455">
        <f>C5</f>
        <v>0</v>
      </c>
      <c r="E13" s="456">
        <f>E5</f>
        <v>0</v>
      </c>
      <c r="F13" s="456">
        <f>E5</f>
        <v>0</v>
      </c>
      <c r="G13" s="456">
        <f>G5</f>
        <v>597.30999999999995</v>
      </c>
      <c r="H13" s="456">
        <f>G5</f>
        <v>597.30999999999995</v>
      </c>
      <c r="I13" s="456">
        <f>I5</f>
        <v>0</v>
      </c>
      <c r="J13" s="457">
        <f>J5</f>
        <v>0</v>
      </c>
    </row>
    <row r="14" spans="1:10" ht="15.75" customHeight="1" x14ac:dyDescent="0.2">
      <c r="A14" s="453" t="s">
        <v>490</v>
      </c>
      <c r="B14" s="458" t="s">
        <v>491</v>
      </c>
      <c r="C14" s="455">
        <f>C5*0.4</f>
        <v>0</v>
      </c>
      <c r="D14" s="455">
        <f>C5*0.2</f>
        <v>0</v>
      </c>
      <c r="E14" s="455">
        <f>E5*0.4</f>
        <v>0</v>
      </c>
      <c r="F14" s="455">
        <f>E5*0.2</f>
        <v>0</v>
      </c>
      <c r="G14" s="455">
        <f>G5*0.4</f>
        <v>238.92399999999998</v>
      </c>
      <c r="H14" s="455">
        <f>G5*0.2</f>
        <v>119.46199999999999</v>
      </c>
      <c r="I14" s="459" t="s">
        <v>112</v>
      </c>
      <c r="J14" s="460" t="s">
        <v>112</v>
      </c>
    </row>
    <row r="15" spans="1:10" ht="15.75" customHeight="1" x14ac:dyDescent="0.2">
      <c r="A15" s="453" t="s">
        <v>492</v>
      </c>
      <c r="B15" s="461"/>
      <c r="C15" s="459" t="s">
        <v>112</v>
      </c>
      <c r="D15" s="459" t="s">
        <v>112</v>
      </c>
      <c r="E15" s="462" t="s">
        <v>112</v>
      </c>
      <c r="F15" s="462" t="s">
        <v>112</v>
      </c>
      <c r="G15" s="462" t="s">
        <v>112</v>
      </c>
      <c r="H15" s="462" t="s">
        <v>112</v>
      </c>
      <c r="I15" s="462" t="s">
        <v>112</v>
      </c>
      <c r="J15" s="460" t="s">
        <v>112</v>
      </c>
    </row>
    <row r="16" spans="1:10" ht="15.75" customHeight="1" x14ac:dyDescent="0.2">
      <c r="A16" s="453" t="s">
        <v>493</v>
      </c>
      <c r="B16" s="461"/>
      <c r="C16" s="459" t="s">
        <v>112</v>
      </c>
      <c r="D16" s="459" t="s">
        <v>112</v>
      </c>
      <c r="E16" s="462" t="s">
        <v>112</v>
      </c>
      <c r="F16" s="462" t="s">
        <v>112</v>
      </c>
      <c r="G16" s="462" t="s">
        <v>112</v>
      </c>
      <c r="H16" s="462" t="s">
        <v>112</v>
      </c>
      <c r="I16" s="462" t="s">
        <v>112</v>
      </c>
      <c r="J16" s="460" t="s">
        <v>112</v>
      </c>
    </row>
    <row r="17" spans="1:10" ht="15.75" customHeight="1" x14ac:dyDescent="0.2">
      <c r="A17" s="453" t="s">
        <v>494</v>
      </c>
      <c r="B17" s="461"/>
      <c r="C17" s="459" t="s">
        <v>112</v>
      </c>
      <c r="D17" s="459" t="s">
        <v>112</v>
      </c>
      <c r="E17" s="462" t="s">
        <v>112</v>
      </c>
      <c r="F17" s="462" t="s">
        <v>112</v>
      </c>
      <c r="G17" s="462" t="s">
        <v>112</v>
      </c>
      <c r="H17" s="462" t="s">
        <v>112</v>
      </c>
      <c r="I17" s="462" t="s">
        <v>112</v>
      </c>
      <c r="J17" s="460" t="s">
        <v>112</v>
      </c>
    </row>
    <row r="18" spans="1:10" ht="15.75" customHeight="1" x14ac:dyDescent="0.2">
      <c r="A18" s="453" t="s">
        <v>495</v>
      </c>
      <c r="B18" s="463"/>
      <c r="C18" s="459" t="s">
        <v>112</v>
      </c>
      <c r="D18" s="459" t="s">
        <v>112</v>
      </c>
      <c r="E18" s="459" t="s">
        <v>112</v>
      </c>
      <c r="F18" s="459" t="s">
        <v>112</v>
      </c>
      <c r="G18" s="459" t="s">
        <v>112</v>
      </c>
      <c r="H18" s="459" t="s">
        <v>112</v>
      </c>
      <c r="I18" s="462" t="s">
        <v>112</v>
      </c>
      <c r="J18" s="460" t="s">
        <v>112</v>
      </c>
    </row>
    <row r="19" spans="1:10" ht="15.75" customHeight="1" x14ac:dyDescent="0.2">
      <c r="A19" s="464" t="s">
        <v>496</v>
      </c>
      <c r="B19" s="465"/>
      <c r="C19" s="466">
        <f t="shared" ref="C19:J19" si="0">SUM(C13:C18)</f>
        <v>0</v>
      </c>
      <c r="D19" s="467">
        <f t="shared" si="0"/>
        <v>0</v>
      </c>
      <c r="E19" s="467">
        <f t="shared" si="0"/>
        <v>0</v>
      </c>
      <c r="F19" s="467">
        <f t="shared" si="0"/>
        <v>0</v>
      </c>
      <c r="G19" s="467">
        <f t="shared" si="0"/>
        <v>836.23399999999992</v>
      </c>
      <c r="H19" s="467">
        <f t="shared" si="0"/>
        <v>716.77199999999993</v>
      </c>
      <c r="I19" s="467">
        <f t="shared" si="0"/>
        <v>0</v>
      </c>
      <c r="J19" s="468">
        <f t="shared" si="0"/>
        <v>0</v>
      </c>
    </row>
    <row r="20" spans="1:10" ht="15.75" customHeight="1" x14ac:dyDescent="0.2">
      <c r="A20" s="859"/>
      <c r="B20" s="859"/>
      <c r="C20" s="470"/>
      <c r="D20" s="470"/>
      <c r="E20" s="471"/>
      <c r="F20" s="471"/>
      <c r="G20" s="471"/>
      <c r="H20" s="471"/>
      <c r="I20" s="471"/>
      <c r="J20" s="472"/>
    </row>
    <row r="21" spans="1:10" ht="14.25" customHeight="1" x14ac:dyDescent="0.2">
      <c r="A21" s="858" t="s">
        <v>497</v>
      </c>
      <c r="B21" s="858"/>
      <c r="C21" s="858"/>
      <c r="D21" s="858"/>
      <c r="E21" s="858"/>
      <c r="F21" s="858"/>
      <c r="G21" s="858"/>
      <c r="H21" s="858"/>
      <c r="I21" s="858"/>
      <c r="J21" s="858"/>
    </row>
    <row r="22" spans="1:10" ht="28.35" customHeight="1" x14ac:dyDescent="0.2">
      <c r="A22" s="473" t="s">
        <v>498</v>
      </c>
      <c r="B22" s="474" t="s">
        <v>487</v>
      </c>
      <c r="C22" s="474" t="s">
        <v>488</v>
      </c>
      <c r="D22" s="474" t="s">
        <v>488</v>
      </c>
      <c r="E22" s="474" t="s">
        <v>488</v>
      </c>
      <c r="F22" s="474" t="s">
        <v>488</v>
      </c>
      <c r="G22" s="474" t="s">
        <v>488</v>
      </c>
      <c r="H22" s="474" t="s">
        <v>488</v>
      </c>
      <c r="I22" s="474" t="s">
        <v>488</v>
      </c>
      <c r="J22" s="475" t="s">
        <v>488</v>
      </c>
    </row>
    <row r="23" spans="1:10" ht="15.75" customHeight="1" x14ac:dyDescent="0.2">
      <c r="A23" s="476" t="s">
        <v>499</v>
      </c>
      <c r="B23" s="477">
        <f>1/12</f>
        <v>8.3333333333333329E-2</v>
      </c>
      <c r="C23" s="455">
        <f t="shared" ref="C23:J23" si="1">ROUND($B23*C$19,2)</f>
        <v>0</v>
      </c>
      <c r="D23" s="455">
        <f t="shared" si="1"/>
        <v>0</v>
      </c>
      <c r="E23" s="455">
        <f t="shared" si="1"/>
        <v>0</v>
      </c>
      <c r="F23" s="455">
        <f t="shared" si="1"/>
        <v>0</v>
      </c>
      <c r="G23" s="455">
        <f t="shared" si="1"/>
        <v>69.69</v>
      </c>
      <c r="H23" s="455">
        <f t="shared" si="1"/>
        <v>59.73</v>
      </c>
      <c r="I23" s="455">
        <f t="shared" si="1"/>
        <v>0</v>
      </c>
      <c r="J23" s="457">
        <f t="shared" si="1"/>
        <v>0</v>
      </c>
    </row>
    <row r="24" spans="1:10" x14ac:dyDescent="0.2">
      <c r="A24" s="476" t="s">
        <v>500</v>
      </c>
      <c r="B24" s="477">
        <f>1/3*1/12</f>
        <v>2.7777777777777776E-2</v>
      </c>
      <c r="C24" s="455">
        <f t="shared" ref="C24:J24" si="2">C$19*$B$24</f>
        <v>0</v>
      </c>
      <c r="D24" s="455">
        <f t="shared" si="2"/>
        <v>0</v>
      </c>
      <c r="E24" s="455">
        <f t="shared" si="2"/>
        <v>0</v>
      </c>
      <c r="F24" s="455">
        <f t="shared" si="2"/>
        <v>0</v>
      </c>
      <c r="G24" s="455">
        <f t="shared" si="2"/>
        <v>23.22872222222222</v>
      </c>
      <c r="H24" s="455">
        <f t="shared" si="2"/>
        <v>19.91033333333333</v>
      </c>
      <c r="I24" s="455">
        <f t="shared" si="2"/>
        <v>0</v>
      </c>
      <c r="J24" s="457">
        <f t="shared" si="2"/>
        <v>0</v>
      </c>
    </row>
    <row r="25" spans="1:10" ht="14.25" customHeight="1" x14ac:dyDescent="0.2">
      <c r="A25" s="464" t="s">
        <v>496</v>
      </c>
      <c r="B25" s="478">
        <f t="shared" ref="B25:J25" si="3">SUM(B23:B24)</f>
        <v>0.1111111111111111</v>
      </c>
      <c r="C25" s="479">
        <f t="shared" si="3"/>
        <v>0</v>
      </c>
      <c r="D25" s="479">
        <f t="shared" si="3"/>
        <v>0</v>
      </c>
      <c r="E25" s="479">
        <f t="shared" si="3"/>
        <v>0</v>
      </c>
      <c r="F25" s="479">
        <f t="shared" si="3"/>
        <v>0</v>
      </c>
      <c r="G25" s="479">
        <f t="shared" si="3"/>
        <v>92.918722222222215</v>
      </c>
      <c r="H25" s="479">
        <f t="shared" si="3"/>
        <v>79.640333333333331</v>
      </c>
      <c r="I25" s="479">
        <f t="shared" si="3"/>
        <v>0</v>
      </c>
      <c r="J25" s="480">
        <f t="shared" si="3"/>
        <v>0</v>
      </c>
    </row>
    <row r="26" spans="1:10" x14ac:dyDescent="0.2">
      <c r="A26" s="473" t="s">
        <v>501</v>
      </c>
      <c r="B26" s="474" t="s">
        <v>487</v>
      </c>
      <c r="C26" s="474" t="s">
        <v>488</v>
      </c>
      <c r="D26" s="474" t="s">
        <v>488</v>
      </c>
      <c r="E26" s="474" t="s">
        <v>488</v>
      </c>
      <c r="F26" s="474" t="s">
        <v>488</v>
      </c>
      <c r="G26" s="474" t="s">
        <v>488</v>
      </c>
      <c r="H26" s="474" t="s">
        <v>488</v>
      </c>
      <c r="I26" s="474" t="s">
        <v>488</v>
      </c>
      <c r="J26" s="475" t="s">
        <v>488</v>
      </c>
    </row>
    <row r="27" spans="1:10" ht="15.75" customHeight="1" x14ac:dyDescent="0.2">
      <c r="A27" s="473" t="s">
        <v>502</v>
      </c>
      <c r="B27" s="481"/>
      <c r="C27" s="481"/>
      <c r="D27" s="481"/>
      <c r="E27" s="481"/>
      <c r="F27" s="481"/>
      <c r="G27" s="481"/>
      <c r="H27" s="481"/>
      <c r="I27" s="482"/>
      <c r="J27" s="483"/>
    </row>
    <row r="28" spans="1:10" ht="14.25" customHeight="1" x14ac:dyDescent="0.2">
      <c r="A28" s="476" t="s">
        <v>503</v>
      </c>
      <c r="B28" s="477">
        <v>0.2</v>
      </c>
      <c r="C28" s="484">
        <f>ROUND(($C$19+$C$25)*B28,2)</f>
        <v>0</v>
      </c>
      <c r="D28" s="484">
        <f t="shared" ref="D28:J35" si="4">ROUND((D$19+D$25)*$B28,2)</f>
        <v>0</v>
      </c>
      <c r="E28" s="484">
        <f t="shared" si="4"/>
        <v>0</v>
      </c>
      <c r="F28" s="484">
        <f t="shared" si="4"/>
        <v>0</v>
      </c>
      <c r="G28" s="484">
        <f t="shared" si="4"/>
        <v>185.83</v>
      </c>
      <c r="H28" s="484">
        <f t="shared" si="4"/>
        <v>159.28</v>
      </c>
      <c r="I28" s="484">
        <f t="shared" si="4"/>
        <v>0</v>
      </c>
      <c r="J28" s="485">
        <f t="shared" si="4"/>
        <v>0</v>
      </c>
    </row>
    <row r="29" spans="1:10" ht="15.75" customHeight="1" x14ac:dyDescent="0.2">
      <c r="A29" s="476" t="s">
        <v>504</v>
      </c>
      <c r="B29" s="477">
        <v>2.5000000000000001E-2</v>
      </c>
      <c r="C29" s="484">
        <f t="shared" ref="C29:C35" si="5">ROUND((C$19+C$25)*$B29,2)</f>
        <v>0</v>
      </c>
      <c r="D29" s="484">
        <f t="shared" si="4"/>
        <v>0</v>
      </c>
      <c r="E29" s="484">
        <f t="shared" si="4"/>
        <v>0</v>
      </c>
      <c r="F29" s="484">
        <f t="shared" si="4"/>
        <v>0</v>
      </c>
      <c r="G29" s="484">
        <f t="shared" si="4"/>
        <v>23.23</v>
      </c>
      <c r="H29" s="484">
        <f t="shared" si="4"/>
        <v>19.91</v>
      </c>
      <c r="I29" s="484">
        <f t="shared" si="4"/>
        <v>0</v>
      </c>
      <c r="J29" s="485">
        <f t="shared" si="4"/>
        <v>0</v>
      </c>
    </row>
    <row r="30" spans="1:10" ht="15.75" customHeight="1" x14ac:dyDescent="0.2">
      <c r="A30" s="476" t="s">
        <v>505</v>
      </c>
      <c r="B30" s="477">
        <v>0.03</v>
      </c>
      <c r="C30" s="484">
        <f t="shared" si="5"/>
        <v>0</v>
      </c>
      <c r="D30" s="484">
        <f t="shared" si="4"/>
        <v>0</v>
      </c>
      <c r="E30" s="484">
        <f t="shared" si="4"/>
        <v>0</v>
      </c>
      <c r="F30" s="484">
        <f t="shared" si="4"/>
        <v>0</v>
      </c>
      <c r="G30" s="484">
        <f t="shared" si="4"/>
        <v>27.87</v>
      </c>
      <c r="H30" s="484">
        <f t="shared" si="4"/>
        <v>23.89</v>
      </c>
      <c r="I30" s="484">
        <f t="shared" si="4"/>
        <v>0</v>
      </c>
      <c r="J30" s="485">
        <f t="shared" si="4"/>
        <v>0</v>
      </c>
    </row>
    <row r="31" spans="1:10" ht="15.75" customHeight="1" x14ac:dyDescent="0.2">
      <c r="A31" s="476" t="s">
        <v>506</v>
      </c>
      <c r="B31" s="477">
        <v>1.4999999999999999E-2</v>
      </c>
      <c r="C31" s="484">
        <f t="shared" si="5"/>
        <v>0</v>
      </c>
      <c r="D31" s="484">
        <f t="shared" si="4"/>
        <v>0</v>
      </c>
      <c r="E31" s="484">
        <f t="shared" si="4"/>
        <v>0</v>
      </c>
      <c r="F31" s="484">
        <f t="shared" si="4"/>
        <v>0</v>
      </c>
      <c r="G31" s="484">
        <f t="shared" si="4"/>
        <v>13.94</v>
      </c>
      <c r="H31" s="484">
        <f t="shared" si="4"/>
        <v>11.95</v>
      </c>
      <c r="I31" s="484">
        <f t="shared" si="4"/>
        <v>0</v>
      </c>
      <c r="J31" s="485">
        <f t="shared" si="4"/>
        <v>0</v>
      </c>
    </row>
    <row r="32" spans="1:10" ht="15.75" customHeight="1" x14ac:dyDescent="0.2">
      <c r="A32" s="476" t="s">
        <v>507</v>
      </c>
      <c r="B32" s="477">
        <v>0.01</v>
      </c>
      <c r="C32" s="484">
        <f t="shared" si="5"/>
        <v>0</v>
      </c>
      <c r="D32" s="484">
        <f t="shared" si="4"/>
        <v>0</v>
      </c>
      <c r="E32" s="484">
        <f t="shared" si="4"/>
        <v>0</v>
      </c>
      <c r="F32" s="484">
        <f t="shared" si="4"/>
        <v>0</v>
      </c>
      <c r="G32" s="484">
        <f t="shared" si="4"/>
        <v>9.2899999999999991</v>
      </c>
      <c r="H32" s="484">
        <f t="shared" si="4"/>
        <v>7.96</v>
      </c>
      <c r="I32" s="484">
        <f t="shared" si="4"/>
        <v>0</v>
      </c>
      <c r="J32" s="485">
        <f t="shared" si="4"/>
        <v>0</v>
      </c>
    </row>
    <row r="33" spans="1:10" ht="15.75" customHeight="1" x14ac:dyDescent="0.2">
      <c r="A33" s="476" t="s">
        <v>508</v>
      </c>
      <c r="B33" s="477">
        <v>6.0000000000000001E-3</v>
      </c>
      <c r="C33" s="484">
        <f t="shared" si="5"/>
        <v>0</v>
      </c>
      <c r="D33" s="484">
        <f t="shared" si="4"/>
        <v>0</v>
      </c>
      <c r="E33" s="484">
        <f t="shared" si="4"/>
        <v>0</v>
      </c>
      <c r="F33" s="484">
        <f t="shared" si="4"/>
        <v>0</v>
      </c>
      <c r="G33" s="484">
        <f t="shared" si="4"/>
        <v>5.57</v>
      </c>
      <c r="H33" s="484">
        <f t="shared" si="4"/>
        <v>4.78</v>
      </c>
      <c r="I33" s="484">
        <f t="shared" si="4"/>
        <v>0</v>
      </c>
      <c r="J33" s="485">
        <f t="shared" si="4"/>
        <v>0</v>
      </c>
    </row>
    <row r="34" spans="1:10" ht="15.75" customHeight="1" x14ac:dyDescent="0.2">
      <c r="A34" s="476" t="s">
        <v>509</v>
      </c>
      <c r="B34" s="477">
        <v>2E-3</v>
      </c>
      <c r="C34" s="484">
        <f t="shared" si="5"/>
        <v>0</v>
      </c>
      <c r="D34" s="484">
        <f t="shared" si="4"/>
        <v>0</v>
      </c>
      <c r="E34" s="484">
        <f t="shared" si="4"/>
        <v>0</v>
      </c>
      <c r="F34" s="484">
        <f t="shared" si="4"/>
        <v>0</v>
      </c>
      <c r="G34" s="484">
        <f t="shared" si="4"/>
        <v>1.86</v>
      </c>
      <c r="H34" s="484">
        <f t="shared" si="4"/>
        <v>1.59</v>
      </c>
      <c r="I34" s="484">
        <f t="shared" si="4"/>
        <v>0</v>
      </c>
      <c r="J34" s="485">
        <f t="shared" si="4"/>
        <v>0</v>
      </c>
    </row>
    <row r="35" spans="1:10" ht="15.75" customHeight="1" x14ac:dyDescent="0.2">
      <c r="A35" s="476" t="s">
        <v>510</v>
      </c>
      <c r="B35" s="477">
        <v>0.08</v>
      </c>
      <c r="C35" s="484">
        <f t="shared" si="5"/>
        <v>0</v>
      </c>
      <c r="D35" s="484">
        <f t="shared" si="4"/>
        <v>0</v>
      </c>
      <c r="E35" s="484">
        <f t="shared" si="4"/>
        <v>0</v>
      </c>
      <c r="F35" s="484">
        <f t="shared" si="4"/>
        <v>0</v>
      </c>
      <c r="G35" s="484">
        <f t="shared" si="4"/>
        <v>74.33</v>
      </c>
      <c r="H35" s="484">
        <f t="shared" si="4"/>
        <v>63.71</v>
      </c>
      <c r="I35" s="484">
        <f t="shared" si="4"/>
        <v>0</v>
      </c>
      <c r="J35" s="485">
        <f t="shared" si="4"/>
        <v>0</v>
      </c>
    </row>
    <row r="36" spans="1:10" ht="15.75" customHeight="1" x14ac:dyDescent="0.2">
      <c r="A36" s="464" t="s">
        <v>496</v>
      </c>
      <c r="B36" s="478">
        <f t="shared" ref="B36:J36" si="6">SUM(B28:B35)</f>
        <v>0.36800000000000005</v>
      </c>
      <c r="C36" s="479">
        <f t="shared" si="6"/>
        <v>0</v>
      </c>
      <c r="D36" s="479">
        <f t="shared" si="6"/>
        <v>0</v>
      </c>
      <c r="E36" s="479">
        <f t="shared" si="6"/>
        <v>0</v>
      </c>
      <c r="F36" s="479">
        <f t="shared" si="6"/>
        <v>0</v>
      </c>
      <c r="G36" s="479">
        <f t="shared" si="6"/>
        <v>341.92</v>
      </c>
      <c r="H36" s="479">
        <f t="shared" si="6"/>
        <v>293.07</v>
      </c>
      <c r="I36" s="479">
        <f t="shared" si="6"/>
        <v>0</v>
      </c>
      <c r="J36" s="480">
        <f t="shared" si="6"/>
        <v>0</v>
      </c>
    </row>
    <row r="37" spans="1:10" ht="15.75" customHeight="1" x14ac:dyDescent="0.2">
      <c r="A37" s="473" t="s">
        <v>511</v>
      </c>
      <c r="B37" s="474" t="s">
        <v>512</v>
      </c>
      <c r="C37" s="474" t="s">
        <v>488</v>
      </c>
      <c r="D37" s="474" t="s">
        <v>488</v>
      </c>
      <c r="E37" s="474" t="s">
        <v>488</v>
      </c>
      <c r="F37" s="474" t="s">
        <v>488</v>
      </c>
      <c r="G37" s="474" t="s">
        <v>488</v>
      </c>
      <c r="H37" s="474" t="s">
        <v>488</v>
      </c>
      <c r="I37" s="474" t="s">
        <v>488</v>
      </c>
      <c r="J37" s="475" t="s">
        <v>488</v>
      </c>
    </row>
    <row r="38" spans="1:10" ht="15.75" customHeight="1" x14ac:dyDescent="0.2">
      <c r="A38" s="476" t="s">
        <v>513</v>
      </c>
      <c r="B38" s="486">
        <f>MC!K90</f>
        <v>0</v>
      </c>
      <c r="C38" s="455">
        <f t="shared" ref="C38:J38" si="7">ROUND(((2*22*$B$38)-0.06*C$13),2)</f>
        <v>0</v>
      </c>
      <c r="D38" s="455">
        <f t="shared" si="7"/>
        <v>0</v>
      </c>
      <c r="E38" s="455">
        <f t="shared" si="7"/>
        <v>0</v>
      </c>
      <c r="F38" s="455">
        <f t="shared" si="7"/>
        <v>0</v>
      </c>
      <c r="G38" s="455">
        <f t="shared" si="7"/>
        <v>-35.840000000000003</v>
      </c>
      <c r="H38" s="455">
        <f t="shared" si="7"/>
        <v>-35.840000000000003</v>
      </c>
      <c r="I38" s="455">
        <f t="shared" si="7"/>
        <v>0</v>
      </c>
      <c r="J38" s="457">
        <f t="shared" si="7"/>
        <v>0</v>
      </c>
    </row>
    <row r="39" spans="1:10" ht="15.75" customHeight="1" x14ac:dyDescent="0.2">
      <c r="A39" s="476" t="s">
        <v>514</v>
      </c>
      <c r="B39" s="487"/>
      <c r="C39" s="484">
        <f>MC!$E$19</f>
        <v>0</v>
      </c>
      <c r="D39" s="484">
        <f>MC!$E$19</f>
        <v>0</v>
      </c>
      <c r="E39" s="484">
        <f>MC!$E$20</f>
        <v>0</v>
      </c>
      <c r="F39" s="484">
        <f>MC!$E$20</f>
        <v>0</v>
      </c>
      <c r="G39" s="484">
        <f>MC!$E$20</f>
        <v>0</v>
      </c>
      <c r="H39" s="484">
        <f>MC!$E$20</f>
        <v>0</v>
      </c>
      <c r="I39" s="484">
        <f>MC!$E$19</f>
        <v>0</v>
      </c>
      <c r="J39" s="485">
        <f>MC!$E$19</f>
        <v>0</v>
      </c>
    </row>
    <row r="40" spans="1:10" ht="15.75" customHeight="1" x14ac:dyDescent="0.2">
      <c r="A40" s="476" t="s">
        <v>515</v>
      </c>
      <c r="B40" s="477"/>
      <c r="C40" s="488" t="s">
        <v>112</v>
      </c>
      <c r="D40" s="488" t="s">
        <v>112</v>
      </c>
      <c r="E40" s="488" t="s">
        <v>112</v>
      </c>
      <c r="F40" s="488" t="s">
        <v>112</v>
      </c>
      <c r="G40" s="488" t="s">
        <v>112</v>
      </c>
      <c r="H40" s="488" t="s">
        <v>112</v>
      </c>
      <c r="I40" s="488" t="s">
        <v>112</v>
      </c>
      <c r="J40" s="489" t="s">
        <v>112</v>
      </c>
    </row>
    <row r="41" spans="1:10" ht="15.75" customHeight="1" x14ac:dyDescent="0.2">
      <c r="A41" s="476" t="s">
        <v>516</v>
      </c>
      <c r="B41" s="490"/>
      <c r="C41" s="488" t="s">
        <v>112</v>
      </c>
      <c r="D41" s="488" t="s">
        <v>112</v>
      </c>
      <c r="E41" s="488" t="s">
        <v>112</v>
      </c>
      <c r="F41" s="488" t="s">
        <v>112</v>
      </c>
      <c r="G41" s="488" t="s">
        <v>112</v>
      </c>
      <c r="H41" s="488" t="s">
        <v>112</v>
      </c>
      <c r="I41" s="491" t="s">
        <v>112</v>
      </c>
      <c r="J41" s="489" t="s">
        <v>112</v>
      </c>
    </row>
    <row r="42" spans="1:10" ht="15.75" customHeight="1" x14ac:dyDescent="0.2">
      <c r="A42" s="476" t="s">
        <v>517</v>
      </c>
      <c r="B42" s="492">
        <f>MC!E27</f>
        <v>0</v>
      </c>
      <c r="C42" s="484">
        <f t="shared" ref="C42:J42" si="8">$B42</f>
        <v>0</v>
      </c>
      <c r="D42" s="484">
        <f t="shared" si="8"/>
        <v>0</v>
      </c>
      <c r="E42" s="484">
        <f t="shared" si="8"/>
        <v>0</v>
      </c>
      <c r="F42" s="484">
        <f t="shared" si="8"/>
        <v>0</v>
      </c>
      <c r="G42" s="484">
        <f t="shared" si="8"/>
        <v>0</v>
      </c>
      <c r="H42" s="484">
        <f t="shared" si="8"/>
        <v>0</v>
      </c>
      <c r="I42" s="484">
        <f t="shared" si="8"/>
        <v>0</v>
      </c>
      <c r="J42" s="485">
        <f t="shared" si="8"/>
        <v>0</v>
      </c>
    </row>
    <row r="43" spans="1:10" ht="15.75" customHeight="1" x14ac:dyDescent="0.2">
      <c r="A43" s="476" t="s">
        <v>518</v>
      </c>
      <c r="B43" s="477"/>
      <c r="C43" s="488" t="s">
        <v>112</v>
      </c>
      <c r="D43" s="488" t="s">
        <v>112</v>
      </c>
      <c r="E43" s="488" t="s">
        <v>112</v>
      </c>
      <c r="F43" s="488" t="s">
        <v>112</v>
      </c>
      <c r="G43" s="488" t="s">
        <v>112</v>
      </c>
      <c r="H43" s="488" t="s">
        <v>112</v>
      </c>
      <c r="I43" s="491" t="s">
        <v>112</v>
      </c>
      <c r="J43" s="489" t="s">
        <v>112</v>
      </c>
    </row>
    <row r="44" spans="1:10" ht="15.75" customHeight="1" x14ac:dyDescent="0.2">
      <c r="A44" s="464" t="s">
        <v>496</v>
      </c>
      <c r="B44" s="465"/>
      <c r="C44" s="479">
        <f t="shared" ref="C44:J44" si="9">SUM(C38:C43)</f>
        <v>0</v>
      </c>
      <c r="D44" s="479">
        <f t="shared" si="9"/>
        <v>0</v>
      </c>
      <c r="E44" s="479">
        <f t="shared" si="9"/>
        <v>0</v>
      </c>
      <c r="F44" s="479">
        <f t="shared" si="9"/>
        <v>0</v>
      </c>
      <c r="G44" s="479">
        <f t="shared" si="9"/>
        <v>-35.840000000000003</v>
      </c>
      <c r="H44" s="479">
        <f t="shared" si="9"/>
        <v>-35.840000000000003</v>
      </c>
      <c r="I44" s="479">
        <f t="shared" si="9"/>
        <v>0</v>
      </c>
      <c r="J44" s="480">
        <f t="shared" si="9"/>
        <v>0</v>
      </c>
    </row>
    <row r="45" spans="1:10" x14ac:dyDescent="0.2">
      <c r="A45" s="450" t="s">
        <v>519</v>
      </c>
      <c r="B45" s="451" t="s">
        <v>487</v>
      </c>
      <c r="C45" s="451" t="s">
        <v>488</v>
      </c>
      <c r="D45" s="451" t="s">
        <v>488</v>
      </c>
      <c r="E45" s="451" t="s">
        <v>488</v>
      </c>
      <c r="F45" s="451" t="s">
        <v>488</v>
      </c>
      <c r="G45" s="451" t="s">
        <v>488</v>
      </c>
      <c r="H45" s="451" t="s">
        <v>488</v>
      </c>
      <c r="I45" s="451" t="s">
        <v>488</v>
      </c>
      <c r="J45" s="452" t="s">
        <v>488</v>
      </c>
    </row>
    <row r="46" spans="1:10" ht="15.75" customHeight="1" x14ac:dyDescent="0.2">
      <c r="A46" s="476" t="s">
        <v>498</v>
      </c>
      <c r="B46" s="493">
        <f t="shared" ref="B46:J46" si="10">B25</f>
        <v>0.1111111111111111</v>
      </c>
      <c r="C46" s="494">
        <f t="shared" si="10"/>
        <v>0</v>
      </c>
      <c r="D46" s="494">
        <f t="shared" si="10"/>
        <v>0</v>
      </c>
      <c r="E46" s="494">
        <f t="shared" si="10"/>
        <v>0</v>
      </c>
      <c r="F46" s="494">
        <f t="shared" si="10"/>
        <v>0</v>
      </c>
      <c r="G46" s="494">
        <f t="shared" si="10"/>
        <v>92.918722222222215</v>
      </c>
      <c r="H46" s="494">
        <f t="shared" si="10"/>
        <v>79.640333333333331</v>
      </c>
      <c r="I46" s="494">
        <f t="shared" si="10"/>
        <v>0</v>
      </c>
      <c r="J46" s="495">
        <f t="shared" si="10"/>
        <v>0</v>
      </c>
    </row>
    <row r="47" spans="1:10" ht="15.75" customHeight="1" x14ac:dyDescent="0.2">
      <c r="A47" s="476" t="s">
        <v>520</v>
      </c>
      <c r="B47" s="493">
        <f t="shared" ref="B47:J47" si="11">B36</f>
        <v>0.36800000000000005</v>
      </c>
      <c r="C47" s="494">
        <f t="shared" si="11"/>
        <v>0</v>
      </c>
      <c r="D47" s="494">
        <f t="shared" si="11"/>
        <v>0</v>
      </c>
      <c r="E47" s="494">
        <f t="shared" si="11"/>
        <v>0</v>
      </c>
      <c r="F47" s="494">
        <f t="shared" si="11"/>
        <v>0</v>
      </c>
      <c r="G47" s="494">
        <f t="shared" si="11"/>
        <v>341.92</v>
      </c>
      <c r="H47" s="494">
        <f t="shared" si="11"/>
        <v>293.07</v>
      </c>
      <c r="I47" s="494">
        <f t="shared" si="11"/>
        <v>0</v>
      </c>
      <c r="J47" s="495">
        <f t="shared" si="11"/>
        <v>0</v>
      </c>
    </row>
    <row r="48" spans="1:10" ht="15.75" customHeight="1" x14ac:dyDescent="0.2">
      <c r="A48" s="476" t="s">
        <v>511</v>
      </c>
      <c r="B48" s="493"/>
      <c r="C48" s="494">
        <f t="shared" ref="C48:J48" si="12">C44</f>
        <v>0</v>
      </c>
      <c r="D48" s="494">
        <f t="shared" si="12"/>
        <v>0</v>
      </c>
      <c r="E48" s="494">
        <f t="shared" si="12"/>
        <v>0</v>
      </c>
      <c r="F48" s="494">
        <f t="shared" si="12"/>
        <v>0</v>
      </c>
      <c r="G48" s="494">
        <f t="shared" si="12"/>
        <v>-35.840000000000003</v>
      </c>
      <c r="H48" s="494">
        <f t="shared" si="12"/>
        <v>-35.840000000000003</v>
      </c>
      <c r="I48" s="494">
        <f t="shared" si="12"/>
        <v>0</v>
      </c>
      <c r="J48" s="495">
        <f t="shared" si="12"/>
        <v>0</v>
      </c>
    </row>
    <row r="49" spans="1:10" ht="15.75" customHeight="1" x14ac:dyDescent="0.2">
      <c r="A49" s="464" t="s">
        <v>496</v>
      </c>
      <c r="B49" s="465"/>
      <c r="C49" s="479">
        <f t="shared" ref="C49:J49" si="13">SUM(C46:C48)</f>
        <v>0</v>
      </c>
      <c r="D49" s="466">
        <f t="shared" si="13"/>
        <v>0</v>
      </c>
      <c r="E49" s="479">
        <f t="shared" si="13"/>
        <v>0</v>
      </c>
      <c r="F49" s="479">
        <f t="shared" si="13"/>
        <v>0</v>
      </c>
      <c r="G49" s="479">
        <f t="shared" si="13"/>
        <v>398.99872222222223</v>
      </c>
      <c r="H49" s="479">
        <f t="shared" si="13"/>
        <v>336.87033333333329</v>
      </c>
      <c r="I49" s="479">
        <f t="shared" si="13"/>
        <v>0</v>
      </c>
      <c r="J49" s="480">
        <f t="shared" si="13"/>
        <v>0</v>
      </c>
    </row>
    <row r="50" spans="1:10" ht="14.25" customHeight="1" x14ac:dyDescent="0.2">
      <c r="A50" s="859"/>
      <c r="B50" s="859"/>
      <c r="C50" s="859"/>
      <c r="D50" s="859"/>
      <c r="E50" s="859"/>
      <c r="F50" s="859"/>
      <c r="G50" s="859"/>
      <c r="H50" s="859"/>
      <c r="I50" s="859"/>
      <c r="J50" s="859"/>
    </row>
    <row r="51" spans="1:10" s="496" customFormat="1" ht="12.75" customHeight="1" x14ac:dyDescent="0.2">
      <c r="A51" s="858" t="s">
        <v>521</v>
      </c>
      <c r="B51" s="858"/>
      <c r="C51" s="858"/>
      <c r="D51" s="858"/>
      <c r="E51" s="858"/>
      <c r="F51" s="858"/>
      <c r="G51" s="858"/>
      <c r="H51" s="858"/>
      <c r="I51" s="858"/>
      <c r="J51" s="858"/>
    </row>
    <row r="52" spans="1:10" ht="15.75" customHeight="1" x14ac:dyDescent="0.2">
      <c r="A52" s="450" t="s">
        <v>522</v>
      </c>
      <c r="B52" s="451" t="s">
        <v>487</v>
      </c>
      <c r="C52" s="451" t="s">
        <v>488</v>
      </c>
      <c r="D52" s="451" t="s">
        <v>488</v>
      </c>
      <c r="E52" s="451" t="s">
        <v>488</v>
      </c>
      <c r="F52" s="451" t="s">
        <v>488</v>
      </c>
      <c r="G52" s="451" t="s">
        <v>488</v>
      </c>
      <c r="H52" s="451" t="s">
        <v>488</v>
      </c>
      <c r="I52" s="451" t="s">
        <v>488</v>
      </c>
      <c r="J52" s="452" t="s">
        <v>488</v>
      </c>
    </row>
    <row r="53" spans="1:10" ht="15.75" customHeight="1" x14ac:dyDescent="0.2">
      <c r="A53" s="473" t="s">
        <v>523</v>
      </c>
      <c r="B53" s="497"/>
      <c r="C53" s="497"/>
      <c r="D53" s="497"/>
      <c r="E53" s="497"/>
      <c r="F53" s="497"/>
      <c r="G53" s="497"/>
      <c r="H53" s="497"/>
      <c r="I53" s="498"/>
      <c r="J53" s="499"/>
    </row>
    <row r="54" spans="1:10" ht="15.75" customHeight="1" x14ac:dyDescent="0.2">
      <c r="A54" s="476" t="s">
        <v>524</v>
      </c>
      <c r="B54" s="493">
        <f>1/12*0.05</f>
        <v>4.1666666666666666E-3</v>
      </c>
      <c r="C54" s="500">
        <f t="shared" ref="C54:J54" si="14">C19*$B54</f>
        <v>0</v>
      </c>
      <c r="D54" s="500">
        <f t="shared" si="14"/>
        <v>0</v>
      </c>
      <c r="E54" s="500">
        <f t="shared" si="14"/>
        <v>0</v>
      </c>
      <c r="F54" s="500">
        <f t="shared" si="14"/>
        <v>0</v>
      </c>
      <c r="G54" s="500">
        <f t="shared" si="14"/>
        <v>3.4843083333333329</v>
      </c>
      <c r="H54" s="500">
        <f t="shared" si="14"/>
        <v>2.9865499999999998</v>
      </c>
      <c r="I54" s="500">
        <f t="shared" si="14"/>
        <v>0</v>
      </c>
      <c r="J54" s="501">
        <f t="shared" si="14"/>
        <v>0</v>
      </c>
    </row>
    <row r="55" spans="1:10" x14ac:dyDescent="0.2">
      <c r="A55" s="476" t="s">
        <v>525</v>
      </c>
      <c r="B55" s="493">
        <f>B35*B54</f>
        <v>3.3333333333333332E-4</v>
      </c>
      <c r="C55" s="500">
        <f t="shared" ref="C55:J55" si="15">$B$55*C19</f>
        <v>0</v>
      </c>
      <c r="D55" s="500">
        <f t="shared" si="15"/>
        <v>0</v>
      </c>
      <c r="E55" s="500">
        <f t="shared" si="15"/>
        <v>0</v>
      </c>
      <c r="F55" s="500">
        <f t="shared" si="15"/>
        <v>0</v>
      </c>
      <c r="G55" s="500">
        <f t="shared" si="15"/>
        <v>0.27874466666666664</v>
      </c>
      <c r="H55" s="500">
        <f t="shared" si="15"/>
        <v>0.23892399999999997</v>
      </c>
      <c r="I55" s="500">
        <f t="shared" si="15"/>
        <v>0</v>
      </c>
      <c r="J55" s="501">
        <f t="shared" si="15"/>
        <v>0</v>
      </c>
    </row>
    <row r="56" spans="1:10" x14ac:dyDescent="0.2">
      <c r="A56" s="476" t="s">
        <v>526</v>
      </c>
      <c r="B56" s="493">
        <v>0</v>
      </c>
      <c r="C56" s="500">
        <f t="shared" ref="C56:J56" si="16">C35*$B56</f>
        <v>0</v>
      </c>
      <c r="D56" s="500">
        <f t="shared" si="16"/>
        <v>0</v>
      </c>
      <c r="E56" s="500">
        <f t="shared" si="16"/>
        <v>0</v>
      </c>
      <c r="F56" s="500">
        <f t="shared" si="16"/>
        <v>0</v>
      </c>
      <c r="G56" s="500">
        <f t="shared" si="16"/>
        <v>0</v>
      </c>
      <c r="H56" s="500">
        <f t="shared" si="16"/>
        <v>0</v>
      </c>
      <c r="I56" s="500">
        <f t="shared" si="16"/>
        <v>0</v>
      </c>
      <c r="J56" s="501">
        <f t="shared" si="16"/>
        <v>0</v>
      </c>
    </row>
    <row r="57" spans="1:10" x14ac:dyDescent="0.2">
      <c r="A57" s="476" t="s">
        <v>527</v>
      </c>
      <c r="B57" s="493">
        <f>1/12*1/30*7</f>
        <v>1.9444444444444441E-2</v>
      </c>
      <c r="C57" s="494">
        <f t="shared" ref="C57:J57" si="17">C19*$B57</f>
        <v>0</v>
      </c>
      <c r="D57" s="494">
        <f t="shared" si="17"/>
        <v>0</v>
      </c>
      <c r="E57" s="494">
        <f t="shared" si="17"/>
        <v>0</v>
      </c>
      <c r="F57" s="494">
        <f t="shared" si="17"/>
        <v>0</v>
      </c>
      <c r="G57" s="494">
        <f t="shared" si="17"/>
        <v>16.260105555555551</v>
      </c>
      <c r="H57" s="494">
        <f t="shared" si="17"/>
        <v>13.93723333333333</v>
      </c>
      <c r="I57" s="494">
        <f t="shared" si="17"/>
        <v>0</v>
      </c>
      <c r="J57" s="495">
        <f t="shared" si="17"/>
        <v>0</v>
      </c>
    </row>
    <row r="58" spans="1:10" x14ac:dyDescent="0.2">
      <c r="A58" s="476" t="s">
        <v>528</v>
      </c>
      <c r="B58" s="493">
        <f>B36*B57</f>
        <v>7.1555555555555556E-3</v>
      </c>
      <c r="C58" s="494">
        <f t="shared" ref="C58:J58" si="18">$B58*C19</f>
        <v>0</v>
      </c>
      <c r="D58" s="494">
        <f t="shared" si="18"/>
        <v>0</v>
      </c>
      <c r="E58" s="494">
        <f t="shared" si="18"/>
        <v>0</v>
      </c>
      <c r="F58" s="494">
        <f t="shared" si="18"/>
        <v>0</v>
      </c>
      <c r="G58" s="494">
        <f t="shared" si="18"/>
        <v>5.9837188444444438</v>
      </c>
      <c r="H58" s="494">
        <f t="shared" si="18"/>
        <v>5.1289018666666664</v>
      </c>
      <c r="I58" s="494">
        <f t="shared" si="18"/>
        <v>0</v>
      </c>
      <c r="J58" s="495">
        <f t="shared" si="18"/>
        <v>0</v>
      </c>
    </row>
    <row r="59" spans="1:10" x14ac:dyDescent="0.2">
      <c r="A59" s="476" t="s">
        <v>529</v>
      </c>
      <c r="B59" s="493">
        <f>B35*40/100*90/100*(1+1/12+1/12+1/3*1/12)</f>
        <v>3.4399999999999993E-2</v>
      </c>
      <c r="C59" s="494">
        <f t="shared" ref="C59:J59" si="19">C19*$B59</f>
        <v>0</v>
      </c>
      <c r="D59" s="494">
        <f t="shared" si="19"/>
        <v>0</v>
      </c>
      <c r="E59" s="494">
        <f t="shared" si="19"/>
        <v>0</v>
      </c>
      <c r="F59" s="494">
        <f t="shared" si="19"/>
        <v>0</v>
      </c>
      <c r="G59" s="494">
        <f t="shared" si="19"/>
        <v>28.766449599999991</v>
      </c>
      <c r="H59" s="494">
        <f t="shared" si="19"/>
        <v>24.656956799999993</v>
      </c>
      <c r="I59" s="494">
        <f t="shared" si="19"/>
        <v>0</v>
      </c>
      <c r="J59" s="495">
        <f t="shared" si="19"/>
        <v>0</v>
      </c>
    </row>
    <row r="60" spans="1:10" ht="14.25" customHeight="1" x14ac:dyDescent="0.2">
      <c r="A60" s="464" t="s">
        <v>496</v>
      </c>
      <c r="B60" s="478">
        <f t="shared" ref="B60:J60" si="20">SUM(B54:B59)</f>
        <v>6.5499999999999989E-2</v>
      </c>
      <c r="C60" s="466">
        <f t="shared" si="20"/>
        <v>0</v>
      </c>
      <c r="D60" s="466">
        <f t="shared" si="20"/>
        <v>0</v>
      </c>
      <c r="E60" s="466">
        <f t="shared" si="20"/>
        <v>0</v>
      </c>
      <c r="F60" s="466">
        <f t="shared" si="20"/>
        <v>0</v>
      </c>
      <c r="G60" s="466">
        <f t="shared" si="20"/>
        <v>54.773326999999981</v>
      </c>
      <c r="H60" s="466">
        <f t="shared" si="20"/>
        <v>46.948565999999985</v>
      </c>
      <c r="I60" s="467">
        <f t="shared" si="20"/>
        <v>0</v>
      </c>
      <c r="J60" s="468">
        <f t="shared" si="20"/>
        <v>0</v>
      </c>
    </row>
    <row r="61" spans="1:10" ht="14.25" customHeight="1" x14ac:dyDescent="0.2">
      <c r="A61" s="860"/>
      <c r="B61" s="860"/>
      <c r="C61" s="860"/>
      <c r="D61" s="860"/>
      <c r="E61" s="860"/>
      <c r="F61" s="860"/>
      <c r="G61" s="860"/>
      <c r="H61" s="860"/>
      <c r="I61" s="860"/>
      <c r="J61" s="860"/>
    </row>
    <row r="62" spans="1:10" ht="15.75" customHeight="1" x14ac:dyDescent="0.2">
      <c r="A62" s="858" t="s">
        <v>530</v>
      </c>
      <c r="B62" s="858"/>
      <c r="C62" s="858"/>
      <c r="D62" s="858"/>
      <c r="E62" s="858"/>
      <c r="F62" s="858"/>
      <c r="G62" s="858"/>
      <c r="H62" s="858"/>
      <c r="I62" s="858"/>
      <c r="J62" s="858"/>
    </row>
    <row r="63" spans="1:10" ht="14.25" customHeight="1" x14ac:dyDescent="0.2">
      <c r="A63" s="473" t="s">
        <v>43</v>
      </c>
      <c r="B63" s="474" t="s">
        <v>487</v>
      </c>
      <c r="C63" s="474" t="s">
        <v>488</v>
      </c>
      <c r="D63" s="474" t="s">
        <v>488</v>
      </c>
      <c r="E63" s="474" t="s">
        <v>488</v>
      </c>
      <c r="F63" s="474" t="s">
        <v>488</v>
      </c>
      <c r="G63" s="474" t="s">
        <v>488</v>
      </c>
      <c r="H63" s="474" t="s">
        <v>488</v>
      </c>
      <c r="I63" s="474" t="s">
        <v>488</v>
      </c>
      <c r="J63" s="474" t="s">
        <v>488</v>
      </c>
    </row>
    <row r="64" spans="1:10" ht="14.25" customHeight="1" x14ac:dyDescent="0.2">
      <c r="A64" s="476" t="s">
        <v>44</v>
      </c>
      <c r="B64" s="477">
        <f>1/12</f>
        <v>8.3333333333333329E-2</v>
      </c>
      <c r="C64" s="484">
        <f t="shared" ref="C64:J67" si="21">$B64*(C$19+C$49+C$60)</f>
        <v>0</v>
      </c>
      <c r="D64" s="484">
        <f t="shared" si="21"/>
        <v>0</v>
      </c>
      <c r="E64" s="484">
        <f t="shared" si="21"/>
        <v>0</v>
      </c>
      <c r="F64" s="484">
        <f t="shared" si="21"/>
        <v>0</v>
      </c>
      <c r="G64" s="484">
        <f t="shared" si="21"/>
        <v>107.50050410185182</v>
      </c>
      <c r="H64" s="484">
        <f t="shared" si="21"/>
        <v>91.715908277777771</v>
      </c>
      <c r="I64" s="484">
        <f t="shared" si="21"/>
        <v>0</v>
      </c>
      <c r="J64" s="485">
        <f t="shared" si="21"/>
        <v>0</v>
      </c>
    </row>
    <row r="65" spans="1:10" x14ac:dyDescent="0.2">
      <c r="A65" s="476" t="s">
        <v>531</v>
      </c>
      <c r="B65" s="477">
        <f>MC!E54/30/12</f>
        <v>1.3538888888888885E-2</v>
      </c>
      <c r="C65" s="484">
        <f t="shared" si="21"/>
        <v>0</v>
      </c>
      <c r="D65" s="484">
        <f t="shared" si="21"/>
        <v>0</v>
      </c>
      <c r="E65" s="484">
        <f t="shared" si="21"/>
        <v>0</v>
      </c>
      <c r="F65" s="484">
        <f t="shared" si="21"/>
        <v>0</v>
      </c>
      <c r="G65" s="484">
        <f t="shared" si="21"/>
        <v>17.465248566414189</v>
      </c>
      <c r="H65" s="484">
        <f t="shared" si="21"/>
        <v>14.90077789819629</v>
      </c>
      <c r="I65" s="484">
        <f t="shared" si="21"/>
        <v>0</v>
      </c>
      <c r="J65" s="485">
        <f t="shared" si="21"/>
        <v>0</v>
      </c>
    </row>
    <row r="66" spans="1:10" x14ac:dyDescent="0.2">
      <c r="A66" s="476" t="s">
        <v>532</v>
      </c>
      <c r="B66" s="502">
        <f>(5/30)/12*MC!F56*MC!C57</f>
        <v>1.0764583333333333E-4</v>
      </c>
      <c r="C66" s="484">
        <f t="shared" si="21"/>
        <v>0</v>
      </c>
      <c r="D66" s="484">
        <f t="shared" si="21"/>
        <v>0</v>
      </c>
      <c r="E66" s="484">
        <f t="shared" si="21"/>
        <v>0</v>
      </c>
      <c r="F66" s="484">
        <f t="shared" si="21"/>
        <v>0</v>
      </c>
      <c r="G66" s="484">
        <f t="shared" si="21"/>
        <v>0.1388637761735671</v>
      </c>
      <c r="H66" s="484">
        <f t="shared" si="21"/>
        <v>0.11847402451781944</v>
      </c>
      <c r="I66" s="484">
        <f t="shared" si="21"/>
        <v>0</v>
      </c>
      <c r="J66" s="485">
        <f t="shared" si="21"/>
        <v>0</v>
      </c>
    </row>
    <row r="67" spans="1:10" ht="14.25" customHeight="1" x14ac:dyDescent="0.2">
      <c r="A67" s="476" t="s">
        <v>533</v>
      </c>
      <c r="B67" s="502">
        <f>MC!C59/30/12</f>
        <v>2.6830555555555553E-3</v>
      </c>
      <c r="C67" s="484">
        <f t="shared" si="21"/>
        <v>0</v>
      </c>
      <c r="D67" s="484">
        <f t="shared" si="21"/>
        <v>0</v>
      </c>
      <c r="E67" s="484">
        <f t="shared" si="21"/>
        <v>0</v>
      </c>
      <c r="F67" s="484">
        <f t="shared" si="21"/>
        <v>0</v>
      </c>
      <c r="G67" s="484">
        <f t="shared" si="21"/>
        <v>3.4611578970659558</v>
      </c>
      <c r="H67" s="484">
        <f t="shared" si="21"/>
        <v>2.9529465268501847</v>
      </c>
      <c r="I67" s="484">
        <f t="shared" si="21"/>
        <v>0</v>
      </c>
      <c r="J67" s="485">
        <f t="shared" si="21"/>
        <v>0</v>
      </c>
    </row>
    <row r="68" spans="1:10" ht="14.25" customHeight="1" x14ac:dyDescent="0.2">
      <c r="A68" s="476" t="s">
        <v>495</v>
      </c>
      <c r="B68" s="477"/>
      <c r="C68" s="488" t="s">
        <v>112</v>
      </c>
      <c r="D68" s="488" t="s">
        <v>112</v>
      </c>
      <c r="E68" s="488" t="s">
        <v>112</v>
      </c>
      <c r="F68" s="488" t="s">
        <v>112</v>
      </c>
      <c r="G68" s="488" t="s">
        <v>112</v>
      </c>
      <c r="H68" s="488" t="s">
        <v>112</v>
      </c>
      <c r="I68" s="491" t="s">
        <v>112</v>
      </c>
      <c r="J68" s="489" t="s">
        <v>112</v>
      </c>
    </row>
    <row r="69" spans="1:10" ht="14.25" customHeight="1" x14ac:dyDescent="0.2">
      <c r="A69" s="503" t="s">
        <v>534</v>
      </c>
      <c r="B69" s="504">
        <f t="shared" ref="B69:J69" si="22">SUM(B64:B68)</f>
        <v>9.9662923611111107E-2</v>
      </c>
      <c r="C69" s="505">
        <f t="shared" si="22"/>
        <v>0</v>
      </c>
      <c r="D69" s="505">
        <f t="shared" si="22"/>
        <v>0</v>
      </c>
      <c r="E69" s="505">
        <f t="shared" si="22"/>
        <v>0</v>
      </c>
      <c r="F69" s="505">
        <f t="shared" si="22"/>
        <v>0</v>
      </c>
      <c r="G69" s="505">
        <f t="shared" si="22"/>
        <v>128.56577434150552</v>
      </c>
      <c r="H69" s="505">
        <f t="shared" si="22"/>
        <v>109.68810672734207</v>
      </c>
      <c r="I69" s="505">
        <f t="shared" si="22"/>
        <v>0</v>
      </c>
      <c r="J69" s="506">
        <f t="shared" si="22"/>
        <v>0</v>
      </c>
    </row>
    <row r="70" spans="1:10" ht="14.25" customHeight="1" x14ac:dyDescent="0.2">
      <c r="A70" s="473" t="s">
        <v>535</v>
      </c>
      <c r="B70" s="474" t="s">
        <v>487</v>
      </c>
      <c r="C70" s="474" t="s">
        <v>488</v>
      </c>
      <c r="D70" s="474" t="s">
        <v>488</v>
      </c>
      <c r="E70" s="474" t="s">
        <v>488</v>
      </c>
      <c r="F70" s="474" t="s">
        <v>488</v>
      </c>
      <c r="G70" s="474" t="s">
        <v>488</v>
      </c>
      <c r="H70" s="474" t="s">
        <v>488</v>
      </c>
      <c r="I70" s="474" t="s">
        <v>488</v>
      </c>
      <c r="J70" s="475" t="s">
        <v>488</v>
      </c>
    </row>
    <row r="71" spans="1:10" ht="14.25" customHeight="1" x14ac:dyDescent="0.2">
      <c r="A71" s="476" t="s">
        <v>536</v>
      </c>
      <c r="B71" s="477"/>
      <c r="C71" s="488" t="s">
        <v>112</v>
      </c>
      <c r="D71" s="488" t="s">
        <v>112</v>
      </c>
      <c r="E71" s="488" t="s">
        <v>112</v>
      </c>
      <c r="F71" s="488" t="s">
        <v>112</v>
      </c>
      <c r="G71" s="488" t="s">
        <v>112</v>
      </c>
      <c r="H71" s="488" t="s">
        <v>112</v>
      </c>
      <c r="I71" s="491" t="s">
        <v>112</v>
      </c>
      <c r="J71" s="489" t="s">
        <v>112</v>
      </c>
    </row>
    <row r="72" spans="1:10" ht="14.25" customHeight="1" x14ac:dyDescent="0.2">
      <c r="A72" s="503" t="s">
        <v>534</v>
      </c>
      <c r="B72" s="504"/>
      <c r="C72" s="507" t="str">
        <f t="shared" ref="C72:J72" si="23">C71</f>
        <v>-</v>
      </c>
      <c r="D72" s="507" t="str">
        <f t="shared" si="23"/>
        <v>-</v>
      </c>
      <c r="E72" s="507" t="str">
        <f t="shared" si="23"/>
        <v>-</v>
      </c>
      <c r="F72" s="507" t="str">
        <f t="shared" si="23"/>
        <v>-</v>
      </c>
      <c r="G72" s="507" t="str">
        <f t="shared" si="23"/>
        <v>-</v>
      </c>
      <c r="H72" s="507" t="str">
        <f t="shared" si="23"/>
        <v>-</v>
      </c>
      <c r="I72" s="507" t="str">
        <f t="shared" si="23"/>
        <v>-</v>
      </c>
      <c r="J72" s="508" t="str">
        <f t="shared" si="23"/>
        <v>-</v>
      </c>
    </row>
    <row r="73" spans="1:10" ht="14.25" customHeight="1" x14ac:dyDescent="0.2">
      <c r="A73" s="473" t="s">
        <v>65</v>
      </c>
      <c r="B73" s="474" t="s">
        <v>487</v>
      </c>
      <c r="C73" s="474" t="s">
        <v>488</v>
      </c>
      <c r="D73" s="474" t="s">
        <v>488</v>
      </c>
      <c r="E73" s="474" t="s">
        <v>488</v>
      </c>
      <c r="F73" s="474" t="s">
        <v>488</v>
      </c>
      <c r="G73" s="474" t="s">
        <v>488</v>
      </c>
      <c r="H73" s="474" t="s">
        <v>488</v>
      </c>
      <c r="I73" s="474" t="s">
        <v>488</v>
      </c>
      <c r="J73" s="475" t="s">
        <v>488</v>
      </c>
    </row>
    <row r="74" spans="1:10" ht="14.25" customHeight="1" x14ac:dyDescent="0.2">
      <c r="A74" s="476" t="s">
        <v>66</v>
      </c>
      <c r="B74" s="477">
        <f>120/30*MC!C62*MC!C63</f>
        <v>6.18624E-3</v>
      </c>
      <c r="C74" s="484">
        <f t="shared" ref="C74:J74" si="24">(((C19*2)+ (C19*1/3))+(C36)+(C44-C38-C39))*$B$74</f>
        <v>0</v>
      </c>
      <c r="D74" s="484">
        <f t="shared" si="24"/>
        <v>0</v>
      </c>
      <c r="E74" s="484">
        <f t="shared" si="24"/>
        <v>0</v>
      </c>
      <c r="F74" s="484">
        <f t="shared" si="24"/>
        <v>0</v>
      </c>
      <c r="G74" s="484">
        <f t="shared" si="24"/>
        <v>14.185869027839999</v>
      </c>
      <c r="H74" s="484">
        <f t="shared" si="24"/>
        <v>12.159289797119998</v>
      </c>
      <c r="I74" s="484">
        <f t="shared" si="24"/>
        <v>0</v>
      </c>
      <c r="J74" s="485">
        <f t="shared" si="24"/>
        <v>0</v>
      </c>
    </row>
    <row r="75" spans="1:10" ht="15.75" customHeight="1" x14ac:dyDescent="0.2">
      <c r="A75" s="503" t="s">
        <v>496</v>
      </c>
      <c r="B75" s="504"/>
      <c r="C75" s="507">
        <f t="shared" ref="C75:J75" si="25">C74</f>
        <v>0</v>
      </c>
      <c r="D75" s="507">
        <f t="shared" si="25"/>
        <v>0</v>
      </c>
      <c r="E75" s="507">
        <f t="shared" si="25"/>
        <v>0</v>
      </c>
      <c r="F75" s="507">
        <f t="shared" si="25"/>
        <v>0</v>
      </c>
      <c r="G75" s="507">
        <f t="shared" si="25"/>
        <v>14.185869027839999</v>
      </c>
      <c r="H75" s="507">
        <f t="shared" si="25"/>
        <v>12.159289797119998</v>
      </c>
      <c r="I75" s="507">
        <f t="shared" si="25"/>
        <v>0</v>
      </c>
      <c r="J75" s="508">
        <f t="shared" si="25"/>
        <v>0</v>
      </c>
    </row>
    <row r="76" spans="1:10" x14ac:dyDescent="0.2">
      <c r="A76" s="450" t="s">
        <v>537</v>
      </c>
      <c r="B76" s="451" t="s">
        <v>487</v>
      </c>
      <c r="C76" s="451" t="s">
        <v>488</v>
      </c>
      <c r="D76" s="451" t="s">
        <v>488</v>
      </c>
      <c r="E76" s="451" t="s">
        <v>488</v>
      </c>
      <c r="F76" s="451" t="s">
        <v>488</v>
      </c>
      <c r="G76" s="451" t="s">
        <v>488</v>
      </c>
      <c r="H76" s="451" t="s">
        <v>488</v>
      </c>
      <c r="I76" s="451" t="s">
        <v>488</v>
      </c>
      <c r="J76" s="452" t="s">
        <v>488</v>
      </c>
    </row>
    <row r="77" spans="1:10" x14ac:dyDescent="0.2">
      <c r="A77" s="476" t="s">
        <v>43</v>
      </c>
      <c r="B77" s="493">
        <f t="shared" ref="B77:J77" si="26">B69</f>
        <v>9.9662923611111107E-2</v>
      </c>
      <c r="C77" s="494">
        <f t="shared" si="26"/>
        <v>0</v>
      </c>
      <c r="D77" s="494">
        <f t="shared" si="26"/>
        <v>0</v>
      </c>
      <c r="E77" s="494">
        <f t="shared" si="26"/>
        <v>0</v>
      </c>
      <c r="F77" s="494">
        <f t="shared" si="26"/>
        <v>0</v>
      </c>
      <c r="G77" s="494">
        <f t="shared" si="26"/>
        <v>128.56577434150552</v>
      </c>
      <c r="H77" s="494">
        <f t="shared" si="26"/>
        <v>109.68810672734207</v>
      </c>
      <c r="I77" s="494">
        <f t="shared" si="26"/>
        <v>0</v>
      </c>
      <c r="J77" s="495">
        <f t="shared" si="26"/>
        <v>0</v>
      </c>
    </row>
    <row r="78" spans="1:10" ht="15.75" customHeight="1" x14ac:dyDescent="0.2">
      <c r="A78" s="476" t="s">
        <v>535</v>
      </c>
      <c r="B78" s="493">
        <f t="shared" ref="B78:J78" si="27">B72</f>
        <v>0</v>
      </c>
      <c r="C78" s="494" t="str">
        <f t="shared" si="27"/>
        <v>-</v>
      </c>
      <c r="D78" s="494" t="str">
        <f t="shared" si="27"/>
        <v>-</v>
      </c>
      <c r="E78" s="494" t="str">
        <f t="shared" si="27"/>
        <v>-</v>
      </c>
      <c r="F78" s="494" t="str">
        <f t="shared" si="27"/>
        <v>-</v>
      </c>
      <c r="G78" s="494" t="str">
        <f t="shared" si="27"/>
        <v>-</v>
      </c>
      <c r="H78" s="494" t="str">
        <f t="shared" si="27"/>
        <v>-</v>
      </c>
      <c r="I78" s="494" t="str">
        <f t="shared" si="27"/>
        <v>-</v>
      </c>
      <c r="J78" s="495" t="str">
        <f t="shared" si="27"/>
        <v>-</v>
      </c>
    </row>
    <row r="79" spans="1:10" ht="15.75" customHeight="1" x14ac:dyDescent="0.2">
      <c r="A79" s="476" t="s">
        <v>65</v>
      </c>
      <c r="B79" s="493">
        <f t="shared" ref="B79:J79" si="28">B74</f>
        <v>6.18624E-3</v>
      </c>
      <c r="C79" s="494">
        <f t="shared" si="28"/>
        <v>0</v>
      </c>
      <c r="D79" s="494">
        <f t="shared" si="28"/>
        <v>0</v>
      </c>
      <c r="E79" s="494">
        <f t="shared" si="28"/>
        <v>0</v>
      </c>
      <c r="F79" s="494">
        <f t="shared" si="28"/>
        <v>0</v>
      </c>
      <c r="G79" s="494">
        <f t="shared" si="28"/>
        <v>14.185869027839999</v>
      </c>
      <c r="H79" s="494">
        <f t="shared" si="28"/>
        <v>12.159289797119998</v>
      </c>
      <c r="I79" s="494">
        <f t="shared" si="28"/>
        <v>0</v>
      </c>
      <c r="J79" s="495">
        <f t="shared" si="28"/>
        <v>0</v>
      </c>
    </row>
    <row r="80" spans="1:10" ht="15.75" customHeight="1" x14ac:dyDescent="0.2">
      <c r="A80" s="464" t="s">
        <v>496</v>
      </c>
      <c r="B80" s="465"/>
      <c r="C80" s="479">
        <f t="shared" ref="C80:J80" si="29">SUM(C77:C79)</f>
        <v>0</v>
      </c>
      <c r="D80" s="479">
        <f t="shared" si="29"/>
        <v>0</v>
      </c>
      <c r="E80" s="479">
        <f t="shared" si="29"/>
        <v>0</v>
      </c>
      <c r="F80" s="479">
        <f t="shared" si="29"/>
        <v>0</v>
      </c>
      <c r="G80" s="479">
        <f t="shared" si="29"/>
        <v>142.75164336934552</v>
      </c>
      <c r="H80" s="479">
        <f t="shared" si="29"/>
        <v>121.84739652446207</v>
      </c>
      <c r="I80" s="479">
        <f t="shared" si="29"/>
        <v>0</v>
      </c>
      <c r="J80" s="480">
        <f t="shared" si="29"/>
        <v>0</v>
      </c>
    </row>
    <row r="81" spans="1:10" ht="15.75" customHeight="1" x14ac:dyDescent="0.2">
      <c r="A81" s="469"/>
      <c r="B81" s="470"/>
      <c r="C81" s="470"/>
      <c r="D81" s="470"/>
      <c r="E81" s="470"/>
      <c r="F81" s="470"/>
      <c r="G81" s="470"/>
      <c r="H81" s="470"/>
      <c r="I81" s="471"/>
      <c r="J81" s="472"/>
    </row>
    <row r="82" spans="1:10" ht="15.75" customHeight="1" x14ac:dyDescent="0.2">
      <c r="A82" s="509" t="s">
        <v>538</v>
      </c>
      <c r="B82" s="510"/>
      <c r="C82" s="510"/>
      <c r="D82" s="510"/>
      <c r="E82" s="510"/>
      <c r="F82" s="510"/>
      <c r="G82" s="510"/>
      <c r="H82" s="510"/>
      <c r="I82" s="510"/>
      <c r="J82" s="511"/>
    </row>
    <row r="83" spans="1:10" ht="15.75" customHeight="1" x14ac:dyDescent="0.2">
      <c r="A83" s="450" t="s">
        <v>539</v>
      </c>
      <c r="B83" s="451" t="s">
        <v>540</v>
      </c>
      <c r="C83" s="451" t="s">
        <v>488</v>
      </c>
      <c r="D83" s="451" t="s">
        <v>488</v>
      </c>
      <c r="E83" s="451" t="s">
        <v>488</v>
      </c>
      <c r="F83" s="451" t="s">
        <v>488</v>
      </c>
      <c r="G83" s="451" t="s">
        <v>488</v>
      </c>
      <c r="H83" s="451" t="s">
        <v>488</v>
      </c>
      <c r="I83" s="451" t="s">
        <v>488</v>
      </c>
      <c r="J83" s="452" t="s">
        <v>488</v>
      </c>
    </row>
    <row r="84" spans="1:10" ht="15.75" customHeight="1" x14ac:dyDescent="0.2">
      <c r="A84" s="476" t="s">
        <v>541</v>
      </c>
      <c r="B84" s="512"/>
      <c r="C84" s="455">
        <f>Insumos!$J119</f>
        <v>0</v>
      </c>
      <c r="D84" s="455">
        <f>Insumos!$J119</f>
        <v>0</v>
      </c>
      <c r="E84" s="455">
        <f>Insumos!$J119</f>
        <v>0</v>
      </c>
      <c r="F84" s="455">
        <f>Insumos!$J119</f>
        <v>0</v>
      </c>
      <c r="G84" s="455">
        <f>Insumos!$J119</f>
        <v>0</v>
      </c>
      <c r="H84" s="455">
        <f>Insumos!$J119</f>
        <v>0</v>
      </c>
      <c r="I84" s="455">
        <f>Insumos!$J119</f>
        <v>0</v>
      </c>
      <c r="J84" s="455">
        <f>Insumos!$J118</f>
        <v>0</v>
      </c>
    </row>
    <row r="85" spans="1:10" x14ac:dyDescent="0.2">
      <c r="A85" s="513" t="s">
        <v>542</v>
      </c>
      <c r="B85" s="512"/>
      <c r="C85" s="455">
        <f>Insumos!$G60</f>
        <v>0</v>
      </c>
      <c r="D85" s="455">
        <f>Insumos!$G60</f>
        <v>0</v>
      </c>
      <c r="E85" s="455">
        <f>Insumos!$G60</f>
        <v>0</v>
      </c>
      <c r="F85" s="455">
        <f>Insumos!$G60</f>
        <v>0</v>
      </c>
      <c r="G85" s="455">
        <f>Insumos!$G60</f>
        <v>0</v>
      </c>
      <c r="H85" s="455">
        <f>Insumos!$G60</f>
        <v>0</v>
      </c>
      <c r="I85" s="459" t="s">
        <v>112</v>
      </c>
      <c r="J85" s="460" t="s">
        <v>112</v>
      </c>
    </row>
    <row r="86" spans="1:10" x14ac:dyDescent="0.2">
      <c r="A86" s="513" t="s">
        <v>543</v>
      </c>
      <c r="B86" s="514"/>
      <c r="C86" s="455">
        <f>Insumos!$J100</f>
        <v>0</v>
      </c>
      <c r="D86" s="455">
        <f>Insumos!$J100</f>
        <v>0</v>
      </c>
      <c r="E86" s="455">
        <f>Insumos!$J100</f>
        <v>0</v>
      </c>
      <c r="F86" s="455">
        <f>Insumos!$J100</f>
        <v>0</v>
      </c>
      <c r="G86" s="455">
        <f>Insumos!$J100</f>
        <v>0</v>
      </c>
      <c r="H86" s="455">
        <f>Insumos!$J100</f>
        <v>0</v>
      </c>
      <c r="I86" s="459" t="s">
        <v>112</v>
      </c>
      <c r="J86" s="460" t="s">
        <v>112</v>
      </c>
    </row>
    <row r="87" spans="1:10" ht="15.75" customHeight="1" x14ac:dyDescent="0.2">
      <c r="A87" s="513" t="s">
        <v>544</v>
      </c>
      <c r="B87" s="512"/>
      <c r="C87" s="455">
        <f>Insumos!$I130</f>
        <v>0</v>
      </c>
      <c r="D87" s="455">
        <f>Insumos!$I130</f>
        <v>0</v>
      </c>
      <c r="E87" s="455">
        <f>Insumos!$H130</f>
        <v>0</v>
      </c>
      <c r="F87" s="455">
        <f>Insumos!$H130</f>
        <v>0</v>
      </c>
      <c r="G87" s="455">
        <f>Insumos!$H130</f>
        <v>0</v>
      </c>
      <c r="H87" s="455">
        <f>Insumos!$H130</f>
        <v>0</v>
      </c>
      <c r="I87" s="459" t="s">
        <v>112</v>
      </c>
      <c r="J87" s="460" t="s">
        <v>112</v>
      </c>
    </row>
    <row r="88" spans="1:10" ht="15.75" customHeight="1" x14ac:dyDescent="0.2">
      <c r="A88" s="513" t="s">
        <v>545</v>
      </c>
      <c r="B88" s="477">
        <v>0.12</v>
      </c>
      <c r="C88" s="459" t="s">
        <v>112</v>
      </c>
      <c r="D88" s="459" t="s">
        <v>112</v>
      </c>
      <c r="E88" s="459" t="s">
        <v>112</v>
      </c>
      <c r="F88" s="459" t="s">
        <v>112</v>
      </c>
      <c r="G88" s="459" t="s">
        <v>112</v>
      </c>
      <c r="H88" s="459" t="s">
        <v>112</v>
      </c>
      <c r="I88" s="456">
        <f>B88*(I127+I128+I84)</f>
        <v>0</v>
      </c>
      <c r="J88" s="460" t="s">
        <v>112</v>
      </c>
    </row>
    <row r="89" spans="1:10" ht="15.75" customHeight="1" x14ac:dyDescent="0.2">
      <c r="A89" s="515" t="s">
        <v>546</v>
      </c>
      <c r="B89" s="516"/>
      <c r="C89" s="517"/>
      <c r="D89" s="517"/>
      <c r="E89" s="517"/>
      <c r="F89" s="517"/>
      <c r="G89" s="517"/>
      <c r="H89" s="517"/>
      <c r="I89" s="518"/>
      <c r="J89" s="519">
        <f>Insumos!H146</f>
        <v>0</v>
      </c>
    </row>
    <row r="90" spans="1:10" ht="15.75" customHeight="1" x14ac:dyDescent="0.2">
      <c r="A90" s="513" t="s">
        <v>547</v>
      </c>
      <c r="B90" s="477"/>
      <c r="C90" s="459"/>
      <c r="D90" s="459"/>
      <c r="E90" s="459"/>
      <c r="F90" s="459"/>
      <c r="G90" s="459"/>
      <c r="H90" s="459"/>
      <c r="I90" s="456"/>
      <c r="J90" s="460"/>
    </row>
    <row r="91" spans="1:10" ht="15.75" customHeight="1" x14ac:dyDescent="0.2">
      <c r="A91" s="503" t="s">
        <v>496</v>
      </c>
      <c r="B91" s="520"/>
      <c r="C91" s="505">
        <f t="shared" ref="C91:J91" si="30">SUM(C84:C90)</f>
        <v>0</v>
      </c>
      <c r="D91" s="505">
        <f t="shared" si="30"/>
        <v>0</v>
      </c>
      <c r="E91" s="505">
        <f t="shared" si="30"/>
        <v>0</v>
      </c>
      <c r="F91" s="505">
        <f t="shared" si="30"/>
        <v>0</v>
      </c>
      <c r="G91" s="505">
        <f t="shared" si="30"/>
        <v>0</v>
      </c>
      <c r="H91" s="505">
        <f t="shared" si="30"/>
        <v>0</v>
      </c>
      <c r="I91" s="505">
        <f t="shared" si="30"/>
        <v>0</v>
      </c>
      <c r="J91" s="505">
        <f t="shared" si="30"/>
        <v>0</v>
      </c>
    </row>
    <row r="92" spans="1:10" ht="15.75" customHeight="1" x14ac:dyDescent="0.2">
      <c r="A92" s="859"/>
      <c r="B92" s="859"/>
      <c r="C92" s="521"/>
      <c r="D92" s="521"/>
      <c r="E92" s="521"/>
      <c r="F92" s="521"/>
      <c r="G92" s="521"/>
      <c r="H92" s="521"/>
      <c r="I92" s="522"/>
      <c r="J92" s="523"/>
    </row>
    <row r="93" spans="1:10" ht="15.75" customHeight="1" x14ac:dyDescent="0.2">
      <c r="A93" s="509" t="s">
        <v>548</v>
      </c>
      <c r="B93" s="510"/>
      <c r="C93" s="510"/>
      <c r="D93" s="510"/>
      <c r="E93" s="510"/>
      <c r="F93" s="510"/>
      <c r="G93" s="510"/>
      <c r="H93" s="510"/>
      <c r="I93" s="510"/>
      <c r="J93" s="511"/>
    </row>
    <row r="94" spans="1:10" ht="15.75" customHeight="1" x14ac:dyDescent="0.2">
      <c r="A94" s="450" t="s">
        <v>549</v>
      </c>
      <c r="B94" s="451" t="s">
        <v>487</v>
      </c>
      <c r="C94" s="451" t="s">
        <v>488</v>
      </c>
      <c r="D94" s="451" t="s">
        <v>488</v>
      </c>
      <c r="E94" s="451" t="s">
        <v>488</v>
      </c>
      <c r="F94" s="451" t="s">
        <v>488</v>
      </c>
      <c r="G94" s="451" t="s">
        <v>488</v>
      </c>
      <c r="H94" s="451" t="s">
        <v>488</v>
      </c>
      <c r="I94" s="451" t="s">
        <v>488</v>
      </c>
      <c r="J94" s="452" t="s">
        <v>488</v>
      </c>
    </row>
    <row r="95" spans="1:10" ht="15.75" customHeight="1" x14ac:dyDescent="0.2">
      <c r="A95" s="453" t="s">
        <v>71</v>
      </c>
      <c r="B95" s="477">
        <f>MC!C66</f>
        <v>0</v>
      </c>
      <c r="C95" s="484">
        <f t="shared" ref="C95:J95" si="31">(C$19+C$49+C$60+C$80+C$91)*$B$95</f>
        <v>0</v>
      </c>
      <c r="D95" s="484">
        <f t="shared" si="31"/>
        <v>0</v>
      </c>
      <c r="E95" s="484">
        <f t="shared" si="31"/>
        <v>0</v>
      </c>
      <c r="F95" s="484">
        <f t="shared" si="31"/>
        <v>0</v>
      </c>
      <c r="G95" s="484">
        <f t="shared" si="31"/>
        <v>0</v>
      </c>
      <c r="H95" s="484">
        <f t="shared" si="31"/>
        <v>0</v>
      </c>
      <c r="I95" s="484">
        <f t="shared" si="31"/>
        <v>0</v>
      </c>
      <c r="J95" s="485">
        <f t="shared" si="31"/>
        <v>0</v>
      </c>
    </row>
    <row r="96" spans="1:10" x14ac:dyDescent="0.2">
      <c r="A96" s="453" t="s">
        <v>72</v>
      </c>
      <c r="B96" s="477">
        <f>MC!C67</f>
        <v>0</v>
      </c>
      <c r="C96" s="484">
        <f t="shared" ref="C96:J96" si="32">(C$19+C$49+C$60+C$80+C$91+C95)*$B$96</f>
        <v>0</v>
      </c>
      <c r="D96" s="484">
        <f t="shared" si="32"/>
        <v>0</v>
      </c>
      <c r="E96" s="484">
        <f t="shared" si="32"/>
        <v>0</v>
      </c>
      <c r="F96" s="484">
        <f t="shared" si="32"/>
        <v>0</v>
      </c>
      <c r="G96" s="484">
        <f t="shared" si="32"/>
        <v>0</v>
      </c>
      <c r="H96" s="484">
        <f t="shared" si="32"/>
        <v>0</v>
      </c>
      <c r="I96" s="484">
        <f t="shared" si="32"/>
        <v>0</v>
      </c>
      <c r="J96" s="485">
        <f t="shared" si="32"/>
        <v>0</v>
      </c>
    </row>
    <row r="97" spans="1:11" x14ac:dyDescent="0.2">
      <c r="A97" s="524" t="s">
        <v>550</v>
      </c>
      <c r="B97" s="525">
        <f>B98+B99</f>
        <v>0.1125</v>
      </c>
      <c r="C97" s="526">
        <f t="shared" ref="C97:J97" si="33">((C19+C49+C60+C80+C91+C95+C96)/(1-($B$97)))*$B$97</f>
        <v>0</v>
      </c>
      <c r="D97" s="526">
        <f t="shared" si="33"/>
        <v>0</v>
      </c>
      <c r="E97" s="526">
        <f t="shared" si="33"/>
        <v>0</v>
      </c>
      <c r="F97" s="526">
        <f t="shared" si="33"/>
        <v>0</v>
      </c>
      <c r="G97" s="526">
        <f t="shared" si="33"/>
        <v>181.61717230033955</v>
      </c>
      <c r="H97" s="526">
        <f t="shared" si="33"/>
        <v>154.95696708056562</v>
      </c>
      <c r="I97" s="526">
        <f t="shared" si="33"/>
        <v>0</v>
      </c>
      <c r="J97" s="527">
        <f t="shared" si="33"/>
        <v>0</v>
      </c>
    </row>
    <row r="98" spans="1:11" x14ac:dyDescent="0.2">
      <c r="A98" s="453" t="s">
        <v>551</v>
      </c>
      <c r="B98" s="477">
        <f>0.0165+0.076</f>
        <v>9.2499999999999999E-2</v>
      </c>
      <c r="C98" s="528">
        <f t="shared" ref="C98:J98" si="34">((C$19+C$49+C$60+C$80+C$91+C$95+C$96)/(1-($B$97)))*$B$98</f>
        <v>0</v>
      </c>
      <c r="D98" s="528">
        <f t="shared" si="34"/>
        <v>0</v>
      </c>
      <c r="E98" s="528">
        <f t="shared" si="34"/>
        <v>0</v>
      </c>
      <c r="F98" s="528">
        <f t="shared" si="34"/>
        <v>0</v>
      </c>
      <c r="G98" s="528">
        <f t="shared" si="34"/>
        <v>149.3296750025014</v>
      </c>
      <c r="H98" s="528">
        <f t="shared" si="34"/>
        <v>127.40906182179839</v>
      </c>
      <c r="I98" s="528">
        <f t="shared" si="34"/>
        <v>0</v>
      </c>
      <c r="J98" s="529">
        <f t="shared" si="34"/>
        <v>0</v>
      </c>
    </row>
    <row r="99" spans="1:11" x14ac:dyDescent="0.2">
      <c r="A99" s="453" t="s">
        <v>552</v>
      </c>
      <c r="B99" s="477">
        <v>0.02</v>
      </c>
      <c r="C99" s="530">
        <f t="shared" ref="C99:J99" si="35">((C$19+C$49+C$60+C$80+C$91+C$95+C$96)/(1-($B$97)))*$B$99</f>
        <v>0</v>
      </c>
      <c r="D99" s="530">
        <f t="shared" si="35"/>
        <v>0</v>
      </c>
      <c r="E99" s="530">
        <f t="shared" si="35"/>
        <v>0</v>
      </c>
      <c r="F99" s="530">
        <f t="shared" si="35"/>
        <v>0</v>
      </c>
      <c r="G99" s="530">
        <f t="shared" si="35"/>
        <v>32.287497297838144</v>
      </c>
      <c r="H99" s="530">
        <f t="shared" si="35"/>
        <v>27.547905258767219</v>
      </c>
      <c r="I99" s="530">
        <f t="shared" si="35"/>
        <v>0</v>
      </c>
      <c r="J99" s="531">
        <f t="shared" si="35"/>
        <v>0</v>
      </c>
    </row>
    <row r="100" spans="1:11" x14ac:dyDescent="0.2">
      <c r="A100" s="524" t="s">
        <v>553</v>
      </c>
      <c r="B100" s="525">
        <f>B101+B102</f>
        <v>0.11749999999999999</v>
      </c>
      <c r="C100" s="526">
        <f t="shared" ref="C100:J100" si="36">((C19+C49+C60+C80+C91+C95+C96)/(1-($B$100)))*$B$100</f>
        <v>0</v>
      </c>
      <c r="D100" s="526">
        <f t="shared" si="36"/>
        <v>0</v>
      </c>
      <c r="E100" s="526">
        <f t="shared" si="36"/>
        <v>0</v>
      </c>
      <c r="F100" s="526">
        <f t="shared" si="36"/>
        <v>0</v>
      </c>
      <c r="G100" s="526">
        <f t="shared" si="36"/>
        <v>190.76377210142678</v>
      </c>
      <c r="H100" s="526">
        <f t="shared" si="36"/>
        <v>162.76090624735517</v>
      </c>
      <c r="I100" s="526">
        <f t="shared" si="36"/>
        <v>0</v>
      </c>
      <c r="J100" s="527">
        <f t="shared" si="36"/>
        <v>0</v>
      </c>
    </row>
    <row r="101" spans="1:11" x14ac:dyDescent="0.2">
      <c r="A101" s="453" t="s">
        <v>551</v>
      </c>
      <c r="B101" s="477">
        <f>0.0165+0.076</f>
        <v>9.2499999999999999E-2</v>
      </c>
      <c r="C101" s="528">
        <f t="shared" ref="C101:J101" si="37">((C19+C49+C60+C80+C91+C95+C96)/(1-($B$100)))*$B$101</f>
        <v>0</v>
      </c>
      <c r="D101" s="528">
        <f t="shared" si="37"/>
        <v>0</v>
      </c>
      <c r="E101" s="528">
        <f t="shared" si="37"/>
        <v>0</v>
      </c>
      <c r="F101" s="528">
        <f t="shared" si="37"/>
        <v>0</v>
      </c>
      <c r="G101" s="528">
        <f t="shared" si="37"/>
        <v>150.17573548410195</v>
      </c>
      <c r="H101" s="528">
        <f t="shared" si="37"/>
        <v>128.13092619472641</v>
      </c>
      <c r="I101" s="528">
        <f t="shared" si="37"/>
        <v>0</v>
      </c>
      <c r="J101" s="529">
        <f t="shared" si="37"/>
        <v>0</v>
      </c>
    </row>
    <row r="102" spans="1:11" x14ac:dyDescent="0.2">
      <c r="A102" s="453" t="s">
        <v>552</v>
      </c>
      <c r="B102" s="477">
        <v>2.5000000000000001E-2</v>
      </c>
      <c r="C102" s="530">
        <f t="shared" ref="C102:J102" si="38">((C$19+C$49+C$60+C$80+C$91+C$95+C$96)/(1-($B$100)))*$B$102</f>
        <v>0</v>
      </c>
      <c r="D102" s="530">
        <f t="shared" si="38"/>
        <v>0</v>
      </c>
      <c r="E102" s="530">
        <f t="shared" si="38"/>
        <v>0</v>
      </c>
      <c r="F102" s="530">
        <f t="shared" si="38"/>
        <v>0</v>
      </c>
      <c r="G102" s="530">
        <f t="shared" si="38"/>
        <v>40.588036617324853</v>
      </c>
      <c r="H102" s="530">
        <f t="shared" si="38"/>
        <v>34.62998005262876</v>
      </c>
      <c r="I102" s="530">
        <f t="shared" si="38"/>
        <v>0</v>
      </c>
      <c r="J102" s="531">
        <f t="shared" si="38"/>
        <v>0</v>
      </c>
    </row>
    <row r="103" spans="1:11" x14ac:dyDescent="0.2">
      <c r="A103" s="524" t="s">
        <v>554</v>
      </c>
      <c r="B103" s="525">
        <f>B104+B105</f>
        <v>0.1225</v>
      </c>
      <c r="C103" s="526">
        <f t="shared" ref="C103:J103" si="39">((C19+C49+C60+C80+C91+C95+C96)/(1-($B$103)))*$B$103</f>
        <v>0</v>
      </c>
      <c r="D103" s="526">
        <f t="shared" si="39"/>
        <v>0</v>
      </c>
      <c r="E103" s="526">
        <f t="shared" si="39"/>
        <v>0</v>
      </c>
      <c r="F103" s="526">
        <f t="shared" si="39"/>
        <v>0</v>
      </c>
      <c r="G103" s="526">
        <f t="shared" si="39"/>
        <v>200.01460665808204</v>
      </c>
      <c r="H103" s="526">
        <f t="shared" si="39"/>
        <v>170.65377919382328</v>
      </c>
      <c r="I103" s="526">
        <f t="shared" si="39"/>
        <v>0</v>
      </c>
      <c r="J103" s="527">
        <f t="shared" si="39"/>
        <v>0</v>
      </c>
    </row>
    <row r="104" spans="1:11" x14ac:dyDescent="0.2">
      <c r="A104" s="453" t="s">
        <v>551</v>
      </c>
      <c r="B104" s="477">
        <f>0.0165+0.076</f>
        <v>9.2499999999999999E-2</v>
      </c>
      <c r="C104" s="528">
        <f t="shared" ref="C104:J104" si="40">((C19+C49+C60+C80+C91+C95+C96)/(1-($B$103)))*$B$104</f>
        <v>0</v>
      </c>
      <c r="D104" s="528">
        <f t="shared" si="40"/>
        <v>0</v>
      </c>
      <c r="E104" s="528">
        <f t="shared" si="40"/>
        <v>0</v>
      </c>
      <c r="F104" s="528">
        <f t="shared" si="40"/>
        <v>0</v>
      </c>
      <c r="G104" s="528">
        <f t="shared" si="40"/>
        <v>151.03143768059257</v>
      </c>
      <c r="H104" s="528">
        <f t="shared" si="40"/>
        <v>128.86101694227472</v>
      </c>
      <c r="I104" s="528">
        <f t="shared" si="40"/>
        <v>0</v>
      </c>
      <c r="J104" s="529">
        <f t="shared" si="40"/>
        <v>0</v>
      </c>
    </row>
    <row r="105" spans="1:11" x14ac:dyDescent="0.2">
      <c r="A105" s="453" t="s">
        <v>552</v>
      </c>
      <c r="B105" s="477">
        <v>0.03</v>
      </c>
      <c r="C105" s="530">
        <f t="shared" ref="C105:J105" si="41">((C19+C49+C60+C80+C91+C95+C96)/(1-($B$103)))*$B$105</f>
        <v>0</v>
      </c>
      <c r="D105" s="530">
        <f t="shared" si="41"/>
        <v>0</v>
      </c>
      <c r="E105" s="530">
        <f t="shared" si="41"/>
        <v>0</v>
      </c>
      <c r="F105" s="530">
        <f t="shared" si="41"/>
        <v>0</v>
      </c>
      <c r="G105" s="530">
        <f t="shared" si="41"/>
        <v>48.983168977489484</v>
      </c>
      <c r="H105" s="530">
        <f t="shared" si="41"/>
        <v>41.79276225154856</v>
      </c>
      <c r="I105" s="530">
        <f t="shared" si="41"/>
        <v>0</v>
      </c>
      <c r="J105" s="531">
        <f t="shared" si="41"/>
        <v>0</v>
      </c>
      <c r="K105" s="532"/>
    </row>
    <row r="106" spans="1:11" x14ac:dyDescent="0.2">
      <c r="A106" s="524" t="s">
        <v>624</v>
      </c>
      <c r="B106" s="525">
        <f>B107+B108</f>
        <v>0.1275</v>
      </c>
      <c r="C106" s="526">
        <f t="shared" ref="C106:J106" si="42">((C19+C49+C60+C80+C91+C95+C96)/(1-($B$106)))*$B$106</f>
        <v>0</v>
      </c>
      <c r="D106" s="526">
        <f t="shared" si="42"/>
        <v>0</v>
      </c>
      <c r="E106" s="526">
        <f t="shared" si="42"/>
        <v>0</v>
      </c>
      <c r="F106" s="526">
        <f t="shared" si="42"/>
        <v>0</v>
      </c>
      <c r="G106" s="526">
        <f t="shared" si="42"/>
        <v>209.3714679718336</v>
      </c>
      <c r="H106" s="526">
        <f t="shared" si="42"/>
        <v>178.6371148674715</v>
      </c>
      <c r="I106" s="526">
        <f t="shared" si="42"/>
        <v>0</v>
      </c>
      <c r="J106" s="527">
        <f t="shared" si="42"/>
        <v>0</v>
      </c>
      <c r="K106" s="532"/>
    </row>
    <row r="107" spans="1:11" x14ac:dyDescent="0.2">
      <c r="A107" s="453" t="s">
        <v>551</v>
      </c>
      <c r="B107" s="477">
        <f>0.0165+0.076</f>
        <v>9.2499999999999999E-2</v>
      </c>
      <c r="C107" s="702">
        <f t="shared" ref="C107:J107" si="43">((C19+C49+C60+C80+C91+C95+C96)/(1-($B$106)))*$B$107</f>
        <v>0</v>
      </c>
      <c r="D107" s="702">
        <f t="shared" si="43"/>
        <v>0</v>
      </c>
      <c r="E107" s="702">
        <f t="shared" si="43"/>
        <v>0</v>
      </c>
      <c r="F107" s="702">
        <f t="shared" si="43"/>
        <v>0</v>
      </c>
      <c r="G107" s="702">
        <f t="shared" si="43"/>
        <v>151.89694735211458</v>
      </c>
      <c r="H107" s="702">
        <f t="shared" si="43"/>
        <v>129.59947549208718</v>
      </c>
      <c r="I107" s="702">
        <f t="shared" si="43"/>
        <v>0</v>
      </c>
      <c r="J107" s="703">
        <f t="shared" si="43"/>
        <v>0</v>
      </c>
      <c r="K107" s="532"/>
    </row>
    <row r="108" spans="1:11" x14ac:dyDescent="0.2">
      <c r="A108" s="453" t="s">
        <v>552</v>
      </c>
      <c r="B108" s="477">
        <v>3.5000000000000003E-2</v>
      </c>
      <c r="C108" s="704">
        <f t="shared" ref="C108:J108" si="44">((C19+C49+C60+C80+C91+C95+C96)/(1-($B$106)))*$B$108</f>
        <v>0</v>
      </c>
      <c r="D108" s="704">
        <f t="shared" si="44"/>
        <v>0</v>
      </c>
      <c r="E108" s="704">
        <f t="shared" si="44"/>
        <v>0</v>
      </c>
      <c r="F108" s="704">
        <f t="shared" si="44"/>
        <v>0</v>
      </c>
      <c r="G108" s="704">
        <f t="shared" si="44"/>
        <v>57.47452061971903</v>
      </c>
      <c r="H108" s="704">
        <f t="shared" si="44"/>
        <v>49.037639375384337</v>
      </c>
      <c r="I108" s="704">
        <f t="shared" si="44"/>
        <v>0</v>
      </c>
      <c r="J108" s="705">
        <f t="shared" si="44"/>
        <v>0</v>
      </c>
      <c r="K108" s="532"/>
    </row>
    <row r="109" spans="1:11" x14ac:dyDescent="0.2">
      <c r="A109" s="524" t="s">
        <v>555</v>
      </c>
      <c r="B109" s="525">
        <f>B110+B111</f>
        <v>0.13250000000000001</v>
      </c>
      <c r="C109" s="526">
        <f t="shared" ref="C109:J109" si="45">((C19+C49+C60+C80+C91+C95+C96)/(1-($B$109)))*$B$109</f>
        <v>0</v>
      </c>
      <c r="D109" s="526">
        <f t="shared" si="45"/>
        <v>0</v>
      </c>
      <c r="E109" s="526">
        <f t="shared" si="45"/>
        <v>0</v>
      </c>
      <c r="F109" s="526">
        <f t="shared" si="45"/>
        <v>0</v>
      </c>
      <c r="G109" s="526">
        <f t="shared" si="45"/>
        <v>218.8361893583662</v>
      </c>
      <c r="H109" s="526">
        <f t="shared" si="45"/>
        <v>186.71247746531171</v>
      </c>
      <c r="I109" s="526">
        <f t="shared" si="45"/>
        <v>0</v>
      </c>
      <c r="J109" s="527">
        <f t="shared" si="45"/>
        <v>0</v>
      </c>
    </row>
    <row r="110" spans="1:11" x14ac:dyDescent="0.2">
      <c r="A110" s="453" t="s">
        <v>551</v>
      </c>
      <c r="B110" s="477">
        <f>0.0165+0.076</f>
        <v>9.2499999999999999E-2</v>
      </c>
      <c r="C110" s="528">
        <f t="shared" ref="C110:J110" si="46">((C19+C49+C60+C80+C91+C95+C96)/(1-($B$109)))*$B$110</f>
        <v>0</v>
      </c>
      <c r="D110" s="528">
        <f t="shared" si="46"/>
        <v>0</v>
      </c>
      <c r="E110" s="528">
        <f t="shared" si="46"/>
        <v>0</v>
      </c>
      <c r="F110" s="528">
        <f t="shared" si="46"/>
        <v>0</v>
      </c>
      <c r="G110" s="528">
        <f t="shared" si="46"/>
        <v>152.77243408036887</v>
      </c>
      <c r="H110" s="528">
        <f t="shared" si="46"/>
        <v>130.3464465323874</v>
      </c>
      <c r="I110" s="528">
        <f t="shared" si="46"/>
        <v>0</v>
      </c>
      <c r="J110" s="529">
        <f t="shared" si="46"/>
        <v>0</v>
      </c>
    </row>
    <row r="111" spans="1:11" x14ac:dyDescent="0.2">
      <c r="A111" s="453" t="s">
        <v>552</v>
      </c>
      <c r="B111" s="477">
        <v>0.04</v>
      </c>
      <c r="C111" s="530">
        <f t="shared" ref="C111:J111" si="47">((C19+C49+C60+C80+C91+C95+C96)/(1-($B$109)))*$B$111</f>
        <v>0</v>
      </c>
      <c r="D111" s="530">
        <f t="shared" si="47"/>
        <v>0</v>
      </c>
      <c r="E111" s="530">
        <f t="shared" si="47"/>
        <v>0</v>
      </c>
      <c r="F111" s="530">
        <f t="shared" si="47"/>
        <v>0</v>
      </c>
      <c r="G111" s="530">
        <f t="shared" si="47"/>
        <v>66.063755277997345</v>
      </c>
      <c r="H111" s="530">
        <f t="shared" si="47"/>
        <v>56.366030932924289</v>
      </c>
      <c r="I111" s="530">
        <f t="shared" si="47"/>
        <v>0</v>
      </c>
      <c r="J111" s="531">
        <f t="shared" si="47"/>
        <v>0</v>
      </c>
    </row>
    <row r="112" spans="1:11" x14ac:dyDescent="0.2">
      <c r="A112" s="524" t="s">
        <v>556</v>
      </c>
      <c r="B112" s="525">
        <f>B113+B114</f>
        <v>0.14250000000000002</v>
      </c>
      <c r="C112" s="526">
        <f t="shared" ref="C112:J112" si="48">((C19+C49+C60+C80+C91+C95+C96)/(1-($B$112)))*$B$112</f>
        <v>0</v>
      </c>
      <c r="D112" s="526">
        <f t="shared" si="48"/>
        <v>0</v>
      </c>
      <c r="E112" s="526">
        <f t="shared" si="48"/>
        <v>0</v>
      </c>
      <c r="F112" s="526">
        <f t="shared" si="48"/>
        <v>0</v>
      </c>
      <c r="G112" s="526">
        <f t="shared" si="48"/>
        <v>238.09675941026049</v>
      </c>
      <c r="H112" s="526">
        <f t="shared" si="48"/>
        <v>203.14572263526048</v>
      </c>
      <c r="I112" s="526">
        <f t="shared" si="48"/>
        <v>0</v>
      </c>
      <c r="J112" s="527">
        <f t="shared" si="48"/>
        <v>0</v>
      </c>
    </row>
    <row r="113" spans="1:11" x14ac:dyDescent="0.2">
      <c r="A113" s="453" t="s">
        <v>551</v>
      </c>
      <c r="B113" s="477">
        <f>0.0165+0.076</f>
        <v>9.2499999999999999E-2</v>
      </c>
      <c r="C113" s="533">
        <f t="shared" ref="C113:J113" si="49">((C19+C49+C60+C80+C91+C95+C96)/(1-($B$112)))*$B$113</f>
        <v>0</v>
      </c>
      <c r="D113" s="533">
        <f t="shared" si="49"/>
        <v>0</v>
      </c>
      <c r="E113" s="533">
        <f t="shared" si="49"/>
        <v>0</v>
      </c>
      <c r="F113" s="533">
        <f t="shared" si="49"/>
        <v>0</v>
      </c>
      <c r="G113" s="533">
        <f t="shared" si="49"/>
        <v>154.55403681016907</v>
      </c>
      <c r="H113" s="533">
        <f t="shared" si="49"/>
        <v>131.86652171060769</v>
      </c>
      <c r="I113" s="533">
        <f t="shared" si="49"/>
        <v>0</v>
      </c>
      <c r="J113" s="534">
        <f t="shared" si="49"/>
        <v>0</v>
      </c>
    </row>
    <row r="114" spans="1:11" x14ac:dyDescent="0.2">
      <c r="A114" s="453" t="s">
        <v>552</v>
      </c>
      <c r="B114" s="535">
        <v>0.05</v>
      </c>
      <c r="C114" s="536">
        <f t="shared" ref="C114:J114" si="50">((C19+C49+C60+C80+C91+C95+C96)/(1-($B$112)))*$B$114</f>
        <v>0</v>
      </c>
      <c r="D114" s="536">
        <f t="shared" si="50"/>
        <v>0</v>
      </c>
      <c r="E114" s="536">
        <f t="shared" si="50"/>
        <v>0</v>
      </c>
      <c r="F114" s="536">
        <f t="shared" si="50"/>
        <v>0</v>
      </c>
      <c r="G114" s="536">
        <f t="shared" si="50"/>
        <v>83.542722600091395</v>
      </c>
      <c r="H114" s="536">
        <f t="shared" si="50"/>
        <v>71.279200924652798</v>
      </c>
      <c r="I114" s="536">
        <f t="shared" si="50"/>
        <v>0</v>
      </c>
      <c r="J114" s="537">
        <f t="shared" si="50"/>
        <v>0</v>
      </c>
    </row>
    <row r="115" spans="1:11" x14ac:dyDescent="0.2">
      <c r="A115" s="861" t="s">
        <v>557</v>
      </c>
      <c r="B115" s="538">
        <v>0.02</v>
      </c>
      <c r="C115" s="539">
        <f t="shared" ref="C115:J115" si="51">C95+C96+C97</f>
        <v>0</v>
      </c>
      <c r="D115" s="539">
        <f t="shared" si="51"/>
        <v>0</v>
      </c>
      <c r="E115" s="539">
        <f t="shared" si="51"/>
        <v>0</v>
      </c>
      <c r="F115" s="539">
        <f t="shared" si="51"/>
        <v>0</v>
      </c>
      <c r="G115" s="539">
        <f t="shared" si="51"/>
        <v>181.61717230033955</v>
      </c>
      <c r="H115" s="539">
        <f t="shared" si="51"/>
        <v>154.95696708056562</v>
      </c>
      <c r="I115" s="539">
        <f t="shared" si="51"/>
        <v>0</v>
      </c>
      <c r="J115" s="540">
        <f t="shared" si="51"/>
        <v>0</v>
      </c>
    </row>
    <row r="116" spans="1:11" x14ac:dyDescent="0.2">
      <c r="A116" s="861"/>
      <c r="B116" s="541">
        <v>2.5000000000000001E-2</v>
      </c>
      <c r="C116" s="542">
        <f t="shared" ref="C116:J116" si="52">C95+C96+C100</f>
        <v>0</v>
      </c>
      <c r="D116" s="542">
        <f t="shared" si="52"/>
        <v>0</v>
      </c>
      <c r="E116" s="542">
        <f t="shared" si="52"/>
        <v>0</v>
      </c>
      <c r="F116" s="542">
        <f t="shared" si="52"/>
        <v>0</v>
      </c>
      <c r="G116" s="542">
        <f t="shared" si="52"/>
        <v>190.76377210142678</v>
      </c>
      <c r="H116" s="542">
        <f t="shared" si="52"/>
        <v>162.76090624735517</v>
      </c>
      <c r="I116" s="542">
        <f t="shared" si="52"/>
        <v>0</v>
      </c>
      <c r="J116" s="543">
        <f t="shared" si="52"/>
        <v>0</v>
      </c>
    </row>
    <row r="117" spans="1:11" ht="15.75" customHeight="1" x14ac:dyDescent="0.2">
      <c r="A117" s="861"/>
      <c r="B117" s="541">
        <v>0.03</v>
      </c>
      <c r="C117" s="542">
        <f t="shared" ref="C117:J117" si="53">C95+C96+C103</f>
        <v>0</v>
      </c>
      <c r="D117" s="542">
        <f t="shared" si="53"/>
        <v>0</v>
      </c>
      <c r="E117" s="542">
        <f t="shared" si="53"/>
        <v>0</v>
      </c>
      <c r="F117" s="542">
        <f t="shared" si="53"/>
        <v>0</v>
      </c>
      <c r="G117" s="542">
        <f t="shared" si="53"/>
        <v>200.01460665808204</v>
      </c>
      <c r="H117" s="542">
        <f t="shared" si="53"/>
        <v>170.65377919382328</v>
      </c>
      <c r="I117" s="542">
        <f t="shared" si="53"/>
        <v>0</v>
      </c>
      <c r="J117" s="543">
        <f t="shared" si="53"/>
        <v>0</v>
      </c>
      <c r="K117" s="532"/>
    </row>
    <row r="118" spans="1:11" ht="15.75" customHeight="1" x14ac:dyDescent="0.2">
      <c r="A118" s="861"/>
      <c r="B118" s="541">
        <v>3.5000000000000003E-2</v>
      </c>
      <c r="C118" s="542">
        <f t="shared" ref="C118:J118" si="54">C95+C96+C106</f>
        <v>0</v>
      </c>
      <c r="D118" s="542">
        <f t="shared" si="54"/>
        <v>0</v>
      </c>
      <c r="E118" s="542">
        <f t="shared" si="54"/>
        <v>0</v>
      </c>
      <c r="F118" s="542">
        <f t="shared" si="54"/>
        <v>0</v>
      </c>
      <c r="G118" s="542">
        <f t="shared" si="54"/>
        <v>209.3714679718336</v>
      </c>
      <c r="H118" s="542">
        <f t="shared" si="54"/>
        <v>178.6371148674715</v>
      </c>
      <c r="I118" s="542">
        <f t="shared" si="54"/>
        <v>0</v>
      </c>
      <c r="J118" s="543">
        <f t="shared" si="54"/>
        <v>0</v>
      </c>
      <c r="K118" s="532"/>
    </row>
    <row r="119" spans="1:11" ht="15.75" customHeight="1" x14ac:dyDescent="0.2">
      <c r="A119" s="861"/>
      <c r="B119" s="541">
        <v>0.04</v>
      </c>
      <c r="C119" s="542">
        <f t="shared" ref="C119:J119" si="55">C95+C96+C109</f>
        <v>0</v>
      </c>
      <c r="D119" s="542">
        <f t="shared" si="55"/>
        <v>0</v>
      </c>
      <c r="E119" s="542">
        <f t="shared" si="55"/>
        <v>0</v>
      </c>
      <c r="F119" s="542">
        <f t="shared" si="55"/>
        <v>0</v>
      </c>
      <c r="G119" s="542">
        <f t="shared" si="55"/>
        <v>218.8361893583662</v>
      </c>
      <c r="H119" s="542">
        <f t="shared" si="55"/>
        <v>186.71247746531171</v>
      </c>
      <c r="I119" s="542">
        <f t="shared" si="55"/>
        <v>0</v>
      </c>
      <c r="J119" s="543">
        <f t="shared" si="55"/>
        <v>0</v>
      </c>
    </row>
    <row r="120" spans="1:11" ht="15.75" customHeight="1" x14ac:dyDescent="0.2">
      <c r="A120" s="861"/>
      <c r="B120" s="544">
        <v>0.05</v>
      </c>
      <c r="C120" s="545">
        <f t="shared" ref="C120:J120" si="56">C95+C96+C112</f>
        <v>0</v>
      </c>
      <c r="D120" s="545">
        <f t="shared" si="56"/>
        <v>0</v>
      </c>
      <c r="E120" s="545">
        <f t="shared" si="56"/>
        <v>0</v>
      </c>
      <c r="F120" s="545">
        <f t="shared" si="56"/>
        <v>0</v>
      </c>
      <c r="G120" s="545">
        <f t="shared" si="56"/>
        <v>238.09675941026049</v>
      </c>
      <c r="H120" s="545">
        <f t="shared" si="56"/>
        <v>203.14572263526048</v>
      </c>
      <c r="I120" s="545">
        <f t="shared" si="56"/>
        <v>0</v>
      </c>
      <c r="J120" s="546">
        <f t="shared" si="56"/>
        <v>0</v>
      </c>
    </row>
    <row r="121" spans="1:11" ht="15.75" customHeight="1" x14ac:dyDescent="0.2">
      <c r="A121" s="453" t="s">
        <v>558</v>
      </c>
      <c r="B121" s="547"/>
      <c r="C121" s="548"/>
      <c r="D121" s="548"/>
      <c r="E121" s="548"/>
      <c r="F121" s="548"/>
      <c r="G121" s="548"/>
      <c r="H121" s="548"/>
      <c r="I121" s="549"/>
      <c r="J121" s="550"/>
    </row>
    <row r="122" spans="1:11" ht="24.75" customHeight="1" x14ac:dyDescent="0.2">
      <c r="A122" s="551"/>
      <c r="B122" s="552"/>
      <c r="C122" s="553"/>
      <c r="D122" s="553"/>
      <c r="E122" s="553"/>
      <c r="F122" s="553"/>
      <c r="G122" s="553"/>
      <c r="H122" s="553"/>
      <c r="I122" s="554"/>
      <c r="J122" s="555"/>
    </row>
    <row r="123" spans="1:11" ht="15.75" customHeight="1" x14ac:dyDescent="0.2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</row>
    <row r="124" spans="1:11" ht="15.75" customHeight="1" x14ac:dyDescent="0.2">
      <c r="A124" s="863"/>
      <c r="B124" s="863"/>
      <c r="C124" s="863"/>
      <c r="D124" s="863"/>
      <c r="E124" s="863"/>
      <c r="F124" s="863"/>
      <c r="G124" s="863"/>
      <c r="H124" s="863"/>
      <c r="I124" s="863"/>
      <c r="J124" s="863"/>
    </row>
    <row r="125" spans="1:11" ht="54.75" customHeight="1" x14ac:dyDescent="0.2">
      <c r="A125" s="864" t="s">
        <v>559</v>
      </c>
      <c r="B125" s="864"/>
      <c r="C125" s="556" t="str">
        <f t="shared" ref="C125:J125" si="57">C10</f>
        <v>Servente 40h (banheirista)
(insalubridade 40%)</v>
      </c>
      <c r="D125" s="556" t="str">
        <f t="shared" si="57"/>
        <v>Servente 40h
(insalubridade 20%)</v>
      </c>
      <c r="E125" s="556" t="str">
        <f t="shared" si="57"/>
        <v>Servente 30h (banheirista)
(insalubridade 40%)</v>
      </c>
      <c r="F125" s="556" t="str">
        <f t="shared" si="57"/>
        <v>Servente 30h
(insalubridade 20%)</v>
      </c>
      <c r="G125" s="556" t="str">
        <f t="shared" si="57"/>
        <v>Servente 20h
(insalubridade 40%)</v>
      </c>
      <c r="H125" s="556" t="str">
        <f t="shared" si="57"/>
        <v>Servente 20h
(insalubridade 20%)</v>
      </c>
      <c r="I125" s="557" t="str">
        <f t="shared" si="57"/>
        <v>Limpador alpinista 44h (limpeza de esquadrias com risco)</v>
      </c>
      <c r="J125" s="558" t="str">
        <f t="shared" si="57"/>
        <v>Encarregada 40h</v>
      </c>
    </row>
    <row r="126" spans="1:11" ht="15.75" customHeight="1" x14ac:dyDescent="0.2">
      <c r="A126" s="865" t="s">
        <v>560</v>
      </c>
      <c r="B126" s="865"/>
      <c r="C126" s="559" t="s">
        <v>488</v>
      </c>
      <c r="D126" s="559" t="s">
        <v>488</v>
      </c>
      <c r="E126" s="559" t="s">
        <v>488</v>
      </c>
      <c r="F126" s="559" t="s">
        <v>488</v>
      </c>
      <c r="G126" s="559" t="s">
        <v>488</v>
      </c>
      <c r="H126" s="559" t="s">
        <v>488</v>
      </c>
      <c r="I126" s="559" t="s">
        <v>488</v>
      </c>
      <c r="J126" s="560" t="s">
        <v>488</v>
      </c>
    </row>
    <row r="127" spans="1:11" ht="14.25" customHeight="1" x14ac:dyDescent="0.2">
      <c r="A127" s="866" t="s">
        <v>561</v>
      </c>
      <c r="B127" s="866"/>
      <c r="C127" s="561">
        <f t="shared" ref="C127:J127" si="58">C19</f>
        <v>0</v>
      </c>
      <c r="D127" s="561">
        <f t="shared" si="58"/>
        <v>0</v>
      </c>
      <c r="E127" s="561">
        <f t="shared" si="58"/>
        <v>0</v>
      </c>
      <c r="F127" s="561">
        <f t="shared" si="58"/>
        <v>0</v>
      </c>
      <c r="G127" s="561">
        <f t="shared" si="58"/>
        <v>836.23399999999992</v>
      </c>
      <c r="H127" s="561">
        <f t="shared" si="58"/>
        <v>716.77199999999993</v>
      </c>
      <c r="I127" s="561">
        <f t="shared" si="58"/>
        <v>0</v>
      </c>
      <c r="J127" s="562">
        <f t="shared" si="58"/>
        <v>0</v>
      </c>
    </row>
    <row r="128" spans="1:11" ht="14.25" customHeight="1" x14ac:dyDescent="0.2">
      <c r="A128" s="867" t="s">
        <v>562</v>
      </c>
      <c r="B128" s="867"/>
      <c r="C128" s="563">
        <f t="shared" ref="C128:J128" si="59">C49</f>
        <v>0</v>
      </c>
      <c r="D128" s="563">
        <f t="shared" si="59"/>
        <v>0</v>
      </c>
      <c r="E128" s="563">
        <f t="shared" si="59"/>
        <v>0</v>
      </c>
      <c r="F128" s="563">
        <f t="shared" si="59"/>
        <v>0</v>
      </c>
      <c r="G128" s="563">
        <f t="shared" si="59"/>
        <v>398.99872222222223</v>
      </c>
      <c r="H128" s="563">
        <f t="shared" si="59"/>
        <v>336.87033333333329</v>
      </c>
      <c r="I128" s="563">
        <f t="shared" si="59"/>
        <v>0</v>
      </c>
      <c r="J128" s="564">
        <f t="shared" si="59"/>
        <v>0</v>
      </c>
    </row>
    <row r="129" spans="1:10" ht="14.25" customHeight="1" x14ac:dyDescent="0.2">
      <c r="A129" s="867" t="s">
        <v>563</v>
      </c>
      <c r="B129" s="867"/>
      <c r="C129" s="563">
        <f t="shared" ref="C129:J129" si="60">C60</f>
        <v>0</v>
      </c>
      <c r="D129" s="563">
        <f t="shared" si="60"/>
        <v>0</v>
      </c>
      <c r="E129" s="563">
        <f t="shared" si="60"/>
        <v>0</v>
      </c>
      <c r="F129" s="563">
        <f t="shared" si="60"/>
        <v>0</v>
      </c>
      <c r="G129" s="563">
        <f t="shared" si="60"/>
        <v>54.773326999999981</v>
      </c>
      <c r="H129" s="563">
        <f t="shared" si="60"/>
        <v>46.948565999999985</v>
      </c>
      <c r="I129" s="563">
        <f t="shared" si="60"/>
        <v>0</v>
      </c>
      <c r="J129" s="564">
        <f t="shared" si="60"/>
        <v>0</v>
      </c>
    </row>
    <row r="130" spans="1:10" ht="14.25" customHeight="1" x14ac:dyDescent="0.2">
      <c r="A130" s="867" t="s">
        <v>564</v>
      </c>
      <c r="B130" s="867"/>
      <c r="C130" s="563">
        <f t="shared" ref="C130:I130" si="61">C80</f>
        <v>0</v>
      </c>
      <c r="D130" s="563">
        <f t="shared" si="61"/>
        <v>0</v>
      </c>
      <c r="E130" s="563">
        <f t="shared" si="61"/>
        <v>0</v>
      </c>
      <c r="F130" s="563">
        <f t="shared" si="61"/>
        <v>0</v>
      </c>
      <c r="G130" s="563">
        <f t="shared" si="61"/>
        <v>142.75164336934552</v>
      </c>
      <c r="H130" s="563">
        <f t="shared" si="61"/>
        <v>121.84739652446207</v>
      </c>
      <c r="I130" s="563">
        <f t="shared" si="61"/>
        <v>0</v>
      </c>
      <c r="J130" s="564">
        <f>J69</f>
        <v>0</v>
      </c>
    </row>
    <row r="131" spans="1:10" ht="15.75" customHeight="1" x14ac:dyDescent="0.2">
      <c r="A131" s="867" t="s">
        <v>565</v>
      </c>
      <c r="B131" s="867"/>
      <c r="C131" s="563">
        <f t="shared" ref="C131:J131" si="62">C91</f>
        <v>0</v>
      </c>
      <c r="D131" s="563">
        <f t="shared" si="62"/>
        <v>0</v>
      </c>
      <c r="E131" s="563">
        <f t="shared" si="62"/>
        <v>0</v>
      </c>
      <c r="F131" s="563">
        <f t="shared" si="62"/>
        <v>0</v>
      </c>
      <c r="G131" s="563">
        <f t="shared" si="62"/>
        <v>0</v>
      </c>
      <c r="H131" s="563">
        <f t="shared" si="62"/>
        <v>0</v>
      </c>
      <c r="I131" s="563">
        <f t="shared" si="62"/>
        <v>0</v>
      </c>
      <c r="J131" s="564">
        <f t="shared" si="62"/>
        <v>0</v>
      </c>
    </row>
    <row r="132" spans="1:10" ht="15.75" customHeight="1" x14ac:dyDescent="0.2">
      <c r="A132" s="868" t="s">
        <v>566</v>
      </c>
      <c r="B132" s="868"/>
      <c r="C132" s="565">
        <f t="shared" ref="C132:J132" si="63">SUM(C127:C131)</f>
        <v>0</v>
      </c>
      <c r="D132" s="565">
        <f t="shared" si="63"/>
        <v>0</v>
      </c>
      <c r="E132" s="565">
        <f t="shared" si="63"/>
        <v>0</v>
      </c>
      <c r="F132" s="565">
        <f t="shared" si="63"/>
        <v>0</v>
      </c>
      <c r="G132" s="565">
        <f t="shared" si="63"/>
        <v>1432.7576925915673</v>
      </c>
      <c r="H132" s="565">
        <f t="shared" si="63"/>
        <v>1222.4382958577953</v>
      </c>
      <c r="I132" s="566">
        <f t="shared" si="63"/>
        <v>0</v>
      </c>
      <c r="J132" s="567">
        <f t="shared" si="63"/>
        <v>0</v>
      </c>
    </row>
    <row r="133" spans="1:10" ht="15.75" customHeight="1" x14ac:dyDescent="0.2">
      <c r="A133" s="869" t="s">
        <v>567</v>
      </c>
      <c r="B133" s="869"/>
      <c r="C133" s="568">
        <f t="shared" ref="C133:J138" si="64">C115</f>
        <v>0</v>
      </c>
      <c r="D133" s="568">
        <f t="shared" si="64"/>
        <v>0</v>
      </c>
      <c r="E133" s="568">
        <f t="shared" si="64"/>
        <v>0</v>
      </c>
      <c r="F133" s="568">
        <f t="shared" si="64"/>
        <v>0</v>
      </c>
      <c r="G133" s="568">
        <f t="shared" si="64"/>
        <v>181.61717230033955</v>
      </c>
      <c r="H133" s="568">
        <f t="shared" si="64"/>
        <v>154.95696708056562</v>
      </c>
      <c r="I133" s="568">
        <f t="shared" si="64"/>
        <v>0</v>
      </c>
      <c r="J133" s="569">
        <f t="shared" si="64"/>
        <v>0</v>
      </c>
    </row>
    <row r="134" spans="1:10" ht="15.75" customHeight="1" x14ac:dyDescent="0.2">
      <c r="A134" s="867" t="s">
        <v>568</v>
      </c>
      <c r="B134" s="867"/>
      <c r="C134" s="570">
        <f t="shared" si="64"/>
        <v>0</v>
      </c>
      <c r="D134" s="570">
        <f t="shared" si="64"/>
        <v>0</v>
      </c>
      <c r="E134" s="570">
        <f t="shared" si="64"/>
        <v>0</v>
      </c>
      <c r="F134" s="570">
        <f t="shared" si="64"/>
        <v>0</v>
      </c>
      <c r="G134" s="570">
        <f t="shared" si="64"/>
        <v>190.76377210142678</v>
      </c>
      <c r="H134" s="570">
        <f t="shared" si="64"/>
        <v>162.76090624735517</v>
      </c>
      <c r="I134" s="570">
        <f t="shared" si="64"/>
        <v>0</v>
      </c>
      <c r="J134" s="571">
        <f t="shared" si="64"/>
        <v>0</v>
      </c>
    </row>
    <row r="135" spans="1:10" ht="15.75" customHeight="1" x14ac:dyDescent="0.2">
      <c r="A135" s="867" t="s">
        <v>569</v>
      </c>
      <c r="B135" s="867"/>
      <c r="C135" s="570">
        <f t="shared" si="64"/>
        <v>0</v>
      </c>
      <c r="D135" s="570">
        <f t="shared" si="64"/>
        <v>0</v>
      </c>
      <c r="E135" s="570">
        <f t="shared" si="64"/>
        <v>0</v>
      </c>
      <c r="F135" s="570">
        <f t="shared" si="64"/>
        <v>0</v>
      </c>
      <c r="G135" s="570">
        <f t="shared" si="64"/>
        <v>200.01460665808204</v>
      </c>
      <c r="H135" s="570">
        <f t="shared" si="64"/>
        <v>170.65377919382328</v>
      </c>
      <c r="I135" s="570">
        <f t="shared" si="64"/>
        <v>0</v>
      </c>
      <c r="J135" s="571">
        <f t="shared" si="64"/>
        <v>0</v>
      </c>
    </row>
    <row r="136" spans="1:10" ht="15.75" customHeight="1" x14ac:dyDescent="0.2">
      <c r="A136" s="867" t="s">
        <v>625</v>
      </c>
      <c r="B136" s="867"/>
      <c r="C136" s="570">
        <f t="shared" si="64"/>
        <v>0</v>
      </c>
      <c r="D136" s="570">
        <f t="shared" si="64"/>
        <v>0</v>
      </c>
      <c r="E136" s="570">
        <f t="shared" si="64"/>
        <v>0</v>
      </c>
      <c r="F136" s="570">
        <f t="shared" si="64"/>
        <v>0</v>
      </c>
      <c r="G136" s="570">
        <f t="shared" si="64"/>
        <v>209.3714679718336</v>
      </c>
      <c r="H136" s="570">
        <f t="shared" si="64"/>
        <v>178.6371148674715</v>
      </c>
      <c r="I136" s="570">
        <f t="shared" si="64"/>
        <v>0</v>
      </c>
      <c r="J136" s="571">
        <f t="shared" si="64"/>
        <v>0</v>
      </c>
    </row>
    <row r="137" spans="1:10" ht="15.75" customHeight="1" x14ac:dyDescent="0.2">
      <c r="A137" s="867" t="s">
        <v>570</v>
      </c>
      <c r="B137" s="867"/>
      <c r="C137" s="570">
        <f t="shared" si="64"/>
        <v>0</v>
      </c>
      <c r="D137" s="570">
        <f t="shared" si="64"/>
        <v>0</v>
      </c>
      <c r="E137" s="570">
        <f t="shared" si="64"/>
        <v>0</v>
      </c>
      <c r="F137" s="570">
        <f t="shared" si="64"/>
        <v>0</v>
      </c>
      <c r="G137" s="570">
        <f t="shared" si="64"/>
        <v>218.8361893583662</v>
      </c>
      <c r="H137" s="570">
        <f t="shared" si="64"/>
        <v>186.71247746531171</v>
      </c>
      <c r="I137" s="570">
        <f t="shared" si="64"/>
        <v>0</v>
      </c>
      <c r="J137" s="571">
        <f t="shared" si="64"/>
        <v>0</v>
      </c>
    </row>
    <row r="138" spans="1:10" ht="15.75" customHeight="1" x14ac:dyDescent="0.2">
      <c r="A138" s="869" t="s">
        <v>571</v>
      </c>
      <c r="B138" s="869"/>
      <c r="C138" s="570">
        <f t="shared" si="64"/>
        <v>0</v>
      </c>
      <c r="D138" s="570">
        <f t="shared" si="64"/>
        <v>0</v>
      </c>
      <c r="E138" s="570">
        <f t="shared" si="64"/>
        <v>0</v>
      </c>
      <c r="F138" s="570">
        <f t="shared" si="64"/>
        <v>0</v>
      </c>
      <c r="G138" s="570">
        <f t="shared" si="64"/>
        <v>238.09675941026049</v>
      </c>
      <c r="H138" s="570">
        <f t="shared" si="64"/>
        <v>203.14572263526048</v>
      </c>
      <c r="I138" s="570">
        <f t="shared" si="64"/>
        <v>0</v>
      </c>
      <c r="J138" s="571">
        <f t="shared" si="64"/>
        <v>0</v>
      </c>
    </row>
    <row r="139" spans="1:10" ht="15.75" customHeight="1" x14ac:dyDescent="0.2">
      <c r="A139" s="572" t="s">
        <v>572</v>
      </c>
      <c r="B139" s="573"/>
      <c r="C139" s="574">
        <f t="shared" ref="C139:J139" si="65">C132+C133</f>
        <v>0</v>
      </c>
      <c r="D139" s="574">
        <f t="shared" si="65"/>
        <v>0</v>
      </c>
      <c r="E139" s="574">
        <f t="shared" si="65"/>
        <v>0</v>
      </c>
      <c r="F139" s="574">
        <f t="shared" si="65"/>
        <v>0</v>
      </c>
      <c r="G139" s="574">
        <f t="shared" si="65"/>
        <v>1614.3748648919068</v>
      </c>
      <c r="H139" s="574">
        <f t="shared" si="65"/>
        <v>1377.3952629383609</v>
      </c>
      <c r="I139" s="574">
        <f t="shared" si="65"/>
        <v>0</v>
      </c>
      <c r="J139" s="575">
        <f t="shared" si="65"/>
        <v>0</v>
      </c>
    </row>
    <row r="140" spans="1:10" ht="15.75" customHeight="1" x14ac:dyDescent="0.2">
      <c r="A140" s="576" t="s">
        <v>573</v>
      </c>
      <c r="B140" s="577"/>
      <c r="C140" s="578">
        <f t="shared" ref="C140:J140" si="66">C132+C134</f>
        <v>0</v>
      </c>
      <c r="D140" s="578">
        <f t="shared" si="66"/>
        <v>0</v>
      </c>
      <c r="E140" s="578">
        <f t="shared" si="66"/>
        <v>0</v>
      </c>
      <c r="F140" s="578">
        <f t="shared" si="66"/>
        <v>0</v>
      </c>
      <c r="G140" s="578">
        <f t="shared" si="66"/>
        <v>1623.5214646929942</v>
      </c>
      <c r="H140" s="578">
        <f t="shared" si="66"/>
        <v>1385.1992021051506</v>
      </c>
      <c r="I140" s="578">
        <f t="shared" si="66"/>
        <v>0</v>
      </c>
      <c r="J140" s="579">
        <f t="shared" si="66"/>
        <v>0</v>
      </c>
    </row>
    <row r="141" spans="1:10" ht="15.75" customHeight="1" x14ac:dyDescent="0.2">
      <c r="A141" s="576" t="s">
        <v>574</v>
      </c>
      <c r="B141" s="577"/>
      <c r="C141" s="578">
        <f t="shared" ref="C141:J141" si="67">C132+C135</f>
        <v>0</v>
      </c>
      <c r="D141" s="578">
        <f t="shared" si="67"/>
        <v>0</v>
      </c>
      <c r="E141" s="578">
        <f t="shared" si="67"/>
        <v>0</v>
      </c>
      <c r="F141" s="578">
        <f t="shared" si="67"/>
        <v>0</v>
      </c>
      <c r="G141" s="578">
        <f t="shared" si="67"/>
        <v>1632.7722992496494</v>
      </c>
      <c r="H141" s="578">
        <f t="shared" si="67"/>
        <v>1393.0920750516186</v>
      </c>
      <c r="I141" s="578">
        <f t="shared" si="67"/>
        <v>0</v>
      </c>
      <c r="J141" s="579">
        <f t="shared" si="67"/>
        <v>0</v>
      </c>
    </row>
    <row r="142" spans="1:10" ht="15.75" customHeight="1" x14ac:dyDescent="0.2">
      <c r="A142" s="576" t="s">
        <v>626</v>
      </c>
      <c r="B142" s="577"/>
      <c r="C142" s="578">
        <f t="shared" ref="C142:J142" si="68">C132+C136</f>
        <v>0</v>
      </c>
      <c r="D142" s="578">
        <f t="shared" si="68"/>
        <v>0</v>
      </c>
      <c r="E142" s="578">
        <f t="shared" si="68"/>
        <v>0</v>
      </c>
      <c r="F142" s="578">
        <f t="shared" si="68"/>
        <v>0</v>
      </c>
      <c r="G142" s="578">
        <f t="shared" si="68"/>
        <v>1642.129160563401</v>
      </c>
      <c r="H142" s="578">
        <f t="shared" si="68"/>
        <v>1401.0754107252669</v>
      </c>
      <c r="I142" s="578">
        <f t="shared" si="68"/>
        <v>0</v>
      </c>
      <c r="J142" s="579">
        <f t="shared" si="68"/>
        <v>0</v>
      </c>
    </row>
    <row r="143" spans="1:10" ht="15.75" customHeight="1" x14ac:dyDescent="0.2">
      <c r="A143" s="576" t="s">
        <v>575</v>
      </c>
      <c r="B143" s="577"/>
      <c r="C143" s="578">
        <f t="shared" ref="C143:J143" si="69">C132+C137</f>
        <v>0</v>
      </c>
      <c r="D143" s="578">
        <f t="shared" si="69"/>
        <v>0</v>
      </c>
      <c r="E143" s="578">
        <f t="shared" si="69"/>
        <v>0</v>
      </c>
      <c r="F143" s="578">
        <f t="shared" si="69"/>
        <v>0</v>
      </c>
      <c r="G143" s="578">
        <f t="shared" si="69"/>
        <v>1651.5938819499336</v>
      </c>
      <c r="H143" s="578">
        <f t="shared" si="69"/>
        <v>1409.1507733231069</v>
      </c>
      <c r="I143" s="578">
        <f t="shared" si="69"/>
        <v>0</v>
      </c>
      <c r="J143" s="579">
        <f t="shared" si="69"/>
        <v>0</v>
      </c>
    </row>
    <row r="144" spans="1:10" ht="15.75" customHeight="1" x14ac:dyDescent="0.2">
      <c r="A144" s="576" t="s">
        <v>576</v>
      </c>
      <c r="B144" s="577"/>
      <c r="C144" s="578">
        <f t="shared" ref="C144:J144" si="70">C132+C138</f>
        <v>0</v>
      </c>
      <c r="D144" s="578">
        <f t="shared" si="70"/>
        <v>0</v>
      </c>
      <c r="E144" s="578">
        <f t="shared" si="70"/>
        <v>0</v>
      </c>
      <c r="F144" s="578">
        <f t="shared" si="70"/>
        <v>0</v>
      </c>
      <c r="G144" s="578">
        <f t="shared" si="70"/>
        <v>1670.8544520018279</v>
      </c>
      <c r="H144" s="578">
        <f t="shared" si="70"/>
        <v>1425.5840184930557</v>
      </c>
      <c r="I144" s="578">
        <f t="shared" si="70"/>
        <v>0</v>
      </c>
      <c r="J144" s="579">
        <f t="shared" si="70"/>
        <v>0</v>
      </c>
    </row>
    <row r="145" spans="1:17" ht="15.75" customHeight="1" x14ac:dyDescent="0.2">
      <c r="A145" s="580" t="s">
        <v>577</v>
      </c>
      <c r="B145" s="581"/>
      <c r="C145" s="582">
        <f t="shared" ref="C145:C150" si="71">C139/200</f>
        <v>0</v>
      </c>
      <c r="D145" s="582"/>
      <c r="E145" s="582"/>
      <c r="F145" s="582"/>
      <c r="G145" s="582"/>
      <c r="H145" s="582"/>
      <c r="I145" s="583"/>
      <c r="J145" s="584"/>
    </row>
    <row r="146" spans="1:17" ht="15.75" customHeight="1" x14ac:dyDescent="0.2">
      <c r="A146" s="585" t="s">
        <v>578</v>
      </c>
      <c r="B146" s="586"/>
      <c r="C146" s="587">
        <f t="shared" si="71"/>
        <v>0</v>
      </c>
      <c r="D146" s="587"/>
      <c r="E146" s="587"/>
      <c r="F146" s="587"/>
      <c r="G146" s="587"/>
      <c r="H146" s="587"/>
      <c r="I146" s="588"/>
      <c r="J146" s="589"/>
    </row>
    <row r="147" spans="1:17" ht="15.75" customHeight="1" x14ac:dyDescent="0.2">
      <c r="A147" s="585" t="s">
        <v>579</v>
      </c>
      <c r="B147" s="586"/>
      <c r="C147" s="587">
        <f t="shared" si="71"/>
        <v>0</v>
      </c>
      <c r="D147" s="587"/>
      <c r="E147" s="587"/>
      <c r="F147" s="587"/>
      <c r="G147" s="587"/>
      <c r="H147" s="587"/>
      <c r="I147" s="588"/>
      <c r="J147" s="589"/>
    </row>
    <row r="148" spans="1:17" ht="15.75" customHeight="1" x14ac:dyDescent="0.2">
      <c r="A148" s="585" t="s">
        <v>627</v>
      </c>
      <c r="B148" s="586"/>
      <c r="C148" s="587">
        <f t="shared" si="71"/>
        <v>0</v>
      </c>
      <c r="D148" s="587"/>
      <c r="E148" s="587"/>
      <c r="F148" s="587"/>
      <c r="G148" s="587"/>
      <c r="H148" s="587"/>
      <c r="I148" s="588"/>
      <c r="J148" s="589"/>
    </row>
    <row r="149" spans="1:17" ht="15.75" customHeight="1" x14ac:dyDescent="0.2">
      <c r="A149" s="585" t="s">
        <v>580</v>
      </c>
      <c r="B149" s="586"/>
      <c r="C149" s="587">
        <f t="shared" si="71"/>
        <v>0</v>
      </c>
      <c r="D149" s="587"/>
      <c r="E149" s="587"/>
      <c r="F149" s="587"/>
      <c r="G149" s="587"/>
      <c r="H149" s="587"/>
      <c r="I149" s="588"/>
      <c r="J149" s="589"/>
    </row>
    <row r="150" spans="1:17" ht="15.75" customHeight="1" x14ac:dyDescent="0.2">
      <c r="A150" s="590" t="s">
        <v>581</v>
      </c>
      <c r="B150" s="591"/>
      <c r="C150" s="592">
        <f t="shared" si="71"/>
        <v>0</v>
      </c>
      <c r="D150" s="592"/>
      <c r="E150" s="592"/>
      <c r="F150" s="592"/>
      <c r="G150" s="592"/>
      <c r="H150" s="592"/>
      <c r="I150" s="593"/>
      <c r="J150" s="594"/>
    </row>
    <row r="151" spans="1:17" x14ac:dyDescent="0.2">
      <c r="A151" s="595"/>
    </row>
    <row r="152" spans="1:17" ht="14.25" customHeight="1" x14ac:dyDescent="0.2">
      <c r="A152" s="870" t="s">
        <v>582</v>
      </c>
      <c r="B152" s="870"/>
      <c r="C152" s="870" t="s">
        <v>583</v>
      </c>
      <c r="D152" s="870"/>
      <c r="E152" s="871" t="s">
        <v>584</v>
      </c>
      <c r="F152" s="871"/>
      <c r="G152" s="870" t="s">
        <v>585</v>
      </c>
      <c r="H152" s="870"/>
      <c r="I152" s="870" t="s">
        <v>628</v>
      </c>
      <c r="J152" s="870"/>
      <c r="K152" s="870" t="s">
        <v>586</v>
      </c>
      <c r="L152" s="870"/>
      <c r="M152" s="870" t="s">
        <v>587</v>
      </c>
      <c r="N152" s="870"/>
    </row>
    <row r="153" spans="1:17" ht="25.5" x14ac:dyDescent="0.2">
      <c r="A153" s="596" t="s">
        <v>588</v>
      </c>
      <c r="B153" s="597" t="s">
        <v>589</v>
      </c>
      <c r="C153" s="597" t="s">
        <v>590</v>
      </c>
      <c r="D153" s="597" t="s">
        <v>591</v>
      </c>
      <c r="E153" s="597" t="s">
        <v>590</v>
      </c>
      <c r="F153" s="597" t="s">
        <v>591</v>
      </c>
      <c r="G153" s="597" t="s">
        <v>590</v>
      </c>
      <c r="H153" s="597" t="s">
        <v>591</v>
      </c>
      <c r="I153" s="597" t="s">
        <v>590</v>
      </c>
      <c r="J153" s="597" t="s">
        <v>591</v>
      </c>
      <c r="K153" s="597" t="s">
        <v>590</v>
      </c>
      <c r="L153" s="597" t="s">
        <v>591</v>
      </c>
      <c r="M153" s="597" t="s">
        <v>590</v>
      </c>
      <c r="N153" s="597" t="s">
        <v>591</v>
      </c>
    </row>
    <row r="154" spans="1:17" x14ac:dyDescent="0.2">
      <c r="A154" s="598" t="s">
        <v>592</v>
      </c>
      <c r="B154" s="599">
        <f>1/'Prod. GEXNHB'!D23</f>
        <v>9.0909090909090909E-4</v>
      </c>
      <c r="C154" s="600">
        <f>D139</f>
        <v>0</v>
      </c>
      <c r="D154" s="600">
        <f>B154*C154</f>
        <v>0</v>
      </c>
      <c r="E154" s="600">
        <f>D140</f>
        <v>0</v>
      </c>
      <c r="F154" s="600">
        <f>B154*E154</f>
        <v>0</v>
      </c>
      <c r="G154" s="600">
        <f>D141</f>
        <v>0</v>
      </c>
      <c r="H154" s="600">
        <f>B154*G154</f>
        <v>0</v>
      </c>
      <c r="I154" s="600">
        <f>D142</f>
        <v>0</v>
      </c>
      <c r="J154" s="600">
        <f>B154*I154</f>
        <v>0</v>
      </c>
      <c r="K154" s="600">
        <f>D143</f>
        <v>0</v>
      </c>
      <c r="L154" s="600">
        <f>B154*K154</f>
        <v>0</v>
      </c>
      <c r="M154" s="600">
        <f>D144</f>
        <v>0</v>
      </c>
      <c r="N154" s="600">
        <f>B154*M154</f>
        <v>0</v>
      </c>
    </row>
    <row r="155" spans="1:17" x14ac:dyDescent="0.2">
      <c r="A155" s="601" t="s">
        <v>593</v>
      </c>
      <c r="B155" s="599">
        <f>B154/'Prod. GEXNHB'!Q23</f>
        <v>3.4965034965034965E-5</v>
      </c>
      <c r="C155" s="600">
        <f>J139</f>
        <v>0</v>
      </c>
      <c r="D155" s="600">
        <f>C155*B155</f>
        <v>0</v>
      </c>
      <c r="E155" s="600">
        <f>J139</f>
        <v>0</v>
      </c>
      <c r="F155" s="600">
        <f>B155*E155</f>
        <v>0</v>
      </c>
      <c r="G155" s="600">
        <f>J139</f>
        <v>0</v>
      </c>
      <c r="H155" s="600">
        <f>B155*G155</f>
        <v>0</v>
      </c>
      <c r="I155" s="600">
        <f>J139</f>
        <v>0</v>
      </c>
      <c r="J155" s="600">
        <f>B155*I155</f>
        <v>0</v>
      </c>
      <c r="K155" s="600">
        <f>J139</f>
        <v>0</v>
      </c>
      <c r="L155" s="600">
        <f>B155*K155</f>
        <v>0</v>
      </c>
      <c r="M155" s="600">
        <f>J139</f>
        <v>0</v>
      </c>
      <c r="N155" s="600">
        <f>B155*M155</f>
        <v>0</v>
      </c>
      <c r="O155" s="872"/>
      <c r="P155" s="872"/>
      <c r="Q155" s="602"/>
    </row>
    <row r="156" spans="1:17" x14ac:dyDescent="0.2">
      <c r="A156" s="603" t="s">
        <v>594</v>
      </c>
      <c r="B156" s="604"/>
      <c r="C156" s="605"/>
      <c r="D156" s="605">
        <f>SUM(D154:D155)</f>
        <v>0</v>
      </c>
      <c r="E156" s="605"/>
      <c r="F156" s="605">
        <f>SUM(F154:F155)</f>
        <v>0</v>
      </c>
      <c r="G156" s="605"/>
      <c r="H156" s="605">
        <f>SUM(H154:H155)</f>
        <v>0</v>
      </c>
      <c r="I156" s="605"/>
      <c r="J156" s="605">
        <f>SUM(J154:J155)</f>
        <v>0</v>
      </c>
      <c r="K156" s="605"/>
      <c r="L156" s="605">
        <f>SUM(L154:L155)</f>
        <v>0</v>
      </c>
      <c r="M156" s="605"/>
      <c r="N156" s="605">
        <f>SUM(N154:N155)</f>
        <v>0</v>
      </c>
      <c r="O156" s="606"/>
      <c r="P156" s="607"/>
    </row>
    <row r="157" spans="1:17" x14ac:dyDescent="0.2">
      <c r="A157" s="595"/>
    </row>
    <row r="158" spans="1:17" ht="14.25" customHeight="1" x14ac:dyDescent="0.2">
      <c r="A158" s="870" t="s">
        <v>595</v>
      </c>
      <c r="B158" s="870"/>
      <c r="C158" s="870" t="s">
        <v>583</v>
      </c>
      <c r="D158" s="870"/>
      <c r="E158" s="871" t="s">
        <v>584</v>
      </c>
      <c r="F158" s="871"/>
      <c r="G158" s="870" t="s">
        <v>585</v>
      </c>
      <c r="H158" s="870"/>
      <c r="I158" s="870" t="s">
        <v>628</v>
      </c>
      <c r="J158" s="870"/>
      <c r="K158" s="870" t="s">
        <v>586</v>
      </c>
      <c r="L158" s="870"/>
      <c r="M158" s="870" t="s">
        <v>587</v>
      </c>
      <c r="N158" s="870"/>
    </row>
    <row r="159" spans="1:17" ht="25.5" x14ac:dyDescent="0.2">
      <c r="A159" s="596" t="s">
        <v>588</v>
      </c>
      <c r="B159" s="597" t="s">
        <v>589</v>
      </c>
      <c r="C159" s="597" t="s">
        <v>590</v>
      </c>
      <c r="D159" s="597" t="s">
        <v>591</v>
      </c>
      <c r="E159" s="597" t="s">
        <v>590</v>
      </c>
      <c r="F159" s="597" t="s">
        <v>591</v>
      </c>
      <c r="G159" s="597" t="s">
        <v>590</v>
      </c>
      <c r="H159" s="597" t="s">
        <v>591</v>
      </c>
      <c r="I159" s="597" t="s">
        <v>590</v>
      </c>
      <c r="J159" s="597" t="s">
        <v>591</v>
      </c>
      <c r="K159" s="597" t="s">
        <v>590</v>
      </c>
      <c r="L159" s="597" t="s">
        <v>591</v>
      </c>
      <c r="M159" s="597" t="s">
        <v>590</v>
      </c>
      <c r="N159" s="597" t="s">
        <v>591</v>
      </c>
    </row>
    <row r="160" spans="1:17" x14ac:dyDescent="0.2">
      <c r="A160" s="598" t="s">
        <v>592</v>
      </c>
      <c r="B160" s="599">
        <f>1/'Prod. GEXNHB'!E23</f>
        <v>9.0909090909090909E-4</v>
      </c>
      <c r="C160" s="608">
        <f>C139</f>
        <v>0</v>
      </c>
      <c r="D160" s="600">
        <f>B160*C160</f>
        <v>0</v>
      </c>
      <c r="E160" s="608">
        <f>C140</f>
        <v>0</v>
      </c>
      <c r="F160" s="600">
        <f>B160*E160</f>
        <v>0</v>
      </c>
      <c r="G160" s="608">
        <f>C141</f>
        <v>0</v>
      </c>
      <c r="H160" s="600">
        <f>B160*G160</f>
        <v>0</v>
      </c>
      <c r="I160" s="608">
        <f>C142</f>
        <v>0</v>
      </c>
      <c r="J160" s="600">
        <f>B160*I160</f>
        <v>0</v>
      </c>
      <c r="K160" s="608">
        <f>C143</f>
        <v>0</v>
      </c>
      <c r="L160" s="600">
        <f>B160*K160</f>
        <v>0</v>
      </c>
      <c r="M160" s="608">
        <f>C144</f>
        <v>0</v>
      </c>
      <c r="N160" s="600">
        <f>B160*M160</f>
        <v>0</v>
      </c>
    </row>
    <row r="161" spans="1:17" x14ac:dyDescent="0.2">
      <c r="A161" s="601" t="s">
        <v>593</v>
      </c>
      <c r="B161" s="599">
        <f>B160/'Prod. GEXNHB'!Q23</f>
        <v>3.4965034965034965E-5</v>
      </c>
      <c r="C161" s="600">
        <f>J139</f>
        <v>0</v>
      </c>
      <c r="D161" s="600">
        <f>C161*B161</f>
        <v>0</v>
      </c>
      <c r="E161" s="600">
        <f>J139</f>
        <v>0</v>
      </c>
      <c r="F161" s="600">
        <f>B161*E161</f>
        <v>0</v>
      </c>
      <c r="G161" s="600">
        <f>J139</f>
        <v>0</v>
      </c>
      <c r="H161" s="600">
        <f>B161*G161</f>
        <v>0</v>
      </c>
      <c r="I161" s="600">
        <f>J139</f>
        <v>0</v>
      </c>
      <c r="J161" s="600">
        <f>B161*I161</f>
        <v>0</v>
      </c>
      <c r="K161" s="600">
        <f>J139</f>
        <v>0</v>
      </c>
      <c r="L161" s="600">
        <f>B161*K161</f>
        <v>0</v>
      </c>
      <c r="M161" s="600">
        <f>J139</f>
        <v>0</v>
      </c>
      <c r="N161" s="600">
        <f>B161*M161</f>
        <v>0</v>
      </c>
      <c r="O161" s="872"/>
      <c r="P161" s="872"/>
      <c r="Q161" s="602"/>
    </row>
    <row r="162" spans="1:17" x14ac:dyDescent="0.2">
      <c r="A162" s="603" t="s">
        <v>594</v>
      </c>
      <c r="B162" s="604"/>
      <c r="C162" s="605"/>
      <c r="D162" s="605">
        <f>SUM(D160:D161)</f>
        <v>0</v>
      </c>
      <c r="E162" s="605"/>
      <c r="F162" s="605">
        <f>SUM(F160:F161)</f>
        <v>0</v>
      </c>
      <c r="G162" s="605"/>
      <c r="H162" s="605">
        <f>SUM(H160:H161)</f>
        <v>0</v>
      </c>
      <c r="I162" s="605"/>
      <c r="J162" s="605">
        <f>SUM(J160:J161)</f>
        <v>0</v>
      </c>
      <c r="K162" s="605"/>
      <c r="L162" s="605">
        <f>SUM(L160:L161)</f>
        <v>0</v>
      </c>
      <c r="M162" s="605"/>
      <c r="N162" s="605">
        <f>SUM(N160:N161)</f>
        <v>0</v>
      </c>
      <c r="O162" s="606"/>
      <c r="P162" s="607"/>
    </row>
    <row r="163" spans="1:17" x14ac:dyDescent="0.2">
      <c r="A163" s="609"/>
      <c r="B163" s="610"/>
      <c r="C163" s="610"/>
      <c r="D163" s="610"/>
      <c r="E163" s="611"/>
      <c r="F163" s="611"/>
      <c r="G163" s="611"/>
      <c r="H163" s="611"/>
      <c r="I163" s="611"/>
      <c r="J163" s="611"/>
    </row>
    <row r="164" spans="1:17" ht="14.25" customHeight="1" x14ac:dyDescent="0.2">
      <c r="A164" s="871" t="s">
        <v>596</v>
      </c>
      <c r="B164" s="871"/>
      <c r="C164" s="871" t="s">
        <v>583</v>
      </c>
      <c r="D164" s="871"/>
      <c r="E164" s="871" t="s">
        <v>584</v>
      </c>
      <c r="F164" s="871"/>
      <c r="G164" s="871" t="s">
        <v>585</v>
      </c>
      <c r="H164" s="871"/>
      <c r="I164" s="870" t="s">
        <v>628</v>
      </c>
      <c r="J164" s="870"/>
      <c r="K164" s="871" t="s">
        <v>586</v>
      </c>
      <c r="L164" s="871"/>
      <c r="M164" s="871" t="s">
        <v>587</v>
      </c>
      <c r="N164" s="871"/>
    </row>
    <row r="165" spans="1:17" ht="25.5" x14ac:dyDescent="0.2">
      <c r="A165" s="596" t="s">
        <v>588</v>
      </c>
      <c r="B165" s="597" t="s">
        <v>597</v>
      </c>
      <c r="C165" s="597" t="s">
        <v>590</v>
      </c>
      <c r="D165" s="597" t="s">
        <v>591</v>
      </c>
      <c r="E165" s="597" t="s">
        <v>590</v>
      </c>
      <c r="F165" s="597" t="s">
        <v>591</v>
      </c>
      <c r="G165" s="597" t="s">
        <v>590</v>
      </c>
      <c r="H165" s="597" t="s">
        <v>591</v>
      </c>
      <c r="I165" s="597" t="s">
        <v>590</v>
      </c>
      <c r="J165" s="597" t="s">
        <v>591</v>
      </c>
      <c r="K165" s="597" t="s">
        <v>590</v>
      </c>
      <c r="L165" s="597" t="s">
        <v>591</v>
      </c>
      <c r="M165" s="597" t="s">
        <v>590</v>
      </c>
      <c r="N165" s="597" t="s">
        <v>591</v>
      </c>
    </row>
    <row r="166" spans="1:17" x14ac:dyDescent="0.2">
      <c r="A166" s="598" t="s">
        <v>592</v>
      </c>
      <c r="B166" s="612">
        <f>1/'Prod. GEXNHB'!F23</f>
        <v>5.5555555555555556E-4</v>
      </c>
      <c r="C166" s="613">
        <f>D139</f>
        <v>0</v>
      </c>
      <c r="D166" s="600">
        <f>B166*C166</f>
        <v>0</v>
      </c>
      <c r="E166" s="600">
        <f>D140</f>
        <v>0</v>
      </c>
      <c r="F166" s="600">
        <f>B166*E166</f>
        <v>0</v>
      </c>
      <c r="G166" s="600">
        <f>D141</f>
        <v>0</v>
      </c>
      <c r="H166" s="600">
        <f>B166*G166</f>
        <v>0</v>
      </c>
      <c r="I166" s="600">
        <f>D142</f>
        <v>0</v>
      </c>
      <c r="J166" s="600">
        <f>B166*I166</f>
        <v>0</v>
      </c>
      <c r="K166" s="600">
        <f>D143</f>
        <v>0</v>
      </c>
      <c r="L166" s="600">
        <f>B166*K166</f>
        <v>0</v>
      </c>
      <c r="M166" s="600">
        <f>D144</f>
        <v>0</v>
      </c>
      <c r="N166" s="600">
        <f>B166*M166</f>
        <v>0</v>
      </c>
    </row>
    <row r="167" spans="1:17" x14ac:dyDescent="0.2">
      <c r="A167" s="601" t="s">
        <v>593</v>
      </c>
      <c r="B167" s="599">
        <f>B166/'Prod. GEXNHB'!Q23</f>
        <v>2.1367521367521368E-5</v>
      </c>
      <c r="C167" s="600">
        <f>J139</f>
        <v>0</v>
      </c>
      <c r="D167" s="600">
        <f>B167*C167</f>
        <v>0</v>
      </c>
      <c r="E167" s="600">
        <f>J139</f>
        <v>0</v>
      </c>
      <c r="F167" s="600">
        <f>B167*E167</f>
        <v>0</v>
      </c>
      <c r="G167" s="600">
        <f>J139</f>
        <v>0</v>
      </c>
      <c r="H167" s="600">
        <f>B167*G167</f>
        <v>0</v>
      </c>
      <c r="I167" s="600">
        <f>J139</f>
        <v>0</v>
      </c>
      <c r="J167" s="600">
        <f>B167*I167</f>
        <v>0</v>
      </c>
      <c r="K167" s="600">
        <f>J139</f>
        <v>0</v>
      </c>
      <c r="L167" s="600">
        <f>B167*K167</f>
        <v>0</v>
      </c>
      <c r="M167" s="600">
        <f>J139</f>
        <v>0</v>
      </c>
      <c r="N167" s="600">
        <f>B167*M167</f>
        <v>0</v>
      </c>
    </row>
    <row r="168" spans="1:17" x14ac:dyDescent="0.2">
      <c r="A168" s="603" t="s">
        <v>598</v>
      </c>
      <c r="B168" s="604"/>
      <c r="C168" s="605"/>
      <c r="D168" s="605">
        <f>SUM(D166:D167)</f>
        <v>0</v>
      </c>
      <c r="E168" s="605"/>
      <c r="F168" s="605">
        <f>SUM(F166:F167)</f>
        <v>0</v>
      </c>
      <c r="G168" s="605"/>
      <c r="H168" s="605">
        <f>SUM(H166:H167)</f>
        <v>0</v>
      </c>
      <c r="I168" s="605"/>
      <c r="J168" s="605">
        <f>SUM(J166:J167)</f>
        <v>0</v>
      </c>
      <c r="K168" s="605"/>
      <c r="L168" s="605">
        <f>SUM(L166:L167)</f>
        <v>0</v>
      </c>
      <c r="M168" s="605"/>
      <c r="N168" s="605">
        <f>SUM(N166:N167)</f>
        <v>0</v>
      </c>
    </row>
    <row r="169" spans="1:17" x14ac:dyDescent="0.2">
      <c r="A169" s="609"/>
      <c r="B169" s="614"/>
      <c r="C169" s="614"/>
      <c r="D169" s="614"/>
      <c r="E169" s="614"/>
      <c r="F169" s="614"/>
      <c r="G169" s="614"/>
      <c r="H169" s="614"/>
      <c r="I169" s="614"/>
      <c r="J169" s="614"/>
    </row>
    <row r="170" spans="1:17" ht="14.25" customHeight="1" x14ac:dyDescent="0.2">
      <c r="A170" s="871" t="s">
        <v>599</v>
      </c>
      <c r="B170" s="871"/>
      <c r="C170" s="871" t="s">
        <v>583</v>
      </c>
      <c r="D170" s="871"/>
      <c r="E170" s="871" t="s">
        <v>584</v>
      </c>
      <c r="F170" s="871"/>
      <c r="G170" s="871" t="s">
        <v>585</v>
      </c>
      <c r="H170" s="871"/>
      <c r="I170" s="870" t="s">
        <v>628</v>
      </c>
      <c r="J170" s="870"/>
      <c r="K170" s="871" t="s">
        <v>586</v>
      </c>
      <c r="L170" s="871"/>
      <c r="M170" s="871" t="s">
        <v>587</v>
      </c>
      <c r="N170" s="871"/>
    </row>
    <row r="171" spans="1:17" ht="25.5" x14ac:dyDescent="0.2">
      <c r="A171" s="596" t="s">
        <v>588</v>
      </c>
      <c r="B171" s="597" t="s">
        <v>597</v>
      </c>
      <c r="C171" s="597" t="s">
        <v>590</v>
      </c>
      <c r="D171" s="597" t="s">
        <v>591</v>
      </c>
      <c r="E171" s="597" t="s">
        <v>590</v>
      </c>
      <c r="F171" s="597" t="s">
        <v>591</v>
      </c>
      <c r="G171" s="597" t="s">
        <v>590</v>
      </c>
      <c r="H171" s="597" t="s">
        <v>591</v>
      </c>
      <c r="I171" s="597" t="s">
        <v>590</v>
      </c>
      <c r="J171" s="597" t="s">
        <v>591</v>
      </c>
      <c r="K171" s="597" t="s">
        <v>590</v>
      </c>
      <c r="L171" s="597" t="s">
        <v>591</v>
      </c>
      <c r="M171" s="597" t="s">
        <v>590</v>
      </c>
      <c r="N171" s="597" t="s">
        <v>591</v>
      </c>
    </row>
    <row r="172" spans="1:17" x14ac:dyDescent="0.2">
      <c r="A172" s="598" t="s">
        <v>592</v>
      </c>
      <c r="B172" s="612">
        <f>1/'Prod. GEXNHB'!G23</f>
        <v>1E-3</v>
      </c>
      <c r="C172" s="613">
        <f>D139</f>
        <v>0</v>
      </c>
      <c r="D172" s="600">
        <f>B172*C172</f>
        <v>0</v>
      </c>
      <c r="E172" s="600">
        <f>D140</f>
        <v>0</v>
      </c>
      <c r="F172" s="600">
        <f>B172*E172</f>
        <v>0</v>
      </c>
      <c r="G172" s="600">
        <f>D141</f>
        <v>0</v>
      </c>
      <c r="H172" s="600">
        <f>B172*G172</f>
        <v>0</v>
      </c>
      <c r="I172" s="600">
        <f>D142</f>
        <v>0</v>
      </c>
      <c r="J172" s="600">
        <f>B172*I172</f>
        <v>0</v>
      </c>
      <c r="K172" s="600">
        <f>D143</f>
        <v>0</v>
      </c>
      <c r="L172" s="600">
        <f>B172*K172</f>
        <v>0</v>
      </c>
      <c r="M172" s="600">
        <f>D144</f>
        <v>0</v>
      </c>
      <c r="N172" s="600">
        <f>B172*M172</f>
        <v>0</v>
      </c>
    </row>
    <row r="173" spans="1:17" x14ac:dyDescent="0.2">
      <c r="A173" s="601" t="s">
        <v>593</v>
      </c>
      <c r="B173" s="599">
        <f>B172/'Prod. GEXNHB'!Q23</f>
        <v>3.8461538461538463E-5</v>
      </c>
      <c r="C173" s="600">
        <f>J139</f>
        <v>0</v>
      </c>
      <c r="D173" s="600">
        <f>B173*C173</f>
        <v>0</v>
      </c>
      <c r="E173" s="600">
        <f>J139</f>
        <v>0</v>
      </c>
      <c r="F173" s="600">
        <f>B173*E173</f>
        <v>0</v>
      </c>
      <c r="G173" s="600">
        <f>J139</f>
        <v>0</v>
      </c>
      <c r="H173" s="600">
        <f>B173*G173</f>
        <v>0</v>
      </c>
      <c r="I173" s="600">
        <f>J139</f>
        <v>0</v>
      </c>
      <c r="J173" s="600">
        <f>B173*I173</f>
        <v>0</v>
      </c>
      <c r="K173" s="600">
        <f>J139</f>
        <v>0</v>
      </c>
      <c r="L173" s="600">
        <f>B173*K173</f>
        <v>0</v>
      </c>
      <c r="M173" s="600">
        <f>J139</f>
        <v>0</v>
      </c>
      <c r="N173" s="600">
        <f>B173*M173</f>
        <v>0</v>
      </c>
    </row>
    <row r="174" spans="1:17" x14ac:dyDescent="0.2">
      <c r="A174" s="603" t="s">
        <v>598</v>
      </c>
      <c r="B174" s="604"/>
      <c r="C174" s="605"/>
      <c r="D174" s="605">
        <f>SUM(D172:D173)</f>
        <v>0</v>
      </c>
      <c r="E174" s="605"/>
      <c r="F174" s="605">
        <f>SUM(F172:F173)</f>
        <v>0</v>
      </c>
      <c r="G174" s="605"/>
      <c r="H174" s="605">
        <f>SUM(H172:H173)</f>
        <v>0</v>
      </c>
      <c r="I174" s="605"/>
      <c r="J174" s="605">
        <f>SUM(J172:J173)</f>
        <v>0</v>
      </c>
      <c r="K174" s="605"/>
      <c r="L174" s="605">
        <f>SUM(L172:L173)</f>
        <v>0</v>
      </c>
      <c r="M174" s="605"/>
      <c r="N174" s="605">
        <f>SUM(N172:N173)</f>
        <v>0</v>
      </c>
    </row>
    <row r="175" spans="1:17" x14ac:dyDescent="0.2">
      <c r="A175" s="609"/>
      <c r="B175" s="614"/>
      <c r="C175" s="614"/>
      <c r="D175" s="614"/>
      <c r="E175" s="614"/>
      <c r="F175" s="614"/>
      <c r="G175" s="614"/>
      <c r="H175" s="614"/>
      <c r="I175" s="614"/>
      <c r="J175" s="614"/>
    </row>
    <row r="176" spans="1:17" ht="14.25" customHeight="1" x14ac:dyDescent="0.2">
      <c r="A176" s="871" t="s">
        <v>600</v>
      </c>
      <c r="B176" s="871"/>
      <c r="C176" s="871" t="s">
        <v>583</v>
      </c>
      <c r="D176" s="871"/>
      <c r="E176" s="871" t="s">
        <v>584</v>
      </c>
      <c r="F176" s="871"/>
      <c r="G176" s="871" t="s">
        <v>585</v>
      </c>
      <c r="H176" s="871"/>
      <c r="I176" s="870" t="s">
        <v>628</v>
      </c>
      <c r="J176" s="870"/>
      <c r="K176" s="871" t="s">
        <v>586</v>
      </c>
      <c r="L176" s="871"/>
      <c r="M176" s="871" t="s">
        <v>587</v>
      </c>
      <c r="N176" s="871"/>
    </row>
    <row r="177" spans="1:16" ht="25.5" x14ac:dyDescent="0.2">
      <c r="A177" s="596" t="s">
        <v>588</v>
      </c>
      <c r="B177" s="597" t="s">
        <v>597</v>
      </c>
      <c r="C177" s="597" t="s">
        <v>590</v>
      </c>
      <c r="D177" s="597" t="s">
        <v>591</v>
      </c>
      <c r="E177" s="597" t="s">
        <v>590</v>
      </c>
      <c r="F177" s="597" t="s">
        <v>591</v>
      </c>
      <c r="G177" s="597" t="s">
        <v>590</v>
      </c>
      <c r="H177" s="597" t="s">
        <v>591</v>
      </c>
      <c r="I177" s="597" t="s">
        <v>590</v>
      </c>
      <c r="J177" s="597" t="s">
        <v>591</v>
      </c>
      <c r="K177" s="597" t="s">
        <v>590</v>
      </c>
      <c r="L177" s="597" t="s">
        <v>591</v>
      </c>
      <c r="M177" s="597" t="s">
        <v>590</v>
      </c>
      <c r="N177" s="597" t="s">
        <v>591</v>
      </c>
    </row>
    <row r="178" spans="1:16" x14ac:dyDescent="0.2">
      <c r="A178" s="598" t="s">
        <v>592</v>
      </c>
      <c r="B178" s="612">
        <f>1/'Prod. GEXNHB'!H23</f>
        <v>4.0000000000000001E-3</v>
      </c>
      <c r="C178" s="608">
        <f>C139</f>
        <v>0</v>
      </c>
      <c r="D178" s="600">
        <f>B178*C178</f>
        <v>0</v>
      </c>
      <c r="E178" s="608">
        <f>C140</f>
        <v>0</v>
      </c>
      <c r="F178" s="600">
        <f>B178*E178</f>
        <v>0</v>
      </c>
      <c r="G178" s="608">
        <f>C141</f>
        <v>0</v>
      </c>
      <c r="H178" s="600">
        <f>B178*G178</f>
        <v>0</v>
      </c>
      <c r="I178" s="608">
        <f>C142</f>
        <v>0</v>
      </c>
      <c r="J178" s="600">
        <f>B178*I178</f>
        <v>0</v>
      </c>
      <c r="K178" s="608">
        <f>C143</f>
        <v>0</v>
      </c>
      <c r="L178" s="600">
        <f>B178*K178</f>
        <v>0</v>
      </c>
      <c r="M178" s="608">
        <f>C144</f>
        <v>0</v>
      </c>
      <c r="N178" s="600">
        <f>B178*M178</f>
        <v>0</v>
      </c>
    </row>
    <row r="179" spans="1:16" x14ac:dyDescent="0.2">
      <c r="A179" s="601" t="s">
        <v>593</v>
      </c>
      <c r="B179" s="599">
        <f>B178/'Prod. GEXNHB'!Q23</f>
        <v>1.5384615384615385E-4</v>
      </c>
      <c r="C179" s="600">
        <f>J139</f>
        <v>0</v>
      </c>
      <c r="D179" s="600">
        <f>C179*B179</f>
        <v>0</v>
      </c>
      <c r="E179" s="600">
        <f>J139</f>
        <v>0</v>
      </c>
      <c r="F179" s="600">
        <f>B179*E179</f>
        <v>0</v>
      </c>
      <c r="G179" s="600">
        <f>J139</f>
        <v>0</v>
      </c>
      <c r="H179" s="600">
        <f>B179*G179</f>
        <v>0</v>
      </c>
      <c r="I179" s="600">
        <f>J139</f>
        <v>0</v>
      </c>
      <c r="J179" s="600">
        <f>B179*I179</f>
        <v>0</v>
      </c>
      <c r="K179" s="600">
        <f>J139</f>
        <v>0</v>
      </c>
      <c r="L179" s="600">
        <f>B179*K179</f>
        <v>0</v>
      </c>
      <c r="M179" s="600">
        <f>J139</f>
        <v>0</v>
      </c>
      <c r="N179" s="600">
        <f>B179*M179</f>
        <v>0</v>
      </c>
    </row>
    <row r="180" spans="1:16" x14ac:dyDescent="0.2">
      <c r="A180" s="603" t="s">
        <v>598</v>
      </c>
      <c r="B180" s="604"/>
      <c r="C180" s="605"/>
      <c r="D180" s="605">
        <f>SUM(D178:D179)</f>
        <v>0</v>
      </c>
      <c r="E180" s="605"/>
      <c r="F180" s="605">
        <f>SUM(F178:F179)</f>
        <v>0</v>
      </c>
      <c r="G180" s="605"/>
      <c r="H180" s="605">
        <f>SUM(H178:H179)</f>
        <v>0</v>
      </c>
      <c r="I180" s="605"/>
      <c r="J180" s="605">
        <f>SUM(J178:J179)</f>
        <v>0</v>
      </c>
      <c r="K180" s="605"/>
      <c r="L180" s="605">
        <f>SUM(L178:L179)</f>
        <v>0</v>
      </c>
      <c r="M180" s="605"/>
      <c r="N180" s="605">
        <f>SUM(N178:N179)</f>
        <v>0</v>
      </c>
    </row>
    <row r="181" spans="1:16" x14ac:dyDescent="0.2">
      <c r="A181" s="609"/>
      <c r="B181" s="615"/>
      <c r="C181" s="615"/>
      <c r="D181" s="615"/>
      <c r="E181" s="615"/>
      <c r="F181" s="615"/>
      <c r="G181" s="615"/>
      <c r="H181" s="615"/>
      <c r="I181" s="615"/>
      <c r="J181" s="615"/>
    </row>
    <row r="182" spans="1:16" ht="14.25" customHeight="1" x14ac:dyDescent="0.2">
      <c r="A182" s="873" t="s">
        <v>601</v>
      </c>
      <c r="B182" s="873"/>
      <c r="C182" s="873" t="s">
        <v>583</v>
      </c>
      <c r="D182" s="873"/>
      <c r="E182" s="873" t="s">
        <v>584</v>
      </c>
      <c r="F182" s="873"/>
      <c r="G182" s="873" t="s">
        <v>585</v>
      </c>
      <c r="H182" s="873"/>
      <c r="I182" s="873" t="s">
        <v>628</v>
      </c>
      <c r="J182" s="873"/>
      <c r="K182" s="873" t="s">
        <v>586</v>
      </c>
      <c r="L182" s="873"/>
      <c r="M182" s="873" t="s">
        <v>587</v>
      </c>
      <c r="N182" s="873"/>
    </row>
    <row r="183" spans="1:16" ht="25.5" x14ac:dyDescent="0.2">
      <c r="A183" s="596" t="s">
        <v>588</v>
      </c>
      <c r="B183" s="597" t="s">
        <v>597</v>
      </c>
      <c r="C183" s="597" t="s">
        <v>590</v>
      </c>
      <c r="D183" s="597" t="s">
        <v>591</v>
      </c>
      <c r="E183" s="597" t="s">
        <v>590</v>
      </c>
      <c r="F183" s="597" t="s">
        <v>591</v>
      </c>
      <c r="G183" s="597" t="s">
        <v>590</v>
      </c>
      <c r="H183" s="597" t="s">
        <v>591</v>
      </c>
      <c r="I183" s="597" t="s">
        <v>590</v>
      </c>
      <c r="J183" s="597" t="s">
        <v>591</v>
      </c>
      <c r="K183" s="597" t="s">
        <v>590</v>
      </c>
      <c r="L183" s="597" t="s">
        <v>591</v>
      </c>
      <c r="M183" s="597" t="s">
        <v>590</v>
      </c>
      <c r="N183" s="597" t="s">
        <v>591</v>
      </c>
    </row>
    <row r="184" spans="1:16" x14ac:dyDescent="0.2">
      <c r="A184" s="598" t="s">
        <v>602</v>
      </c>
      <c r="B184" s="612">
        <f>1/'Prod. GEXNHB'!I23</f>
        <v>3.7037037037037035E-4</v>
      </c>
      <c r="C184" s="600">
        <f>D139</f>
        <v>0</v>
      </c>
      <c r="D184" s="600">
        <f>B184*C184</f>
        <v>0</v>
      </c>
      <c r="E184" s="600">
        <f>D140</f>
        <v>0</v>
      </c>
      <c r="F184" s="600">
        <f>B184*E184</f>
        <v>0</v>
      </c>
      <c r="G184" s="600">
        <f>D141</f>
        <v>0</v>
      </c>
      <c r="H184" s="600">
        <f>B184*G184</f>
        <v>0</v>
      </c>
      <c r="I184" s="600">
        <f>D142</f>
        <v>0</v>
      </c>
      <c r="J184" s="600">
        <f>B184*I184</f>
        <v>0</v>
      </c>
      <c r="K184" s="600">
        <f>D143</f>
        <v>0</v>
      </c>
      <c r="L184" s="600">
        <f>B184*K184</f>
        <v>0</v>
      </c>
      <c r="M184" s="600">
        <f>D144</f>
        <v>0</v>
      </c>
      <c r="N184" s="600">
        <f>B184*M184</f>
        <v>0</v>
      </c>
    </row>
    <row r="185" spans="1:16" x14ac:dyDescent="0.2">
      <c r="A185" s="601" t="s">
        <v>593</v>
      </c>
      <c r="B185" s="599">
        <f>B184/'Prod. GEXNHB'!Q23</f>
        <v>1.4245014245014244E-5</v>
      </c>
      <c r="C185" s="600">
        <f>J139</f>
        <v>0</v>
      </c>
      <c r="D185" s="600">
        <f>B185*C185</f>
        <v>0</v>
      </c>
      <c r="E185" s="600">
        <f>J139</f>
        <v>0</v>
      </c>
      <c r="F185" s="600">
        <f>B185*E185</f>
        <v>0</v>
      </c>
      <c r="G185" s="600">
        <f>J139</f>
        <v>0</v>
      </c>
      <c r="H185" s="600">
        <f>B185*G185</f>
        <v>0</v>
      </c>
      <c r="I185" s="600">
        <f>J139</f>
        <v>0</v>
      </c>
      <c r="J185" s="600">
        <f>B185*I185</f>
        <v>0</v>
      </c>
      <c r="K185" s="600">
        <f>J139</f>
        <v>0</v>
      </c>
      <c r="L185" s="600">
        <f>B185*K185</f>
        <v>0</v>
      </c>
      <c r="M185" s="600">
        <f>J139</f>
        <v>0</v>
      </c>
      <c r="N185" s="600">
        <f>B185*M185</f>
        <v>0</v>
      </c>
      <c r="O185" s="872"/>
      <c r="P185" s="872"/>
    </row>
    <row r="186" spans="1:16" x14ac:dyDescent="0.2">
      <c r="A186" s="616" t="s">
        <v>603</v>
      </c>
      <c r="B186" s="617"/>
      <c r="C186" s="618"/>
      <c r="D186" s="619">
        <f>SUM(D184:D185)</f>
        <v>0</v>
      </c>
      <c r="E186" s="618"/>
      <c r="F186" s="619">
        <f>SUM(F184:F185)</f>
        <v>0</v>
      </c>
      <c r="G186" s="618"/>
      <c r="H186" s="619">
        <f>SUM(H184:H185)</f>
        <v>0</v>
      </c>
      <c r="I186" s="618"/>
      <c r="J186" s="619">
        <f>SUM(J184:J185)</f>
        <v>0</v>
      </c>
      <c r="K186" s="618"/>
      <c r="L186" s="619">
        <f>SUM(L184:L185)</f>
        <v>0</v>
      </c>
      <c r="M186" s="618"/>
      <c r="N186" s="619">
        <f>SUM(N184:N185)</f>
        <v>0</v>
      </c>
      <c r="O186" s="606"/>
      <c r="P186" s="607"/>
    </row>
    <row r="187" spans="1:16" x14ac:dyDescent="0.2">
      <c r="A187" s="598" t="s">
        <v>604</v>
      </c>
      <c r="B187" s="612">
        <f>1/'Prod. GEXNHB'!J23</f>
        <v>1.0000000000000001E-5</v>
      </c>
      <c r="C187" s="600">
        <f>D139</f>
        <v>0</v>
      </c>
      <c r="D187" s="600">
        <f>B187*C187</f>
        <v>0</v>
      </c>
      <c r="E187" s="600">
        <f>D140</f>
        <v>0</v>
      </c>
      <c r="F187" s="600">
        <f>B187*E187</f>
        <v>0</v>
      </c>
      <c r="G187" s="600">
        <f>D141</f>
        <v>0</v>
      </c>
      <c r="H187" s="600">
        <f>B187*G187</f>
        <v>0</v>
      </c>
      <c r="I187" s="600">
        <f>D142</f>
        <v>0</v>
      </c>
      <c r="J187" s="600">
        <f>B187*I187</f>
        <v>0</v>
      </c>
      <c r="K187" s="600">
        <f>D143</f>
        <v>0</v>
      </c>
      <c r="L187" s="600">
        <f>B187*K187</f>
        <v>0</v>
      </c>
      <c r="M187" s="600">
        <f>D144</f>
        <v>0</v>
      </c>
      <c r="N187" s="600">
        <f>B187*M187</f>
        <v>0</v>
      </c>
    </row>
    <row r="188" spans="1:16" x14ac:dyDescent="0.2">
      <c r="A188" s="601" t="s">
        <v>593</v>
      </c>
      <c r="B188" s="599">
        <f>B187/'Prod. GEXNHB'!Q23</f>
        <v>3.8461538461538463E-7</v>
      </c>
      <c r="C188" s="600">
        <f>J139</f>
        <v>0</v>
      </c>
      <c r="D188" s="600">
        <f>B188*C188</f>
        <v>0</v>
      </c>
      <c r="E188" s="600">
        <f>J139</f>
        <v>0</v>
      </c>
      <c r="F188" s="600">
        <f>B188*E188</f>
        <v>0</v>
      </c>
      <c r="G188" s="600">
        <f>J139</f>
        <v>0</v>
      </c>
      <c r="H188" s="600">
        <f>B188*G188</f>
        <v>0</v>
      </c>
      <c r="I188" s="600">
        <f>J139</f>
        <v>0</v>
      </c>
      <c r="J188" s="600">
        <f>B188*I188</f>
        <v>0</v>
      </c>
      <c r="K188" s="600">
        <f>J139</f>
        <v>0</v>
      </c>
      <c r="L188" s="600">
        <f>B188*K188</f>
        <v>0</v>
      </c>
      <c r="M188" s="600">
        <f>J139</f>
        <v>0</v>
      </c>
      <c r="N188" s="600">
        <f>B188*M188</f>
        <v>0</v>
      </c>
    </row>
    <row r="189" spans="1:16" x14ac:dyDescent="0.2">
      <c r="A189" s="616" t="s">
        <v>605</v>
      </c>
      <c r="B189" s="620"/>
      <c r="C189" s="618"/>
      <c r="D189" s="619">
        <f>SUM(D187:D188)</f>
        <v>0</v>
      </c>
      <c r="E189" s="618"/>
      <c r="F189" s="619">
        <f>SUM(F187:F188)</f>
        <v>0</v>
      </c>
      <c r="G189" s="618"/>
      <c r="H189" s="619">
        <f>SUM(H187:H188)</f>
        <v>0</v>
      </c>
      <c r="I189" s="618"/>
      <c r="J189" s="619">
        <f>SUM(J187:J188)</f>
        <v>0</v>
      </c>
      <c r="K189" s="618"/>
      <c r="L189" s="619">
        <f>SUM(L187:L188)</f>
        <v>0</v>
      </c>
      <c r="M189" s="618"/>
      <c r="N189" s="619">
        <f>SUM(N187:N188)</f>
        <v>0</v>
      </c>
    </row>
    <row r="190" spans="1:16" x14ac:dyDescent="0.2">
      <c r="A190" s="598" t="s">
        <v>606</v>
      </c>
      <c r="B190" s="612">
        <f>1/'Prod. GEXNHB'!K23</f>
        <v>1.1111111111111112E-4</v>
      </c>
      <c r="C190" s="600">
        <f>D139</f>
        <v>0</v>
      </c>
      <c r="D190" s="600">
        <f>B190*C190</f>
        <v>0</v>
      </c>
      <c r="E190" s="600">
        <f>D140</f>
        <v>0</v>
      </c>
      <c r="F190" s="600">
        <f>B190*E190</f>
        <v>0</v>
      </c>
      <c r="G190" s="600">
        <f>D141</f>
        <v>0</v>
      </c>
      <c r="H190" s="600">
        <f>B190*G190</f>
        <v>0</v>
      </c>
      <c r="I190" s="600">
        <f>D142</f>
        <v>0</v>
      </c>
      <c r="J190" s="600">
        <f>B190*I190</f>
        <v>0</v>
      </c>
      <c r="K190" s="600">
        <f>D143</f>
        <v>0</v>
      </c>
      <c r="L190" s="600">
        <f>B190*K190</f>
        <v>0</v>
      </c>
      <c r="M190" s="600">
        <f>D144</f>
        <v>0</v>
      </c>
      <c r="N190" s="600">
        <f>B190*M190</f>
        <v>0</v>
      </c>
    </row>
    <row r="191" spans="1:16" x14ac:dyDescent="0.2">
      <c r="A191" s="601" t="s">
        <v>593</v>
      </c>
      <c r="B191" s="599">
        <f>B190/'Prod. GEXNHB'!Q23</f>
        <v>4.2735042735042738E-6</v>
      </c>
      <c r="C191" s="600">
        <f>J139</f>
        <v>0</v>
      </c>
      <c r="D191" s="600">
        <f>B191*C191</f>
        <v>0</v>
      </c>
      <c r="E191" s="600">
        <f>J139</f>
        <v>0</v>
      </c>
      <c r="F191" s="600">
        <f>B191*E191</f>
        <v>0</v>
      </c>
      <c r="G191" s="600">
        <f>J139</f>
        <v>0</v>
      </c>
      <c r="H191" s="600">
        <f>B191*G191</f>
        <v>0</v>
      </c>
      <c r="I191" s="600">
        <f>J139</f>
        <v>0</v>
      </c>
      <c r="J191" s="600">
        <f>B191*I191</f>
        <v>0</v>
      </c>
      <c r="K191" s="600">
        <f>J139</f>
        <v>0</v>
      </c>
      <c r="L191" s="600">
        <f>B191*K191</f>
        <v>0</v>
      </c>
      <c r="M191" s="600">
        <f>J139</f>
        <v>0</v>
      </c>
      <c r="N191" s="600">
        <f>B191*M191</f>
        <v>0</v>
      </c>
    </row>
    <row r="192" spans="1:16" x14ac:dyDescent="0.2">
      <c r="A192" s="616" t="s">
        <v>607</v>
      </c>
      <c r="B192" s="620"/>
      <c r="C192" s="618"/>
      <c r="D192" s="619">
        <f>SUM(D190:D191)</f>
        <v>0</v>
      </c>
      <c r="E192" s="618"/>
      <c r="F192" s="619">
        <f>SUM(F190:F191)</f>
        <v>0</v>
      </c>
      <c r="G192" s="618"/>
      <c r="H192" s="619">
        <f>SUM(H190:H191)</f>
        <v>0</v>
      </c>
      <c r="I192" s="618"/>
      <c r="J192" s="619">
        <f>SUM(J190:J191)</f>
        <v>0</v>
      </c>
      <c r="K192" s="618"/>
      <c r="L192" s="619">
        <f>SUM(L190:L191)</f>
        <v>0</v>
      </c>
      <c r="M192" s="618"/>
      <c r="N192" s="619">
        <f>SUM(N190:N191)</f>
        <v>0</v>
      </c>
    </row>
    <row r="193" spans="1:16" x14ac:dyDescent="0.2">
      <c r="A193" s="609"/>
      <c r="B193" s="614"/>
      <c r="C193" s="614"/>
      <c r="D193" s="614"/>
      <c r="E193" s="614"/>
      <c r="F193" s="614"/>
      <c r="G193" s="614"/>
      <c r="H193" s="614"/>
      <c r="I193" s="614"/>
      <c r="J193" s="614"/>
    </row>
    <row r="194" spans="1:16" ht="14.25" customHeight="1" x14ac:dyDescent="0.2">
      <c r="A194" s="874" t="s">
        <v>608</v>
      </c>
      <c r="B194" s="874"/>
      <c r="C194" s="874" t="s">
        <v>583</v>
      </c>
      <c r="D194" s="874"/>
      <c r="E194" s="874" t="s">
        <v>584</v>
      </c>
      <c r="F194" s="874"/>
      <c r="G194" s="874" t="s">
        <v>585</v>
      </c>
      <c r="H194" s="874"/>
      <c r="I194" s="874" t="s">
        <v>628</v>
      </c>
      <c r="J194" s="874"/>
      <c r="K194" s="874" t="s">
        <v>586</v>
      </c>
      <c r="L194" s="874"/>
      <c r="M194" s="874" t="s">
        <v>587</v>
      </c>
      <c r="N194" s="874"/>
    </row>
    <row r="195" spans="1:16" ht="25.5" x14ac:dyDescent="0.2">
      <c r="A195" s="596" t="s">
        <v>588</v>
      </c>
      <c r="B195" s="597" t="s">
        <v>597</v>
      </c>
      <c r="C195" s="597" t="s">
        <v>590</v>
      </c>
      <c r="D195" s="597" t="s">
        <v>591</v>
      </c>
      <c r="E195" s="597" t="s">
        <v>590</v>
      </c>
      <c r="F195" s="597" t="s">
        <v>591</v>
      </c>
      <c r="G195" s="597" t="s">
        <v>590</v>
      </c>
      <c r="H195" s="597" t="s">
        <v>591</v>
      </c>
      <c r="I195" s="597" t="s">
        <v>590</v>
      </c>
      <c r="J195" s="597" t="s">
        <v>591</v>
      </c>
      <c r="K195" s="597" t="s">
        <v>590</v>
      </c>
      <c r="L195" s="597" t="s">
        <v>591</v>
      </c>
      <c r="M195" s="597" t="s">
        <v>590</v>
      </c>
      <c r="N195" s="597" t="s">
        <v>591</v>
      </c>
    </row>
    <row r="196" spans="1:16" x14ac:dyDescent="0.2">
      <c r="A196" s="621" t="s">
        <v>609</v>
      </c>
      <c r="B196" s="612">
        <f>(1/'Prod. GEXNHB'!L23)*(1/(30/7*44*6))*8</f>
        <v>4.4191919191919199E-5</v>
      </c>
      <c r="C196" s="622">
        <f>I139</f>
        <v>0</v>
      </c>
      <c r="D196" s="600">
        <f>B196*C196</f>
        <v>0</v>
      </c>
      <c r="E196" s="622">
        <f>I140</f>
        <v>0</v>
      </c>
      <c r="F196" s="600">
        <f>B196*E196</f>
        <v>0</v>
      </c>
      <c r="G196" s="622">
        <f>I141</f>
        <v>0</v>
      </c>
      <c r="H196" s="600">
        <f>B196*G196</f>
        <v>0</v>
      </c>
      <c r="I196" s="622">
        <f>I142</f>
        <v>0</v>
      </c>
      <c r="J196" s="600">
        <f>B196*I196</f>
        <v>0</v>
      </c>
      <c r="K196" s="622">
        <f>I143</f>
        <v>0</v>
      </c>
      <c r="L196" s="600">
        <f>B196*K196</f>
        <v>0</v>
      </c>
      <c r="M196" s="622">
        <f>I144</f>
        <v>0</v>
      </c>
      <c r="N196" s="600">
        <f>B196*M196</f>
        <v>0</v>
      </c>
    </row>
    <row r="197" spans="1:16" x14ac:dyDescent="0.2">
      <c r="A197" s="601" t="s">
        <v>593</v>
      </c>
      <c r="B197" s="612">
        <f>B196/4</f>
        <v>1.10479797979798E-5</v>
      </c>
      <c r="C197" s="600">
        <f>J139</f>
        <v>0</v>
      </c>
      <c r="D197" s="600">
        <f>B197*C197</f>
        <v>0</v>
      </c>
      <c r="E197" s="600">
        <f>J139</f>
        <v>0</v>
      </c>
      <c r="F197" s="600">
        <f>B197*E197</f>
        <v>0</v>
      </c>
      <c r="G197" s="600">
        <f>J139</f>
        <v>0</v>
      </c>
      <c r="H197" s="600">
        <f>B197*G197</f>
        <v>0</v>
      </c>
      <c r="I197" s="600">
        <f>J139</f>
        <v>0</v>
      </c>
      <c r="J197" s="600">
        <f>B197*I197</f>
        <v>0</v>
      </c>
      <c r="K197" s="600">
        <f>J139</f>
        <v>0</v>
      </c>
      <c r="L197" s="600">
        <f>B197*K197</f>
        <v>0</v>
      </c>
      <c r="M197" s="600">
        <f>J139</f>
        <v>0</v>
      </c>
      <c r="N197" s="600">
        <f>B197*M197</f>
        <v>0</v>
      </c>
      <c r="O197" s="872"/>
      <c r="P197" s="872"/>
    </row>
    <row r="198" spans="1:16" x14ac:dyDescent="0.2">
      <c r="A198" s="623" t="s">
        <v>610</v>
      </c>
      <c r="B198" s="624"/>
      <c r="C198" s="625"/>
      <c r="D198" s="626">
        <f>SUM(D196:D197)</f>
        <v>0</v>
      </c>
      <c r="E198" s="625"/>
      <c r="F198" s="626">
        <f>SUM(F196:F197)</f>
        <v>0</v>
      </c>
      <c r="G198" s="625"/>
      <c r="H198" s="626">
        <f>SUM(H196:H197)</f>
        <v>0</v>
      </c>
      <c r="I198" s="625"/>
      <c r="J198" s="626">
        <f>SUM(J196:J197)</f>
        <v>0</v>
      </c>
      <c r="K198" s="625"/>
      <c r="L198" s="626">
        <f>SUM(L196:L197)</f>
        <v>0</v>
      </c>
      <c r="M198" s="625"/>
      <c r="N198" s="626">
        <f>SUM(N196:N197)</f>
        <v>0</v>
      </c>
      <c r="O198" s="606"/>
      <c r="P198" s="607"/>
    </row>
    <row r="199" spans="1:16" x14ac:dyDescent="0.2">
      <c r="A199" s="621" t="s">
        <v>611</v>
      </c>
      <c r="B199" s="612">
        <f>1/'Prod. GEXNHB'!M23*16*(1/188.76)</f>
        <v>2.2306242401936183E-4</v>
      </c>
      <c r="C199" s="600">
        <f>D139</f>
        <v>0</v>
      </c>
      <c r="D199" s="600">
        <f>B199*C199</f>
        <v>0</v>
      </c>
      <c r="E199" s="600">
        <f>D140</f>
        <v>0</v>
      </c>
      <c r="F199" s="600">
        <f>B199*E199</f>
        <v>0</v>
      </c>
      <c r="G199" s="600">
        <f>D141</f>
        <v>0</v>
      </c>
      <c r="H199" s="600">
        <f>B199*G199</f>
        <v>0</v>
      </c>
      <c r="I199" s="600">
        <f>D142</f>
        <v>0</v>
      </c>
      <c r="J199" s="600">
        <f>B199*I199</f>
        <v>0</v>
      </c>
      <c r="K199" s="600">
        <f>D143</f>
        <v>0</v>
      </c>
      <c r="L199" s="600">
        <f>B199*K199</f>
        <v>0</v>
      </c>
      <c r="M199" s="600">
        <f>D144</f>
        <v>0</v>
      </c>
      <c r="N199" s="600">
        <f>B199*M199</f>
        <v>0</v>
      </c>
    </row>
    <row r="200" spans="1:16" x14ac:dyDescent="0.2">
      <c r="A200" s="601" t="s">
        <v>593</v>
      </c>
      <c r="B200" s="612">
        <f>1/('Prod. GEXNHB'!Q23*'Prod. GEXNHB'!M23)*16*(1/188.76)</f>
        <v>8.5793240007446859E-6</v>
      </c>
      <c r="C200" s="600">
        <f>J139</f>
        <v>0</v>
      </c>
      <c r="D200" s="600">
        <f>B200*C200</f>
        <v>0</v>
      </c>
      <c r="E200" s="600">
        <f>J139</f>
        <v>0</v>
      </c>
      <c r="F200" s="600">
        <f>B200*E200</f>
        <v>0</v>
      </c>
      <c r="G200" s="600">
        <f>J139</f>
        <v>0</v>
      </c>
      <c r="H200" s="600">
        <f>B200*G200</f>
        <v>0</v>
      </c>
      <c r="I200" s="600">
        <f>J139</f>
        <v>0</v>
      </c>
      <c r="J200" s="600">
        <f>B200*I200</f>
        <v>0</v>
      </c>
      <c r="K200" s="600">
        <f>J139</f>
        <v>0</v>
      </c>
      <c r="L200" s="600">
        <f>B200*K200</f>
        <v>0</v>
      </c>
      <c r="M200" s="600">
        <f>J139</f>
        <v>0</v>
      </c>
      <c r="N200" s="600">
        <f>B200*M200</f>
        <v>0</v>
      </c>
      <c r="O200" s="872"/>
      <c r="P200" s="872"/>
    </row>
    <row r="201" spans="1:16" x14ac:dyDescent="0.2">
      <c r="A201" s="623" t="s">
        <v>612</v>
      </c>
      <c r="B201" s="624"/>
      <c r="C201" s="625"/>
      <c r="D201" s="626">
        <f>SUM(D199:D200)</f>
        <v>0</v>
      </c>
      <c r="E201" s="625"/>
      <c r="F201" s="626">
        <f>SUM(F199:F200)</f>
        <v>0</v>
      </c>
      <c r="G201" s="625"/>
      <c r="H201" s="626">
        <f>SUM(H199:H200)</f>
        <v>0</v>
      </c>
      <c r="I201" s="625"/>
      <c r="J201" s="626">
        <f>SUM(J199:J200)</f>
        <v>0</v>
      </c>
      <c r="K201" s="625"/>
      <c r="L201" s="626">
        <f>SUM(L199:L200)</f>
        <v>0</v>
      </c>
      <c r="M201" s="625"/>
      <c r="N201" s="626">
        <f>SUM(N199:N200)</f>
        <v>0</v>
      </c>
      <c r="O201" s="606"/>
      <c r="P201" s="607"/>
    </row>
    <row r="202" spans="1:16" x14ac:dyDescent="0.2">
      <c r="A202" s="598" t="s">
        <v>613</v>
      </c>
      <c r="B202" s="612">
        <f>1/'Prod. GEXNHB'!N23*16*(1/188.76)</f>
        <v>2.2306242401936183E-4</v>
      </c>
      <c r="C202" s="600">
        <f>D139</f>
        <v>0</v>
      </c>
      <c r="D202" s="600">
        <f>B202*C202</f>
        <v>0</v>
      </c>
      <c r="E202" s="600">
        <f>D140</f>
        <v>0</v>
      </c>
      <c r="F202" s="600">
        <f>B202*E202</f>
        <v>0</v>
      </c>
      <c r="G202" s="600">
        <f>D141</f>
        <v>0</v>
      </c>
      <c r="H202" s="600">
        <f>B202*G202</f>
        <v>0</v>
      </c>
      <c r="I202" s="600">
        <f>D142</f>
        <v>0</v>
      </c>
      <c r="J202" s="600">
        <f>B202*I202</f>
        <v>0</v>
      </c>
      <c r="K202" s="600">
        <f>D143</f>
        <v>0</v>
      </c>
      <c r="L202" s="600">
        <f>B202*K202</f>
        <v>0</v>
      </c>
      <c r="M202" s="600">
        <f>D144</f>
        <v>0</v>
      </c>
      <c r="N202" s="600">
        <f>B202*M202</f>
        <v>0</v>
      </c>
    </row>
    <row r="203" spans="1:16" x14ac:dyDescent="0.2">
      <c r="A203" s="601" t="s">
        <v>593</v>
      </c>
      <c r="B203" s="612">
        <f>1/('Prod. GEXNHB'!Q23*'Prod. GEXNHB'!N23)*16*(1/188.76)</f>
        <v>8.5793240007446859E-6</v>
      </c>
      <c r="C203" s="600">
        <f>J139</f>
        <v>0</v>
      </c>
      <c r="D203" s="600">
        <f>B203*C203</f>
        <v>0</v>
      </c>
      <c r="E203" s="600">
        <f>J139</f>
        <v>0</v>
      </c>
      <c r="F203" s="600">
        <f>B203*E203</f>
        <v>0</v>
      </c>
      <c r="G203" s="600">
        <f>J139</f>
        <v>0</v>
      </c>
      <c r="H203" s="600">
        <f>B203*G203</f>
        <v>0</v>
      </c>
      <c r="I203" s="600">
        <f>J139</f>
        <v>0</v>
      </c>
      <c r="J203" s="600">
        <f>B203*I203</f>
        <v>0</v>
      </c>
      <c r="K203" s="600">
        <f>J139</f>
        <v>0</v>
      </c>
      <c r="L203" s="600">
        <f>B203*K203</f>
        <v>0</v>
      </c>
      <c r="M203" s="600">
        <f>J139</f>
        <v>0</v>
      </c>
      <c r="N203" s="600">
        <f>B203*M203</f>
        <v>0</v>
      </c>
      <c r="O203" s="872"/>
      <c r="P203" s="872"/>
    </row>
    <row r="204" spans="1:16" x14ac:dyDescent="0.2">
      <c r="A204" s="623" t="s">
        <v>614</v>
      </c>
      <c r="B204" s="624"/>
      <c r="C204" s="625"/>
      <c r="D204" s="626">
        <f>SUM(D202:D203)</f>
        <v>0</v>
      </c>
      <c r="E204" s="625"/>
      <c r="F204" s="626">
        <f>SUM(F202:F203)</f>
        <v>0</v>
      </c>
      <c r="G204" s="625"/>
      <c r="H204" s="626">
        <f>SUM(H202:H203)</f>
        <v>0</v>
      </c>
      <c r="I204" s="625"/>
      <c r="J204" s="626">
        <f>SUM(J202:J203)</f>
        <v>0</v>
      </c>
      <c r="K204" s="625"/>
      <c r="L204" s="626">
        <f>SUM(L202:L203)</f>
        <v>0</v>
      </c>
      <c r="M204" s="625"/>
      <c r="N204" s="626">
        <f>SUM(N202:N203)</f>
        <v>0</v>
      </c>
      <c r="O204" s="606"/>
      <c r="P204" s="607"/>
    </row>
    <row r="205" spans="1:16" x14ac:dyDescent="0.2">
      <c r="A205" s="595"/>
    </row>
  </sheetData>
  <mergeCells count="99">
    <mergeCell ref="O197:P197"/>
    <mergeCell ref="O200:P200"/>
    <mergeCell ref="O203:P203"/>
    <mergeCell ref="K182:L182"/>
    <mergeCell ref="M182:N182"/>
    <mergeCell ref="O185:P185"/>
    <mergeCell ref="K194:L194"/>
    <mergeCell ref="M194:N194"/>
    <mergeCell ref="A194:B194"/>
    <mergeCell ref="C194:D194"/>
    <mergeCell ref="E194:F194"/>
    <mergeCell ref="G194:H194"/>
    <mergeCell ref="I194:J194"/>
    <mergeCell ref="A182:B182"/>
    <mergeCell ref="C182:D182"/>
    <mergeCell ref="E182:F182"/>
    <mergeCell ref="G182:H182"/>
    <mergeCell ref="I182:J182"/>
    <mergeCell ref="K170:L170"/>
    <mergeCell ref="M170:N170"/>
    <mergeCell ref="A176:B176"/>
    <mergeCell ref="C176:D176"/>
    <mergeCell ref="E176:F176"/>
    <mergeCell ref="G176:H176"/>
    <mergeCell ref="I176:J176"/>
    <mergeCell ref="K176:L176"/>
    <mergeCell ref="M176:N176"/>
    <mergeCell ref="A170:B170"/>
    <mergeCell ref="C170:D170"/>
    <mergeCell ref="E170:F170"/>
    <mergeCell ref="G170:H170"/>
    <mergeCell ref="I170:J170"/>
    <mergeCell ref="O161:P161"/>
    <mergeCell ref="A164:B164"/>
    <mergeCell ref="C164:D164"/>
    <mergeCell ref="E164:F164"/>
    <mergeCell ref="G164:H164"/>
    <mergeCell ref="I164:J164"/>
    <mergeCell ref="K164:L164"/>
    <mergeCell ref="M164:N164"/>
    <mergeCell ref="I152:J152"/>
    <mergeCell ref="K152:L152"/>
    <mergeCell ref="M152:N152"/>
    <mergeCell ref="O155:P155"/>
    <mergeCell ref="A158:B158"/>
    <mergeCell ref="C158:D158"/>
    <mergeCell ref="E158:F158"/>
    <mergeCell ref="G158:H158"/>
    <mergeCell ref="I158:J158"/>
    <mergeCell ref="K158:L158"/>
    <mergeCell ref="M158:N158"/>
    <mergeCell ref="A138:B138"/>
    <mergeCell ref="A152:B152"/>
    <mergeCell ref="C152:D152"/>
    <mergeCell ref="E152:F152"/>
    <mergeCell ref="G152:H152"/>
    <mergeCell ref="A133:B133"/>
    <mergeCell ref="A134:B134"/>
    <mergeCell ref="A135:B135"/>
    <mergeCell ref="A136:B136"/>
    <mergeCell ref="A137:B137"/>
    <mergeCell ref="A128:B128"/>
    <mergeCell ref="A129:B129"/>
    <mergeCell ref="A130:B130"/>
    <mergeCell ref="A131:B131"/>
    <mergeCell ref="A132:B132"/>
    <mergeCell ref="A123:J123"/>
    <mergeCell ref="A124:J124"/>
    <mergeCell ref="A125:B125"/>
    <mergeCell ref="A126:B126"/>
    <mergeCell ref="A127:B127"/>
    <mergeCell ref="A51:J51"/>
    <mergeCell ref="A61:J61"/>
    <mergeCell ref="A62:J62"/>
    <mergeCell ref="A92:B92"/>
    <mergeCell ref="A115:A120"/>
    <mergeCell ref="A9:J9"/>
    <mergeCell ref="A11:J11"/>
    <mergeCell ref="A20:B20"/>
    <mergeCell ref="A21:J21"/>
    <mergeCell ref="A50:J50"/>
    <mergeCell ref="C7:D7"/>
    <mergeCell ref="E7:F7"/>
    <mergeCell ref="G7:H7"/>
    <mergeCell ref="C8:D8"/>
    <mergeCell ref="E8:F8"/>
    <mergeCell ref="G8:H8"/>
    <mergeCell ref="C5:D5"/>
    <mergeCell ref="E5:F5"/>
    <mergeCell ref="G5:H5"/>
    <mergeCell ref="C6:D6"/>
    <mergeCell ref="E6:F6"/>
    <mergeCell ref="G6:H6"/>
    <mergeCell ref="A1:J1"/>
    <mergeCell ref="A2:J2"/>
    <mergeCell ref="A3:J3"/>
    <mergeCell ref="C4:D4"/>
    <mergeCell ref="E4:F4"/>
    <mergeCell ref="G4:H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7</vt:i4>
      </vt:variant>
    </vt:vector>
  </HeadingPairs>
  <TitlesOfParts>
    <vt:vector size="20" baseType="lpstr">
      <vt:lpstr>Modelo de Proposta</vt:lpstr>
      <vt:lpstr>MC</vt:lpstr>
      <vt:lpstr>Insumos</vt:lpstr>
      <vt:lpstr>Resumo Proposta</vt:lpstr>
      <vt:lpstr>Prod. GEXCAN</vt:lpstr>
      <vt:lpstr>GEXCAN Limp.Ord.</vt:lpstr>
      <vt:lpstr>GEXCAN Covid</vt:lpstr>
      <vt:lpstr>Prod. GEXNHB</vt:lpstr>
      <vt:lpstr>GEXNHB Limp.Ord. </vt:lpstr>
      <vt:lpstr>GEXNHB Covid </vt:lpstr>
      <vt:lpstr>Prod. GEXPOA</vt:lpstr>
      <vt:lpstr>GEXPOA Limp. Ord.</vt:lpstr>
      <vt:lpstr>GEX POA Covid</vt:lpstr>
      <vt:lpstr>'Prod. GEXNHB'!_FiltrarBancodeDados</vt:lpstr>
      <vt:lpstr>'Modelo de Proposta'!Area_de_impressao</vt:lpstr>
      <vt:lpstr>'GEXCAN Covid'!Print_Area</vt:lpstr>
      <vt:lpstr>'GEXCAN Limp.Ord.'!Print_Area</vt:lpstr>
      <vt:lpstr>'GEXNHB Covid '!Print_Area</vt:lpstr>
      <vt:lpstr>'GEXNHB Limp.Ord. '!Print_Area</vt:lpstr>
      <vt:lpstr>MC!Print_Area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Carolina Alves Miranda</dc:creator>
  <dc:description/>
  <cp:lastModifiedBy>inss</cp:lastModifiedBy>
  <cp:revision>94</cp:revision>
  <dcterms:created xsi:type="dcterms:W3CDTF">2020-03-17T09:48:25Z</dcterms:created>
  <dcterms:modified xsi:type="dcterms:W3CDTF">2022-06-27T14:55:17Z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0x0101002802779F605D534DA1B3FC3D1B1B4DA1</vt:lpwstr>
  </property>
</Properties>
</file>